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ACE/2021/"/>
    </mc:Choice>
  </mc:AlternateContent>
  <xr:revisionPtr revIDLastSave="0" documentId="8_{185FAEC7-6B62-48C7-A822-85B29450281F}" xr6:coauthVersionLast="45" xr6:coauthVersionMax="45" xr10:uidLastSave="{00000000-0000-0000-0000-000000000000}"/>
  <bookViews>
    <workbookView xWindow="760" yWindow="760" windowWidth="14400" windowHeight="7360" tabRatio="913" xr2:uid="{00000000-000D-0000-FFFF-FFFF00000000}"/>
  </bookViews>
  <sheets>
    <sheet name="ATT H-1A" sheetId="1" r:id="rId1"/>
    <sheet name="1A - ADIT Summary" sheetId="48" r:id="rId2"/>
    <sheet name="1B - ADIT EOY" sheetId="49" r:id="rId3"/>
    <sheet name="1C - ADIT BOY" sheetId="54" r:id="rId4"/>
    <sheet name="1D - ADIT Rate Base Adjustment" sheetId="51" r:id="rId5"/>
    <sheet name="1E - EDIT Amortization" sheetId="52" r:id="rId6"/>
    <sheet name="1F - ADIT Remeasurement" sheetId="53" r:id="rId7"/>
    <sheet name="2 - Other Tax" sheetId="5" r:id="rId8"/>
    <sheet name="3 - Revenue Credits" sheetId="7" r:id="rId9"/>
    <sheet name="4 - 100 Basis Pt ROE" sheetId="8" r:id="rId10"/>
    <sheet name="5 - Cost Support 1" sheetId="9" r:id="rId11"/>
    <sheet name="5a Affiliate Allocations" sheetId="10" r:id="rId12"/>
    <sheet name="5b EBSC Affiliate Allocations" sheetId="31" r:id="rId13"/>
    <sheet name="6-Project Rev Req" sheetId="12" r:id="rId14"/>
    <sheet name="6A-Project True-up" sheetId="13" r:id="rId15"/>
    <sheet name="6B - True-Up Interest " sheetId="14" r:id="rId16"/>
    <sheet name="7 - Cap Add WS" sheetId="47"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3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 localSheetId="16">#REF!</definedName>
    <definedName name="\b">#REF!</definedName>
    <definedName name="\C" localSheetId="16">#REF!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 localSheetId="16">#REF!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 localSheetId="16">#REF!</definedName>
    <definedName name="\N">#REF!</definedName>
    <definedName name="\O">#REF!</definedName>
    <definedName name="\P">#REF!</definedName>
    <definedName name="\P2">#REF!</definedName>
    <definedName name="\q">'[3]Curr adj - depn basis diff'!#REF!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 localSheetId="16">#REF!</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 localSheetId="16">#REF!</definedName>
    <definedName name="___DAT10">#REF!</definedName>
    <definedName name="___DAT11" localSheetId="16">#REF!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4" hidden="1">[15]Inputs!#REF!</definedName>
    <definedName name="__123Graph_B" localSheetId="15" hidden="1">[15]Inputs!#REF!</definedName>
    <definedName name="__123Graph_B" localSheetId="16" hidden="1">[15]Inputs!#REF!</definedName>
    <definedName name="__123Graph_B" localSheetId="19" hidden="1">[15]Inputs!#REF!</definedName>
    <definedName name="__123Graph_B" hidden="1">[15]Inputs!#REF!</definedName>
    <definedName name="__123Graph_C" hidden="1">'[14]AL2 151'!#REF!</definedName>
    <definedName name="__123Graph_D" localSheetId="16" hidden="1">[16]Assump!#REF!</definedName>
    <definedName name="__123Graph_D" localSheetId="19"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 localSheetId="16">'[11]Cost Center List'!#REF!</definedName>
    <definedName name="__DAT1">'[11]Cost Center List'!#REF!</definedName>
    <definedName name="__DAT10" localSheetId="16">#REF!</definedName>
    <definedName name="__DAT10">#REF!</definedName>
    <definedName name="__DAT11" localSheetId="16">#REF!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 localSheetId="16">#REF!</definedName>
    <definedName name="__gas2006">#REF!</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 localSheetId="16">'[6]YTD Summary'!#REF!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 localSheetId="16">#REF!</definedName>
    <definedName name="_6532">#REF!</definedName>
    <definedName name="_6533" localSheetId="16">#REF!</definedName>
    <definedName name="_6533">#REF!</definedName>
    <definedName name="_6540">#REF!</definedName>
    <definedName name="_6543" localSheetId="16">#REF!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 localSheetId="16">#REF!</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 localSheetId="16">#REF!</definedName>
    <definedName name="_agr8691">#REF!</definedName>
    <definedName name="_agr8790">[10]Model!$I$59</definedName>
    <definedName name="_agr8791">[10]Model!$J$59</definedName>
    <definedName name="_agr8792" localSheetId="16">#REF!</definedName>
    <definedName name="_agr8792">#REF!</definedName>
    <definedName name="_agr8890">[10]Model!$I$60</definedName>
    <definedName name="_agr8891">[10]Model!$J$60</definedName>
    <definedName name="_agr8892">[10]Model!$K$60</definedName>
    <definedName name="_agr8893" localSheetId="16">#REF!</definedName>
    <definedName name="_agr8893">#REF!</definedName>
    <definedName name="_agr8990">[10]Model!$I$61</definedName>
    <definedName name="_agr8991">[10]Model!$J$61</definedName>
    <definedName name="_agr8992">[10]Model!$K$61</definedName>
    <definedName name="_agr8993">[10]Model!$L$61</definedName>
    <definedName name="_agr8994" localSheetId="16">#REF!</definedName>
    <definedName name="_agr8994">#REF!</definedName>
    <definedName name="_agr9091">[10]Model!$J$62</definedName>
    <definedName name="_agr9092">[10]Model!$K$62</definedName>
    <definedName name="_agr9093">[10]Model!$L$62</definedName>
    <definedName name="_agr9094">[10]Model!$M$62</definedName>
    <definedName name="_agr9095" localSheetId="16">#REF!</definedName>
    <definedName name="_agr9095">#REF!</definedName>
    <definedName name="_agr9192">[10]Model!$K$63</definedName>
    <definedName name="_agr9193">[10]Model!$L$63</definedName>
    <definedName name="_agr9194">[10]Model!$M$63</definedName>
    <definedName name="_agr9195">[10]Model!$N$63</definedName>
    <definedName name="_agr9196" localSheetId="16">#REF!</definedName>
    <definedName name="_agr9196">#REF!</definedName>
    <definedName name="_agr9293">[10]Model!$L$64</definedName>
    <definedName name="_agr9294">[10]Model!$M$64</definedName>
    <definedName name="_agr9295">[10]Model!$N$64</definedName>
    <definedName name="_agr9296">[10]Model!$O$64</definedName>
    <definedName name="_agr9297" localSheetId="16">#REF!</definedName>
    <definedName name="_agr9297">#REF!</definedName>
    <definedName name="_agr9394">[10]Model!$M$65</definedName>
    <definedName name="_agr9395">[10]Model!$N$65</definedName>
    <definedName name="_agr9396">[10]Model!$O$65</definedName>
    <definedName name="_agr9397">[10]Model!$P$65</definedName>
    <definedName name="_agr9398" localSheetId="16">#REF!</definedName>
    <definedName name="_agr9398">#REF!</definedName>
    <definedName name="_agr9495">[10]Model!$N$66</definedName>
    <definedName name="_agr9496">[10]Model!$O$66</definedName>
    <definedName name="_agr9497">[10]Model!$P$66</definedName>
    <definedName name="_agr9498">[10]Model!$Q$66</definedName>
    <definedName name="_agr9499" localSheetId="16">#REF!</definedName>
    <definedName name="_agr9499">#REF!</definedName>
    <definedName name="_agr95100" localSheetId="16">#REF!</definedName>
    <definedName name="_agr95100">#REF!</definedName>
    <definedName name="_agr9596">[10]Model!$O$67</definedName>
    <definedName name="_agr9597">[10]Model!$P$67</definedName>
    <definedName name="_agr9598">[10]Model!$Q$67</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[10]Model!$P$68</definedName>
    <definedName name="_agr9698">[10]Model!$Q$68</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[10]Model!$Q$69</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 localSheetId="16">#REF!</definedName>
    <definedName name="_DAT10">#REF!</definedName>
    <definedName name="_DAT11" localSheetId="16">#REF!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 localSheetId="16">#REF!</definedName>
    <definedName name="_ety91">#REF!</definedName>
    <definedName name="_ety92" localSheetId="16">#REF!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H-1A'!$A$1:$H$378</definedName>
    <definedName name="_gas2" localSheetId="16">#REF!</definedName>
    <definedName name="_gas2">#REF!</definedName>
    <definedName name="_gas2006" localSheetId="16">#REF!</definedName>
    <definedName name="_gas2006">#REF!</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 localSheetId="16">#REF!</definedName>
    <definedName name="_JE124">#REF!</definedName>
    <definedName name="_JE13" localSheetId="16">#REF!</definedName>
    <definedName name="_JE13">#REF!</definedName>
    <definedName name="_je14">#REF!</definedName>
    <definedName name="_JE147">#REF!</definedName>
    <definedName name="_JE16">#REF!</definedName>
    <definedName name="_JE17">#REF!</definedName>
    <definedName name="_je2">'[12]JE 120 Jan-Nov Facesheet'!#REF!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 localSheetId="16">#REF!</definedName>
    <definedName name="_New3">#REF!</definedName>
    <definedName name="_New4" localSheetId="16">#REF!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 localSheetId="16">#REF!</definedName>
    <definedName name="_p.choice">#REF!</definedName>
    <definedName name="_Parse_In" hidden="1">#REF!</definedName>
    <definedName name="_Parse_Out" hidden="1">#REF!</definedName>
    <definedName name="_PG1" localSheetId="16">#REF!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 localSheetId="16">#REF!</definedName>
    <definedName name="_qre8499">#REF!</definedName>
    <definedName name="_qre85">'[10]QRE''s'!$E$1:$E$65536</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 localSheetId="16">#REF!</definedName>
    <definedName name="_qre8599">#REF!</definedName>
    <definedName name="_qre86">'[10]QRE''s'!$F$1:$F$65536</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 localSheetId="16">#REF!</definedName>
    <definedName name="_qre8699">#REF!</definedName>
    <definedName name="_qre87">'[10]QRE''s'!$G$1:$G$65536</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 localSheetId="16">#REF!</definedName>
    <definedName name="_qre8799">#REF!</definedName>
    <definedName name="_qre88">'[10]QRE''s'!$H$1:$H$65536</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 localSheetId="16">#REF!</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 localSheetId="16">#REF!</definedName>
    <definedName name="_tqs99">#REF!</definedName>
    <definedName name="A" localSheetId="20" hidden="1">{#N/A,#N/A,FALSE,"EMPPAY"}</definedName>
    <definedName name="A" localSheetId="14" hidden="1">{#N/A,#N/A,FALSE,"EMPPAY"}</definedName>
    <definedName name="A" localSheetId="13" hidden="1">{#N/A,#N/A,FALSE,"EMPPAY"}</definedName>
    <definedName name="A" localSheetId="16">#REF!</definedName>
    <definedName name="A" localSheetId="18" hidden="1">{#N/A,#N/A,FALSE,"EMPPAY"}</definedName>
    <definedName name="A">#REF!</definedName>
    <definedName name="a.1" hidden="1">{"LBO Summary",#N/A,FALSE,"Summary"}</definedName>
    <definedName name="AA" localSheetId="16">#REF!</definedName>
    <definedName name="AA">#REF!</definedName>
    <definedName name="AA.print" localSheetId="16">#REF!</definedName>
    <definedName name="AA.print">#REF!</definedName>
    <definedName name="aaa" localSheetId="20"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16">[19]DEPR96!#REF!</definedName>
    <definedName name="AC">[19]DEPR96!#REF!</definedName>
    <definedName name="AC_255">'[22]AC 255'!$A$1:$M$32</definedName>
    <definedName name="AC_282">[23]December!#REF!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 localSheetId="16">#REF!</definedName>
    <definedName name="Accum._Other_Comprehensive_Income">#REF!</definedName>
    <definedName name="ACQ" localSheetId="16">[19]DEPR96!#REF!</definedName>
    <definedName name="ACQ">[19]DEPR96!#REF!</definedName>
    <definedName name="ACRS" localSheetId="16">#REF!</definedName>
    <definedName name="ACRS">#REF!</definedName>
    <definedName name="Active1" localSheetId="16">#REF!</definedName>
    <definedName name="Active1">#REF!</definedName>
    <definedName name="Active2" localSheetId="16">#REF!</definedName>
    <definedName name="Active2">#REF!</definedName>
    <definedName name="ActivityType">'[24]Activity Type'!$1:$1048576</definedName>
    <definedName name="ACTTextLen">#REF!</definedName>
    <definedName name="Actual">[25]Assumptions!$E$52</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 localSheetId="16">#REF!</definedName>
    <definedName name="ads">#REF!</definedName>
    <definedName name="ADTL">'[26]C. Input'!$F$144</definedName>
    <definedName name="Affiliate_Interest_Expense__Revenue" localSheetId="16">#REF!</definedName>
    <definedName name="Affiliate_Interest_Expense__Revenue">#REF!</definedName>
    <definedName name="AFUDC_Credit_Interest_Capitalized" localSheetId="16">#REF!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16">#REF!</definedName>
    <definedName name="AG1_01">#REF!</definedName>
    <definedName name="AG1_01B" localSheetId="16">#REF!</definedName>
    <definedName name="AG1_01B">#REF!</definedName>
    <definedName name="AG2_01" localSheetId="1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16">#REF!</definedName>
    <definedName name="aircdy">#REF!</definedName>
    <definedName name="aircgrtm1" localSheetId="16">[10]AIRC!#REF!</definedName>
    <definedName name="aircgrtm1">[10]AIRC!#REF!</definedName>
    <definedName name="aircgrtm2" localSheetId="16">[10]AIRC!#REF!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 localSheetId="16">#REF!</definedName>
    <definedName name="ALL_SENS_FACT">#REF!</definedName>
    <definedName name="AllASS">[29]ALL!$B$25</definedName>
    <definedName name="ALLCGI">[29]ALL!$D$25</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16">#REF!</definedName>
    <definedName name="ALLOW">#REF!</definedName>
    <definedName name="Allow_for_Funds_Used_During_Const." localSheetId="16">#REF!</definedName>
    <definedName name="Allow_for_Funds_Used_During_Const.">#REF!</definedName>
    <definedName name="ALLRD">[29]ALL!$C$25</definedName>
    <definedName name="ALLSKP">[29]ALL!$E$25</definedName>
    <definedName name="ALLYRS_MESSAGE" localSheetId="16">#REF!</definedName>
    <definedName name="ALLYRS_MESSAGE">#REF!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[31]Pepco!#REF!</definedName>
    <definedName name="ALTMIN">[31]Pepco!#REF!</definedName>
    <definedName name="AMERICA" localSheetId="16">#REF!</definedName>
    <definedName name="AMERICA">#REF!</definedName>
    <definedName name="AMOR_BOM" localSheetId="16">#REF!</definedName>
    <definedName name="AMOR_BOM">#REF!</definedName>
    <definedName name="AMOR_EOM" localSheetId="16">#REF!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16">#REF!</definedName>
    <definedName name="Amortization___Other_Assets">#REF!</definedName>
    <definedName name="AMOUNT">#REF!</definedName>
    <definedName name="ANNSUM" localSheetId="16">#REF!</definedName>
    <definedName name="ANNSUM">#REF!</definedName>
    <definedName name="Annualization_Rate">#REF!</definedName>
    <definedName name="anscount" hidden="1">1</definedName>
    <definedName name="AO.print" localSheetId="16">#REF!</definedName>
    <definedName name="AO.print">#REF!</definedName>
    <definedName name="APA" localSheetId="16">#REF!</definedName>
    <definedName name="APA">#REF!</definedName>
    <definedName name="APN">'[32]Gas Ferc 2 2003'!$V$2</definedName>
    <definedName name="APR">[33]load!#REF!</definedName>
    <definedName name="APR_13_WRKSHT_SUM" localSheetId="16">#REF!</definedName>
    <definedName name="APR_13_WRKSHT_SUM">#REF!</definedName>
    <definedName name="apr2pre" localSheetId="16">#REF!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#REF!</definedName>
    <definedName name="AUG" localSheetId="16">#REF!</definedName>
    <definedName name="AUG">#REF!</definedName>
    <definedName name="AV.FM.1..adjusted..print" localSheetId="16">#REF!</definedName>
    <definedName name="AV.FM.1..adjusted..print">#REF!</definedName>
    <definedName name="AV.FM.1.print">#REF!</definedName>
    <definedName name="AVG">#REF!</definedName>
    <definedName name="avoidint">"V2001-12-31"</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 localSheetId="16">#REF!</definedName>
    <definedName name="BA.print">#REF!</definedName>
    <definedName name="BadErrMsg">#REF!</definedName>
    <definedName name="BAL" localSheetId="16">#REF!</definedName>
    <definedName name="BAL">#REF!</definedName>
    <definedName name="BALANCE">'[36]MTHLY BAL.'!$A$6:$O$89</definedName>
    <definedName name="Balance_Sheet_Assets" localSheetId="16">#REF!</definedName>
    <definedName name="Balance_Sheet_Assets">#REF!</definedName>
    <definedName name="Balance_Sheet_Liabilities___Capital" localSheetId="16">#REF!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16">#REF!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 localSheetId="16">#REF!</definedName>
    <definedName name="BASE_SENS_FACT">#REF!</definedName>
    <definedName name="BASIC">#REF!</definedName>
    <definedName name="Basic_Data" localSheetId="16">#REF!</definedName>
    <definedName name="Basic_Data">#REF!</definedName>
    <definedName name="Basis_Points">[25]Assumptions!$H$15</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16">#REF!</definedName>
    <definedName name="BGS_Rate">#REF!</definedName>
    <definedName name="BGS_RFP">[25]Assumptions!$E$36</definedName>
    <definedName name="Bill" localSheetId="16">#REF!</definedName>
    <definedName name="Bill">#REF!</definedName>
    <definedName name="bill1" localSheetId="16">#REF!</definedName>
    <definedName name="bill1">#REF!</definedName>
    <definedName name="bill2" localSheetId="16">#REF!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16">#REF!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16">#REF!</definedName>
    <definedName name="Brenda">#REF!</definedName>
    <definedName name="bu10total100" localSheetId="16">#REF!</definedName>
    <definedName name="bu10total100">#REF!</definedName>
    <definedName name="bu10total100a" localSheetId="16">#REF!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16">#REF!</definedName>
    <definedName name="bu9total99">#REF!</definedName>
    <definedName name="bu9total99a" localSheetId="16">#REF!</definedName>
    <definedName name="bu9total99a">#REF!</definedName>
    <definedName name="budget" localSheetId="16">#REF!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16">#REF!</definedName>
    <definedName name="cents">#REF!</definedName>
    <definedName name="CEP_Amortization">'[41]JFJ-4 CEP Rate'!$A$28:$F$78</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'[35]Aday IS EG Subs'!#REF!</definedName>
    <definedName name="Citizens_Gas_YR_2008">'[35]Aday IS EG Subs'!#REF!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16">#REF!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16">#REF!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16">#REF!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 localSheetId="16">#REF!</definedName>
    <definedName name="CONSOLDEFTAXBAL">#REF!</definedName>
    <definedName name="CONSOLDEFTAXSUM" localSheetId="16">#REF!</definedName>
    <definedName name="CONSOLDEFTAXSUM">#REF!</definedName>
    <definedName name="Consolid" localSheetId="20"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'[10]Macro Tables'!$C$21</definedName>
    <definedName name="cover" localSheetId="16">#REF!</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 localSheetId="16">#REF!</definedName>
    <definedName name="cropdeftaxbalance">#REF!</definedName>
    <definedName name="CROPTAXPROV" localSheetId="16">#REF!</definedName>
    <definedName name="CROPTAXPROV">#REF!</definedName>
    <definedName name="CSH" localSheetId="16">#REF!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 localSheetId="16">#REF!</definedName>
    <definedName name="CUR_SENS_FACT">#REF!</definedName>
    <definedName name="CURR">[19]DEPR96!#REF!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 localSheetId="16">[48]Input!#REF!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16">#REF!</definedName>
    <definedName name="D_Tech___Other_Wolverine">#REF!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16">#REF!</definedName>
    <definedName name="DATA05">#REF!</definedName>
    <definedName name="Data06" localSheetId="16">#REF!</definedName>
    <definedName name="Data06">#REF!</definedName>
    <definedName name="DATA1" localSheetId="16">'[50]New Accts 2009'!#REF!</definedName>
    <definedName name="DATA1">'[50]New Accts 2009'!#REF!</definedName>
    <definedName name="DATA10" localSheetId="16">'[51]3640'!#REF!</definedName>
    <definedName name="DATA10">'[51]3640'!#REF!</definedName>
    <definedName name="DATA11" localSheetId="16">'[51]3640'!#REF!</definedName>
    <definedName name="DATA11">'[51]3640'!#REF!</definedName>
    <definedName name="DATA12">#REF!</definedName>
    <definedName name="DATA13">#REF!</definedName>
    <definedName name="DATA14" localSheetId="16">#REF!</definedName>
    <definedName name="DATA14">#REF!</definedName>
    <definedName name="DATA15">#REF!</definedName>
    <definedName name="DATA2" localSheetId="16">'[52]190100'!#REF!</definedName>
    <definedName name="DATA2">'[52]190100'!#REF!</definedName>
    <definedName name="DATA3" localSheetId="16">'[52]190100'!#REF!</definedName>
    <definedName name="DATA3">'[52]190100'!#REF!</definedName>
    <definedName name="DATA4" localSheetId="16">'[52]190100'!#REF!</definedName>
    <definedName name="DATA4">'[52]190100'!#REF!</definedName>
    <definedName name="DATA5" localSheetId="16">#REF!</definedName>
    <definedName name="DATA5">#REF!</definedName>
    <definedName name="DATA6" localSheetId="16">#REF!</definedName>
    <definedName name="DATA6">#REF!</definedName>
    <definedName name="DATA7" localSheetId="16">'[52]190100'!#REF!</definedName>
    <definedName name="DATA7">'[52]190100'!#REF!</definedName>
    <definedName name="DATA8" localSheetId="16">'[52]190100'!#REF!</definedName>
    <definedName name="DATA8">'[52]190100'!#REF!</definedName>
    <definedName name="DATA9" localSheetId="16">'[51]3640'!#REF!</definedName>
    <definedName name="DATA9">'[51]3640'!#REF!</definedName>
    <definedName name="data97" localSheetId="16">#REF!</definedName>
    <definedName name="data97">#REF!</definedName>
    <definedName name="_xlnm.Database" localSheetId="16">[53]DSUM!#REF!</definedName>
    <definedName name="_xlnm.Database">[53]DSUM!#REF!</definedName>
    <definedName name="Database_MI" localSheetId="16">#REF!</definedName>
    <definedName name="Database_MI">#REF!</definedName>
    <definedName name="DATAFEEDER">[54]!DATAFEEDER</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[55]Settings!$F$23</definedName>
    <definedName name="DATE1" localSheetId="16">#REF!</definedName>
    <definedName name="DATE1">#REF!</definedName>
    <definedName name="DATE2" localSheetId="16">#REF!</definedName>
    <definedName name="DATE2">#REF!</definedName>
    <definedName name="DATE3" localSheetId="16">#REF!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 localSheetId="16">#REF!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0"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 localSheetId="16">#REF!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 localSheetId="16">#REF!</definedName>
    <definedName name="DTAfedAMERICAS">#REF!</definedName>
    <definedName name="DTAfedCROP" localSheetId="16">#REF!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16">#REF!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16">#REF!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 localSheetId="16">#REF!</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 localSheetId="16">#REF!</definedName>
    <definedName name="Edison_Development">#REF!</definedName>
    <definedName name="Edison_Development_YR_2005" localSheetId="16">'[35]Aday IS DECo &amp; Other'!#REF!</definedName>
    <definedName name="Edison_Development_YR_2005">'[35]Aday IS DECo &amp; Other'!#REF!</definedName>
    <definedName name="Edison_Development_YR_2006" localSheetId="16">'[35]Aday IS DECo &amp; Other'!#REF!</definedName>
    <definedName name="Edison_Development_YR_2006">'[35]Aday IS DECo &amp; Other'!#REF!</definedName>
    <definedName name="Edison_Development_YR_2007" localSheetId="16">'[35]Aday IS DECo &amp; Other'!#REF!</definedName>
    <definedName name="Edison_Development_YR_2007">'[35]Aday IS DECo &amp; Other'!#REF!</definedName>
    <definedName name="Edison_Development_YR_2008" localSheetId="16">'[35]Aday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 localSheetId="16">'[35]Aday IS EG Subs'!#REF!</definedName>
    <definedName name="EG_Non_Regulated_Growth_YR_2007">'[35]Aday IS EG Subs'!#REF!</definedName>
    <definedName name="EG_Non_Regulated_Growth_YR_2008" localSheetId="16">'[35]Aday IS EG Subs'!#REF!</definedName>
    <definedName name="EG_Non_Regulated_Growth_YR_2008">'[35]Aday IS EG Subs'!#REF!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 localSheetId="16">#REF!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 localSheetId="16">#REF!</definedName>
    <definedName name="elec06">#REF!</definedName>
    <definedName name="elec2" localSheetId="16">#REF!</definedName>
    <definedName name="elec2">#REF!</definedName>
    <definedName name="ELECTACT" localSheetId="16">'[3]Curr adj - depn basis diff'!#REF!</definedName>
    <definedName name="ELECTACT">'[3]Curr adj - depn basis diff'!#REF!</definedName>
    <definedName name="Electric_Power" localSheetId="16">#REF!</definedName>
    <definedName name="Electric_Power">#REF!</definedName>
    <definedName name="Electric_Power_YR_2005" localSheetId="16">'[35]Aday IS DECo &amp; Other'!#REF!</definedName>
    <definedName name="Electric_Power_YR_2005">'[35]Aday IS DECo &amp; Other'!#REF!</definedName>
    <definedName name="Electric_Power_YR_2006" localSheetId="16">'[35]Aday IS DECo &amp; Other'!#REF!</definedName>
    <definedName name="Electric_Power_YR_2006">'[35]Aday IS DECo &amp; Other'!#REF!</definedName>
    <definedName name="Electric_Power_YR_2007" localSheetId="16">'[35]Aday IS DECo &amp; Other'!#REF!</definedName>
    <definedName name="Electric_Power_YR_2007">'[35]Aday IS DECo &amp; Other'!#REF!</definedName>
    <definedName name="Electric_Power_YR_2008" localSheetId="16">'[35]Aday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#REF!</definedName>
    <definedName name="end_coal" localSheetId="16">'[37]Input Page'!#REF!</definedName>
    <definedName name="end_coal">'[37]Input Page'!#REF!</definedName>
    <definedName name="end_CWIP" localSheetId="16">'[37]Input Page'!#REF!</definedName>
    <definedName name="end_CWIP">'[37]Input Page'!#REF!</definedName>
    <definedName name="ENERGY" localSheetId="16">#REF!</definedName>
    <definedName name="ENERGY">#REF!</definedName>
    <definedName name="ENERGY_GAS_GROWTH_YR_2005" localSheetId="16">'[35]Aday IS EG Subs'!#REF!</definedName>
    <definedName name="ENERGY_GAS_GROWTH_YR_2005">'[35]Aday IS EG Subs'!#REF!</definedName>
    <definedName name="ENERGY_GAS_GROWTH_YR_2006" localSheetId="16">'[35]Aday IS EG Subs'!#REF!</definedName>
    <definedName name="ENERGY_GAS_GROWTH_YR_2006">'[35]Aday IS EG Subs'!#REF!</definedName>
    <definedName name="ENERGY_GAS_GROWTH_YR_2007" localSheetId="1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16">#REF!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16">#REF!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16">#REF!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16">#REF!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16">#REF!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16">#REF!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 localSheetId="16">#REF!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16">'[37]Input Page'!#REF!</definedName>
    <definedName name="exclude_cap">'[37]Input Page'!#REF!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 localSheetId="16">[23]December!#REF!</definedName>
    <definedName name="FAS109YTD">[23]December!#REF!</definedName>
    <definedName name="FB_CUSTOMERS" localSheetId="16">#REF!</definedName>
    <definedName name="FB_CUSTOMERS">#REF!</definedName>
    <definedName name="FB_LINES" localSheetId="16">#REF!</definedName>
    <definedName name="FB_LINES">#REF!</definedName>
    <definedName name="fbp100d" localSheetId="16">#REF!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16">#REF!</definedName>
    <definedName name="FIN">#REF!</definedName>
    <definedName name="Final_Consolidation">#REF!</definedName>
    <definedName name="Financing_Sources__Uses__CPM" localSheetId="16">#REF!</definedName>
    <definedName name="Financing_Sources__Uses__CPM">#REF!</definedName>
    <definedName name="FINAWOFF" localSheetId="16">#REF!</definedName>
    <definedName name="FINAWOFF">#REF!</definedName>
    <definedName name="FIT">#REF!</definedName>
    <definedName name="FIVE">#N/A</definedName>
    <definedName name="fleet_cap">'[37]Input Page'!$E$7</definedName>
    <definedName name="fleet_total">'[37]Input Page'!$E$8</definedName>
    <definedName name="FORM" localSheetId="16">#REF!</definedName>
    <definedName name="FORM">#REF!</definedName>
    <definedName name="Format" localSheetId="16">#REF!</definedName>
    <definedName name="Format">#REF!</definedName>
    <definedName name="Forms" localSheetId="16">#REF!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 localSheetId="16">#REF!</definedName>
    <definedName name="Fuel___PP_Cost_of_Gas">#REF!</definedName>
    <definedName name="Fuel___PP_Cost_of_Gas_CPM" localSheetId="16">#REF!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[62]Input1!$B$6</definedName>
    <definedName name="FYR">'[32]Gas Ferc 2 2003'!$V$3</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16">#REF!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16">#REF!</definedName>
    <definedName name="GENERAL_HELP">#REF!</definedName>
    <definedName name="General_Taxes" localSheetId="16">#REF!</definedName>
    <definedName name="General_Taxes">#REF!</definedName>
    <definedName name="General_Taxes_Payable" localSheetId="16">#REF!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3" hidden="1">NOT(ISERROR([0]!gIsRef !Print_Area))</definedName>
    <definedName name="gIsInPrintArea" hidden="1">NOT(ISERROR(gIsRef !Print_Area))</definedName>
    <definedName name="gIsInPrintTitles" localSheetId="3" hidden="1">NOT(ISERROR([0]!gIsRef !Print_Titles))</definedName>
    <definedName name="gIsInPrintTitles" hidden="1">NOT(ISERROR(gIsRef !Print_Titles))</definedName>
    <definedName name="gIsNumber" hidden="1">ISNUMBER(gIsRef)</definedName>
    <definedName name="gIsPreviousSheet" localSheetId="3" hidden="1">PrevShtCellValue([0]!gIsRef)&lt;&gt;[0]!gIsRef</definedName>
    <definedName name="gIsPreviousSheet" hidden="1">PrevShtCellValue(gIsRef)&lt;&gt;gIsRef</definedName>
    <definedName name="gIsRef" hidden="1">INDIRECT("rc",FALSE)</definedName>
    <definedName name="gIsText" hidden="1">ISTEXT(gIsRef)</definedName>
    <definedName name="gita" localSheetId="20"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LT">'[26]C. Input'!$F$168</definedName>
    <definedName name="GPURS" localSheetId="16">#REF!</definedName>
    <definedName name="GPURS">#REF!</definedName>
    <definedName name="GR" localSheetId="16">#REF!</definedName>
    <definedName name="GR">#REF!</definedName>
    <definedName name="GR_PRT_RANGE">[10]Gross_Rec!$A$8:$R$52</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 localSheetId="16">#REF!</definedName>
    <definedName name="grec8899">#REF!</definedName>
    <definedName name="gross_rec_caution">[10]Gross_Rec!$A$51:$IV$52</definedName>
    <definedName name="GROSS_RECEIPTS" localSheetId="16">#REF!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16">#REF!</definedName>
    <definedName name="GRT">#REF!</definedName>
    <definedName name="grtm1">[10]Print!$I$32</definedName>
    <definedName name="grtm2">[10]Print!$G$32</definedName>
    <definedName name="grtm3">[10]Print!$E$32</definedName>
    <definedName name="grtm4">[10]Print!$C$32</definedName>
    <definedName name="GTDAMERICAS" localSheetId="16">#REF!</definedName>
    <definedName name="GTDAMERICAS">#REF!</definedName>
    <definedName name="GTDCROP" localSheetId="16">#REF!</definedName>
    <definedName name="GTDCROP">#REF!</definedName>
    <definedName name="GTDFINANCE" localSheetId="1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6">#REF!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16">#REF!</definedName>
    <definedName name="HOURS">#REF!</definedName>
    <definedName name="howToChange" localSheetId="16">#REF!</definedName>
    <definedName name="howToChange">#REF!</definedName>
    <definedName name="howToCheck" localSheetId="16">#REF!</definedName>
    <definedName name="howToCheck">#REF!</definedName>
    <definedName name="HPNTSR">'[26]A.2 PTP'!$P$332</definedName>
    <definedName name="HTML_CodePage">1252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 localSheetId="16">#REF!</definedName>
    <definedName name="InfoPane">#REF!</definedName>
    <definedName name="InformationPane" localSheetId="16">#REF!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16">#REF!</definedName>
    <definedName name="INSERTRANGE">#REF!</definedName>
    <definedName name="int_rate" localSheetId="16">#REF!</definedName>
    <definedName name="int_rate">#REF!</definedName>
    <definedName name="intang_afudc910">[67]criteria!$A$5:$B$6</definedName>
    <definedName name="INTCUT">#REF!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16">#REF!</definedName>
    <definedName name="JAN">#REF!</definedName>
    <definedName name="JanCP">#REF!</definedName>
    <definedName name="JE" localSheetId="16">#REF!</definedName>
    <definedName name="JE">#REF!</definedName>
    <definedName name="JE33WP" localSheetId="16">#REF!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4">{"'Metretek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16">#REF!</definedName>
    <definedName name="LabHour">#REF!</definedName>
    <definedName name="Labor" localSheetId="16">#REF!</definedName>
    <definedName name="Labor">#REF!</definedName>
    <definedName name="Labor__excl._Cost_of_Sales_labor" localSheetId="16">#REF!</definedName>
    <definedName name="Labor__excl._Cost_of_Sales_labor">#REF!</definedName>
    <definedName name="Labor_Total">#REF!</definedName>
    <definedName name="lastrow">'[10]QRE''s'!$A$95:$IV$95</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 localSheetId="16">#REF!</definedName>
    <definedName name="Less_Accum_Depreciation___Amortization">#REF!</definedName>
    <definedName name="Less_Tax_Credits_Generated" localSheetId="16">#REF!</definedName>
    <definedName name="Less_Tax_Credits_Generated">#REF!</definedName>
    <definedName name="Levelized..FM1.ROR..print">#REF!</definedName>
    <definedName name="LFTSR">'[26]A.2 PTP'!$P$230</definedName>
    <definedName name="Liab_from_Risk_Mgt___Trading" localSheetId="16">#REF!</definedName>
    <definedName name="Liab_from_Risk_Mgt___Trading">#REF!</definedName>
    <definedName name="Liab_from_Risk_Mgt___Trading___Current" localSheetId="16">#REF!</definedName>
    <definedName name="Liab_from_Risk_Mgt___Trading___Current">#REF!</definedName>
    <definedName name="Liabilities_from_Trans___Storage_Contracts" localSheetId="16">#REF!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[71]total!#REF!</definedName>
    <definedName name="Loan_from_Affiliate" localSheetId="16">#REF!</definedName>
    <definedName name="Loan_from_Affiliate">#REF!</definedName>
    <definedName name="lob" localSheetId="16">#REF!</definedName>
    <definedName name="lob">#REF!</definedName>
    <definedName name="lobcolumn" localSheetId="16">#REF!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 localSheetId="16">#REF!</definedName>
    <definedName name="MACRO_1">#REF!</definedName>
    <definedName name="MACRO_2" localSheetId="16">#REF!</definedName>
    <definedName name="MACRO_2">#REF!</definedName>
    <definedName name="MACROS" localSheetId="16">#REF!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16">#REF!</definedName>
    <definedName name="map.v1">#REF!</definedName>
    <definedName name="MAR" localSheetId="16">#REF!</definedName>
    <definedName name="MAR">#REF!</definedName>
    <definedName name="Margin" localSheetId="16">#REF!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'[72]MTHLY MEAS.'!#REF!</definedName>
    <definedName name="MCGC_Elims" localSheetId="16">#REF!</definedName>
    <definedName name="MCGC_Elims">#REF!</definedName>
    <definedName name="MCGC_Elims_YR_2005" localSheetId="16">'[35]Aday IS EG Subs'!#REF!</definedName>
    <definedName name="MCGC_Elims_YR_2005">'[35]Aday IS EG Subs'!#REF!</definedName>
    <definedName name="MCGC_Elims_YR_2006" localSheetId="16">'[35]Aday IS EG Subs'!#REF!</definedName>
    <definedName name="MCGC_Elims_YR_2006">'[35]Aday IS EG Subs'!#REF!</definedName>
    <definedName name="MCGC_Elims_YR_2007" localSheetId="16">'[35]Aday IS EG Subs'!#REF!</definedName>
    <definedName name="MCGC_Elims_YR_2007">'[35]Aday IS EG Subs'!#REF!</definedName>
    <definedName name="MCGC_Elims_YR_2008">'[35]Aday IS EG Subs'!#REF!</definedName>
    <definedName name="MCGC_Subsidiaries" localSheetId="16">#REF!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16">#REF!</definedName>
    <definedName name="MILESTONES_1">#REF!</definedName>
    <definedName name="MILESTONES_2" localSheetId="16">#REF!</definedName>
    <definedName name="MILESTONES_2">#REF!</definedName>
    <definedName name="Millennium_Pipeline" localSheetId="16">#REF!</definedName>
    <definedName name="Millennium_Pipeline">#REF!</definedName>
    <definedName name="Millennium_Pipeline_YR_2005" localSheetId="16">'[35]Aday IS EG Subs'!#REF!</definedName>
    <definedName name="Millennium_Pipeline_YR_2005">'[35]Aday IS EG Subs'!#REF!</definedName>
    <definedName name="Millennium_Pipeline_YR_2006" localSheetId="16">'[35]Aday IS EG Subs'!#REF!</definedName>
    <definedName name="Millennium_Pipeline_YR_2006">'[35]Aday IS EG Subs'!#REF!</definedName>
    <definedName name="Millennium_Pipeline_YR_2007" localSheetId="16">'[35]Aday IS EG Subs'!#REF!</definedName>
    <definedName name="Millennium_Pipeline_YR_2007">'[35]Aday IS EG Subs'!#REF!</definedName>
    <definedName name="Millennium_Pipeline_YR_2008" localSheetId="16">'[35]Aday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 localSheetId="16">#REF!</definedName>
    <definedName name="mode">#REF!</definedName>
    <definedName name="modelgrheader">[10]Model!$A$3</definedName>
    <definedName name="modelqreheader">[10]Model!$A$78</definedName>
    <definedName name="month">[73]RPT80MAR!$A$1:$D$77</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16">#REF!</definedName>
    <definedName name="MTC_Type">#REF!</definedName>
    <definedName name="MTH">#N/A</definedName>
    <definedName name="N_A">'[26]C. Input'!#REF!</definedName>
    <definedName name="NavPane" localSheetId="16">#REF!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 localSheetId="16">#REF!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 localSheetId="16">#REF!</definedName>
    <definedName name="NON_PROCESS_DETAIL">#REF!</definedName>
    <definedName name="NON_PROCESS_PRESENTATION_PAGE" localSheetId="16">#REF!</definedName>
    <definedName name="NON_PROCESS_PRESENTATION_PAGE">#REF!</definedName>
    <definedName name="Non_Utility_Interest_Capitalized" localSheetId="16">#REF!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16">#REF!</definedName>
    <definedName name="Nuclear_Decommissioning">#REF!</definedName>
    <definedName name="Nuclear_Decommissioning_Trust_Funds" localSheetId="16">#REF!</definedName>
    <definedName name="Nuclear_Decommissioning_Trust_Funds">#REF!</definedName>
    <definedName name="Nuclear_Secur_Date">[25]Assumptions!$E$21</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16">#REF!</definedName>
    <definedName name="Out_of_Balance_Condition">#REF!</definedName>
    <definedName name="OUT_OF_BALANCE_CONDITION___Account_Detail" localSheetId="16">#REF!</definedName>
    <definedName name="OUT_OF_BALANCE_CONDITION___Account_Detail">#REF!</definedName>
    <definedName name="Over_Recovery_of_Supply_Costs" localSheetId="16">#REF!</definedName>
    <definedName name="Over_Recovery_of_Supply_Costs">#REF!</definedName>
    <definedName name="p">#REF!</definedName>
    <definedName name="P_MACRO">#REF!</definedName>
    <definedName name="P_TYPE">#N/A</definedName>
    <definedName name="P1_STR1_S">#REF!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 localSheetId="16">#REF!</definedName>
    <definedName name="PAGE2">#REF!</definedName>
    <definedName name="PAGE20" localSheetId="16">#REF!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16">#REF!</definedName>
    <definedName name="PG3A">#REF!</definedName>
    <definedName name="PGAUG" localSheetId="16">#REF!</definedName>
    <definedName name="PGAUG">#REF!</definedName>
    <definedName name="pgprct" localSheetId="16">'[29]Percent Read YTD '!#REF!</definedName>
    <definedName name="pgprct">'[29]Percent Read YTD '!#REF!</definedName>
    <definedName name="PGPSA" localSheetId="16">#REF!</definedName>
    <definedName name="PGPSA">#REF!</definedName>
    <definedName name="Phase">'[10]Macro Tables'!$F$21</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16">#REF!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[81]PLTSTM!#REF!</definedName>
    <definedName name="PLTDEC00">[81]PLTSTM!#REF!</definedName>
    <definedName name="PLTDECTK" localSheetId="16">[82]PLTSTM!#REF!</definedName>
    <definedName name="PLTDECTK">[82]PLTSTM!#REF!</definedName>
    <definedName name="Portland_Pipeline" localSheetId="16">#REF!</definedName>
    <definedName name="Portland_Pipeline">#REF!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16">#REF!</definedName>
    <definedName name="PRINT">#REF!</definedName>
    <definedName name="Print.selection.print" localSheetId="16">#REF!</definedName>
    <definedName name="Print.selection.print">#REF!</definedName>
    <definedName name="PRINT_1" localSheetId="16">#REF!</definedName>
    <definedName name="PRINT_1">#REF!</definedName>
    <definedName name="PRINT_2">#REF!</definedName>
    <definedName name="PRINT_3">#REF!</definedName>
    <definedName name="Print_99_IS">'[75]2nd qtr 2000'!$D$1:$I$58,'[75]2nd qtr 2000'!$N$1:$T$58,'[75]2nd qtr 2000'!$AA$1:$AH$57</definedName>
    <definedName name="_xlnm.Print_Area" localSheetId="23">'12- Depreciation Rates'!$A$1:$D$59</definedName>
    <definedName name="_xlnm.Print_Area" localSheetId="1">'1A - ADIT Summary'!$A$1:$S$213</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Allocations'!$A$1:$P$157</definedName>
    <definedName name="_xlnm.Print_Area" localSheetId="13">'6-Project Rev Req'!$A$1:$Q$116</definedName>
    <definedName name="_xlnm.Print_Area" localSheetId="16">#REF!</definedName>
    <definedName name="_xlnm.Print_Area" localSheetId="0">'ATT H-1A'!$A:$H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 localSheetId="16">#REF!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'[85]kWh-Mcf'!$E$97,'[85]kWh-Mcf'!$A$81:$E$118,'[85]kWh-Mcf'!$AM$86:$AO$118</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16">#REF!</definedName>
    <definedName name="Prior_Plan_Results">#REF!</definedName>
    <definedName name="Prior_Plan_Results_Year_2" localSheetId="16">#REF!</definedName>
    <definedName name="Prior_Plan_Results_Year_2">#REF!</definedName>
    <definedName name="Prior_Plan_Results_Year_3" localSheetId="1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16">#REF!</definedName>
    <definedName name="PTXDATE">#REF!</definedName>
    <definedName name="PTXYRS">[19]DEPR96!#REF!</definedName>
    <definedName name="Purchase_Accounting_Reclass" localSheetId="1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'[10]QRE''s'!$A$7:$R$102</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16">#REF!</definedName>
    <definedName name="RANGE">#REF!</definedName>
    <definedName name="Rate_Reduction_Factor" localSheetId="16">#REF!</definedName>
    <definedName name="Rate_Reduction_Factor">#REF!</definedName>
    <definedName name="Rate_Relief" localSheetId="16">#REF!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 localSheetId="16">#REF!</definedName>
    <definedName name="RECONCILIATION">#REF!</definedName>
    <definedName name="_xlnm.Recorder">#REF!</definedName>
    <definedName name="reduced_credit">[10]Print!$I$22</definedName>
    <definedName name="reduced_credit_caption">[10]Print!$G$22</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 localSheetId="16">#REF!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 localSheetId="16">#REF!</definedName>
    <definedName name="RETIRE">#REF!</definedName>
    <definedName name="RETURN" localSheetId="16">#REF!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6">[19]DEPR96!#REF!</definedName>
    <definedName name="RLST">[19]DEPR96!#REF!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[10]Model!$A$1:$IV$75</definedName>
    <definedName name="Schedule_CC2">[10]Model!$A$76:$IV$151</definedName>
    <definedName name="Schedule_CC3">[10]Model!$A$152:$IV$207</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16">#REF!</definedName>
    <definedName name="Securitization_Bonds">#REF!</definedName>
    <definedName name="Securitized_Bonds" localSheetId="16">#REF!</definedName>
    <definedName name="Securitized_Bonds">#REF!</definedName>
    <definedName name="Securitized_Bonds_CPM" localSheetId="16">#REF!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 localSheetId="16">#REF!</definedName>
    <definedName name="SENS_MESSAGE">#REF!</definedName>
    <definedName name="SENS_NET_CREDIT">[10]Sens_Model!$E$193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 localSheetId="16">#REF!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[10]Model!$A$1:$IV$68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3">Collapse_Columns</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 localSheetId="16">#REF!</definedName>
    <definedName name="SOSMIGRDETAIL">#REF!</definedName>
    <definedName name="SPACE">#N/A</definedName>
    <definedName name="Spot_Purchases_and_Tailgate">#REF!</definedName>
    <definedName name="SPOTE_04">#REF!</definedName>
    <definedName name="sr00" localSheetId="16">#REF!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 localSheetId="16">#REF!</definedName>
    <definedName name="start99">#REF!</definedName>
    <definedName name="STARTCR">#REF!</definedName>
    <definedName name="STARTDR">#REF!</definedName>
    <definedName name="State">[89]List!$A$2:$A$53</definedName>
    <definedName name="StateDef" localSheetId="14">#REF!</definedName>
    <definedName name="StateDef" localSheetId="15">#REF!</definedName>
    <definedName name="StateDef" localSheetId="16">#REF!</definedName>
    <definedName name="StateDef">#REF!</definedName>
    <definedName name="stats" localSheetId="16">#REF!</definedName>
    <definedName name="stats">#REF!</definedName>
    <definedName name="statsrevised" localSheetId="20"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 localSheetId="16">#REF!</definedName>
    <definedName name="STsai">#REF!</definedName>
    <definedName name="STscorp" localSheetId="16">#REF!</definedName>
    <definedName name="STscorp">#REF!</definedName>
    <definedName name="STseeds" localSheetId="1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 localSheetId="16">#REF!</definedName>
    <definedName name="Subtotal_Capital_Investments">#REF!</definedName>
    <definedName name="Subtotal_Common_Equity_excl_OCI" localSheetId="16">#REF!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0"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'[14]BC 2 2005BC'!#REF!</definedName>
    <definedName name="Swap_Amort">'[41]Keystone Swap Amort Sched'!$A$1:$F$241</definedName>
    <definedName name="SWITCH">[16]Assump!#REF!</definedName>
    <definedName name="Syndeco_Realty" localSheetId="16">#REF!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16">#REF!</definedName>
    <definedName name="Synfuel_Gain__Loss__CPM">#REF!</definedName>
    <definedName name="sysOpImprov">[48]Input!#REF!</definedName>
    <definedName name="sysOpYears">[48]Input!#REF!</definedName>
    <definedName name="t_and_d_exp">'[37]Input Page'!#REF!</definedName>
    <definedName name="TABLE" localSheetId="16">#REF!</definedName>
    <definedName name="TABLE">#REF!</definedName>
    <definedName name="TABLE_A" localSheetId="16">#REF!</definedName>
    <definedName name="TABLE_A">#REF!</definedName>
    <definedName name="TABLE_A2" localSheetId="16">#REF!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'[91]Case study '!$C$28</definedName>
    <definedName name="TAXREMOV" localSheetId="14">#REF!</definedName>
    <definedName name="TAXREMOV" localSheetId="15">#REF!</definedName>
    <definedName name="TAXREMOV" localSheetId="16">#REF!</definedName>
    <definedName name="TAXREMOV">#REF!</definedName>
    <definedName name="TBL1_3" localSheetId="16">#REF!</definedName>
    <definedName name="TBL1_3">#REF!</definedName>
    <definedName name="TBL13_5" localSheetId="1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 localSheetId="16">#REF!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16">#REF!</definedName>
    <definedName name="TESTKEYS">#REF!</definedName>
    <definedName name="TESTVKEY" localSheetId="16">#REF!</definedName>
    <definedName name="TESTVKEY">#REF!</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16">#REF!</definedName>
    <definedName name="total">#REF!</definedName>
    <definedName name="Total_Assets" localSheetId="16">#REF!</definedName>
    <definedName name="Total_Assets">#REF!</definedName>
    <definedName name="Total_Assets_CPM" localSheetId="16">#REF!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 localSheetId="16">#REF!</definedName>
    <definedName name="total99">#REF!</definedName>
    <definedName name="TOTALACT">'[3]Curr adj - depn basis diff'!#REF!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16">[23]December!#REF!</definedName>
    <definedName name="Trueup">[23]December!#REF!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 localSheetId="16">#REF!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16">#REF!</definedName>
    <definedName name="UTIL">#REF!</definedName>
    <definedName name="Utility_Plant_Expenditures" localSheetId="16">#REF!</definedName>
    <definedName name="Utility_Plant_Expenditures">#REF!</definedName>
    <definedName name="Utility_Plant_Retirements__input" localSheetId="16">#REF!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0"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0"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0" hidden="1">{#N/A,#N/A,FALSE,"EMPPAY"}</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 localSheetId="16">#REF!</definedName>
    <definedName name="Year">#REF!</definedName>
    <definedName name="Year_2001" localSheetId="16">#REF!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16">#REF!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WS'!$U:$AB</definedName>
    <definedName name="Z_28948E05_8F34_4F1E_96FB_A80A6A844600_.wvu.PrintTitles" localSheetId="16" hidden="1">'7 - Cap Add WS'!$C:$D</definedName>
    <definedName name="Z_63011E91_4609_4523_98FE_FD252E915668_.wvu.Cols" localSheetId="16" hidden="1">'7 - Cap Add WS'!$U:$AB</definedName>
    <definedName name="Z_63011E91_4609_4523_98FE_FD252E915668_.wvu.PrintArea" localSheetId="16" hidden="1">'7 - Cap Add WS'!$C$1:$AZ$80</definedName>
    <definedName name="Z_63011E91_4609_4523_98FE_FD252E915668_.wvu.PrintTitles" localSheetId="16" hidden="1">'7 - Cap Add WS'!$C:$D</definedName>
    <definedName name="Z_71B42B22_A376_44B5_B0C1_23FC1AA3DBA2_.wvu.Cols" localSheetId="16" hidden="1">'7 - Cap Add WS'!$U:$AB</definedName>
    <definedName name="Z_71B42B22_A376_44B5_B0C1_23FC1AA3DBA2_.wvu.PrintTitles" localSheetId="16" hidden="1">'7 - Cap Add WS'!$C:$D</definedName>
    <definedName name="Z_B647CB7F_C846_4278_B6B1_1EF7F3C004F5_.wvu.Cols" localSheetId="16" hidden="1">'7 - Cap Add WS'!$U:$AB</definedName>
    <definedName name="Z_B647CB7F_C846_4278_B6B1_1EF7F3C004F5_.wvu.PrintTitles" localSheetId="16" hidden="1">'7 - Cap Add WS'!$C:$D</definedName>
    <definedName name="Z_DC91DEF3_837B_4BB9_A81E_3B78C5914E6C_.wvu.Cols" localSheetId="16" hidden="1">'7 - Cap Add WS'!$U:$AB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WS'!$U:$AB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6" i="13" l="1"/>
  <c r="D66" i="13" l="1"/>
  <c r="C66" i="13"/>
  <c r="H320" i="1" l="1"/>
  <c r="I209" i="9" l="1"/>
  <c r="AT74" i="47" l="1"/>
  <c r="AT75" i="47" s="1"/>
  <c r="AT72" i="47"/>
  <c r="AT73" i="47" s="1"/>
  <c r="AT70" i="47"/>
  <c r="AT71" i="47" s="1"/>
  <c r="AT68" i="47"/>
  <c r="AT69" i="47" s="1"/>
  <c r="AT66" i="47"/>
  <c r="AT67" i="47" s="1"/>
  <c r="AT64" i="47"/>
  <c r="AT65" i="47" s="1"/>
  <c r="AT62" i="47"/>
  <c r="AT63" i="47" s="1"/>
  <c r="AS61" i="47"/>
  <c r="AT60" i="47"/>
  <c r="AT61" i="47" s="1"/>
  <c r="AT58" i="47"/>
  <c r="AT59" i="47" s="1"/>
  <c r="AS58" i="47"/>
  <c r="AS59" i="47" s="1"/>
  <c r="AU59" i="47" s="1"/>
  <c r="AS31" i="47"/>
  <c r="AS32" i="47" s="1"/>
  <c r="AK60" i="47"/>
  <c r="AP74" i="47"/>
  <c r="AP75" i="47" s="1"/>
  <c r="AP72" i="47"/>
  <c r="AP73" i="47" s="1"/>
  <c r="AP70" i="47"/>
  <c r="AP71" i="47" s="1"/>
  <c r="AP68" i="47"/>
  <c r="AP69" i="47" s="1"/>
  <c r="AP66" i="47"/>
  <c r="AP67" i="47" s="1"/>
  <c r="AP64" i="47"/>
  <c r="AP65" i="47" s="1"/>
  <c r="AP62" i="47"/>
  <c r="AP63" i="47" s="1"/>
  <c r="AP60" i="47"/>
  <c r="AP61" i="47" s="1"/>
  <c r="AP58" i="47"/>
  <c r="AP59" i="47" s="1"/>
  <c r="AO58" i="47"/>
  <c r="AO59" i="47" s="1"/>
  <c r="AQ59" i="47" s="1"/>
  <c r="AO32" i="47"/>
  <c r="AU61" i="47" l="1"/>
  <c r="AU60" i="47"/>
  <c r="AU58" i="47"/>
  <c r="AQ58" i="47"/>
  <c r="AS62" i="47" l="1"/>
  <c r="AO61" i="47"/>
  <c r="AQ61" i="47" s="1"/>
  <c r="AQ60" i="47"/>
  <c r="AS63" i="47" l="1"/>
  <c r="AU63" i="47" s="1"/>
  <c r="AU62" i="47"/>
  <c r="AO62" i="47"/>
  <c r="AS64" i="47" l="1"/>
  <c r="AO63" i="47"/>
  <c r="AQ63" i="47" s="1"/>
  <c r="AQ62" i="47"/>
  <c r="AS65" i="47" l="1"/>
  <c r="AU65" i="47" s="1"/>
  <c r="AU64" i="47"/>
  <c r="AO64" i="47"/>
  <c r="AS66" i="47" l="1"/>
  <c r="AO65" i="47"/>
  <c r="AQ65" i="47" s="1"/>
  <c r="AQ64" i="47"/>
  <c r="AS67" i="47" l="1"/>
  <c r="AU67" i="47" s="1"/>
  <c r="AU66" i="47"/>
  <c r="AO66" i="47"/>
  <c r="AS68" i="47" l="1"/>
  <c r="AO67" i="47"/>
  <c r="AQ67" i="47" s="1"/>
  <c r="AQ66" i="47"/>
  <c r="AS69" i="47" l="1"/>
  <c r="AU69" i="47" s="1"/>
  <c r="AU68" i="47"/>
  <c r="AO68" i="47"/>
  <c r="AS70" i="47" l="1"/>
  <c r="AO69" i="47"/>
  <c r="AQ69" i="47" s="1"/>
  <c r="AQ68" i="47"/>
  <c r="AS71" i="47" l="1"/>
  <c r="AU71" i="47" s="1"/>
  <c r="AU70" i="47"/>
  <c r="AO70" i="47"/>
  <c r="AS72" i="47" l="1"/>
  <c r="AO71" i="47"/>
  <c r="AQ71" i="47" s="1"/>
  <c r="AQ70" i="47"/>
  <c r="AS73" i="47" l="1"/>
  <c r="AU73" i="47" s="1"/>
  <c r="AU72" i="47"/>
  <c r="AO72" i="47"/>
  <c r="AS74" i="47" l="1"/>
  <c r="AO73" i="47"/>
  <c r="AQ73" i="47" s="1"/>
  <c r="AQ72" i="47"/>
  <c r="AS75" i="47" l="1"/>
  <c r="AU75" i="47" s="1"/>
  <c r="AU74" i="47"/>
  <c r="AO74" i="47"/>
  <c r="AO75" i="47" l="1"/>
  <c r="AQ75" i="47" s="1"/>
  <c r="AQ74" i="47"/>
  <c r="F311" i="1" l="1"/>
  <c r="E67" i="12"/>
  <c r="E66" i="12" s="1"/>
  <c r="E68" i="12"/>
  <c r="E69" i="12"/>
  <c r="E70" i="12"/>
  <c r="E71" i="12"/>
  <c r="E72" i="12"/>
  <c r="E73" i="12"/>
  <c r="E74" i="12"/>
  <c r="E75" i="12"/>
  <c r="G44" i="9" l="1"/>
  <c r="E14" i="33" l="1"/>
  <c r="H146" i="1"/>
  <c r="I13" i="33"/>
  <c r="L127" i="48" l="1"/>
  <c r="L94" i="48"/>
  <c r="L78" i="48"/>
  <c r="L28" i="48"/>
  <c r="I313" i="54" l="1"/>
  <c r="I307" i="54"/>
  <c r="H307" i="54"/>
  <c r="G307" i="54"/>
  <c r="G313" i="54" s="1"/>
  <c r="F307" i="54"/>
  <c r="F313" i="54" s="1"/>
  <c r="E301" i="54"/>
  <c r="E307" i="54" s="1"/>
  <c r="I293" i="54"/>
  <c r="F293" i="54"/>
  <c r="I287" i="54"/>
  <c r="F287" i="54"/>
  <c r="H285" i="54"/>
  <c r="E285" i="54" s="1"/>
  <c r="I283" i="54"/>
  <c r="H283" i="54"/>
  <c r="G283" i="54"/>
  <c r="G287" i="54" s="1"/>
  <c r="G293" i="54" s="1"/>
  <c r="G15" i="54" s="1"/>
  <c r="F283" i="54"/>
  <c r="E277" i="54"/>
  <c r="E283" i="54" s="1"/>
  <c r="E287" i="54" s="1"/>
  <c r="G258" i="54"/>
  <c r="F258" i="54"/>
  <c r="H257" i="54"/>
  <c r="G257" i="54"/>
  <c r="G259" i="54" s="1"/>
  <c r="H243" i="54"/>
  <c r="H249" i="54" s="1"/>
  <c r="G243" i="54"/>
  <c r="G249" i="54" s="1"/>
  <c r="E241" i="54"/>
  <c r="E240" i="54"/>
  <c r="E239" i="54"/>
  <c r="E238" i="54"/>
  <c r="I236" i="54"/>
  <c r="I258" i="54" s="1"/>
  <c r="H236" i="54"/>
  <c r="H258" i="54" s="1"/>
  <c r="G236" i="54"/>
  <c r="F236" i="54"/>
  <c r="F243" i="54" s="1"/>
  <c r="F249" i="54" s="1"/>
  <c r="E236" i="54"/>
  <c r="E243" i="54" s="1"/>
  <c r="H214" i="54"/>
  <c r="H220" i="54" s="1"/>
  <c r="H14" i="54" s="1"/>
  <c r="E212" i="54"/>
  <c r="E211" i="54"/>
  <c r="E210" i="54"/>
  <c r="E209" i="54"/>
  <c r="I207" i="54"/>
  <c r="I257" i="54" s="1"/>
  <c r="I259" i="54" s="1"/>
  <c r="H207" i="54"/>
  <c r="G207" i="54"/>
  <c r="G214" i="54" s="1"/>
  <c r="G220" i="54" s="1"/>
  <c r="G14" i="54" s="1"/>
  <c r="F207" i="54"/>
  <c r="F257" i="54" s="1"/>
  <c r="E206" i="54"/>
  <c r="E205" i="54"/>
  <c r="E204" i="54"/>
  <c r="E203" i="54"/>
  <c r="E202" i="54"/>
  <c r="E201" i="54"/>
  <c r="E200" i="54"/>
  <c r="E199" i="54"/>
  <c r="E207" i="54" s="1"/>
  <c r="E214" i="54" s="1"/>
  <c r="E198" i="54"/>
  <c r="E197" i="54"/>
  <c r="I179" i="54"/>
  <c r="H178" i="54"/>
  <c r="G178" i="54"/>
  <c r="G180" i="54" s="1"/>
  <c r="I172" i="54"/>
  <c r="G165" i="54"/>
  <c r="G171" i="54" s="1"/>
  <c r="E163" i="54"/>
  <c r="E162" i="54"/>
  <c r="E161" i="54"/>
  <c r="E160" i="54"/>
  <c r="I158" i="54"/>
  <c r="I165" i="54" s="1"/>
  <c r="I171" i="54" s="1"/>
  <c r="H158" i="54"/>
  <c r="H179" i="54" s="1"/>
  <c r="H180" i="54" s="1"/>
  <c r="G158" i="54"/>
  <c r="G179" i="54" s="1"/>
  <c r="F158" i="54"/>
  <c r="F179" i="54" s="1"/>
  <c r="E179" i="54" s="1"/>
  <c r="E158" i="54"/>
  <c r="E165" i="54" s="1"/>
  <c r="E154" i="54"/>
  <c r="I147" i="54"/>
  <c r="I13" i="54" s="1"/>
  <c r="E139" i="54"/>
  <c r="H138" i="54"/>
  <c r="E138" i="54"/>
  <c r="I137" i="54"/>
  <c r="I141" i="54" s="1"/>
  <c r="H137" i="54"/>
  <c r="G137" i="54"/>
  <c r="F137" i="54"/>
  <c r="I136" i="54"/>
  <c r="G136" i="54"/>
  <c r="F136" i="54"/>
  <c r="E136" i="54" s="1"/>
  <c r="I134" i="54"/>
  <c r="I178" i="54" s="1"/>
  <c r="I180" i="54" s="1"/>
  <c r="H134" i="54"/>
  <c r="H141" i="54" s="1"/>
  <c r="H147" i="54" s="1"/>
  <c r="H13" i="54" s="1"/>
  <c r="G134" i="54"/>
  <c r="G141" i="54" s="1"/>
  <c r="G147" i="54" s="1"/>
  <c r="G13" i="54" s="1"/>
  <c r="F134" i="54"/>
  <c r="F178" i="54" s="1"/>
  <c r="E133" i="54"/>
  <c r="E132" i="54"/>
  <c r="E131" i="54"/>
  <c r="E130" i="54"/>
  <c r="E134" i="54" s="1"/>
  <c r="I112" i="54"/>
  <c r="H112" i="54"/>
  <c r="I111" i="54"/>
  <c r="I113" i="54" s="1"/>
  <c r="F111" i="54"/>
  <c r="E111" i="54" s="1"/>
  <c r="I104" i="54"/>
  <c r="I98" i="54"/>
  <c r="E96" i="54"/>
  <c r="E95" i="54"/>
  <c r="E94" i="54"/>
  <c r="E93" i="54"/>
  <c r="E98" i="54" s="1"/>
  <c r="I91" i="54"/>
  <c r="H91" i="54"/>
  <c r="H98" i="54" s="1"/>
  <c r="H104" i="54" s="1"/>
  <c r="G91" i="54"/>
  <c r="G112" i="54" s="1"/>
  <c r="F91" i="54"/>
  <c r="F98" i="54" s="1"/>
  <c r="F104" i="54" s="1"/>
  <c r="E91" i="54"/>
  <c r="I77" i="54"/>
  <c r="I11" i="54" s="1"/>
  <c r="G71" i="54"/>
  <c r="G77" i="54" s="1"/>
  <c r="G11" i="54" s="1"/>
  <c r="F71" i="54"/>
  <c r="F77" i="54" s="1"/>
  <c r="E69" i="54"/>
  <c r="E68" i="54"/>
  <c r="E67" i="54"/>
  <c r="E66" i="54"/>
  <c r="I64" i="54"/>
  <c r="I71" i="54" s="1"/>
  <c r="H64" i="54"/>
  <c r="H111" i="54" s="1"/>
  <c r="H113" i="54" s="1"/>
  <c r="G64" i="54"/>
  <c r="G111" i="54" s="1"/>
  <c r="F64" i="54"/>
  <c r="E63" i="54"/>
  <c r="E62" i="54"/>
  <c r="E61" i="54"/>
  <c r="E60" i="54"/>
  <c r="E59" i="54"/>
  <c r="E58" i="54"/>
  <c r="E57" i="54"/>
  <c r="E56" i="54"/>
  <c r="E55" i="54"/>
  <c r="E54" i="54"/>
  <c r="E53" i="54"/>
  <c r="E52" i="54"/>
  <c r="E51" i="54"/>
  <c r="E50" i="54"/>
  <c r="E49" i="54"/>
  <c r="E48" i="54"/>
  <c r="E47" i="54"/>
  <c r="E46" i="54"/>
  <c r="E45" i="54"/>
  <c r="E44" i="54"/>
  <c r="E43" i="54"/>
  <c r="E42" i="54"/>
  <c r="E41" i="54"/>
  <c r="E40" i="54"/>
  <c r="E39" i="54"/>
  <c r="E38" i="54"/>
  <c r="E37" i="54"/>
  <c r="E36" i="54"/>
  <c r="E64" i="54" s="1"/>
  <c r="E71" i="54" s="1"/>
  <c r="B22" i="54"/>
  <c r="B17" i="54"/>
  <c r="I15" i="54"/>
  <c r="B13" i="54"/>
  <c r="B14" i="54" s="1"/>
  <c r="B15" i="54" s="1"/>
  <c r="E12" i="54"/>
  <c r="B12" i="54"/>
  <c r="E113" i="54" l="1"/>
  <c r="G113" i="54"/>
  <c r="G17" i="54"/>
  <c r="F11" i="54"/>
  <c r="E178" i="54"/>
  <c r="E180" i="54" s="1"/>
  <c r="F180" i="54"/>
  <c r="F259" i="54"/>
  <c r="E257" i="54"/>
  <c r="E259" i="54" s="1"/>
  <c r="H259" i="54"/>
  <c r="E258" i="54"/>
  <c r="H313" i="54"/>
  <c r="E313" i="54" s="1"/>
  <c r="E104" i="54"/>
  <c r="H71" i="54"/>
  <c r="H77" i="54" s="1"/>
  <c r="H11" i="54" s="1"/>
  <c r="F214" i="54"/>
  <c r="F220" i="54" s="1"/>
  <c r="I243" i="54"/>
  <c r="I249" i="54" s="1"/>
  <c r="E249" i="54" s="1"/>
  <c r="F165" i="54"/>
  <c r="F171" i="54" s="1"/>
  <c r="E171" i="54" s="1"/>
  <c r="H287" i="54"/>
  <c r="H293" i="54" s="1"/>
  <c r="H15" i="54" s="1"/>
  <c r="F141" i="54"/>
  <c r="F147" i="54" s="1"/>
  <c r="H165" i="54"/>
  <c r="H171" i="54" s="1"/>
  <c r="I214" i="54"/>
  <c r="I220" i="54" s="1"/>
  <c r="I14" i="54" s="1"/>
  <c r="I17" i="54" s="1"/>
  <c r="G98" i="54"/>
  <c r="G104" i="54" s="1"/>
  <c r="F112" i="54"/>
  <c r="E112" i="54" s="1"/>
  <c r="E137" i="54"/>
  <c r="E141" i="54" s="1"/>
  <c r="F15" i="54"/>
  <c r="E147" i="54" l="1"/>
  <c r="F13" i="54"/>
  <c r="E13" i="54" s="1"/>
  <c r="E15" i="54"/>
  <c r="F113" i="54"/>
  <c r="E11" i="54"/>
  <c r="E220" i="54"/>
  <c r="F14" i="54"/>
  <c r="E14" i="54" s="1"/>
  <c r="E77" i="54"/>
  <c r="H17" i="54"/>
  <c r="E293" i="54"/>
  <c r="E17" i="54" l="1"/>
  <c r="F17" i="54"/>
  <c r="K12" i="18" l="1"/>
  <c r="L12" i="18"/>
  <c r="M12" i="18"/>
  <c r="N12" i="18"/>
  <c r="D52" i="18" l="1"/>
  <c r="E52" i="18"/>
  <c r="F52" i="18"/>
  <c r="D53" i="18"/>
  <c r="E53" i="18"/>
  <c r="F53" i="18"/>
  <c r="D54" i="18"/>
  <c r="E54" i="18"/>
  <c r="F54" i="18"/>
  <c r="D55" i="18"/>
  <c r="E55" i="18"/>
  <c r="F55" i="18"/>
  <c r="D56" i="18"/>
  <c r="E56" i="18"/>
  <c r="F56" i="18"/>
  <c r="D57" i="18"/>
  <c r="E57" i="18"/>
  <c r="F57" i="18"/>
  <c r="D58" i="18"/>
  <c r="E58" i="18"/>
  <c r="F58" i="18"/>
  <c r="D59" i="18"/>
  <c r="E59" i="18"/>
  <c r="F59" i="18"/>
  <c r="D60" i="18"/>
  <c r="E60" i="18"/>
  <c r="F60" i="18"/>
  <c r="D61" i="18"/>
  <c r="E61" i="18"/>
  <c r="F61" i="18"/>
  <c r="D62" i="18"/>
  <c r="E62" i="18"/>
  <c r="F62" i="18"/>
  <c r="D63" i="18"/>
  <c r="E63" i="18"/>
  <c r="F63" i="18"/>
  <c r="C52" i="18"/>
  <c r="C53" i="18"/>
  <c r="C54" i="18"/>
  <c r="C55" i="18"/>
  <c r="C56" i="18"/>
  <c r="C57" i="18"/>
  <c r="C58" i="18"/>
  <c r="C59" i="18"/>
  <c r="C60" i="18"/>
  <c r="C61" i="18"/>
  <c r="C62" i="18"/>
  <c r="H201" i="1" l="1"/>
  <c r="E203" i="49"/>
  <c r="F207" i="49"/>
  <c r="G207" i="49"/>
  <c r="H207" i="49"/>
  <c r="I207" i="49"/>
  <c r="H138"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F64" i="49"/>
  <c r="G64" i="49"/>
  <c r="H64" i="49"/>
  <c r="I64" i="49"/>
  <c r="O27" i="52" l="1"/>
  <c r="O19" i="52"/>
  <c r="O18" i="52"/>
  <c r="O17" i="52"/>
  <c r="O16" i="52"/>
  <c r="E45" i="5" l="1"/>
  <c r="E24" i="5"/>
  <c r="T120" i="9" l="1"/>
  <c r="Y120" i="9" s="1"/>
  <c r="T121" i="9"/>
  <c r="Y121" i="9" s="1"/>
  <c r="G123" i="9"/>
  <c r="P10" i="10" l="1"/>
  <c r="P11" i="10"/>
  <c r="P12" i="10"/>
  <c r="P13" i="10"/>
  <c r="P14" i="10"/>
  <c r="P15" i="10"/>
  <c r="P16" i="10"/>
  <c r="P17" i="10"/>
  <c r="P18" i="10"/>
  <c r="P19" i="10"/>
  <c r="P20" i="10"/>
  <c r="P21" i="10"/>
  <c r="P22" i="10"/>
  <c r="P23" i="10"/>
  <c r="P24" i="10"/>
  <c r="P25" i="10"/>
  <c r="P26" i="10"/>
  <c r="P27" i="10"/>
  <c r="P28" i="10"/>
  <c r="P29" i="10"/>
  <c r="P30" i="10"/>
  <c r="P31" i="10"/>
  <c r="P9" i="10"/>
  <c r="I21" i="33" l="1"/>
  <c r="G21" i="33" s="1"/>
  <c r="J18" i="33"/>
  <c r="I18" i="33" s="1"/>
  <c r="E15" i="33"/>
  <c r="E16" i="33"/>
  <c r="G13" i="33"/>
  <c r="G202" i="9" l="1"/>
  <c r="H44" i="9" l="1"/>
  <c r="G33" i="9"/>
  <c r="I23" i="9" l="1"/>
  <c r="L253" i="9" l="1"/>
  <c r="A255" i="9" l="1"/>
  <c r="A254" i="9"/>
  <c r="A253" i="9"/>
  <c r="A252" i="9"/>
  <c r="A250" i="9"/>
  <c r="G80" i="8"/>
  <c r="A84" i="8"/>
  <c r="A82" i="8"/>
  <c r="A80" i="8"/>
  <c r="A79" i="8"/>
  <c r="A78" i="8"/>
  <c r="A77" i="8"/>
  <c r="A76" i="8"/>
  <c r="A75" i="8"/>
  <c r="A74" i="8"/>
  <c r="A71" i="8"/>
  <c r="G84" i="8" s="1"/>
  <c r="A70" i="8"/>
  <c r="A69" i="8"/>
  <c r="A66" i="8"/>
  <c r="G70" i="8" s="1"/>
  <c r="A65" i="8"/>
  <c r="G82" i="8" s="1"/>
  <c r="A64" i="8"/>
  <c r="A63" i="8"/>
  <c r="A62" i="8"/>
  <c r="A61" i="8"/>
  <c r="G78" i="8" l="1"/>
  <c r="G79" i="8"/>
  <c r="G71" i="8"/>
  <c r="E241" i="49" l="1"/>
  <c r="E240" i="49"/>
  <c r="E239" i="49"/>
  <c r="E238" i="49"/>
  <c r="E96" i="49"/>
  <c r="E95" i="49"/>
  <c r="E94" i="49"/>
  <c r="E93" i="49"/>
  <c r="E163" i="49"/>
  <c r="E162" i="49"/>
  <c r="E161" i="49"/>
  <c r="E160" i="49"/>
  <c r="E211" i="49"/>
  <c r="F259" i="1"/>
  <c r="G77" i="8" s="1"/>
  <c r="F258" i="1"/>
  <c r="G76" i="8" s="1"/>
  <c r="F257" i="1"/>
  <c r="G75" i="8" s="1"/>
  <c r="F256" i="1"/>
  <c r="G74" i="8" s="1"/>
  <c r="F262" i="1"/>
  <c r="F261" i="1"/>
  <c r="F97" i="1"/>
  <c r="F95" i="1"/>
  <c r="F90" i="1"/>
  <c r="F253" i="1"/>
  <c r="F260" i="1"/>
  <c r="E259" i="1"/>
  <c r="E258" i="1"/>
  <c r="E257" i="1"/>
  <c r="E256" i="1"/>
  <c r="E94" i="1"/>
  <c r="E93" i="1"/>
  <c r="E89" i="1"/>
  <c r="E88" i="1"/>
  <c r="E87" i="1"/>
  <c r="E86" i="1"/>
  <c r="E85" i="1"/>
  <c r="H218" i="1" l="1"/>
  <c r="E218" i="1" s="1"/>
  <c r="F317" i="1" l="1"/>
  <c r="D85" i="1" l="1"/>
  <c r="D86" i="1" s="1"/>
  <c r="D87" i="1" s="1"/>
  <c r="D88" i="1" s="1"/>
  <c r="D89" i="1" s="1"/>
  <c r="V121" i="53"/>
  <c r="T121" i="53"/>
  <c r="N121" i="53"/>
  <c r="H121" i="53"/>
  <c r="F121" i="53"/>
  <c r="O120" i="53"/>
  <c r="L120" i="53"/>
  <c r="M120" i="53" s="1"/>
  <c r="P120" i="53" s="1"/>
  <c r="I120" i="53"/>
  <c r="G120" i="53"/>
  <c r="J120" i="53" s="1"/>
  <c r="O119" i="53"/>
  <c r="L119" i="53"/>
  <c r="M119" i="53" s="1"/>
  <c r="I119" i="53"/>
  <c r="G119" i="53"/>
  <c r="J119" i="53" s="1"/>
  <c r="O118" i="53"/>
  <c r="L118" i="53"/>
  <c r="M118" i="53" s="1"/>
  <c r="I118" i="53"/>
  <c r="G118" i="53"/>
  <c r="O117" i="53"/>
  <c r="M117" i="53"/>
  <c r="L117" i="53"/>
  <c r="I117" i="53"/>
  <c r="G117" i="53"/>
  <c r="P116" i="53"/>
  <c r="O116" i="53"/>
  <c r="L116" i="53"/>
  <c r="M116" i="53" s="1"/>
  <c r="I116" i="53"/>
  <c r="G116" i="53"/>
  <c r="O115" i="53"/>
  <c r="L115" i="53"/>
  <c r="M115" i="53" s="1"/>
  <c r="P115" i="53" s="1"/>
  <c r="I115" i="53"/>
  <c r="G115" i="53"/>
  <c r="O114" i="53"/>
  <c r="L114" i="53"/>
  <c r="M114" i="53" s="1"/>
  <c r="I114" i="53"/>
  <c r="G114" i="53"/>
  <c r="O113" i="53"/>
  <c r="L113" i="53"/>
  <c r="M113" i="53" s="1"/>
  <c r="P113" i="53" s="1"/>
  <c r="I113" i="53"/>
  <c r="G113" i="53"/>
  <c r="O112" i="53"/>
  <c r="L112" i="53"/>
  <c r="M112" i="53" s="1"/>
  <c r="P112" i="53" s="1"/>
  <c r="J112" i="53"/>
  <c r="I112" i="53"/>
  <c r="G112" i="53"/>
  <c r="O111" i="53"/>
  <c r="M111" i="53"/>
  <c r="P111" i="53" s="1"/>
  <c r="L111" i="53"/>
  <c r="I111" i="53"/>
  <c r="G111" i="53"/>
  <c r="J111" i="53" s="1"/>
  <c r="O110" i="53"/>
  <c r="L110" i="53"/>
  <c r="M110" i="53" s="1"/>
  <c r="I110" i="53"/>
  <c r="G110" i="53"/>
  <c r="J110" i="53" s="1"/>
  <c r="O109" i="53"/>
  <c r="L109" i="53"/>
  <c r="M109" i="53" s="1"/>
  <c r="I109" i="53"/>
  <c r="G109" i="53"/>
  <c r="O108" i="53"/>
  <c r="L108" i="53"/>
  <c r="M108" i="53" s="1"/>
  <c r="I108" i="53"/>
  <c r="G108" i="53"/>
  <c r="J108" i="53" s="1"/>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P102" i="53" s="1"/>
  <c r="I102" i="53"/>
  <c r="G102" i="53"/>
  <c r="O101" i="53"/>
  <c r="L101" i="53"/>
  <c r="M101" i="53" s="1"/>
  <c r="P101" i="53" s="1"/>
  <c r="I101" i="53"/>
  <c r="J101" i="53" s="1"/>
  <c r="G101" i="53"/>
  <c r="O100" i="53"/>
  <c r="L100" i="53"/>
  <c r="M100" i="53" s="1"/>
  <c r="P100" i="53" s="1"/>
  <c r="I100" i="53"/>
  <c r="G100" i="53"/>
  <c r="O99" i="53"/>
  <c r="L99" i="53"/>
  <c r="M99" i="53" s="1"/>
  <c r="P99" i="53" s="1"/>
  <c r="J99" i="53"/>
  <c r="I99" i="53"/>
  <c r="G99" i="53"/>
  <c r="O98" i="53"/>
  <c r="L98" i="53"/>
  <c r="M98" i="53" s="1"/>
  <c r="I98" i="53"/>
  <c r="G98" i="53"/>
  <c r="J98" i="53" s="1"/>
  <c r="O97" i="53"/>
  <c r="P97" i="53" s="1"/>
  <c r="L97" i="53"/>
  <c r="M97" i="53" s="1"/>
  <c r="I97" i="53"/>
  <c r="G97" i="53"/>
  <c r="O96" i="53"/>
  <c r="L96" i="53"/>
  <c r="M96" i="53" s="1"/>
  <c r="I96" i="53"/>
  <c r="G96" i="53"/>
  <c r="J96" i="53" s="1"/>
  <c r="O95" i="53"/>
  <c r="L95" i="53"/>
  <c r="M95" i="53" s="1"/>
  <c r="I95" i="53"/>
  <c r="G95" i="53"/>
  <c r="J95" i="53" s="1"/>
  <c r="O94" i="53"/>
  <c r="L94" i="53"/>
  <c r="M94" i="53" s="1"/>
  <c r="I94" i="53"/>
  <c r="G94" i="53"/>
  <c r="O93" i="53"/>
  <c r="L93" i="53"/>
  <c r="M93" i="53" s="1"/>
  <c r="I93" i="53"/>
  <c r="G93" i="53"/>
  <c r="O92" i="53"/>
  <c r="L92" i="53"/>
  <c r="M92" i="53" s="1"/>
  <c r="I92" i="53"/>
  <c r="G92" i="53"/>
  <c r="J92" i="53" s="1"/>
  <c r="O91" i="53"/>
  <c r="M91" i="53"/>
  <c r="L91" i="53"/>
  <c r="I91" i="53"/>
  <c r="G91" i="53"/>
  <c r="J91" i="53" s="1"/>
  <c r="O90" i="53"/>
  <c r="L90" i="53"/>
  <c r="M90" i="53" s="1"/>
  <c r="I90" i="53"/>
  <c r="G90" i="53"/>
  <c r="O89" i="53"/>
  <c r="L89" i="53"/>
  <c r="M89" i="53" s="1"/>
  <c r="I89" i="53"/>
  <c r="G89" i="53"/>
  <c r="V86" i="53"/>
  <c r="T86" i="53"/>
  <c r="N86" i="53"/>
  <c r="H86" i="53"/>
  <c r="F86" i="53"/>
  <c r="O85" i="53"/>
  <c r="L85" i="53"/>
  <c r="M85" i="53" s="1"/>
  <c r="I85" i="53"/>
  <c r="G85" i="53"/>
  <c r="O84" i="53"/>
  <c r="M84" i="53"/>
  <c r="P84" i="53" s="1"/>
  <c r="L84" i="53"/>
  <c r="I84" i="53"/>
  <c r="G84" i="53"/>
  <c r="J84" i="53" s="1"/>
  <c r="O83" i="53"/>
  <c r="P83" i="53" s="1"/>
  <c r="L83" i="53"/>
  <c r="M83" i="53" s="1"/>
  <c r="I83" i="53"/>
  <c r="G83" i="53"/>
  <c r="O82" i="53"/>
  <c r="L82" i="53"/>
  <c r="M82" i="53" s="1"/>
  <c r="I82" i="53"/>
  <c r="G82" i="53"/>
  <c r="J82" i="53" s="1"/>
  <c r="O81" i="53"/>
  <c r="L81" i="53"/>
  <c r="M81" i="53" s="1"/>
  <c r="I81" i="53"/>
  <c r="G81" i="53"/>
  <c r="J81" i="53" s="1"/>
  <c r="O80" i="53"/>
  <c r="L80" i="53"/>
  <c r="M80" i="53" s="1"/>
  <c r="I80" i="53"/>
  <c r="G80" i="53"/>
  <c r="J80" i="53" s="1"/>
  <c r="O79" i="53"/>
  <c r="M79" i="53"/>
  <c r="L79" i="53"/>
  <c r="I79" i="53"/>
  <c r="G79" i="53"/>
  <c r="O78" i="53"/>
  <c r="L78" i="53"/>
  <c r="M78" i="53" s="1"/>
  <c r="I78" i="53"/>
  <c r="G78" i="53"/>
  <c r="J78" i="53" s="1"/>
  <c r="O77" i="53"/>
  <c r="L77" i="53"/>
  <c r="M77" i="53" s="1"/>
  <c r="I77" i="53"/>
  <c r="G77" i="53"/>
  <c r="O76" i="53"/>
  <c r="L76" i="53"/>
  <c r="M76" i="53" s="1"/>
  <c r="P76" i="53" s="1"/>
  <c r="I76" i="53"/>
  <c r="G76" i="53"/>
  <c r="O75" i="53"/>
  <c r="L75" i="53"/>
  <c r="M75" i="53" s="1"/>
  <c r="I75" i="53"/>
  <c r="G75" i="53"/>
  <c r="T71" i="53"/>
  <c r="T123" i="53" s="1"/>
  <c r="N71" i="53"/>
  <c r="H71" i="53"/>
  <c r="F71" i="53"/>
  <c r="O70" i="53"/>
  <c r="M70" i="53"/>
  <c r="I70" i="53"/>
  <c r="G70" i="53"/>
  <c r="O69" i="53"/>
  <c r="M69" i="53"/>
  <c r="P69" i="53" s="1"/>
  <c r="L69" i="53"/>
  <c r="I69" i="53"/>
  <c r="G69" i="53"/>
  <c r="O68" i="53"/>
  <c r="L68" i="53"/>
  <c r="M68" i="53" s="1"/>
  <c r="I68" i="53"/>
  <c r="G68" i="53"/>
  <c r="O67" i="53"/>
  <c r="L67" i="53"/>
  <c r="M67" i="53" s="1"/>
  <c r="I67" i="53"/>
  <c r="G67" i="53"/>
  <c r="O66" i="53"/>
  <c r="L66" i="53"/>
  <c r="M66" i="53" s="1"/>
  <c r="I66" i="53"/>
  <c r="G66" i="53"/>
  <c r="O65" i="53"/>
  <c r="L65" i="53"/>
  <c r="M65" i="53" s="1"/>
  <c r="I65" i="53"/>
  <c r="G65" i="53"/>
  <c r="J65" i="53" s="1"/>
  <c r="O64" i="53"/>
  <c r="L64" i="53"/>
  <c r="M64" i="53" s="1"/>
  <c r="I64" i="53"/>
  <c r="G64" i="53"/>
  <c r="J64" i="53" s="1"/>
  <c r="P63" i="53"/>
  <c r="O63" i="53"/>
  <c r="L63" i="53"/>
  <c r="M63" i="53" s="1"/>
  <c r="I63" i="53"/>
  <c r="G63" i="53"/>
  <c r="O62" i="53"/>
  <c r="L62" i="53"/>
  <c r="M62" i="53" s="1"/>
  <c r="I62" i="53"/>
  <c r="G62" i="53"/>
  <c r="O61" i="53"/>
  <c r="L61" i="53"/>
  <c r="M61" i="53" s="1"/>
  <c r="I61" i="53"/>
  <c r="G61" i="53"/>
  <c r="J61" i="53" s="1"/>
  <c r="O60" i="53"/>
  <c r="L60" i="53"/>
  <c r="M60" i="53" s="1"/>
  <c r="P60" i="53" s="1"/>
  <c r="I60" i="53"/>
  <c r="G60" i="53"/>
  <c r="O59" i="53"/>
  <c r="L59" i="53"/>
  <c r="M59" i="53" s="1"/>
  <c r="I59" i="53"/>
  <c r="G59" i="53"/>
  <c r="O58" i="53"/>
  <c r="L58" i="53"/>
  <c r="M58" i="53" s="1"/>
  <c r="I58" i="53"/>
  <c r="G58" i="53"/>
  <c r="O57" i="53"/>
  <c r="L57" i="53"/>
  <c r="M57" i="53" s="1"/>
  <c r="P57" i="53" s="1"/>
  <c r="I57" i="53"/>
  <c r="G57" i="53"/>
  <c r="O56" i="53"/>
  <c r="L56" i="53"/>
  <c r="M56" i="53" s="1"/>
  <c r="P56" i="53" s="1"/>
  <c r="I56" i="53"/>
  <c r="J56" i="53" s="1"/>
  <c r="G56" i="53"/>
  <c r="O55" i="53"/>
  <c r="L55" i="53"/>
  <c r="M55" i="53" s="1"/>
  <c r="P55" i="53" s="1"/>
  <c r="I55" i="53"/>
  <c r="G55" i="53"/>
  <c r="O54" i="53"/>
  <c r="M54" i="53"/>
  <c r="P54" i="53" s="1"/>
  <c r="L54" i="53"/>
  <c r="I54" i="53"/>
  <c r="G54" i="53"/>
  <c r="J54" i="53" s="1"/>
  <c r="O53" i="53"/>
  <c r="L53" i="53"/>
  <c r="M53" i="53" s="1"/>
  <c r="I53" i="53"/>
  <c r="G53" i="53"/>
  <c r="O52" i="53"/>
  <c r="L52" i="53"/>
  <c r="M52" i="53" s="1"/>
  <c r="I52" i="53"/>
  <c r="G52" i="53"/>
  <c r="J52" i="53" s="1"/>
  <c r="O51" i="53"/>
  <c r="L51" i="53"/>
  <c r="M51" i="53" s="1"/>
  <c r="P51" i="53" s="1"/>
  <c r="I51" i="53"/>
  <c r="G51" i="53"/>
  <c r="O50" i="53"/>
  <c r="L50" i="53"/>
  <c r="M50" i="53" s="1"/>
  <c r="I50" i="53"/>
  <c r="G50" i="53"/>
  <c r="O49" i="53"/>
  <c r="M49" i="53"/>
  <c r="P49" i="53" s="1"/>
  <c r="L49" i="53"/>
  <c r="I49" i="53"/>
  <c r="G49" i="53"/>
  <c r="J49" i="53" s="1"/>
  <c r="P48" i="53"/>
  <c r="O48" i="53"/>
  <c r="L48" i="53"/>
  <c r="M48" i="53" s="1"/>
  <c r="I48" i="53"/>
  <c r="G48" i="53"/>
  <c r="O47" i="53"/>
  <c r="L47" i="53"/>
  <c r="M47" i="53" s="1"/>
  <c r="P47" i="53" s="1"/>
  <c r="I47" i="53"/>
  <c r="G47" i="53"/>
  <c r="O46" i="53"/>
  <c r="L46" i="53"/>
  <c r="M46" i="53" s="1"/>
  <c r="P46" i="53" s="1"/>
  <c r="I46" i="53"/>
  <c r="G46" i="53"/>
  <c r="O45" i="53"/>
  <c r="L45" i="53"/>
  <c r="M45" i="53" s="1"/>
  <c r="P45" i="53" s="1"/>
  <c r="I45" i="53"/>
  <c r="G45" i="53"/>
  <c r="O44" i="53"/>
  <c r="L44" i="53"/>
  <c r="M44" i="53" s="1"/>
  <c r="P44" i="53" s="1"/>
  <c r="J44" i="53"/>
  <c r="I44" i="53"/>
  <c r="G44" i="53"/>
  <c r="P43" i="53"/>
  <c r="O43" i="53"/>
  <c r="L43" i="53"/>
  <c r="M43" i="53" s="1"/>
  <c r="I43" i="53"/>
  <c r="G43" i="53"/>
  <c r="O42" i="53"/>
  <c r="L42" i="53"/>
  <c r="M42" i="53" s="1"/>
  <c r="P42" i="53" s="1"/>
  <c r="I42" i="53"/>
  <c r="G42" i="53"/>
  <c r="O41" i="53"/>
  <c r="L41" i="53"/>
  <c r="M41" i="53" s="1"/>
  <c r="P41" i="53" s="1"/>
  <c r="I41" i="53"/>
  <c r="G41" i="53"/>
  <c r="O40" i="53"/>
  <c r="L40" i="53"/>
  <c r="M40" i="53" s="1"/>
  <c r="P40" i="53" s="1"/>
  <c r="I40" i="53"/>
  <c r="J40" i="53" s="1"/>
  <c r="G40" i="53"/>
  <c r="O39" i="53"/>
  <c r="L39" i="53"/>
  <c r="M39" i="53" s="1"/>
  <c r="P39" i="53" s="1"/>
  <c r="I39" i="53"/>
  <c r="G39" i="53"/>
  <c r="O38" i="53"/>
  <c r="L38" i="53"/>
  <c r="M38" i="53" s="1"/>
  <c r="P38" i="53" s="1"/>
  <c r="I38" i="53"/>
  <c r="G38" i="53"/>
  <c r="O37" i="53"/>
  <c r="L37" i="53"/>
  <c r="M37" i="53" s="1"/>
  <c r="P37" i="53" s="1"/>
  <c r="I37" i="53"/>
  <c r="G37" i="53"/>
  <c r="O36" i="53"/>
  <c r="L36" i="53"/>
  <c r="M36" i="53" s="1"/>
  <c r="P36" i="53" s="1"/>
  <c r="J36" i="53"/>
  <c r="I36" i="53"/>
  <c r="G36" i="53"/>
  <c r="O35" i="53"/>
  <c r="M35" i="53"/>
  <c r="L35" i="53"/>
  <c r="I35" i="53"/>
  <c r="G35" i="53"/>
  <c r="J35" i="53" s="1"/>
  <c r="O34" i="53"/>
  <c r="L34" i="53"/>
  <c r="M34" i="53" s="1"/>
  <c r="I34" i="53"/>
  <c r="G34" i="53"/>
  <c r="O33" i="53"/>
  <c r="L33" i="53"/>
  <c r="M33" i="53" s="1"/>
  <c r="I33" i="53"/>
  <c r="G33" i="53"/>
  <c r="J33" i="53" s="1"/>
  <c r="O32" i="53"/>
  <c r="L32" i="53"/>
  <c r="M32" i="53" s="1"/>
  <c r="I32" i="53"/>
  <c r="G32" i="53"/>
  <c r="O31" i="53"/>
  <c r="L31" i="53"/>
  <c r="M31" i="53" s="1"/>
  <c r="P31" i="53" s="1"/>
  <c r="I31" i="53"/>
  <c r="G31" i="53"/>
  <c r="O30" i="53"/>
  <c r="L30" i="53"/>
  <c r="M30" i="53" s="1"/>
  <c r="P30" i="53" s="1"/>
  <c r="I30" i="53"/>
  <c r="G30" i="53"/>
  <c r="O29" i="53"/>
  <c r="L29" i="53"/>
  <c r="M29" i="53" s="1"/>
  <c r="I29" i="53"/>
  <c r="J29" i="53" s="1"/>
  <c r="G29" i="53"/>
  <c r="O28" i="53"/>
  <c r="L28" i="53"/>
  <c r="M28" i="53" s="1"/>
  <c r="I28" i="53"/>
  <c r="G28" i="53"/>
  <c r="O27" i="53"/>
  <c r="L27" i="53"/>
  <c r="M27" i="53" s="1"/>
  <c r="P27" i="53" s="1"/>
  <c r="J27" i="53"/>
  <c r="I27" i="53"/>
  <c r="G27" i="53"/>
  <c r="O26" i="53"/>
  <c r="M26" i="53"/>
  <c r="L26" i="53"/>
  <c r="I26" i="53"/>
  <c r="G26" i="53"/>
  <c r="J26" i="53" s="1"/>
  <c r="O25" i="53"/>
  <c r="L25" i="53"/>
  <c r="M25" i="53" s="1"/>
  <c r="I25" i="53"/>
  <c r="G25" i="53"/>
  <c r="O24" i="53"/>
  <c r="L24" i="53"/>
  <c r="M24" i="53" s="1"/>
  <c r="P24" i="53" s="1"/>
  <c r="J24" i="53"/>
  <c r="R24" i="53" s="1"/>
  <c r="X24" i="53" s="1"/>
  <c r="AF24" i="53" s="1"/>
  <c r="I24" i="53"/>
  <c r="G24" i="53"/>
  <c r="O23" i="53"/>
  <c r="M23" i="53"/>
  <c r="P23" i="53" s="1"/>
  <c r="L23" i="53"/>
  <c r="I23" i="53"/>
  <c r="G23" i="53"/>
  <c r="J23" i="53" s="1"/>
  <c r="O22" i="53"/>
  <c r="M22" i="53"/>
  <c r="L22" i="53"/>
  <c r="I22" i="53"/>
  <c r="G22" i="53"/>
  <c r="J22" i="53" s="1"/>
  <c r="O21" i="53"/>
  <c r="L21" i="53"/>
  <c r="M21" i="53" s="1"/>
  <c r="I21" i="53"/>
  <c r="G21" i="53"/>
  <c r="O20" i="53"/>
  <c r="L20" i="53"/>
  <c r="M20" i="53" s="1"/>
  <c r="I20" i="53"/>
  <c r="G20" i="53"/>
  <c r="J20" i="53" s="1"/>
  <c r="O19" i="53"/>
  <c r="L19" i="53"/>
  <c r="M19" i="53" s="1"/>
  <c r="I19" i="53"/>
  <c r="G19" i="53"/>
  <c r="O18" i="53"/>
  <c r="L18" i="53"/>
  <c r="M18" i="53" s="1"/>
  <c r="P18" i="53" s="1"/>
  <c r="I18" i="53"/>
  <c r="G18" i="53"/>
  <c r="O17" i="53"/>
  <c r="L17" i="53"/>
  <c r="M17" i="53" s="1"/>
  <c r="P17" i="53" s="1"/>
  <c r="I17" i="53"/>
  <c r="G17" i="53"/>
  <c r="O16" i="53"/>
  <c r="L16" i="53"/>
  <c r="M16" i="53" s="1"/>
  <c r="P16" i="53" s="1"/>
  <c r="I16" i="53"/>
  <c r="G16" i="53"/>
  <c r="J16" i="53" s="1"/>
  <c r="P15" i="53"/>
  <c r="O15" i="53"/>
  <c r="L15" i="53"/>
  <c r="M15" i="53" s="1"/>
  <c r="I15" i="53"/>
  <c r="J15" i="53" s="1"/>
  <c r="R15" i="53" s="1"/>
  <c r="X15" i="53" s="1"/>
  <c r="AF15" i="53" s="1"/>
  <c r="G15" i="53"/>
  <c r="O14" i="53"/>
  <c r="L14" i="53"/>
  <c r="M14" i="53" s="1"/>
  <c r="P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M90" i="52"/>
  <c r="L47" i="51" s="1"/>
  <c r="O89" i="52"/>
  <c r="M89" i="52"/>
  <c r="O88" i="52"/>
  <c r="J26" i="51" s="1"/>
  <c r="M88" i="52"/>
  <c r="M93" i="52" s="1"/>
  <c r="M82" i="52"/>
  <c r="M81" i="52"/>
  <c r="M80" i="52"/>
  <c r="M79" i="52"/>
  <c r="M73" i="52"/>
  <c r="M72" i="52"/>
  <c r="M71" i="52"/>
  <c r="M70" i="52"/>
  <c r="O57" i="52"/>
  <c r="O59" i="52" s="1"/>
  <c r="M57" i="52"/>
  <c r="M59" i="52" s="1"/>
  <c r="K57" i="52"/>
  <c r="K59" i="52" s="1"/>
  <c r="Q55" i="52"/>
  <c r="Q54" i="52"/>
  <c r="Q53" i="52"/>
  <c r="Q52" i="52"/>
  <c r="O39" i="52"/>
  <c r="M39" i="52"/>
  <c r="Q37" i="52"/>
  <c r="K37" i="52"/>
  <c r="K91" i="52" s="1"/>
  <c r="Q36" i="52"/>
  <c r="Q35" i="52"/>
  <c r="K35" i="52"/>
  <c r="K89" i="52" s="1"/>
  <c r="Q34" i="52"/>
  <c r="Q88" i="52" s="1"/>
  <c r="M30" i="52"/>
  <c r="K28" i="52"/>
  <c r="K82" i="52" s="1"/>
  <c r="K26" i="52"/>
  <c r="O26" i="52" s="1"/>
  <c r="K25" i="52"/>
  <c r="K79" i="52" s="1"/>
  <c r="M21" i="52"/>
  <c r="K18" i="52"/>
  <c r="K17" i="52"/>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D237" i="51"/>
  <c r="P204" i="51" s="1"/>
  <c r="R215" i="51"/>
  <c r="L215" i="51"/>
  <c r="R211" i="51"/>
  <c r="L211" i="51"/>
  <c r="N207" i="51"/>
  <c r="J207" i="51"/>
  <c r="E207" i="51"/>
  <c r="Q206" i="51"/>
  <c r="Q205" i="51"/>
  <c r="O205" i="51"/>
  <c r="F205" i="51"/>
  <c r="Q204" i="51"/>
  <c r="F204" i="51"/>
  <c r="F203" i="51" s="1"/>
  <c r="F202" i="51" s="1"/>
  <c r="Q203" i="51"/>
  <c r="Q202" i="51"/>
  <c r="P202" i="51"/>
  <c r="Q201" i="51"/>
  <c r="O201" i="51"/>
  <c r="Q200" i="51"/>
  <c r="Q199" i="51"/>
  <c r="H199" i="51"/>
  <c r="K199" i="51" s="1"/>
  <c r="Q198" i="51"/>
  <c r="P198" i="51"/>
  <c r="H198" i="51"/>
  <c r="K198" i="51" s="1"/>
  <c r="Q197" i="51"/>
  <c r="P197" i="51"/>
  <c r="H197" i="51"/>
  <c r="K197" i="51" s="1"/>
  <c r="Q196" i="51"/>
  <c r="H196" i="51"/>
  <c r="K196" i="51" s="1"/>
  <c r="G196" i="51"/>
  <c r="G197" i="51" s="1"/>
  <c r="G198" i="51" s="1"/>
  <c r="G199" i="51" s="1"/>
  <c r="G200" i="51" s="1"/>
  <c r="G201" i="51" s="1"/>
  <c r="G202" i="51" s="1"/>
  <c r="G203" i="51" s="1"/>
  <c r="G204" i="51" s="1"/>
  <c r="G205" i="51" s="1"/>
  <c r="G206" i="51" s="1"/>
  <c r="H206" i="51" s="1"/>
  <c r="K206" i="51" s="1"/>
  <c r="Q195" i="51"/>
  <c r="O195" i="51"/>
  <c r="H195" i="51"/>
  <c r="K195" i="51" s="1"/>
  <c r="L195" i="51" s="1"/>
  <c r="R182" i="51"/>
  <c r="L182" i="51"/>
  <c r="R178" i="51"/>
  <c r="L178" i="51"/>
  <c r="N174" i="51"/>
  <c r="J174" i="51"/>
  <c r="E174" i="51"/>
  <c r="Q173" i="51"/>
  <c r="Q172" i="51"/>
  <c r="P172" i="51"/>
  <c r="O172" i="51"/>
  <c r="F172" i="51"/>
  <c r="Q171" i="51"/>
  <c r="P171" i="51"/>
  <c r="Q170" i="51"/>
  <c r="O170" i="51"/>
  <c r="Q169" i="51"/>
  <c r="P169" i="51"/>
  <c r="Q168" i="51"/>
  <c r="P168" i="51"/>
  <c r="O168" i="51"/>
  <c r="Q167" i="51"/>
  <c r="Q166" i="51"/>
  <c r="P166" i="51"/>
  <c r="O166" i="51"/>
  <c r="H166" i="51"/>
  <c r="K166" i="51" s="1"/>
  <c r="Q165" i="51"/>
  <c r="O165" i="51"/>
  <c r="K165" i="51"/>
  <c r="H165" i="51"/>
  <c r="Q164" i="51"/>
  <c r="H164" i="51"/>
  <c r="K164" i="51" s="1"/>
  <c r="Q163" i="51"/>
  <c r="Q174" i="51" s="1"/>
  <c r="H163" i="51"/>
  <c r="K163" i="51" s="1"/>
  <c r="G163" i="51"/>
  <c r="G164" i="51" s="1"/>
  <c r="G165" i="51" s="1"/>
  <c r="G166" i="51" s="1"/>
  <c r="G167" i="51" s="1"/>
  <c r="G168" i="51" s="1"/>
  <c r="G169" i="51" s="1"/>
  <c r="G170" i="51" s="1"/>
  <c r="G171" i="51" s="1"/>
  <c r="G172" i="51" s="1"/>
  <c r="G173" i="51" s="1"/>
  <c r="H173" i="51" s="1"/>
  <c r="K173" i="51" s="1"/>
  <c r="Q162" i="51"/>
  <c r="H162" i="51"/>
  <c r="K162" i="51" s="1"/>
  <c r="R149" i="51"/>
  <c r="L149" i="51"/>
  <c r="R145" i="51"/>
  <c r="L145" i="51"/>
  <c r="N141" i="51"/>
  <c r="J141" i="51"/>
  <c r="E141" i="51"/>
  <c r="Q140" i="51"/>
  <c r="O140" i="51"/>
  <c r="Q139" i="51"/>
  <c r="F139" i="51"/>
  <c r="F138" i="51" s="1"/>
  <c r="Q138" i="51"/>
  <c r="Q137" i="51"/>
  <c r="Q136" i="51"/>
  <c r="Q135" i="51"/>
  <c r="O135" i="51"/>
  <c r="Q134" i="51"/>
  <c r="Q133" i="51"/>
  <c r="O133" i="51"/>
  <c r="H133" i="51"/>
  <c r="K133" i="51" s="1"/>
  <c r="Q132" i="51"/>
  <c r="P132" i="51"/>
  <c r="H132" i="51"/>
  <c r="K132" i="51" s="1"/>
  <c r="Q131" i="51"/>
  <c r="H131" i="51"/>
  <c r="K131" i="51" s="1"/>
  <c r="Q130" i="51"/>
  <c r="O130" i="51"/>
  <c r="H130" i="51"/>
  <c r="K130" i="51" s="1"/>
  <c r="G130" i="51"/>
  <c r="G131" i="51" s="1"/>
  <c r="G132" i="51" s="1"/>
  <c r="G133" i="51" s="1"/>
  <c r="G134" i="51" s="1"/>
  <c r="G135" i="51" s="1"/>
  <c r="G136" i="51" s="1"/>
  <c r="G137" i="51" s="1"/>
  <c r="G138" i="51" s="1"/>
  <c r="G139" i="51" s="1"/>
  <c r="Q129" i="51"/>
  <c r="R129" i="51" s="1"/>
  <c r="O129" i="51"/>
  <c r="H129" i="51"/>
  <c r="K129" i="51" s="1"/>
  <c r="L129" i="51" s="1"/>
  <c r="R102" i="51"/>
  <c r="R98" i="51"/>
  <c r="L96" i="51"/>
  <c r="L98" i="51" s="1"/>
  <c r="N94" i="51"/>
  <c r="J94" i="51"/>
  <c r="E94" i="51"/>
  <c r="Q93" i="51"/>
  <c r="O93" i="51"/>
  <c r="Q92" i="51"/>
  <c r="F92" i="51"/>
  <c r="F91" i="51" s="1"/>
  <c r="Q91" i="51"/>
  <c r="Q90" i="51"/>
  <c r="Q89" i="51"/>
  <c r="Q88" i="51"/>
  <c r="O88" i="51"/>
  <c r="Q87" i="51"/>
  <c r="Q86" i="51"/>
  <c r="O86" i="51"/>
  <c r="H86" i="51"/>
  <c r="K86" i="51" s="1"/>
  <c r="Q85" i="51"/>
  <c r="P85" i="51"/>
  <c r="H85" i="51"/>
  <c r="K85" i="51" s="1"/>
  <c r="Q84" i="51"/>
  <c r="H84" i="51"/>
  <c r="K84" i="51" s="1"/>
  <c r="Q83" i="51"/>
  <c r="O83" i="51"/>
  <c r="H83" i="51"/>
  <c r="K83" i="51" s="1"/>
  <c r="G83" i="51"/>
  <c r="G84" i="51" s="1"/>
  <c r="G85" i="51" s="1"/>
  <c r="G86" i="51" s="1"/>
  <c r="G87" i="51" s="1"/>
  <c r="G88" i="51" s="1"/>
  <c r="G89" i="51" s="1"/>
  <c r="G90" i="51" s="1"/>
  <c r="G91" i="51" s="1"/>
  <c r="G92" i="51" s="1"/>
  <c r="G93" i="51" s="1"/>
  <c r="H93" i="51" s="1"/>
  <c r="K93" i="51" s="1"/>
  <c r="Q82" i="51"/>
  <c r="O82" i="51"/>
  <c r="H82" i="51"/>
  <c r="K82" i="51" s="1"/>
  <c r="L82" i="51" s="1"/>
  <c r="L80" i="51"/>
  <c r="R69" i="51"/>
  <c r="R65" i="51"/>
  <c r="R71" i="51" s="1"/>
  <c r="N61" i="51"/>
  <c r="E61" i="51"/>
  <c r="P59" i="51"/>
  <c r="O59" i="51"/>
  <c r="F59" i="51"/>
  <c r="F58" i="51" s="1"/>
  <c r="F57" i="51" s="1"/>
  <c r="F56" i="51" s="1"/>
  <c r="F55" i="51" s="1"/>
  <c r="F54" i="51" s="1"/>
  <c r="P57" i="51"/>
  <c r="P56" i="51"/>
  <c r="P55" i="51"/>
  <c r="O55" i="51"/>
  <c r="O54" i="51"/>
  <c r="H53" i="51"/>
  <c r="P52" i="51"/>
  <c r="H52" i="51"/>
  <c r="P51" i="51"/>
  <c r="O51" i="51"/>
  <c r="H51" i="51"/>
  <c r="P50" i="51"/>
  <c r="O50" i="51"/>
  <c r="H50" i="51"/>
  <c r="G50" i="51"/>
  <c r="G51" i="51" s="1"/>
  <c r="G52" i="51" s="1"/>
  <c r="G53" i="51" s="1"/>
  <c r="G54" i="51" s="1"/>
  <c r="G55" i="51" s="1"/>
  <c r="G56" i="51" s="1"/>
  <c r="G57" i="51" s="1"/>
  <c r="G58" i="51" s="1"/>
  <c r="P49" i="51"/>
  <c r="O49" i="51"/>
  <c r="H49" i="51"/>
  <c r="R36" i="51"/>
  <c r="R32" i="51"/>
  <c r="R38" i="51" s="1"/>
  <c r="N28" i="51"/>
  <c r="E28" i="51"/>
  <c r="P27" i="51"/>
  <c r="O27" i="51"/>
  <c r="O26" i="51"/>
  <c r="F26" i="51"/>
  <c r="F25" i="51" s="1"/>
  <c r="P25" i="51"/>
  <c r="P24" i="51"/>
  <c r="O24" i="51"/>
  <c r="P23" i="51"/>
  <c r="P22" i="51"/>
  <c r="O22" i="51"/>
  <c r="P21" i="51"/>
  <c r="P20" i="51"/>
  <c r="O20" i="51"/>
  <c r="H20" i="51"/>
  <c r="O19" i="51"/>
  <c r="H19" i="51"/>
  <c r="P18" i="51"/>
  <c r="H18" i="51"/>
  <c r="P17" i="51"/>
  <c r="O17" i="51"/>
  <c r="H17" i="51"/>
  <c r="G17" i="51"/>
  <c r="G18" i="51" s="1"/>
  <c r="G19" i="51" s="1"/>
  <c r="G20" i="51" s="1"/>
  <c r="G21" i="51" s="1"/>
  <c r="G22" i="51" s="1"/>
  <c r="G23" i="51" s="1"/>
  <c r="G24" i="51" s="1"/>
  <c r="G25" i="51" s="1"/>
  <c r="G26" i="51" s="1"/>
  <c r="P16" i="51"/>
  <c r="O16" i="51"/>
  <c r="H16" i="51"/>
  <c r="B16" i="51"/>
  <c r="B17" i="51" s="1"/>
  <c r="B18" i="51" s="1"/>
  <c r="B19" i="51" s="1"/>
  <c r="B20" i="51" s="1"/>
  <c r="B21" i="51" s="1"/>
  <c r="B22" i="51" s="1"/>
  <c r="B23" i="51" s="1"/>
  <c r="B24" i="51" s="1"/>
  <c r="B25" i="51" s="1"/>
  <c r="B26" i="51" s="1"/>
  <c r="B27" i="51" s="1"/>
  <c r="I307" i="49"/>
  <c r="H307" i="49"/>
  <c r="G307" i="49"/>
  <c r="G313" i="49" s="1"/>
  <c r="F307" i="49"/>
  <c r="F313" i="49" s="1"/>
  <c r="E301" i="49"/>
  <c r="E307" i="49" s="1"/>
  <c r="I283" i="49"/>
  <c r="I287" i="49" s="1"/>
  <c r="G283" i="49"/>
  <c r="G287" i="49" s="1"/>
  <c r="G293" i="49" s="1"/>
  <c r="G15" i="49" s="1"/>
  <c r="F283" i="49"/>
  <c r="F287" i="49" s="1"/>
  <c r="F293" i="49" s="1"/>
  <c r="F15" i="49" s="1"/>
  <c r="H283" i="49"/>
  <c r="I236" i="49"/>
  <c r="I258" i="49" s="1"/>
  <c r="H236" i="49"/>
  <c r="G236" i="49"/>
  <c r="F236" i="49"/>
  <c r="E236" i="49"/>
  <c r="E243" i="49" s="1"/>
  <c r="E212" i="49"/>
  <c r="E210" i="49"/>
  <c r="E209" i="49"/>
  <c r="H214" i="49"/>
  <c r="G214" i="49"/>
  <c r="G220" i="49" s="1"/>
  <c r="G14" i="49" s="1"/>
  <c r="F257" i="49"/>
  <c r="E206" i="49"/>
  <c r="E205" i="49"/>
  <c r="E204" i="49"/>
  <c r="E202" i="49"/>
  <c r="E201" i="49"/>
  <c r="E200" i="49"/>
  <c r="E199" i="49"/>
  <c r="E198" i="49"/>
  <c r="E197" i="49"/>
  <c r="I158" i="49"/>
  <c r="I165" i="49" s="1"/>
  <c r="G158" i="49"/>
  <c r="F158" i="49"/>
  <c r="F179" i="49" s="1"/>
  <c r="E139" i="49"/>
  <c r="E138" i="49"/>
  <c r="I137" i="49"/>
  <c r="H137" i="49"/>
  <c r="F137" i="49"/>
  <c r="I136" i="49"/>
  <c r="G136" i="49"/>
  <c r="F136" i="49"/>
  <c r="I134" i="49"/>
  <c r="F134" i="49"/>
  <c r="E133" i="49"/>
  <c r="E132" i="49"/>
  <c r="E131" i="49"/>
  <c r="I91" i="49"/>
  <c r="H91" i="49"/>
  <c r="H112" i="49" s="1"/>
  <c r="G91" i="49"/>
  <c r="F91" i="49"/>
  <c r="F98" i="49" s="1"/>
  <c r="F104" i="49" s="1"/>
  <c r="E91" i="49"/>
  <c r="E98" i="49" s="1"/>
  <c r="E66" i="49"/>
  <c r="I111" i="49"/>
  <c r="F111" i="49"/>
  <c r="E36" i="49"/>
  <c r="B17" i="49"/>
  <c r="B22" i="49" s="1"/>
  <c r="F218" i="1" s="1"/>
  <c r="E12" i="49"/>
  <c r="B12" i="49"/>
  <c r="B13" i="49" s="1"/>
  <c r="B14" i="49" s="1"/>
  <c r="B15" i="49" s="1"/>
  <c r="E177" i="48"/>
  <c r="R166" i="48"/>
  <c r="L166" i="48"/>
  <c r="R162" i="48"/>
  <c r="L162" i="48"/>
  <c r="N158" i="48"/>
  <c r="J158" i="48"/>
  <c r="E158" i="48"/>
  <c r="Q157" i="48"/>
  <c r="P157" i="48"/>
  <c r="O157" i="48"/>
  <c r="H157" i="48"/>
  <c r="K157" i="48" s="1"/>
  <c r="Q156" i="48"/>
  <c r="P156" i="48"/>
  <c r="O156" i="48"/>
  <c r="H156" i="48"/>
  <c r="K156" i="48" s="1"/>
  <c r="Q155" i="48"/>
  <c r="P155" i="48"/>
  <c r="O155" i="48"/>
  <c r="H155" i="48"/>
  <c r="K155" i="48" s="1"/>
  <c r="Q154" i="48"/>
  <c r="P154" i="48"/>
  <c r="O154" i="48"/>
  <c r="H154" i="48"/>
  <c r="K154" i="48" s="1"/>
  <c r="Q153" i="48"/>
  <c r="P153" i="48"/>
  <c r="O153" i="48"/>
  <c r="H153" i="48"/>
  <c r="K153" i="48" s="1"/>
  <c r="Q152" i="48"/>
  <c r="P152" i="48"/>
  <c r="O152" i="48"/>
  <c r="K152" i="48"/>
  <c r="H152" i="48"/>
  <c r="Q151" i="48"/>
  <c r="P151" i="48"/>
  <c r="O151" i="48"/>
  <c r="H151" i="48"/>
  <c r="K151" i="48" s="1"/>
  <c r="Q150" i="48"/>
  <c r="P150" i="48"/>
  <c r="O150" i="48"/>
  <c r="H150" i="48"/>
  <c r="K150" i="48" s="1"/>
  <c r="Q149" i="48"/>
  <c r="P149" i="48"/>
  <c r="O149" i="48"/>
  <c r="H149" i="48"/>
  <c r="K149" i="48" s="1"/>
  <c r="Q148" i="48"/>
  <c r="P148" i="48"/>
  <c r="O148" i="48"/>
  <c r="H148" i="48"/>
  <c r="K148" i="48" s="1"/>
  <c r="Q147" i="48"/>
  <c r="P147" i="48"/>
  <c r="O147" i="48"/>
  <c r="H147" i="48"/>
  <c r="K147" i="48" s="1"/>
  <c r="Q146" i="48"/>
  <c r="P146" i="48"/>
  <c r="O146" i="48"/>
  <c r="K146" i="48"/>
  <c r="H146" i="48"/>
  <c r="R133" i="48"/>
  <c r="R129" i="48"/>
  <c r="R135" i="48" s="1"/>
  <c r="N125" i="48"/>
  <c r="J125" i="48"/>
  <c r="E125" i="48"/>
  <c r="Q124" i="48"/>
  <c r="P124" i="48"/>
  <c r="O124" i="48"/>
  <c r="H124" i="48"/>
  <c r="K124" i="48" s="1"/>
  <c r="Q123" i="48"/>
  <c r="P123" i="48"/>
  <c r="O123" i="48"/>
  <c r="H123" i="48"/>
  <c r="K123" i="48" s="1"/>
  <c r="Q122" i="48"/>
  <c r="P122" i="48"/>
  <c r="O122" i="48"/>
  <c r="H122" i="48"/>
  <c r="K122" i="48" s="1"/>
  <c r="Q121" i="48"/>
  <c r="P121" i="48"/>
  <c r="O121" i="48"/>
  <c r="H121" i="48"/>
  <c r="K121" i="48" s="1"/>
  <c r="Q120" i="48"/>
  <c r="P120" i="48"/>
  <c r="O120" i="48"/>
  <c r="H120" i="48"/>
  <c r="K120" i="48" s="1"/>
  <c r="Q119" i="48"/>
  <c r="P119" i="48"/>
  <c r="O119" i="48"/>
  <c r="H119" i="48"/>
  <c r="K119" i="48" s="1"/>
  <c r="Q118" i="48"/>
  <c r="P118" i="48"/>
  <c r="O118" i="48"/>
  <c r="H118" i="48"/>
  <c r="K118" i="48" s="1"/>
  <c r="Q117" i="48"/>
  <c r="P117" i="48"/>
  <c r="O117" i="48"/>
  <c r="H117" i="48"/>
  <c r="K117" i="48" s="1"/>
  <c r="Q116" i="48"/>
  <c r="P116" i="48"/>
  <c r="O116" i="48"/>
  <c r="H116" i="48"/>
  <c r="K116" i="48" s="1"/>
  <c r="Q115" i="48"/>
  <c r="P115" i="48"/>
  <c r="O115" i="48"/>
  <c r="H115" i="48"/>
  <c r="K115" i="48" s="1"/>
  <c r="Q114" i="48"/>
  <c r="P114" i="48"/>
  <c r="O114" i="48"/>
  <c r="H114" i="48"/>
  <c r="K114" i="48" s="1"/>
  <c r="Q113" i="48"/>
  <c r="P113" i="48"/>
  <c r="P125" i="48" s="1"/>
  <c r="O113" i="48"/>
  <c r="H113" i="48"/>
  <c r="K113" i="48" s="1"/>
  <c r="R100" i="48"/>
  <c r="R96" i="48"/>
  <c r="N92" i="48"/>
  <c r="J92" i="48"/>
  <c r="E92" i="48"/>
  <c r="Q91" i="48"/>
  <c r="P91" i="48"/>
  <c r="O91" i="48"/>
  <c r="H91" i="48"/>
  <c r="K91" i="48" s="1"/>
  <c r="Q90" i="48"/>
  <c r="P90" i="48"/>
  <c r="O90" i="48"/>
  <c r="H90" i="48"/>
  <c r="K90" i="48" s="1"/>
  <c r="Q89" i="48"/>
  <c r="P89" i="48"/>
  <c r="O89" i="48"/>
  <c r="H89" i="48"/>
  <c r="K89" i="48" s="1"/>
  <c r="Q88" i="48"/>
  <c r="P88" i="48"/>
  <c r="O88" i="48"/>
  <c r="H88" i="48"/>
  <c r="K88" i="48" s="1"/>
  <c r="Q87" i="48"/>
  <c r="P87" i="48"/>
  <c r="O87" i="48"/>
  <c r="K87" i="48"/>
  <c r="H87" i="48"/>
  <c r="Q86" i="48"/>
  <c r="P86" i="48"/>
  <c r="O86" i="48"/>
  <c r="H86" i="48"/>
  <c r="K86" i="48" s="1"/>
  <c r="Q85" i="48"/>
  <c r="P85" i="48"/>
  <c r="O85" i="48"/>
  <c r="H85" i="48"/>
  <c r="K85" i="48" s="1"/>
  <c r="Q84" i="48"/>
  <c r="P84" i="48"/>
  <c r="O84" i="48"/>
  <c r="H84" i="48"/>
  <c r="K84" i="48" s="1"/>
  <c r="Q83" i="48"/>
  <c r="P83" i="48"/>
  <c r="O83" i="48"/>
  <c r="H83" i="48"/>
  <c r="K83" i="48" s="1"/>
  <c r="Q82" i="48"/>
  <c r="P82" i="48"/>
  <c r="O82" i="48"/>
  <c r="H82" i="48"/>
  <c r="K82" i="48" s="1"/>
  <c r="Q81" i="48"/>
  <c r="P81" i="48"/>
  <c r="O81" i="48"/>
  <c r="H81" i="48"/>
  <c r="K81" i="48" s="1"/>
  <c r="Q80" i="48"/>
  <c r="P80" i="48"/>
  <c r="O80" i="48"/>
  <c r="H80" i="48"/>
  <c r="K80" i="48" s="1"/>
  <c r="R67" i="48"/>
  <c r="L67" i="48"/>
  <c r="R63" i="48"/>
  <c r="L63" i="48"/>
  <c r="N59" i="48"/>
  <c r="J59" i="48"/>
  <c r="E59" i="48"/>
  <c r="Q58" i="48"/>
  <c r="P58" i="48"/>
  <c r="O58" i="48"/>
  <c r="Q57" i="48"/>
  <c r="P57" i="48"/>
  <c r="O57" i="48"/>
  <c r="F57" i="48"/>
  <c r="Q56" i="48"/>
  <c r="P56" i="48"/>
  <c r="O56" i="48"/>
  <c r="Q55" i="48"/>
  <c r="P55" i="48"/>
  <c r="O55" i="48"/>
  <c r="Q54" i="48"/>
  <c r="P54" i="48"/>
  <c r="O54" i="48"/>
  <c r="Q53" i="48"/>
  <c r="P53" i="48"/>
  <c r="O53" i="48"/>
  <c r="Q52" i="48"/>
  <c r="P52" i="48"/>
  <c r="O52" i="48"/>
  <c r="Q51" i="48"/>
  <c r="P51" i="48"/>
  <c r="O51" i="48"/>
  <c r="H51" i="48"/>
  <c r="K51" i="48" s="1"/>
  <c r="Q50" i="48"/>
  <c r="P50" i="48"/>
  <c r="O50" i="48"/>
  <c r="H50" i="48"/>
  <c r="K50" i="48" s="1"/>
  <c r="Q49" i="48"/>
  <c r="P49" i="48"/>
  <c r="O49" i="48"/>
  <c r="H49" i="48"/>
  <c r="K49" i="48" s="1"/>
  <c r="Q48" i="48"/>
  <c r="P48" i="48"/>
  <c r="O48" i="48"/>
  <c r="H48" i="48"/>
  <c r="K48" i="48" s="1"/>
  <c r="G48" i="48"/>
  <c r="G49" i="48" s="1"/>
  <c r="G50" i="48" s="1"/>
  <c r="G51" i="48" s="1"/>
  <c r="G52" i="48" s="1"/>
  <c r="G53" i="48" s="1"/>
  <c r="G54" i="48" s="1"/>
  <c r="G55" i="48" s="1"/>
  <c r="G56" i="48" s="1"/>
  <c r="G57" i="48" s="1"/>
  <c r="G58" i="48" s="1"/>
  <c r="H58" i="48" s="1"/>
  <c r="K58" i="48" s="1"/>
  <c r="Q47" i="48"/>
  <c r="P47" i="48"/>
  <c r="R47" i="48" s="1"/>
  <c r="R48" i="48" s="1"/>
  <c r="R49" i="48" s="1"/>
  <c r="R50" i="48" s="1"/>
  <c r="R51" i="48" s="1"/>
  <c r="R52" i="48" s="1"/>
  <c r="R53" i="48" s="1"/>
  <c r="R54" i="48" s="1"/>
  <c r="R55" i="48" s="1"/>
  <c r="R56" i="48" s="1"/>
  <c r="R57" i="48" s="1"/>
  <c r="R58" i="48" s="1"/>
  <c r="R70" i="48" s="1"/>
  <c r="O47" i="48"/>
  <c r="H47" i="48"/>
  <c r="K47" i="48" s="1"/>
  <c r="L47" i="48" s="1"/>
  <c r="R34" i="48"/>
  <c r="R30" i="48"/>
  <c r="N26" i="48"/>
  <c r="J26" i="48"/>
  <c r="E26" i="48"/>
  <c r="Q25" i="48"/>
  <c r="P25" i="48"/>
  <c r="O25" i="48"/>
  <c r="Q24" i="48"/>
  <c r="P24" i="48"/>
  <c r="O24" i="48"/>
  <c r="F24" i="48"/>
  <c r="F23" i="48" s="1"/>
  <c r="Q23" i="48"/>
  <c r="P23" i="48"/>
  <c r="O23" i="48"/>
  <c r="Q22" i="48"/>
  <c r="P22" i="48"/>
  <c r="O22" i="48"/>
  <c r="Q21" i="48"/>
  <c r="P21" i="48"/>
  <c r="O21" i="48"/>
  <c r="Q20" i="48"/>
  <c r="P20" i="48"/>
  <c r="O20" i="48"/>
  <c r="Q19" i="48"/>
  <c r="P19" i="48"/>
  <c r="O19" i="48"/>
  <c r="Q18" i="48"/>
  <c r="P18" i="48"/>
  <c r="O18" i="48"/>
  <c r="H18" i="48"/>
  <c r="K18" i="48" s="1"/>
  <c r="Q17" i="48"/>
  <c r="P17" i="48"/>
  <c r="O17" i="48"/>
  <c r="H17" i="48"/>
  <c r="K17" i="48" s="1"/>
  <c r="Q16" i="48"/>
  <c r="P16" i="48"/>
  <c r="O16" i="48"/>
  <c r="H16" i="48"/>
  <c r="K16" i="48" s="1"/>
  <c r="B16" i="48"/>
  <c r="B17" i="48" s="1"/>
  <c r="B18" i="48" s="1"/>
  <c r="B19" i="48" s="1"/>
  <c r="B20" i="48" s="1"/>
  <c r="B21" i="48" s="1"/>
  <c r="B22" i="48" s="1"/>
  <c r="B23" i="48" s="1"/>
  <c r="B24" i="48" s="1"/>
  <c r="B25" i="48" s="1"/>
  <c r="Q15" i="48"/>
  <c r="P15" i="48"/>
  <c r="O15" i="48"/>
  <c r="H15" i="48"/>
  <c r="K15" i="48" s="1"/>
  <c r="G15" i="48"/>
  <c r="G16" i="48" s="1"/>
  <c r="G17" i="48" s="1"/>
  <c r="G18" i="48" s="1"/>
  <c r="G19" i="48" s="1"/>
  <c r="G20" i="48" s="1"/>
  <c r="G21" i="48" s="1"/>
  <c r="G22" i="48" s="1"/>
  <c r="G23" i="48" s="1"/>
  <c r="G24" i="48" s="1"/>
  <c r="Q14" i="48"/>
  <c r="R14" i="48" s="1"/>
  <c r="R15" i="48" s="1"/>
  <c r="P14" i="48"/>
  <c r="O14" i="48"/>
  <c r="H14" i="48"/>
  <c r="K14" i="48" s="1"/>
  <c r="L14" i="48" s="1"/>
  <c r="B14" i="48"/>
  <c r="B15" i="48" s="1"/>
  <c r="Q90" i="52" l="1"/>
  <c r="J49" i="51"/>
  <c r="K49" i="51" s="1"/>
  <c r="L49" i="51" s="1"/>
  <c r="J50" i="51"/>
  <c r="J58" i="51"/>
  <c r="J59" i="51"/>
  <c r="J60" i="51"/>
  <c r="Q60" i="51" s="1"/>
  <c r="J53" i="51"/>
  <c r="K53" i="51" s="1"/>
  <c r="J56" i="51"/>
  <c r="K56" i="51" s="1"/>
  <c r="J51" i="51"/>
  <c r="J54" i="51"/>
  <c r="Q54" i="51" s="1"/>
  <c r="J52" i="51"/>
  <c r="J57" i="51"/>
  <c r="J55" i="51"/>
  <c r="G71" i="49"/>
  <c r="G77" i="49" s="1"/>
  <c r="G11" i="49" s="1"/>
  <c r="L14" i="51"/>
  <c r="L196" i="51"/>
  <c r="R16" i="53"/>
  <c r="X16" i="53" s="1"/>
  <c r="AF16" i="53" s="1"/>
  <c r="Q125" i="48"/>
  <c r="O158" i="48"/>
  <c r="E68" i="49"/>
  <c r="E130" i="49"/>
  <c r="E134" i="49" s="1"/>
  <c r="E154" i="49"/>
  <c r="E158" i="49" s="1"/>
  <c r="E165" i="49" s="1"/>
  <c r="Q184" i="52"/>
  <c r="O198" i="52"/>
  <c r="J43" i="53"/>
  <c r="R43" i="53" s="1"/>
  <c r="X43" i="53" s="1"/>
  <c r="AF43" i="53" s="1"/>
  <c r="J48" i="53"/>
  <c r="J63" i="53"/>
  <c r="R63" i="53" s="1"/>
  <c r="X63" i="53" s="1"/>
  <c r="AF63" i="53" s="1"/>
  <c r="R95" i="53"/>
  <c r="X95" i="53" s="1"/>
  <c r="AF95" i="53" s="1"/>
  <c r="E67" i="49"/>
  <c r="L69" i="48"/>
  <c r="L151" i="51"/>
  <c r="Q195" i="52"/>
  <c r="J17" i="53"/>
  <c r="J19" i="53"/>
  <c r="P20" i="53"/>
  <c r="R20" i="53" s="1"/>
  <c r="X20" i="53" s="1"/>
  <c r="AF20" i="53" s="1"/>
  <c r="P21" i="53"/>
  <c r="P33" i="53"/>
  <c r="P34" i="53"/>
  <c r="J38" i="53"/>
  <c r="J45" i="53"/>
  <c r="J50" i="53"/>
  <c r="J55" i="53"/>
  <c r="J57" i="53"/>
  <c r="R57" i="53" s="1"/>
  <c r="X57" i="53" s="1"/>
  <c r="AF57" i="53" s="1"/>
  <c r="P59" i="53"/>
  <c r="J67" i="53"/>
  <c r="J70" i="53"/>
  <c r="P75" i="53"/>
  <c r="R75" i="53" s="1"/>
  <c r="J97" i="53"/>
  <c r="J100" i="53"/>
  <c r="R100" i="53" s="1"/>
  <c r="X100" i="53" s="1"/>
  <c r="AF100" i="53" s="1"/>
  <c r="P106" i="53"/>
  <c r="P107" i="53"/>
  <c r="R102" i="48"/>
  <c r="R16" i="48"/>
  <c r="R17" i="48" s="1"/>
  <c r="R18" i="48" s="1"/>
  <c r="R19" i="48" s="1"/>
  <c r="R20" i="48" s="1"/>
  <c r="R21" i="48" s="1"/>
  <c r="R22" i="48" s="1"/>
  <c r="R23" i="48" s="1"/>
  <c r="R24" i="48" s="1"/>
  <c r="R25" i="48" s="1"/>
  <c r="R37" i="48" s="1"/>
  <c r="R36" i="48"/>
  <c r="O92" i="48"/>
  <c r="I141" i="49"/>
  <c r="F243" i="49"/>
  <c r="F249" i="49" s="1"/>
  <c r="F258" i="49"/>
  <c r="O18" i="51"/>
  <c r="P19" i="51"/>
  <c r="P28" i="51" s="1"/>
  <c r="O21" i="51"/>
  <c r="O23" i="51"/>
  <c r="O25" i="51"/>
  <c r="P26" i="51"/>
  <c r="O52" i="51"/>
  <c r="P53" i="51"/>
  <c r="O56" i="51"/>
  <c r="O58" i="51"/>
  <c r="P60" i="51"/>
  <c r="P82" i="51"/>
  <c r="R82" i="51" s="1"/>
  <c r="P84" i="51"/>
  <c r="O90" i="51"/>
  <c r="O92" i="51"/>
  <c r="P129" i="51"/>
  <c r="P131" i="51"/>
  <c r="O137" i="51"/>
  <c r="O139" i="51"/>
  <c r="P162" i="51"/>
  <c r="R162" i="51" s="1"/>
  <c r="O163" i="51"/>
  <c r="P167" i="51"/>
  <c r="P170" i="51"/>
  <c r="O173" i="51"/>
  <c r="R184" i="51"/>
  <c r="P203" i="51"/>
  <c r="M109" i="52"/>
  <c r="Q162" i="52"/>
  <c r="J12" i="53"/>
  <c r="J28" i="53"/>
  <c r="J31" i="53"/>
  <c r="J32" i="53"/>
  <c r="J39" i="53"/>
  <c r="J41" i="53"/>
  <c r="J42" i="53"/>
  <c r="J51" i="53"/>
  <c r="R51" i="53" s="1"/>
  <c r="X51" i="53" s="1"/>
  <c r="AF51" i="53" s="1"/>
  <c r="P52" i="53"/>
  <c r="P53" i="53"/>
  <c r="J60" i="53"/>
  <c r="P65" i="53"/>
  <c r="R65" i="53" s="1"/>
  <c r="X65" i="53" s="1"/>
  <c r="AF65" i="53" s="1"/>
  <c r="P67" i="53"/>
  <c r="P68" i="53"/>
  <c r="J76" i="53"/>
  <c r="P80" i="53"/>
  <c r="R80" i="53" s="1"/>
  <c r="X80" i="53" s="1"/>
  <c r="AF80" i="53" s="1"/>
  <c r="P82" i="53"/>
  <c r="R82" i="53" s="1"/>
  <c r="X82" i="53" s="1"/>
  <c r="AF82" i="53" s="1"/>
  <c r="H123" i="53"/>
  <c r="J90" i="53"/>
  <c r="P91" i="53"/>
  <c r="R91" i="53" s="1"/>
  <c r="X91" i="53" s="1"/>
  <c r="AF91" i="53" s="1"/>
  <c r="P92" i="53"/>
  <c r="P94" i="53"/>
  <c r="P95" i="53"/>
  <c r="P96" i="53"/>
  <c r="P98" i="53"/>
  <c r="R99" i="53"/>
  <c r="X99" i="53" s="1"/>
  <c r="AF99" i="53" s="1"/>
  <c r="J103" i="53"/>
  <c r="J104" i="53"/>
  <c r="R104" i="53" s="1"/>
  <c r="X104" i="53" s="1"/>
  <c r="AF104" i="53" s="1"/>
  <c r="J105" i="53"/>
  <c r="P108" i="53"/>
  <c r="P109" i="53"/>
  <c r="J114" i="53"/>
  <c r="J115" i="53"/>
  <c r="J116" i="53"/>
  <c r="R116" i="53" s="1"/>
  <c r="X116" i="53" s="1"/>
  <c r="AF116" i="53" s="1"/>
  <c r="P118" i="53"/>
  <c r="P119" i="53"/>
  <c r="R119" i="53" s="1"/>
  <c r="X119" i="53" s="1"/>
  <c r="AF119" i="53" s="1"/>
  <c r="F112" i="49"/>
  <c r="G257" i="49"/>
  <c r="I179" i="49"/>
  <c r="H285" i="49"/>
  <c r="O59" i="48"/>
  <c r="G111" i="49"/>
  <c r="G134" i="49"/>
  <c r="G137" i="49"/>
  <c r="E137" i="49" s="1"/>
  <c r="R48" i="53"/>
  <c r="X48" i="53" s="1"/>
  <c r="AF48" i="53" s="1"/>
  <c r="R84" i="53"/>
  <c r="X84" i="53" s="1"/>
  <c r="AF84" i="53" s="1"/>
  <c r="R101" i="53"/>
  <c r="X101" i="53" s="1"/>
  <c r="AF101" i="53" s="1"/>
  <c r="Q26" i="48"/>
  <c r="G258" i="49"/>
  <c r="G243" i="49"/>
  <c r="G249" i="49" s="1"/>
  <c r="H257" i="49"/>
  <c r="H259" i="49" s="1"/>
  <c r="J23" i="51"/>
  <c r="Q23" i="51" s="1"/>
  <c r="K50" i="51"/>
  <c r="R70" i="53"/>
  <c r="V70" i="53" s="1"/>
  <c r="X70" i="53" s="1"/>
  <c r="AF70" i="53" s="1"/>
  <c r="P78" i="53"/>
  <c r="R78" i="53" s="1"/>
  <c r="X78" i="53" s="1"/>
  <c r="AF78" i="53" s="1"/>
  <c r="O209" i="52"/>
  <c r="Q209" i="52" s="1"/>
  <c r="O175" i="52"/>
  <c r="P158" i="48"/>
  <c r="O93" i="52"/>
  <c r="J27" i="51"/>
  <c r="Q27" i="51" s="1"/>
  <c r="J25" i="51"/>
  <c r="Q25" i="51" s="1"/>
  <c r="J24" i="51"/>
  <c r="Q24" i="51" s="1"/>
  <c r="J16" i="51"/>
  <c r="J20" i="51"/>
  <c r="Q20" i="51" s="1"/>
  <c r="J19" i="51"/>
  <c r="J18" i="51"/>
  <c r="Q18" i="51" s="1"/>
  <c r="J17" i="51"/>
  <c r="K17" i="51" s="1"/>
  <c r="Q59" i="51"/>
  <c r="Q58" i="51"/>
  <c r="Q57" i="51"/>
  <c r="Q55" i="51"/>
  <c r="K52" i="51"/>
  <c r="Q139" i="52"/>
  <c r="L48" i="48"/>
  <c r="Q92" i="48"/>
  <c r="K125" i="48"/>
  <c r="R113" i="48"/>
  <c r="R114" i="48" s="1"/>
  <c r="R115" i="48" s="1"/>
  <c r="R116" i="48" s="1"/>
  <c r="R117" i="48" s="1"/>
  <c r="R118" i="48" s="1"/>
  <c r="R119" i="48" s="1"/>
  <c r="R120" i="48" s="1"/>
  <c r="R121" i="48" s="1"/>
  <c r="R122" i="48" s="1"/>
  <c r="R123" i="48" s="1"/>
  <c r="R124" i="48" s="1"/>
  <c r="R136" i="48" s="1"/>
  <c r="R137" i="48" s="1"/>
  <c r="L168" i="48"/>
  <c r="E64" i="49"/>
  <c r="I113" i="49"/>
  <c r="I98" i="49"/>
  <c r="I112" i="49"/>
  <c r="F141" i="49"/>
  <c r="F147" i="49" s="1"/>
  <c r="F13" i="49" s="1"/>
  <c r="E136" i="49"/>
  <c r="F165" i="49"/>
  <c r="F171" i="49" s="1"/>
  <c r="E207" i="49"/>
  <c r="E214" i="49" s="1"/>
  <c r="E277" i="49"/>
  <c r="E283" i="49" s="1"/>
  <c r="G13" i="9" s="1"/>
  <c r="J21" i="51"/>
  <c r="Q21" i="51" s="1"/>
  <c r="J22" i="51"/>
  <c r="Q22" i="51" s="1"/>
  <c r="Q51" i="51"/>
  <c r="H172" i="51"/>
  <c r="K172" i="51" s="1"/>
  <c r="F171" i="51"/>
  <c r="O28" i="52"/>
  <c r="J18" i="53"/>
  <c r="P19" i="53"/>
  <c r="P28" i="53"/>
  <c r="R28" i="53" s="1"/>
  <c r="X28" i="53" s="1"/>
  <c r="AF28" i="53" s="1"/>
  <c r="R97" i="53"/>
  <c r="X97" i="53" s="1"/>
  <c r="AF97" i="53" s="1"/>
  <c r="P103" i="53"/>
  <c r="P104" i="53"/>
  <c r="F71" i="49"/>
  <c r="F77" i="49" s="1"/>
  <c r="F11" i="49" s="1"/>
  <c r="E69" i="49"/>
  <c r="F259" i="49"/>
  <c r="Q94" i="51"/>
  <c r="P22" i="53"/>
  <c r="R22" i="53" s="1"/>
  <c r="X22" i="53" s="1"/>
  <c r="AF22" i="53" s="1"/>
  <c r="J25" i="53"/>
  <c r="P26" i="53"/>
  <c r="R27" i="53"/>
  <c r="X27" i="53" s="1"/>
  <c r="AF27" i="53" s="1"/>
  <c r="J30" i="53"/>
  <c r="R30" i="53" s="1"/>
  <c r="X30" i="53" s="1"/>
  <c r="AF30" i="53" s="1"/>
  <c r="R42" i="53"/>
  <c r="X42" i="53" s="1"/>
  <c r="AF42" i="53" s="1"/>
  <c r="R45" i="53"/>
  <c r="X45" i="53" s="1"/>
  <c r="AF45" i="53" s="1"/>
  <c r="R49" i="53"/>
  <c r="X49" i="53" s="1"/>
  <c r="AF49" i="53" s="1"/>
  <c r="R61" i="53"/>
  <c r="X61" i="53" s="1"/>
  <c r="AF61" i="53" s="1"/>
  <c r="P79" i="53"/>
  <c r="J83" i="53"/>
  <c r="R83" i="53" s="1"/>
  <c r="X83" i="53" s="1"/>
  <c r="AF83" i="53" s="1"/>
  <c r="F90" i="51"/>
  <c r="H91" i="51"/>
  <c r="K91" i="51" s="1"/>
  <c r="O80" i="52"/>
  <c r="Q80" i="52" s="1"/>
  <c r="Q26" i="52"/>
  <c r="Q57" i="52"/>
  <c r="Q59" i="52" s="1"/>
  <c r="K80" i="52"/>
  <c r="Q187" i="52"/>
  <c r="R17" i="53"/>
  <c r="X17" i="53" s="1"/>
  <c r="AF17" i="53" s="1"/>
  <c r="J21" i="53"/>
  <c r="R26" i="53"/>
  <c r="X26" i="53" s="1"/>
  <c r="AF26" i="53" s="1"/>
  <c r="R31" i="53"/>
  <c r="X31" i="53" s="1"/>
  <c r="AF31" i="53" s="1"/>
  <c r="P32" i="53"/>
  <c r="R33" i="53"/>
  <c r="X33" i="53" s="1"/>
  <c r="AF33" i="53" s="1"/>
  <c r="P35" i="53"/>
  <c r="R35" i="53" s="1"/>
  <c r="X35" i="53" s="1"/>
  <c r="AF35" i="53" s="1"/>
  <c r="R36" i="53"/>
  <c r="X36" i="53" s="1"/>
  <c r="AF36" i="53" s="1"/>
  <c r="J47" i="53"/>
  <c r="R47" i="53" s="1"/>
  <c r="X47" i="53" s="1"/>
  <c r="AF47" i="53" s="1"/>
  <c r="P50" i="53"/>
  <c r="R50" i="53" s="1"/>
  <c r="X50" i="53" s="1"/>
  <c r="AF50" i="53" s="1"/>
  <c r="J53" i="53"/>
  <c r="R53" i="53" s="1"/>
  <c r="X53" i="53" s="1"/>
  <c r="AF53" i="53" s="1"/>
  <c r="R54" i="53"/>
  <c r="X54" i="53" s="1"/>
  <c r="AF54" i="53" s="1"/>
  <c r="J69" i="53"/>
  <c r="R69" i="53" s="1"/>
  <c r="P90" i="53"/>
  <c r="R90" i="53" s="1"/>
  <c r="X90" i="53" s="1"/>
  <c r="AF90" i="53" s="1"/>
  <c r="J107" i="53"/>
  <c r="R107" i="53" s="1"/>
  <c r="X107" i="53" s="1"/>
  <c r="AF107" i="53" s="1"/>
  <c r="P110" i="53"/>
  <c r="R110" i="53" s="1"/>
  <c r="X110" i="53" s="1"/>
  <c r="AF110" i="53" s="1"/>
  <c r="J113" i="53"/>
  <c r="R113" i="53" s="1"/>
  <c r="X113" i="53" s="1"/>
  <c r="AF113" i="53" s="1"/>
  <c r="R115" i="53"/>
  <c r="X115" i="53" s="1"/>
  <c r="AF115" i="53" s="1"/>
  <c r="Q141" i="51"/>
  <c r="R151" i="51"/>
  <c r="O206" i="51"/>
  <c r="Q89" i="52"/>
  <c r="K189" i="52"/>
  <c r="K198" i="52"/>
  <c r="Q194" i="52"/>
  <c r="Q196" i="52"/>
  <c r="R18" i="53"/>
  <c r="X18" i="53" s="1"/>
  <c r="AF18" i="53" s="1"/>
  <c r="R55" i="53"/>
  <c r="X55" i="53" s="1"/>
  <c r="AF55" i="53" s="1"/>
  <c r="J59" i="53"/>
  <c r="R59" i="53" s="1"/>
  <c r="X59" i="53" s="1"/>
  <c r="AF59" i="53" s="1"/>
  <c r="R60" i="53"/>
  <c r="X60" i="53" s="1"/>
  <c r="AF60" i="53" s="1"/>
  <c r="P61" i="53"/>
  <c r="J75" i="53"/>
  <c r="R76" i="53"/>
  <c r="X76" i="53" s="1"/>
  <c r="AF76" i="53" s="1"/>
  <c r="J79" i="53"/>
  <c r="R79" i="53" s="1"/>
  <c r="X79" i="53" s="1"/>
  <c r="AF79" i="53" s="1"/>
  <c r="R98" i="53"/>
  <c r="X98" i="53" s="1"/>
  <c r="AF98" i="53" s="1"/>
  <c r="P117" i="53"/>
  <c r="R117" i="53" s="1"/>
  <c r="X117" i="53" s="1"/>
  <c r="AF117" i="53" s="1"/>
  <c r="L83" i="51"/>
  <c r="L84" i="51" s="1"/>
  <c r="L197" i="51"/>
  <c r="O25" i="52"/>
  <c r="Q91" i="52"/>
  <c r="M75" i="52"/>
  <c r="Q140" i="52"/>
  <c r="K164" i="52"/>
  <c r="K180" i="52"/>
  <c r="K200" i="52" s="1"/>
  <c r="K214" i="52"/>
  <c r="O210" i="52"/>
  <c r="Q210" i="52" s="1"/>
  <c r="J14" i="53"/>
  <c r="R14" i="53" s="1"/>
  <c r="X14" i="53" s="1"/>
  <c r="AF14" i="53" s="1"/>
  <c r="P29" i="53"/>
  <c r="R29" i="53" s="1"/>
  <c r="X29" i="53" s="1"/>
  <c r="AF29" i="53" s="1"/>
  <c r="J34" i="53"/>
  <c r="R34" i="53" s="1"/>
  <c r="X34" i="53" s="1"/>
  <c r="AF34" i="53" s="1"/>
  <c r="J37" i="53"/>
  <c r="R37" i="53" s="1"/>
  <c r="X37" i="53" s="1"/>
  <c r="AF37" i="53" s="1"/>
  <c r="J46" i="53"/>
  <c r="R46" i="53" s="1"/>
  <c r="X46" i="53" s="1"/>
  <c r="AF46" i="53" s="1"/>
  <c r="P58" i="53"/>
  <c r="J62" i="53"/>
  <c r="P70" i="53"/>
  <c r="N123" i="53"/>
  <c r="L86" i="53"/>
  <c r="J94" i="53"/>
  <c r="R94" i="53" s="1"/>
  <c r="X94" i="53" s="1"/>
  <c r="AF94" i="53" s="1"/>
  <c r="J102" i="53"/>
  <c r="R102" i="53" s="1"/>
  <c r="X102" i="53" s="1"/>
  <c r="AF102" i="53" s="1"/>
  <c r="J106" i="53"/>
  <c r="R106" i="53" s="1"/>
  <c r="X106" i="53" s="1"/>
  <c r="AF106" i="53" s="1"/>
  <c r="P114" i="53"/>
  <c r="R114" i="53" s="1"/>
  <c r="X114" i="53" s="1"/>
  <c r="AF114" i="53" s="1"/>
  <c r="J117" i="53"/>
  <c r="J118" i="53"/>
  <c r="R118" i="53" s="1"/>
  <c r="X118" i="53" s="1"/>
  <c r="AF118" i="53" s="1"/>
  <c r="G59" i="51"/>
  <c r="H58" i="51"/>
  <c r="G25" i="48"/>
  <c r="H25" i="48" s="1"/>
  <c r="K25" i="48" s="1"/>
  <c r="H24" i="48"/>
  <c r="K24" i="48" s="1"/>
  <c r="J37" i="48"/>
  <c r="B26" i="48"/>
  <c r="B28" i="48" s="1"/>
  <c r="N37" i="48"/>
  <c r="D26" i="48"/>
  <c r="L49" i="48"/>
  <c r="H26" i="51"/>
  <c r="K26" i="51" s="1"/>
  <c r="G27" i="51"/>
  <c r="H27" i="51" s="1"/>
  <c r="K92" i="48"/>
  <c r="F56" i="48"/>
  <c r="H57" i="48"/>
  <c r="K57" i="48" s="1"/>
  <c r="I257" i="49"/>
  <c r="I259" i="49" s="1"/>
  <c r="I214" i="49"/>
  <c r="L15" i="48"/>
  <c r="L16" i="48" s="1"/>
  <c r="L17" i="48" s="1"/>
  <c r="L18" i="48" s="1"/>
  <c r="K158" i="48"/>
  <c r="Q158" i="48"/>
  <c r="R146" i="48"/>
  <c r="R147" i="48" s="1"/>
  <c r="R148" i="48" s="1"/>
  <c r="R149" i="48" s="1"/>
  <c r="R150" i="48" s="1"/>
  <c r="R151" i="48" s="1"/>
  <c r="R152" i="48" s="1"/>
  <c r="R153" i="48" s="1"/>
  <c r="R154" i="48" s="1"/>
  <c r="R155" i="48" s="1"/>
  <c r="R156" i="48" s="1"/>
  <c r="R157" i="48" s="1"/>
  <c r="R169" i="48" s="1"/>
  <c r="G112" i="49"/>
  <c r="E112" i="49" s="1"/>
  <c r="G98" i="49"/>
  <c r="G104" i="49" s="1"/>
  <c r="H258" i="49"/>
  <c r="E258" i="49" s="1"/>
  <c r="H243" i="49"/>
  <c r="B28" i="51"/>
  <c r="B30" i="51" s="1"/>
  <c r="N39" i="51"/>
  <c r="J39" i="51"/>
  <c r="H56" i="51"/>
  <c r="H23" i="48"/>
  <c r="K23" i="48" s="1"/>
  <c r="F22" i="48"/>
  <c r="R38" i="48"/>
  <c r="L50" i="48"/>
  <c r="L51" i="48" s="1"/>
  <c r="F113" i="49"/>
  <c r="G178" i="49"/>
  <c r="H134" i="49"/>
  <c r="F24" i="51"/>
  <c r="H25" i="51"/>
  <c r="K25" i="51" s="1"/>
  <c r="H55" i="51"/>
  <c r="Q17" i="52"/>
  <c r="O105" i="52"/>
  <c r="Q105" i="52" s="1"/>
  <c r="O71" i="52"/>
  <c r="L113" i="48"/>
  <c r="L114" i="48" s="1"/>
  <c r="L115" i="48" s="1"/>
  <c r="L116" i="48" s="1"/>
  <c r="L117" i="48" s="1"/>
  <c r="L118" i="48" s="1"/>
  <c r="L119" i="48" s="1"/>
  <c r="L120" i="48" s="1"/>
  <c r="L121" i="48" s="1"/>
  <c r="L122" i="48" s="1"/>
  <c r="L123" i="48" s="1"/>
  <c r="L124" i="48" s="1"/>
  <c r="L136" i="48" s="1"/>
  <c r="P26" i="48"/>
  <c r="O26" i="48"/>
  <c r="P59" i="48"/>
  <c r="R69" i="48"/>
  <c r="R71" i="48" s="1"/>
  <c r="O125" i="48"/>
  <c r="L146" i="48"/>
  <c r="L147" i="48" s="1"/>
  <c r="L148" i="48" s="1"/>
  <c r="L149" i="48" s="1"/>
  <c r="L150" i="48" s="1"/>
  <c r="L151" i="48" s="1"/>
  <c r="L152" i="48" s="1"/>
  <c r="L153" i="48" s="1"/>
  <c r="L154" i="48" s="1"/>
  <c r="L155" i="48" s="1"/>
  <c r="L156" i="48" s="1"/>
  <c r="L157" i="48" s="1"/>
  <c r="L169" i="48" s="1"/>
  <c r="L170" i="48" s="1"/>
  <c r="H89" i="1" s="1"/>
  <c r="R168" i="48"/>
  <c r="I178" i="49"/>
  <c r="I180" i="49" s="1"/>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09" i="52"/>
  <c r="C210" i="52" s="1"/>
  <c r="C211" i="52" s="1"/>
  <c r="C212" i="52" s="1"/>
  <c r="C214" i="52" s="1"/>
  <c r="C216" i="52" s="1"/>
  <c r="C218" i="52" s="1"/>
  <c r="C227" i="52" s="1"/>
  <c r="C228" i="52" s="1"/>
  <c r="C230" i="52" s="1"/>
  <c r="C241" i="52" s="1"/>
  <c r="C242" i="52" s="1"/>
  <c r="C244" i="52" s="1"/>
  <c r="L30" i="51"/>
  <c r="L32" i="51" s="1"/>
  <c r="L63" i="51"/>
  <c r="L65" i="51" s="1"/>
  <c r="M84" i="52"/>
  <c r="M95" i="52" s="1"/>
  <c r="L130" i="51"/>
  <c r="L131" i="51" s="1"/>
  <c r="L132" i="51" s="1"/>
  <c r="L133" i="51" s="1"/>
  <c r="L198" i="51"/>
  <c r="L199" i="51" s="1"/>
  <c r="Q59" i="48"/>
  <c r="P92" i="48"/>
  <c r="R80" i="48"/>
  <c r="R81" i="48" s="1"/>
  <c r="R82" i="48" s="1"/>
  <c r="R83" i="48" s="1"/>
  <c r="R84" i="48" s="1"/>
  <c r="R85" i="48" s="1"/>
  <c r="R86" i="48" s="1"/>
  <c r="R87" i="48" s="1"/>
  <c r="R88" i="48" s="1"/>
  <c r="R89" i="48" s="1"/>
  <c r="R90" i="48" s="1"/>
  <c r="R91" i="48" s="1"/>
  <c r="R103" i="48" s="1"/>
  <c r="R104" i="48" s="1"/>
  <c r="H111" i="49"/>
  <c r="H113" i="49" s="1"/>
  <c r="H71" i="49"/>
  <c r="G179" i="49"/>
  <c r="G165" i="49"/>
  <c r="G171" i="49" s="1"/>
  <c r="D28" i="51"/>
  <c r="L85" i="51"/>
  <c r="L86" i="51" s="1"/>
  <c r="H138" i="51"/>
  <c r="K138" i="51" s="1"/>
  <c r="F137" i="51"/>
  <c r="H158" i="49"/>
  <c r="F178" i="49"/>
  <c r="Q19" i="51"/>
  <c r="K19" i="51"/>
  <c r="Q56" i="51"/>
  <c r="F170" i="51"/>
  <c r="H171" i="51"/>
  <c r="K171" i="51" s="1"/>
  <c r="I71" i="49"/>
  <c r="H98" i="49"/>
  <c r="F214" i="49"/>
  <c r="F220" i="49" s="1"/>
  <c r="I243" i="49"/>
  <c r="L80" i="48"/>
  <c r="Q26" i="51"/>
  <c r="K27" i="51"/>
  <c r="H139" i="51"/>
  <c r="K139" i="51" s="1"/>
  <c r="G140" i="51"/>
  <c r="H140" i="51" s="1"/>
  <c r="K140" i="51" s="1"/>
  <c r="L162" i="51"/>
  <c r="L163" i="51" s="1"/>
  <c r="L164" i="51" s="1"/>
  <c r="L165" i="51" s="1"/>
  <c r="L166" i="51" s="1"/>
  <c r="R217" i="51"/>
  <c r="H54" i="51"/>
  <c r="K54" i="51" s="1"/>
  <c r="H92" i="51"/>
  <c r="K92" i="51" s="1"/>
  <c r="H202" i="51"/>
  <c r="K202" i="51" s="1"/>
  <c r="F201" i="51"/>
  <c r="R104" i="51"/>
  <c r="P165" i="51"/>
  <c r="L184" i="51"/>
  <c r="P195" i="51"/>
  <c r="O196" i="51"/>
  <c r="O199" i="51"/>
  <c r="P201" i="51"/>
  <c r="H205" i="51"/>
  <c r="K205" i="51" s="1"/>
  <c r="P205" i="51"/>
  <c r="Q175" i="52"/>
  <c r="M180" i="52"/>
  <c r="H57" i="51"/>
  <c r="O85" i="51"/>
  <c r="P86" i="51"/>
  <c r="P87" i="51"/>
  <c r="P88" i="51"/>
  <c r="P89" i="51"/>
  <c r="P90" i="51"/>
  <c r="P91" i="51"/>
  <c r="P92" i="51"/>
  <c r="O132" i="51"/>
  <c r="P133" i="51"/>
  <c r="P134" i="51"/>
  <c r="P135" i="51"/>
  <c r="P136" i="51"/>
  <c r="P137" i="51"/>
  <c r="P138" i="51"/>
  <c r="P139" i="51"/>
  <c r="O162" i="51"/>
  <c r="P164" i="51"/>
  <c r="Q207" i="51"/>
  <c r="O198" i="51"/>
  <c r="P199" i="51"/>
  <c r="P200" i="51"/>
  <c r="O203" i="51"/>
  <c r="O72" i="52"/>
  <c r="Q72" i="52" s="1"/>
  <c r="Q18" i="52"/>
  <c r="O71" i="53"/>
  <c r="P13" i="53"/>
  <c r="H203" i="51"/>
  <c r="K203" i="51" s="1"/>
  <c r="H204" i="51"/>
  <c r="K204" i="51" s="1"/>
  <c r="E237" i="51"/>
  <c r="P206" i="51"/>
  <c r="O204" i="51"/>
  <c r="O202" i="51"/>
  <c r="O200" i="51"/>
  <c r="O197" i="51"/>
  <c r="P196" i="51"/>
  <c r="P173" i="51"/>
  <c r="O171" i="51"/>
  <c r="O169" i="51"/>
  <c r="O167" i="51"/>
  <c r="O164" i="51"/>
  <c r="P163" i="51"/>
  <c r="P140" i="51"/>
  <c r="O138" i="51"/>
  <c r="O136" i="51"/>
  <c r="O134" i="51"/>
  <c r="O131" i="51"/>
  <c r="P130" i="51"/>
  <c r="P93" i="51"/>
  <c r="O91" i="51"/>
  <c r="O89" i="51"/>
  <c r="O87" i="51"/>
  <c r="O84" i="51"/>
  <c r="P83" i="51"/>
  <c r="O60" i="51"/>
  <c r="P58" i="51"/>
  <c r="O57" i="51"/>
  <c r="P54" i="51"/>
  <c r="O53" i="51"/>
  <c r="K105" i="52"/>
  <c r="K71" i="52"/>
  <c r="I71" i="53"/>
  <c r="J13" i="53"/>
  <c r="Q141" i="52"/>
  <c r="Q144" i="52" s="1"/>
  <c r="O177" i="52"/>
  <c r="Q177" i="52" s="1"/>
  <c r="Q193" i="52"/>
  <c r="M198" i="52"/>
  <c r="R19" i="53"/>
  <c r="X19" i="53" s="1"/>
  <c r="AF19" i="53" s="1"/>
  <c r="R23" i="53"/>
  <c r="X23" i="53" s="1"/>
  <c r="AF23" i="53" s="1"/>
  <c r="R38" i="53"/>
  <c r="X38" i="53" s="1"/>
  <c r="AF38" i="53" s="1"/>
  <c r="R41" i="53"/>
  <c r="X41" i="53" s="1"/>
  <c r="AF41" i="53" s="1"/>
  <c r="R44" i="53"/>
  <c r="X44" i="53" s="1"/>
  <c r="AF44" i="53" s="1"/>
  <c r="R105" i="53"/>
  <c r="X105" i="53" s="1"/>
  <c r="AF105" i="53" s="1"/>
  <c r="R111" i="53"/>
  <c r="X111" i="53" s="1"/>
  <c r="AF111" i="53" s="1"/>
  <c r="L217" i="51"/>
  <c r="M41" i="52"/>
  <c r="Q39" i="52"/>
  <c r="K72" i="52"/>
  <c r="O212" i="52"/>
  <c r="Q212" i="52" s="1"/>
  <c r="O178" i="52"/>
  <c r="Q178" i="52" s="1"/>
  <c r="O144" i="52"/>
  <c r="O164" i="52" s="1"/>
  <c r="R21" i="53"/>
  <c r="X21" i="53" s="1"/>
  <c r="AF21" i="53" s="1"/>
  <c r="R39" i="53"/>
  <c r="X39" i="53" s="1"/>
  <c r="AF39" i="53" s="1"/>
  <c r="R40" i="53"/>
  <c r="X40" i="53" s="1"/>
  <c r="AF40" i="53" s="1"/>
  <c r="R52" i="53"/>
  <c r="X52" i="53" s="1"/>
  <c r="AF52" i="53" s="1"/>
  <c r="R56" i="53"/>
  <c r="X56" i="53" s="1"/>
  <c r="AF56" i="53" s="1"/>
  <c r="M121" i="53"/>
  <c r="P89" i="53"/>
  <c r="L121" i="53"/>
  <c r="R92" i="53"/>
  <c r="X92" i="53" s="1"/>
  <c r="AF92" i="53" s="1"/>
  <c r="R103" i="53"/>
  <c r="X103" i="53" s="1"/>
  <c r="AF103" i="53" s="1"/>
  <c r="Q71" i="52"/>
  <c r="Q150" i="52"/>
  <c r="Q153" i="52" s="1"/>
  <c r="O186" i="52"/>
  <c r="Q186" i="52" s="1"/>
  <c r="O211" i="52"/>
  <c r="Q211" i="52" s="1"/>
  <c r="G71" i="53"/>
  <c r="P25" i="53"/>
  <c r="G121" i="53"/>
  <c r="J89" i="53"/>
  <c r="R108" i="53"/>
  <c r="X108" i="53" s="1"/>
  <c r="AF108" i="53" s="1"/>
  <c r="R120" i="53"/>
  <c r="X120" i="53" s="1"/>
  <c r="AF120" i="53" s="1"/>
  <c r="P77" i="53"/>
  <c r="P85" i="53"/>
  <c r="O86" i="53"/>
  <c r="R96" i="53"/>
  <c r="X96" i="53" s="1"/>
  <c r="AF96" i="53" s="1"/>
  <c r="R112" i="53"/>
  <c r="X112" i="53" s="1"/>
  <c r="AF112" i="53" s="1"/>
  <c r="L71" i="53"/>
  <c r="M12" i="53"/>
  <c r="J77" i="53"/>
  <c r="J85" i="53"/>
  <c r="I86" i="53"/>
  <c r="P93" i="53"/>
  <c r="P64" i="53"/>
  <c r="R64" i="53" s="1"/>
  <c r="X64" i="53" s="1"/>
  <c r="AF64" i="53" s="1"/>
  <c r="P66" i="53"/>
  <c r="J68" i="53"/>
  <c r="R68" i="53" s="1"/>
  <c r="P81" i="53"/>
  <c r="R81" i="53" s="1"/>
  <c r="X81" i="53" s="1"/>
  <c r="AF81" i="53" s="1"/>
  <c r="M86" i="53"/>
  <c r="J93" i="53"/>
  <c r="R93" i="53" s="1"/>
  <c r="X93" i="53" s="1"/>
  <c r="AF93" i="53" s="1"/>
  <c r="J109" i="53"/>
  <c r="R109" i="53" s="1"/>
  <c r="X109" i="53" s="1"/>
  <c r="AF109" i="53" s="1"/>
  <c r="M164" i="52"/>
  <c r="M189" i="52"/>
  <c r="M214" i="52"/>
  <c r="J58" i="53"/>
  <c r="P62" i="53"/>
  <c r="R62" i="53" s="1"/>
  <c r="X62" i="53" s="1"/>
  <c r="AF62" i="53" s="1"/>
  <c r="J66" i="53"/>
  <c r="R66" i="53" s="1"/>
  <c r="X66" i="53" s="1"/>
  <c r="AF66" i="53" s="1"/>
  <c r="I121" i="53"/>
  <c r="O121" i="53"/>
  <c r="F123" i="53"/>
  <c r="G86" i="53"/>
  <c r="Q53" i="51" l="1"/>
  <c r="Q49" i="51"/>
  <c r="R49" i="51" s="1"/>
  <c r="E71" i="49"/>
  <c r="O28" i="51"/>
  <c r="Q93" i="52"/>
  <c r="K55" i="51"/>
  <c r="R85" i="53"/>
  <c r="X85" i="53" s="1"/>
  <c r="AF85" i="53" s="1"/>
  <c r="P86" i="53"/>
  <c r="O189" i="52"/>
  <c r="O94" i="51"/>
  <c r="L50" i="51"/>
  <c r="J86" i="53"/>
  <c r="H287" i="49"/>
  <c r="E285" i="49"/>
  <c r="E287" i="49" s="1"/>
  <c r="R67" i="53"/>
  <c r="X67" i="53" s="1"/>
  <c r="AF67" i="53" s="1"/>
  <c r="Q189" i="52"/>
  <c r="K18" i="51"/>
  <c r="R32" i="53"/>
  <c r="X32" i="53" s="1"/>
  <c r="AF32" i="53" s="1"/>
  <c r="E257" i="49"/>
  <c r="G141" i="49"/>
  <c r="G147" i="49" s="1"/>
  <c r="G13" i="49" s="1"/>
  <c r="G17" i="49" s="1"/>
  <c r="G259" i="49"/>
  <c r="Q214" i="52"/>
  <c r="P121" i="53"/>
  <c r="Q198" i="52"/>
  <c r="O61" i="51"/>
  <c r="O207" i="51"/>
  <c r="Q164" i="52"/>
  <c r="Q17" i="51"/>
  <c r="F89" i="51"/>
  <c r="H90" i="51"/>
  <c r="K90" i="51" s="1"/>
  <c r="L123" i="53"/>
  <c r="P141" i="51"/>
  <c r="O141" i="51"/>
  <c r="J61" i="51"/>
  <c r="Q50" i="51"/>
  <c r="R50" i="51" s="1"/>
  <c r="R51" i="51" s="1"/>
  <c r="O79" i="52"/>
  <c r="Q79" i="52" s="1"/>
  <c r="Q25" i="52"/>
  <c r="V69" i="53"/>
  <c r="X69" i="53"/>
  <c r="AF69" i="53" s="1"/>
  <c r="Q16" i="51"/>
  <c r="R16" i="51" s="1"/>
  <c r="K16" i="51"/>
  <c r="L16" i="51" s="1"/>
  <c r="L17" i="51" s="1"/>
  <c r="L18" i="51" s="1"/>
  <c r="L19" i="51" s="1"/>
  <c r="L20" i="51" s="1"/>
  <c r="R25" i="53"/>
  <c r="X25" i="53" s="1"/>
  <c r="AF25" i="53" s="1"/>
  <c r="K57" i="51"/>
  <c r="J28" i="51"/>
  <c r="O82" i="52"/>
  <c r="Q82" i="52" s="1"/>
  <c r="Q28" i="52"/>
  <c r="R58" i="53"/>
  <c r="X58" i="53" s="1"/>
  <c r="AF58" i="53" s="1"/>
  <c r="P61" i="51"/>
  <c r="P94" i="51"/>
  <c r="Q52" i="51"/>
  <c r="K20" i="51"/>
  <c r="R170" i="48"/>
  <c r="E141" i="49"/>
  <c r="K58" i="51"/>
  <c r="K51" i="51"/>
  <c r="L81" i="48"/>
  <c r="L82" i="48" s="1"/>
  <c r="L83" i="48" s="1"/>
  <c r="L84" i="48" s="1"/>
  <c r="L85" i="48" s="1"/>
  <c r="L86" i="48" s="1"/>
  <c r="L87" i="48" s="1"/>
  <c r="L88" i="48" s="1"/>
  <c r="L89" i="48" s="1"/>
  <c r="L90" i="48" s="1"/>
  <c r="L91" i="48" s="1"/>
  <c r="L103" i="48" s="1"/>
  <c r="O123" i="53"/>
  <c r="O174" i="51"/>
  <c r="H201" i="51"/>
  <c r="K201" i="51" s="1"/>
  <c r="F200" i="51"/>
  <c r="H200" i="51" s="1"/>
  <c r="K200" i="51" s="1"/>
  <c r="F14" i="49"/>
  <c r="H165" i="49"/>
  <c r="H179" i="49"/>
  <c r="E179" i="49" s="1"/>
  <c r="R83" i="51"/>
  <c r="R84" i="51" s="1"/>
  <c r="R85" i="51" s="1"/>
  <c r="R86" i="51" s="1"/>
  <c r="R87" i="51" s="1"/>
  <c r="R88" i="51" s="1"/>
  <c r="R89" i="51" s="1"/>
  <c r="R90" i="51" s="1"/>
  <c r="R91" i="51" s="1"/>
  <c r="R92" i="51" s="1"/>
  <c r="R93" i="51" s="1"/>
  <c r="R105" i="51" s="1"/>
  <c r="R106" i="51" s="1"/>
  <c r="N115" i="51" s="1"/>
  <c r="H24" i="51"/>
  <c r="K24" i="51" s="1"/>
  <c r="F23" i="51"/>
  <c r="G113" i="49"/>
  <c r="H56" i="48"/>
  <c r="K56" i="48" s="1"/>
  <c r="F55" i="48"/>
  <c r="R130" i="51"/>
  <c r="R131" i="51" s="1"/>
  <c r="R132" i="51" s="1"/>
  <c r="R133" i="51" s="1"/>
  <c r="R134" i="51" s="1"/>
  <c r="R135" i="51" s="1"/>
  <c r="R136" i="51" s="1"/>
  <c r="R137" i="51" s="1"/>
  <c r="R138" i="51" s="1"/>
  <c r="R139" i="51" s="1"/>
  <c r="R140" i="51" s="1"/>
  <c r="R152" i="51" s="1"/>
  <c r="R153" i="51" s="1"/>
  <c r="N226" i="51" s="1"/>
  <c r="O214" i="52"/>
  <c r="V68" i="53"/>
  <c r="V71" i="53" s="1"/>
  <c r="V123" i="53" s="1"/>
  <c r="J71" i="53"/>
  <c r="G123" i="53"/>
  <c r="R13" i="53"/>
  <c r="X13" i="53" s="1"/>
  <c r="AF13" i="53" s="1"/>
  <c r="P174" i="51"/>
  <c r="K34" i="52"/>
  <c r="M200" i="52"/>
  <c r="H178" i="49"/>
  <c r="E178" i="49" s="1"/>
  <c r="H141" i="49"/>
  <c r="E111" i="49"/>
  <c r="E113" i="49" s="1"/>
  <c r="N32" i="51"/>
  <c r="B31" i="51"/>
  <c r="B32" i="51" s="1"/>
  <c r="B29" i="48"/>
  <c r="B30" i="48" s="1"/>
  <c r="H59" i="51"/>
  <c r="K59" i="51" s="1"/>
  <c r="G60" i="51"/>
  <c r="H60" i="51" s="1"/>
  <c r="K60" i="51" s="1"/>
  <c r="F180" i="49"/>
  <c r="L96" i="48"/>
  <c r="X75" i="53"/>
  <c r="R77" i="53"/>
  <c r="X77" i="53" s="1"/>
  <c r="R89" i="53"/>
  <c r="J121" i="53"/>
  <c r="M71" i="53"/>
  <c r="M123" i="53" s="1"/>
  <c r="P12" i="53"/>
  <c r="O180" i="52"/>
  <c r="O200" i="52" s="1"/>
  <c r="I123" i="53"/>
  <c r="Q180" i="52"/>
  <c r="R195" i="51"/>
  <c r="R196" i="51" s="1"/>
  <c r="R197" i="51" s="1"/>
  <c r="R198" i="51" s="1"/>
  <c r="R199" i="51" s="1"/>
  <c r="R200" i="51" s="1"/>
  <c r="R201" i="51" s="1"/>
  <c r="R202" i="51" s="1"/>
  <c r="R203" i="51" s="1"/>
  <c r="R204" i="51" s="1"/>
  <c r="R205" i="51" s="1"/>
  <c r="R206" i="51" s="1"/>
  <c r="R218" i="51" s="1"/>
  <c r="R219" i="51" s="1"/>
  <c r="N228" i="51" s="1"/>
  <c r="P207" i="51"/>
  <c r="R163" i="51"/>
  <c r="R164" i="51" s="1"/>
  <c r="R165" i="51" s="1"/>
  <c r="R166" i="51" s="1"/>
  <c r="R167" i="51" s="1"/>
  <c r="R168" i="51" s="1"/>
  <c r="R169" i="51" s="1"/>
  <c r="R170" i="51" s="1"/>
  <c r="R171" i="51" s="1"/>
  <c r="R172" i="51" s="1"/>
  <c r="R173" i="51" s="1"/>
  <c r="R185" i="51" s="1"/>
  <c r="R186" i="51" s="1"/>
  <c r="N227" i="51" s="1"/>
  <c r="H170" i="51"/>
  <c r="K170" i="51" s="1"/>
  <c r="F169" i="51"/>
  <c r="H137" i="51"/>
  <c r="K137" i="51" s="1"/>
  <c r="F136" i="51"/>
  <c r="L129" i="48"/>
  <c r="G180" i="49"/>
  <c r="H22" i="48"/>
  <c r="K22" i="48" s="1"/>
  <c r="F21" i="48"/>
  <c r="E259" i="49"/>
  <c r="L51" i="51" l="1"/>
  <c r="L52" i="51" s="1"/>
  <c r="L53" i="51" s="1"/>
  <c r="L54" i="51" s="1"/>
  <c r="L55" i="51" s="1"/>
  <c r="L56" i="51" s="1"/>
  <c r="L57" i="51" s="1"/>
  <c r="L58" i="51" s="1"/>
  <c r="L59" i="51" s="1"/>
  <c r="L60" i="51" s="1"/>
  <c r="L72" i="51" s="1"/>
  <c r="R17" i="51"/>
  <c r="R18" i="51" s="1"/>
  <c r="R19" i="51" s="1"/>
  <c r="R20" i="51" s="1"/>
  <c r="R21" i="51" s="1"/>
  <c r="R22" i="51" s="1"/>
  <c r="R23" i="51" s="1"/>
  <c r="R24" i="51" s="1"/>
  <c r="R25" i="51" s="1"/>
  <c r="R26" i="51" s="1"/>
  <c r="R27" i="51" s="1"/>
  <c r="R39" i="51" s="1"/>
  <c r="R40" i="51" s="1"/>
  <c r="N113" i="51" s="1"/>
  <c r="R86" i="53"/>
  <c r="Q200" i="52"/>
  <c r="X68" i="53"/>
  <c r="AF68" i="53" s="1"/>
  <c r="R52" i="51"/>
  <c r="R53" i="51" s="1"/>
  <c r="R54" i="51" s="1"/>
  <c r="R55" i="51" s="1"/>
  <c r="R56" i="51" s="1"/>
  <c r="R57" i="51" s="1"/>
  <c r="R58" i="51" s="1"/>
  <c r="R59" i="51" s="1"/>
  <c r="R60" i="51" s="1"/>
  <c r="R72" i="51" s="1"/>
  <c r="R73" i="51" s="1"/>
  <c r="N114" i="51" s="1"/>
  <c r="N117" i="51" s="1"/>
  <c r="F88" i="51"/>
  <c r="H89" i="51"/>
  <c r="K89" i="51" s="1"/>
  <c r="F17" i="49"/>
  <c r="Q61" i="51"/>
  <c r="Q28" i="51"/>
  <c r="H136" i="51"/>
  <c r="K136" i="51" s="1"/>
  <c r="F135" i="51"/>
  <c r="X86" i="53"/>
  <c r="AF75" i="53"/>
  <c r="X125" i="53"/>
  <c r="B32" i="48"/>
  <c r="N230" i="51"/>
  <c r="N30" i="48"/>
  <c r="X89" i="53"/>
  <c r="R121" i="53"/>
  <c r="B34" i="51"/>
  <c r="J123" i="53"/>
  <c r="K61" i="51"/>
  <c r="L200" i="51"/>
  <c r="L201" i="51" s="1"/>
  <c r="L202" i="51" s="1"/>
  <c r="L203" i="51" s="1"/>
  <c r="L204" i="51" s="1"/>
  <c r="L205" i="51" s="1"/>
  <c r="L206" i="51" s="1"/>
  <c r="L218" i="51" s="1"/>
  <c r="L219" i="51" s="1"/>
  <c r="H228" i="51" s="1"/>
  <c r="K207" i="51"/>
  <c r="K88" i="52"/>
  <c r="H55" i="48"/>
  <c r="K55" i="48" s="1"/>
  <c r="F54" i="48"/>
  <c r="F168" i="51"/>
  <c r="H169" i="51"/>
  <c r="K169" i="51" s="1"/>
  <c r="F20" i="48"/>
  <c r="H21" i="48"/>
  <c r="K21" i="48" s="1"/>
  <c r="P71" i="53"/>
  <c r="P123" i="53" s="1"/>
  <c r="R12" i="53"/>
  <c r="AF77" i="53"/>
  <c r="X127" i="53"/>
  <c r="E180" i="49"/>
  <c r="J30" i="48"/>
  <c r="J32" i="51"/>
  <c r="H180" i="49"/>
  <c r="F22" i="51"/>
  <c r="H23" i="51"/>
  <c r="K23" i="51" s="1"/>
  <c r="F87" i="51" l="1"/>
  <c r="H87" i="51" s="1"/>
  <c r="K87" i="51" s="1"/>
  <c r="H88" i="51"/>
  <c r="K88" i="51" s="1"/>
  <c r="H135" i="51"/>
  <c r="K135" i="51" s="1"/>
  <c r="F134" i="51"/>
  <c r="H134" i="51" s="1"/>
  <c r="K134" i="51" s="1"/>
  <c r="K27" i="52"/>
  <c r="AF127" i="53"/>
  <c r="B35" i="51"/>
  <c r="B36" i="51" s="1"/>
  <c r="R71" i="53"/>
  <c r="R123" i="53" s="1"/>
  <c r="X12" i="53"/>
  <c r="L30" i="48"/>
  <c r="H168" i="51"/>
  <c r="K168" i="51" s="1"/>
  <c r="F167" i="51"/>
  <c r="H167" i="51" s="1"/>
  <c r="K167" i="51" s="1"/>
  <c r="AF89" i="53"/>
  <c r="X121" i="53"/>
  <c r="B33" i="48"/>
  <c r="B34" i="48" s="1"/>
  <c r="K36" i="52"/>
  <c r="AF125" i="53"/>
  <c r="H20" i="48"/>
  <c r="K20" i="48" s="1"/>
  <c r="F19" i="48"/>
  <c r="H19" i="48" s="1"/>
  <c r="K19" i="48" s="1"/>
  <c r="F21" i="51"/>
  <c r="H21" i="51" s="1"/>
  <c r="K21" i="51" s="1"/>
  <c r="H22" i="51"/>
  <c r="K22" i="51" s="1"/>
  <c r="H54" i="48"/>
  <c r="K54" i="48" s="1"/>
  <c r="F53" i="48"/>
  <c r="N34" i="48" l="1"/>
  <c r="L87" i="51"/>
  <c r="L88" i="51" s="1"/>
  <c r="L89" i="51" s="1"/>
  <c r="L90" i="51" s="1"/>
  <c r="L91" i="51" s="1"/>
  <c r="L92" i="51" s="1"/>
  <c r="L93" i="51" s="1"/>
  <c r="L105" i="51" s="1"/>
  <c r="K94" i="51"/>
  <c r="L167" i="51"/>
  <c r="L168" i="51" s="1"/>
  <c r="L169" i="51" s="1"/>
  <c r="L170" i="51" s="1"/>
  <c r="L171" i="51" s="1"/>
  <c r="L172" i="51" s="1"/>
  <c r="L173" i="51" s="1"/>
  <c r="L185" i="51" s="1"/>
  <c r="L186" i="51" s="1"/>
  <c r="H227" i="51" s="1"/>
  <c r="K174" i="51"/>
  <c r="X128" i="53"/>
  <c r="X130" i="53" s="1"/>
  <c r="X132" i="53" s="1"/>
  <c r="AF12" i="53"/>
  <c r="X71" i="53"/>
  <c r="X123" i="53" s="1"/>
  <c r="B38" i="51"/>
  <c r="N38" i="51"/>
  <c r="J38" i="51"/>
  <c r="L134" i="51"/>
  <c r="L135" i="51" s="1"/>
  <c r="L136" i="51" s="1"/>
  <c r="L137" i="51" s="1"/>
  <c r="L138" i="51" s="1"/>
  <c r="L139" i="51" s="1"/>
  <c r="L140" i="51" s="1"/>
  <c r="L152" i="51" s="1"/>
  <c r="L153" i="51" s="1"/>
  <c r="H226" i="51" s="1"/>
  <c r="K141" i="51"/>
  <c r="F52" i="48"/>
  <c r="H52" i="48" s="1"/>
  <c r="K52" i="48" s="1"/>
  <c r="H53" i="48"/>
  <c r="K53" i="48" s="1"/>
  <c r="L21" i="51"/>
  <c r="L22" i="51" s="1"/>
  <c r="L23" i="51" s="1"/>
  <c r="L24" i="51" s="1"/>
  <c r="L25" i="51" s="1"/>
  <c r="L26" i="51" s="1"/>
  <c r="L27" i="51" s="1"/>
  <c r="L39" i="51" s="1"/>
  <c r="K28" i="51"/>
  <c r="L19" i="48"/>
  <c r="L20" i="48" s="1"/>
  <c r="L21" i="48" s="1"/>
  <c r="L22" i="48" s="1"/>
  <c r="L23" i="48" s="1"/>
  <c r="L24" i="48" s="1"/>
  <c r="L25" i="48" s="1"/>
  <c r="L37" i="48" s="1"/>
  <c r="K26" i="48"/>
  <c r="J34" i="48"/>
  <c r="AF121" i="53"/>
  <c r="K19" i="52"/>
  <c r="J36" i="51"/>
  <c r="K90" i="52"/>
  <c r="K93" i="52" s="1"/>
  <c r="K39" i="52"/>
  <c r="B36" i="48"/>
  <c r="N36" i="48"/>
  <c r="J36" i="48"/>
  <c r="N36" i="51"/>
  <c r="K81" i="52"/>
  <c r="K84" i="52" s="1"/>
  <c r="K30" i="52"/>
  <c r="K106" i="52"/>
  <c r="Q27" i="52" l="1"/>
  <c r="Q30" i="52" s="1"/>
  <c r="O81" i="52"/>
  <c r="O106" i="52"/>
  <c r="Q106" i="52" s="1"/>
  <c r="O30" i="52"/>
  <c r="K107" i="52"/>
  <c r="K73" i="52"/>
  <c r="L52" i="48"/>
  <c r="K59" i="48"/>
  <c r="B39" i="51"/>
  <c r="B40" i="51" s="1"/>
  <c r="B37" i="48"/>
  <c r="B38" i="48" s="1"/>
  <c r="J38" i="48"/>
  <c r="H230" i="51"/>
  <c r="H94" i="1" s="1"/>
  <c r="AF128" i="53"/>
  <c r="AF130" i="53" s="1"/>
  <c r="AF132" i="53" s="1"/>
  <c r="AF71" i="53"/>
  <c r="AF123" i="53" s="1"/>
  <c r="K16" i="52"/>
  <c r="J40" i="51" l="1"/>
  <c r="N40" i="51"/>
  <c r="B45" i="48"/>
  <c r="B47" i="48" s="1"/>
  <c r="F85" i="1"/>
  <c r="K104" i="52"/>
  <c r="K109" i="52" s="1"/>
  <c r="K70" i="52"/>
  <c r="K75" i="52" s="1"/>
  <c r="K95" i="52" s="1"/>
  <c r="K21" i="52"/>
  <c r="K41" i="52" s="1"/>
  <c r="B48" i="48"/>
  <c r="B49" i="48" s="1"/>
  <c r="B50" i="48" s="1"/>
  <c r="B51" i="48" s="1"/>
  <c r="B52" i="48" s="1"/>
  <c r="B53" i="48" s="1"/>
  <c r="B54" i="48" s="1"/>
  <c r="B55" i="48" s="1"/>
  <c r="B56" i="48" s="1"/>
  <c r="B57" i="48" s="1"/>
  <c r="B58" i="48" s="1"/>
  <c r="Q19" i="52"/>
  <c r="O107" i="52"/>
  <c r="Q107" i="52" s="1"/>
  <c r="O73" i="52"/>
  <c r="Q73" i="52" s="1"/>
  <c r="L100" i="51" s="1"/>
  <c r="L102" i="51" s="1"/>
  <c r="L104" i="51" s="1"/>
  <c r="L106" i="51" s="1"/>
  <c r="H115" i="51" s="1"/>
  <c r="O84" i="52"/>
  <c r="Q81" i="52"/>
  <c r="N38" i="48"/>
  <c r="F113" i="51"/>
  <c r="B47" i="51"/>
  <c r="B49" i="51" s="1"/>
  <c r="L113" i="51"/>
  <c r="L53" i="48"/>
  <c r="L54" i="48" s="1"/>
  <c r="L55" i="48" s="1"/>
  <c r="L56" i="48" s="1"/>
  <c r="L57" i="48" s="1"/>
  <c r="L58" i="48" s="1"/>
  <c r="L70" i="48" s="1"/>
  <c r="L71" i="48" s="1"/>
  <c r="H86" i="1" s="1"/>
  <c r="L59" i="48" l="1"/>
  <c r="L67" i="51"/>
  <c r="L69" i="51" s="1"/>
  <c r="L71" i="51" s="1"/>
  <c r="L73" i="51" s="1"/>
  <c r="H114" i="51" s="1"/>
  <c r="Q84" i="52"/>
  <c r="O104" i="52"/>
  <c r="O21" i="52"/>
  <c r="O41" i="52" s="1"/>
  <c r="Q16" i="52"/>
  <c r="Q21" i="52" s="1"/>
  <c r="Q41" i="52" s="1"/>
  <c r="O70" i="52"/>
  <c r="B50" i="51"/>
  <c r="B51" i="51" s="1"/>
  <c r="B52" i="51" s="1"/>
  <c r="B53" i="51" s="1"/>
  <c r="B54" i="51" s="1"/>
  <c r="B55" i="51" s="1"/>
  <c r="B56" i="51" s="1"/>
  <c r="B57" i="51" s="1"/>
  <c r="B58" i="51" s="1"/>
  <c r="B59" i="51" s="1"/>
  <c r="B60" i="51" s="1"/>
  <c r="N70" i="48"/>
  <c r="B59" i="48"/>
  <c r="B61" i="48" s="1"/>
  <c r="J70" i="48"/>
  <c r="D59" i="48"/>
  <c r="B61" i="51" l="1"/>
  <c r="B63" i="51" s="1"/>
  <c r="N72" i="51"/>
  <c r="J72" i="51"/>
  <c r="O109" i="52"/>
  <c r="L252" i="9" s="1"/>
  <c r="Q104" i="52"/>
  <c r="Q109" i="52" s="1"/>
  <c r="B62" i="48"/>
  <c r="B63" i="48" s="1"/>
  <c r="N63" i="48"/>
  <c r="Q70" i="52"/>
  <c r="O75" i="52"/>
  <c r="O95" i="52" s="1"/>
  <c r="D61" i="51"/>
  <c r="B65" i="48" l="1"/>
  <c r="J63" i="48"/>
  <c r="Q75" i="52"/>
  <c r="Q95" i="52" s="1"/>
  <c r="L34" i="51"/>
  <c r="L36" i="51" s="1"/>
  <c r="L38" i="51" s="1"/>
  <c r="L40" i="51" s="1"/>
  <c r="H113" i="51" s="1"/>
  <c r="H117" i="51" s="1"/>
  <c r="H93" i="1" s="1"/>
  <c r="B64" i="51"/>
  <c r="B65" i="51" s="1"/>
  <c r="B67" i="51" l="1"/>
  <c r="J65" i="51"/>
  <c r="B66" i="48"/>
  <c r="B67" i="48" s="1"/>
  <c r="N67" i="48"/>
  <c r="N65" i="51"/>
  <c r="B68" i="51" l="1"/>
  <c r="B69" i="51" s="1"/>
  <c r="B69" i="48"/>
  <c r="J69" i="48"/>
  <c r="N69" i="48"/>
  <c r="J67" i="48"/>
  <c r="B70" i="48" l="1"/>
  <c r="B71" i="48" s="1"/>
  <c r="J71" i="48"/>
  <c r="B71" i="51"/>
  <c r="N71" i="51"/>
  <c r="J71" i="51"/>
  <c r="J69" i="51"/>
  <c r="N69" i="51"/>
  <c r="B78" i="48" l="1"/>
  <c r="B80" i="48" s="1"/>
  <c r="F86" i="1"/>
  <c r="B72" i="51"/>
  <c r="B73" i="51" s="1"/>
  <c r="B81" i="48"/>
  <c r="B82" i="48" s="1"/>
  <c r="B83" i="48" s="1"/>
  <c r="B84" i="48" s="1"/>
  <c r="B85" i="48" s="1"/>
  <c r="B86" i="48" s="1"/>
  <c r="B87" i="48" s="1"/>
  <c r="B88" i="48" s="1"/>
  <c r="B89" i="48" s="1"/>
  <c r="B90" i="48" s="1"/>
  <c r="B91" i="48" s="1"/>
  <c r="N71" i="48"/>
  <c r="N73" i="51" l="1"/>
  <c r="J103" i="48"/>
  <c r="B92" i="48"/>
  <c r="B94" i="48" s="1"/>
  <c r="N103" i="48"/>
  <c r="B80" i="51"/>
  <c r="B82" i="51" s="1"/>
  <c r="L114" i="51"/>
  <c r="F114" i="51"/>
  <c r="D92" i="48"/>
  <c r="J73" i="51"/>
  <c r="B95" i="48" l="1"/>
  <c r="B96" i="48" s="1"/>
  <c r="J96" i="48"/>
  <c r="B83" i="51"/>
  <c r="B84" i="51" s="1"/>
  <c r="B85" i="51" s="1"/>
  <c r="B86" i="51" s="1"/>
  <c r="B87" i="51" s="1"/>
  <c r="B88" i="51" s="1"/>
  <c r="B89" i="51" s="1"/>
  <c r="B90" i="51" s="1"/>
  <c r="B91" i="51" s="1"/>
  <c r="B92" i="51" s="1"/>
  <c r="B93" i="51" s="1"/>
  <c r="D94" i="51" s="1"/>
  <c r="B98" i="48" l="1"/>
  <c r="N105" i="51"/>
  <c r="B94" i="51"/>
  <c r="B96" i="51" s="1"/>
  <c r="J105" i="51"/>
  <c r="N96" i="48"/>
  <c r="B99" i="48" l="1"/>
  <c r="B100" i="48" s="1"/>
  <c r="J100" i="48"/>
  <c r="B97" i="51"/>
  <c r="B98" i="51" s="1"/>
  <c r="J98" i="51" l="1"/>
  <c r="N98" i="51"/>
  <c r="B102" i="48"/>
  <c r="J102" i="48"/>
  <c r="N102" i="48"/>
  <c r="B100" i="51"/>
  <c r="N100" i="48"/>
  <c r="B101" i="51" l="1"/>
  <c r="B102" i="51" s="1"/>
  <c r="B103" i="48"/>
  <c r="B104" i="48" s="1"/>
  <c r="J104" i="48"/>
  <c r="B111" i="48" l="1"/>
  <c r="B113" i="48" s="1"/>
  <c r="F87" i="1"/>
  <c r="N104" i="48"/>
  <c r="B104" i="51"/>
  <c r="N104" i="51"/>
  <c r="J104" i="51"/>
  <c r="N102" i="51"/>
  <c r="B114" i="48"/>
  <c r="B115" i="48" s="1"/>
  <c r="B116" i="48" s="1"/>
  <c r="B117" i="48" s="1"/>
  <c r="B118" i="48" s="1"/>
  <c r="B119" i="48" s="1"/>
  <c r="B120" i="48" s="1"/>
  <c r="B121" i="48" s="1"/>
  <c r="B122" i="48" s="1"/>
  <c r="B123" i="48" s="1"/>
  <c r="B124" i="48" s="1"/>
  <c r="J102" i="51"/>
  <c r="N136" i="48" l="1"/>
  <c r="B125" i="48"/>
  <c r="B127" i="48" s="1"/>
  <c r="J136" i="48"/>
  <c r="D125" i="48"/>
  <c r="B105" i="51"/>
  <c r="B106" i="51" s="1"/>
  <c r="J106" i="51" l="1"/>
  <c r="N106" i="51"/>
  <c r="L115" i="51"/>
  <c r="F115" i="51"/>
  <c r="B113" i="51"/>
  <c r="B114" i="51" s="1"/>
  <c r="B115" i="51" s="1"/>
  <c r="B117" i="51" s="1"/>
  <c r="B128" i="48"/>
  <c r="B129" i="48" s="1"/>
  <c r="N129" i="48"/>
  <c r="B127" i="51" l="1"/>
  <c r="B129" i="51" s="1"/>
  <c r="F93" i="1"/>
  <c r="J129" i="48"/>
  <c r="B130" i="51"/>
  <c r="B131" i="51" s="1"/>
  <c r="B132" i="51" s="1"/>
  <c r="B133" i="51" s="1"/>
  <c r="B134" i="51" s="1"/>
  <c r="B135" i="51" s="1"/>
  <c r="B136" i="51" s="1"/>
  <c r="B137" i="51" s="1"/>
  <c r="B138" i="51" s="1"/>
  <c r="B139" i="51" s="1"/>
  <c r="B140" i="51" s="1"/>
  <c r="B131" i="48"/>
  <c r="J152" i="51" l="1"/>
  <c r="N152" i="51"/>
  <c r="B141" i="51"/>
  <c r="B143" i="51" s="1"/>
  <c r="J133" i="48"/>
  <c r="B132" i="48"/>
  <c r="B133" i="48" s="1"/>
  <c r="N133" i="48"/>
  <c r="D141" i="51"/>
  <c r="B144" i="51" l="1"/>
  <c r="B145" i="51" s="1"/>
  <c r="B135" i="48"/>
  <c r="N135" i="48"/>
  <c r="J135" i="48"/>
  <c r="B136" i="48" l="1"/>
  <c r="B137" i="48" s="1"/>
  <c r="J137" i="48"/>
  <c r="B147" i="51"/>
  <c r="N145" i="51"/>
  <c r="J145" i="51"/>
  <c r="B144" i="48" l="1"/>
  <c r="B146" i="48" s="1"/>
  <c r="F88" i="1"/>
  <c r="B148" i="51"/>
  <c r="B149" i="51" s="1"/>
  <c r="J149" i="51"/>
  <c r="B147" i="48"/>
  <c r="B148" i="48" s="1"/>
  <c r="B149" i="48" s="1"/>
  <c r="B150" i="48" s="1"/>
  <c r="B151" i="48" s="1"/>
  <c r="B152" i="48" s="1"/>
  <c r="B153" i="48" s="1"/>
  <c r="B154" i="48" s="1"/>
  <c r="B155" i="48" s="1"/>
  <c r="B156" i="48" s="1"/>
  <c r="B157" i="48" s="1"/>
  <c r="D158" i="48" s="1"/>
  <c r="N137" i="48"/>
  <c r="B151" i="51" l="1"/>
  <c r="N151" i="51"/>
  <c r="J151" i="51"/>
  <c r="J169" i="48"/>
  <c r="B158" i="48"/>
  <c r="B160" i="48" s="1"/>
  <c r="N169" i="48"/>
  <c r="N149" i="51"/>
  <c r="B161" i="48" l="1"/>
  <c r="B162" i="48" s="1"/>
  <c r="N162" i="48"/>
  <c r="B152" i="51"/>
  <c r="B153" i="51" s="1"/>
  <c r="J153" i="51" l="1"/>
  <c r="N153" i="51"/>
  <c r="B164" i="48"/>
  <c r="L226" i="51"/>
  <c r="F226" i="51"/>
  <c r="B160" i="51"/>
  <c r="B162" i="51" s="1"/>
  <c r="J162" i="48"/>
  <c r="B163" i="51" l="1"/>
  <c r="B164" i="51" s="1"/>
  <c r="B165" i="51" s="1"/>
  <c r="B166" i="51" s="1"/>
  <c r="B167" i="51" s="1"/>
  <c r="B168" i="51" s="1"/>
  <c r="B169" i="51" s="1"/>
  <c r="B170" i="51" s="1"/>
  <c r="B171" i="51" s="1"/>
  <c r="B172" i="51" s="1"/>
  <c r="B173" i="51" s="1"/>
  <c r="B165" i="48"/>
  <c r="B166" i="48" s="1"/>
  <c r="B168" i="48" l="1"/>
  <c r="J168" i="48"/>
  <c r="N168" i="48"/>
  <c r="N166" i="48"/>
  <c r="J185" i="51"/>
  <c r="N185" i="51"/>
  <c r="B174" i="51"/>
  <c r="B176" i="51" s="1"/>
  <c r="J166" i="48"/>
  <c r="D174" i="51"/>
  <c r="B177" i="51" l="1"/>
  <c r="B178" i="51" s="1"/>
  <c r="J178" i="51"/>
  <c r="B169" i="48"/>
  <c r="B170" i="48" s="1"/>
  <c r="F89" i="1" s="1"/>
  <c r="N170" i="48" l="1"/>
  <c r="J170" i="48"/>
  <c r="B180" i="51"/>
  <c r="N178" i="51"/>
  <c r="B181" i="51" l="1"/>
  <c r="B182" i="51" s="1"/>
  <c r="J182" i="51"/>
  <c r="B184" i="51" l="1"/>
  <c r="N184" i="51"/>
  <c r="J184" i="51"/>
  <c r="N182" i="51"/>
  <c r="B185" i="51" l="1"/>
  <c r="B186" i="51" s="1"/>
  <c r="F227" i="51" l="1"/>
  <c r="L227" i="51"/>
  <c r="B193" i="51"/>
  <c r="B195" i="51" s="1"/>
  <c r="J186" i="51"/>
  <c r="N186" i="51"/>
  <c r="B196" i="51" l="1"/>
  <c r="B197" i="51" s="1"/>
  <c r="B198" i="51" s="1"/>
  <c r="B199" i="51" s="1"/>
  <c r="B200" i="51" s="1"/>
  <c r="B201" i="51" s="1"/>
  <c r="B202" i="51" s="1"/>
  <c r="B203" i="51" s="1"/>
  <c r="B204" i="51" s="1"/>
  <c r="B205" i="51" s="1"/>
  <c r="B206" i="51" s="1"/>
  <c r="J218" i="51" l="1"/>
  <c r="N218" i="51"/>
  <c r="B207" i="51"/>
  <c r="B209" i="51" s="1"/>
  <c r="D207" i="51"/>
  <c r="B210" i="51" l="1"/>
  <c r="B211" i="51" s="1"/>
  <c r="J211" i="51" l="1"/>
  <c r="B213" i="51"/>
  <c r="N211" i="51"/>
  <c r="B214" i="51" l="1"/>
  <c r="B215" i="51" s="1"/>
  <c r="J215" i="51"/>
  <c r="B217" i="51" l="1"/>
  <c r="N217" i="51"/>
  <c r="J217" i="51"/>
  <c r="N215" i="51"/>
  <c r="B218" i="51" l="1"/>
  <c r="B219" i="51" s="1"/>
  <c r="N219" i="51"/>
  <c r="F228" i="51" l="1"/>
  <c r="B226" i="51"/>
  <c r="B227" i="51" s="1"/>
  <c r="B228" i="51" s="1"/>
  <c r="B230" i="51" s="1"/>
  <c r="F94" i="1" s="1"/>
  <c r="L228" i="51"/>
  <c r="J219" i="51"/>
  <c r="F227" i="1" l="1"/>
  <c r="F226" i="1"/>
  <c r="F225" i="1"/>
  <c r="D27" i="31" l="1"/>
  <c r="F27" i="31"/>
  <c r="H27" i="31"/>
  <c r="J27" i="31"/>
  <c r="L27" i="31"/>
  <c r="N27" i="31"/>
  <c r="B27" i="31"/>
  <c r="P8" i="31"/>
  <c r="P9" i="31"/>
  <c r="P10" i="31"/>
  <c r="P11" i="31"/>
  <c r="P12" i="31"/>
  <c r="P13" i="31"/>
  <c r="P14" i="31"/>
  <c r="P15" i="31"/>
  <c r="P16" i="31"/>
  <c r="P17" i="31"/>
  <c r="P18" i="31"/>
  <c r="P19" i="31"/>
  <c r="P20" i="31"/>
  <c r="P21" i="31"/>
  <c r="P22" i="31"/>
  <c r="P23" i="31"/>
  <c r="P24" i="31"/>
  <c r="P25" i="31"/>
  <c r="P26" i="31"/>
  <c r="P7" i="31"/>
  <c r="P27" i="31" l="1"/>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25" i="1" l="1"/>
  <c r="F65" i="9" l="1"/>
  <c r="F190" i="1"/>
  <c r="I71" i="9" l="1"/>
  <c r="I58" i="9"/>
  <c r="M75" i="12"/>
  <c r="M74" i="12"/>
  <c r="M73" i="12"/>
  <c r="M72" i="12"/>
  <c r="M71" i="12"/>
  <c r="M70" i="12"/>
  <c r="M69" i="12"/>
  <c r="M68" i="12"/>
  <c r="M67" i="12"/>
  <c r="E18" i="47"/>
  <c r="D18" i="47"/>
  <c r="E13" i="47"/>
  <c r="D13" i="47"/>
  <c r="E12" i="47"/>
  <c r="D12" i="47"/>
  <c r="C1" i="47"/>
  <c r="AX77" i="47"/>
  <c r="AY76" i="47"/>
  <c r="AK58" i="47"/>
  <c r="AK59" i="47" s="1"/>
  <c r="AG58" i="47"/>
  <c r="AG59" i="47" s="1"/>
  <c r="AC58" i="47"/>
  <c r="AC59" i="47" s="1"/>
  <c r="Y58" i="47"/>
  <c r="Y59" i="47" s="1"/>
  <c r="U58" i="47"/>
  <c r="U59" i="47" s="1"/>
  <c r="Q58" i="47"/>
  <c r="Q59" i="47" s="1"/>
  <c r="M58" i="47"/>
  <c r="M59" i="47" s="1"/>
  <c r="I58" i="47"/>
  <c r="I59" i="47" s="1"/>
  <c r="E58" i="47"/>
  <c r="E59" i="47" s="1"/>
  <c r="AW57" i="47"/>
  <c r="AX57" i="47" s="1"/>
  <c r="D57" i="47"/>
  <c r="D59" i="47" s="1"/>
  <c r="D61" i="47" s="1"/>
  <c r="D63" i="47" s="1"/>
  <c r="D65" i="47" s="1"/>
  <c r="D67" i="47" s="1"/>
  <c r="D69" i="47" s="1"/>
  <c r="D71" i="47" s="1"/>
  <c r="D73" i="47" s="1"/>
  <c r="D75" i="47" s="1"/>
  <c r="C57" i="47"/>
  <c r="C59" i="47" s="1"/>
  <c r="C61" i="47" s="1"/>
  <c r="C63" i="47" s="1"/>
  <c r="C65" i="47" s="1"/>
  <c r="C67" i="47" s="1"/>
  <c r="C69" i="47" s="1"/>
  <c r="C71" i="47" s="1"/>
  <c r="C73" i="47" s="1"/>
  <c r="C75" i="47" s="1"/>
  <c r="AW56" i="47"/>
  <c r="AY56" i="47" s="1"/>
  <c r="D56" i="47"/>
  <c r="D58" i="47" s="1"/>
  <c r="D60" i="47" s="1"/>
  <c r="D62" i="47" s="1"/>
  <c r="D64" i="47" s="1"/>
  <c r="D66" i="47" s="1"/>
  <c r="D68" i="47" s="1"/>
  <c r="D70" i="47" s="1"/>
  <c r="D72" i="47" s="1"/>
  <c r="D74" i="47" s="1"/>
  <c r="C56" i="47"/>
  <c r="C58" i="47" s="1"/>
  <c r="C60" i="47" s="1"/>
  <c r="C62" i="47" s="1"/>
  <c r="C64" i="47" s="1"/>
  <c r="C66" i="47" s="1"/>
  <c r="C68" i="47" s="1"/>
  <c r="C70" i="47" s="1"/>
  <c r="C72" i="47" s="1"/>
  <c r="C74" i="47" s="1"/>
  <c r="A56" i="47"/>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W53" i="47"/>
  <c r="AX53" i="47" s="1"/>
  <c r="AW52" i="47"/>
  <c r="AY52" i="47" s="1"/>
  <c r="AW51" i="47"/>
  <c r="AX51" i="47" s="1"/>
  <c r="AW50" i="47"/>
  <c r="AY50" i="47" s="1"/>
  <c r="AW49" i="47"/>
  <c r="AX49" i="47" s="1"/>
  <c r="AW48" i="47"/>
  <c r="AY48" i="47" s="1"/>
  <c r="AX47" i="47"/>
  <c r="AY46" i="47"/>
  <c r="AW41" i="47"/>
  <c r="AX41" i="47" s="1"/>
  <c r="AW40" i="47"/>
  <c r="AY40" i="47" s="1"/>
  <c r="AX39" i="47"/>
  <c r="AW39" i="47"/>
  <c r="D39" i="47"/>
  <c r="D41" i="47" s="1"/>
  <c r="D43" i="47" s="1"/>
  <c r="D45" i="47" s="1"/>
  <c r="D47" i="47" s="1"/>
  <c r="D49" i="47" s="1"/>
  <c r="D51" i="47" s="1"/>
  <c r="D53" i="47" s="1"/>
  <c r="C39" i="47"/>
  <c r="C41" i="47" s="1"/>
  <c r="C43" i="47" s="1"/>
  <c r="C45" i="47" s="1"/>
  <c r="C47" i="47" s="1"/>
  <c r="C49" i="47" s="1"/>
  <c r="C51" i="47" s="1"/>
  <c r="C53" i="47" s="1"/>
  <c r="AY38" i="47"/>
  <c r="AW38" i="47"/>
  <c r="D38" i="47"/>
  <c r="D40" i="47" s="1"/>
  <c r="D42" i="47" s="1"/>
  <c r="D44" i="47" s="1"/>
  <c r="D46" i="47" s="1"/>
  <c r="D48" i="47" s="1"/>
  <c r="D50" i="47" s="1"/>
  <c r="D52" i="47" s="1"/>
  <c r="AW37" i="47"/>
  <c r="AX37" i="47" s="1"/>
  <c r="AW36" i="47"/>
  <c r="AY36" i="47" s="1"/>
  <c r="C36" i="47"/>
  <c r="C38" i="47" s="1"/>
  <c r="C40" i="47" s="1"/>
  <c r="C42" i="47" s="1"/>
  <c r="C44" i="47" s="1"/>
  <c r="C46" i="47" s="1"/>
  <c r="C48" i="47" s="1"/>
  <c r="C50" i="47" s="1"/>
  <c r="C52" i="47" s="1"/>
  <c r="A33" i="47"/>
  <c r="A36" i="47" s="1"/>
  <c r="A37" i="47" s="1"/>
  <c r="A38" i="47" s="1"/>
  <c r="A39" i="47" s="1"/>
  <c r="A40" i="47" s="1"/>
  <c r="A41" i="47" s="1"/>
  <c r="A42" i="47" s="1"/>
  <c r="A43" i="47" s="1"/>
  <c r="A44" i="47" s="1"/>
  <c r="A45" i="47" s="1"/>
  <c r="A46" i="47" s="1"/>
  <c r="A47" i="47" s="1"/>
  <c r="A48" i="47" s="1"/>
  <c r="A49" i="47" s="1"/>
  <c r="A50" i="47" s="1"/>
  <c r="A51" i="47" s="1"/>
  <c r="A52" i="47" s="1"/>
  <c r="A53" i="47" s="1"/>
  <c r="AK32" i="47"/>
  <c r="AL66" i="47" s="1"/>
  <c r="AL67" i="47" s="1"/>
  <c r="AG32" i="47"/>
  <c r="AC32" i="47"/>
  <c r="AD72" i="47" s="1"/>
  <c r="AD73" i="47" s="1"/>
  <c r="Y32" i="47"/>
  <c r="Z68" i="47" s="1"/>
  <c r="Z69" i="47" s="1"/>
  <c r="U32" i="47"/>
  <c r="V66" i="47" s="1"/>
  <c r="V67" i="47" s="1"/>
  <c r="Q32" i="47"/>
  <c r="R68" i="47" s="1"/>
  <c r="R69" i="47" s="1"/>
  <c r="M32" i="47"/>
  <c r="N72" i="47" s="1"/>
  <c r="N73" i="47" s="1"/>
  <c r="I32" i="47"/>
  <c r="J68" i="47" s="1"/>
  <c r="J69" i="47" s="1"/>
  <c r="E32" i="47"/>
  <c r="F60" i="47" s="1"/>
  <c r="F61" i="47" s="1"/>
  <c r="J60" i="47" l="1"/>
  <c r="J61" i="47" s="1"/>
  <c r="V60" i="47"/>
  <c r="V61" i="47" s="1"/>
  <c r="V70" i="47"/>
  <c r="V71" i="47" s="1"/>
  <c r="Z60" i="47"/>
  <c r="Z61" i="47" s="1"/>
  <c r="AL70" i="47"/>
  <c r="AL71" i="47" s="1"/>
  <c r="F70" i="47"/>
  <c r="F71" i="47" s="1"/>
  <c r="F66" i="47"/>
  <c r="F67" i="47" s="1"/>
  <c r="AL60" i="47"/>
  <c r="AL61" i="47" s="1"/>
  <c r="R72" i="47"/>
  <c r="R73" i="47" s="1"/>
  <c r="R70" i="47"/>
  <c r="R71" i="47" s="1"/>
  <c r="R64" i="47"/>
  <c r="R65" i="47" s="1"/>
  <c r="R66" i="47"/>
  <c r="R67" i="47" s="1"/>
  <c r="R62" i="47"/>
  <c r="R63" i="47" s="1"/>
  <c r="R58" i="47"/>
  <c r="R74" i="47"/>
  <c r="R75" i="47" s="1"/>
  <c r="R60" i="47"/>
  <c r="R61" i="47" s="1"/>
  <c r="AH72" i="47"/>
  <c r="AH73" i="47" s="1"/>
  <c r="AH70" i="47"/>
  <c r="AH71" i="47" s="1"/>
  <c r="AH64" i="47"/>
  <c r="AH65" i="47" s="1"/>
  <c r="AH66" i="47"/>
  <c r="AH67" i="47" s="1"/>
  <c r="AH62" i="47"/>
  <c r="AH63" i="47" s="1"/>
  <c r="AH58" i="47"/>
  <c r="AH74" i="47"/>
  <c r="AH75" i="47" s="1"/>
  <c r="AH60" i="47"/>
  <c r="AH61" i="47" s="1"/>
  <c r="AH68" i="47"/>
  <c r="AH69" i="47" s="1"/>
  <c r="N68" i="47"/>
  <c r="N69" i="47" s="1"/>
  <c r="N74" i="47"/>
  <c r="N75" i="47" s="1"/>
  <c r="N64" i="47"/>
  <c r="N65" i="47" s="1"/>
  <c r="N70" i="47"/>
  <c r="N71" i="47" s="1"/>
  <c r="N62" i="47"/>
  <c r="N63" i="47" s="1"/>
  <c r="N58" i="47"/>
  <c r="N66" i="47"/>
  <c r="N67" i="47" s="1"/>
  <c r="N60" i="47"/>
  <c r="N61" i="47" s="1"/>
  <c r="AD68" i="47"/>
  <c r="AD69" i="47" s="1"/>
  <c r="AD74" i="47"/>
  <c r="AD75" i="47" s="1"/>
  <c r="AD64" i="47"/>
  <c r="AD65" i="47" s="1"/>
  <c r="AD70" i="47"/>
  <c r="AD71" i="47" s="1"/>
  <c r="AD62" i="47"/>
  <c r="AD63" i="47" s="1"/>
  <c r="AD58" i="47"/>
  <c r="AD66" i="47"/>
  <c r="AD67" i="47" s="1"/>
  <c r="AD60" i="47"/>
  <c r="AD61" i="47" s="1"/>
  <c r="F68" i="47"/>
  <c r="F69" i="47" s="1"/>
  <c r="F74" i="47"/>
  <c r="F75" i="47" s="1"/>
  <c r="G75" i="47" s="1"/>
  <c r="F64" i="47"/>
  <c r="F65" i="47" s="1"/>
  <c r="V68" i="47"/>
  <c r="V69" i="47" s="1"/>
  <c r="V74" i="47"/>
  <c r="V75" i="47" s="1"/>
  <c r="V64" i="47"/>
  <c r="V65" i="47" s="1"/>
  <c r="AL68" i="47"/>
  <c r="AL69" i="47" s="1"/>
  <c r="AL74" i="47"/>
  <c r="AL75" i="47" s="1"/>
  <c r="AL64" i="47"/>
  <c r="AL65" i="47" s="1"/>
  <c r="F72" i="47"/>
  <c r="F73" i="47" s="1"/>
  <c r="V72" i="47"/>
  <c r="V73" i="47" s="1"/>
  <c r="AL72" i="47"/>
  <c r="AL73" i="47" s="1"/>
  <c r="J72" i="47"/>
  <c r="J73" i="47" s="1"/>
  <c r="J70" i="47"/>
  <c r="J71" i="47" s="1"/>
  <c r="J64" i="47"/>
  <c r="J65" i="47" s="1"/>
  <c r="Z72" i="47"/>
  <c r="Z73" i="47" s="1"/>
  <c r="Z70" i="47"/>
  <c r="Z71" i="47" s="1"/>
  <c r="Z64" i="47"/>
  <c r="Z65" i="47" s="1"/>
  <c r="F58" i="47"/>
  <c r="J58" i="47"/>
  <c r="V58" i="47"/>
  <c r="Z58" i="47"/>
  <c r="AL58" i="47"/>
  <c r="F62" i="47"/>
  <c r="F63" i="47" s="1"/>
  <c r="J62" i="47"/>
  <c r="J63" i="47" s="1"/>
  <c r="V62" i="47"/>
  <c r="V63" i="47" s="1"/>
  <c r="Z62" i="47"/>
  <c r="Z63" i="47" s="1"/>
  <c r="AL62" i="47"/>
  <c r="AL63" i="47" s="1"/>
  <c r="J66" i="47"/>
  <c r="J67" i="47" s="1"/>
  <c r="Z66" i="47"/>
  <c r="Z67" i="47" s="1"/>
  <c r="J74" i="47"/>
  <c r="J75" i="47" s="1"/>
  <c r="Z74" i="47"/>
  <c r="Z75" i="47" s="1"/>
  <c r="AM58" i="47" l="1"/>
  <c r="AL59" i="47"/>
  <c r="AA58" i="47"/>
  <c r="Z59" i="47"/>
  <c r="K58" i="47"/>
  <c r="J59" i="47"/>
  <c r="AE58" i="47"/>
  <c r="AD59" i="47"/>
  <c r="O58" i="47"/>
  <c r="N59" i="47"/>
  <c r="G58" i="47"/>
  <c r="F59" i="47"/>
  <c r="W58" i="47"/>
  <c r="V59" i="47"/>
  <c r="AH59" i="47"/>
  <c r="AI58" i="47"/>
  <c r="R59" i="47"/>
  <c r="S58" i="47"/>
  <c r="G59" i="47" l="1"/>
  <c r="K67" i="12"/>
  <c r="AE59" i="47"/>
  <c r="K73" i="12"/>
  <c r="AA59" i="47"/>
  <c r="K72" i="12"/>
  <c r="AI59" i="47"/>
  <c r="K74" i="12"/>
  <c r="W59" i="47"/>
  <c r="H71" i="12" s="1"/>
  <c r="K71" i="12"/>
  <c r="O59" i="47"/>
  <c r="K69" i="12"/>
  <c r="K59" i="47"/>
  <c r="K68" i="12"/>
  <c r="AM59" i="47"/>
  <c r="K75" i="12"/>
  <c r="S59" i="47"/>
  <c r="K70" i="12"/>
  <c r="U60" i="47"/>
  <c r="H75" i="12" l="1"/>
  <c r="M60" i="47"/>
  <c r="O60" i="47" s="1"/>
  <c r="H69" i="12"/>
  <c r="AG60" i="47"/>
  <c r="H74" i="12"/>
  <c r="AC60" i="47"/>
  <c r="H73" i="12"/>
  <c r="Q60" i="47"/>
  <c r="H70" i="12"/>
  <c r="I60" i="47"/>
  <c r="H68" i="12"/>
  <c r="Y60" i="47"/>
  <c r="H72" i="12"/>
  <c r="E60" i="47"/>
  <c r="H67" i="12"/>
  <c r="W60" i="47"/>
  <c r="U61" i="47"/>
  <c r="W61" i="47" s="1"/>
  <c r="AK61" i="47"/>
  <c r="AM61" i="47" s="1"/>
  <c r="AM60" i="47"/>
  <c r="E61" i="47" l="1"/>
  <c r="G61" i="47" s="1"/>
  <c r="E62" i="47" s="1"/>
  <c r="G60" i="47"/>
  <c r="I61" i="47"/>
  <c r="K61" i="47" s="1"/>
  <c r="I62" i="47" s="1"/>
  <c r="K62" i="47" s="1"/>
  <c r="K60" i="47"/>
  <c r="AE60" i="47"/>
  <c r="AC61" i="47"/>
  <c r="AE61" i="47" s="1"/>
  <c r="AC62" i="47" s="1"/>
  <c r="M61" i="47"/>
  <c r="O61" i="47" s="1"/>
  <c r="M62" i="47" s="1"/>
  <c r="O62" i="47" s="1"/>
  <c r="AA60" i="47"/>
  <c r="Y61" i="47"/>
  <c r="AA61" i="47" s="1"/>
  <c r="Y62" i="47" s="1"/>
  <c r="S60" i="47"/>
  <c r="Q61" i="47"/>
  <c r="S61" i="47" s="1"/>
  <c r="Q62" i="47" s="1"/>
  <c r="AG61" i="47"/>
  <c r="AI61" i="47" s="1"/>
  <c r="AG62" i="47" s="1"/>
  <c r="AG63" i="47" s="1"/>
  <c r="AI63" i="47" s="1"/>
  <c r="AI60" i="47"/>
  <c r="U62" i="47"/>
  <c r="Y63" i="47"/>
  <c r="AA63" i="47" s="1"/>
  <c r="AA62" i="47"/>
  <c r="AK62" i="47"/>
  <c r="M63" i="47" l="1"/>
  <c r="O63" i="47" s="1"/>
  <c r="Q63" i="47"/>
  <c r="S63" i="47" s="1"/>
  <c r="Q64" i="47" s="1"/>
  <c r="S64" i="47" s="1"/>
  <c r="S62" i="47"/>
  <c r="AI62" i="47"/>
  <c r="I63" i="47"/>
  <c r="K63" i="47" s="1"/>
  <c r="I64" i="47" s="1"/>
  <c r="AE62" i="47"/>
  <c r="AC63" i="47"/>
  <c r="AE63" i="47" s="1"/>
  <c r="AC64" i="47" s="1"/>
  <c r="AE64" i="47" s="1"/>
  <c r="E63" i="47"/>
  <c r="G63" i="47" s="1"/>
  <c r="E64" i="47" s="1"/>
  <c r="G64" i="47" s="1"/>
  <c r="G62" i="47"/>
  <c r="M64" i="47"/>
  <c r="U63" i="47"/>
  <c r="W63" i="47" s="1"/>
  <c r="W62" i="47"/>
  <c r="AK63" i="47"/>
  <c r="AM63" i="47" s="1"/>
  <c r="AM62" i="47"/>
  <c r="Y64" i="47"/>
  <c r="AG64" i="47"/>
  <c r="E65" i="47" l="1"/>
  <c r="G65" i="47" s="1"/>
  <c r="AC65" i="47"/>
  <c r="AE65" i="47" s="1"/>
  <c r="Q65" i="47"/>
  <c r="S65" i="47" s="1"/>
  <c r="K64" i="47"/>
  <c r="I65" i="47"/>
  <c r="K65" i="47" s="1"/>
  <c r="AI64" i="47"/>
  <c r="AG65" i="47"/>
  <c r="AI65" i="47" s="1"/>
  <c r="AK64" i="47"/>
  <c r="U64" i="47"/>
  <c r="AA64" i="47"/>
  <c r="Y65" i="47"/>
  <c r="AA65" i="47" s="1"/>
  <c r="O64" i="47"/>
  <c r="M65" i="47"/>
  <c r="O65" i="47" s="1"/>
  <c r="Q66" i="47"/>
  <c r="AC66" i="47"/>
  <c r="E66" i="47"/>
  <c r="AE66" i="47" l="1"/>
  <c r="AC67" i="47"/>
  <c r="AE67" i="47" s="1"/>
  <c r="W64" i="47"/>
  <c r="U65" i="47"/>
  <c r="W65" i="47" s="1"/>
  <c r="Y66" i="47"/>
  <c r="I66" i="47"/>
  <c r="E67" i="47"/>
  <c r="G67" i="47" s="1"/>
  <c r="G66" i="47"/>
  <c r="Q67" i="47"/>
  <c r="S67" i="47" s="1"/>
  <c r="S66" i="47"/>
  <c r="AM64" i="47"/>
  <c r="AK65" i="47"/>
  <c r="AM65" i="47" s="1"/>
  <c r="M66" i="47"/>
  <c r="AG66" i="47"/>
  <c r="AG67" i="47" l="1"/>
  <c r="AI67" i="47" s="1"/>
  <c r="AI66" i="47"/>
  <c r="E68" i="47"/>
  <c r="Y67" i="47"/>
  <c r="AA67" i="47" s="1"/>
  <c r="AA66" i="47"/>
  <c r="AC68" i="47"/>
  <c r="AK66" i="47"/>
  <c r="O66" i="47"/>
  <c r="M67" i="47"/>
  <c r="O67" i="47" s="1"/>
  <c r="Q68" i="47"/>
  <c r="I67" i="47"/>
  <c r="K67" i="47" s="1"/>
  <c r="K66" i="47"/>
  <c r="U66" i="47"/>
  <c r="AE68" i="47" l="1"/>
  <c r="AC69" i="47"/>
  <c r="AE69" i="47" s="1"/>
  <c r="G68" i="47"/>
  <c r="E69" i="47"/>
  <c r="G69" i="47" s="1"/>
  <c r="U67" i="47"/>
  <c r="W67" i="47" s="1"/>
  <c r="W66" i="47"/>
  <c r="S68" i="47"/>
  <c r="Q69" i="47"/>
  <c r="S69" i="47" s="1"/>
  <c r="AM66" i="47"/>
  <c r="AK67" i="47"/>
  <c r="AM67" i="47" s="1"/>
  <c r="M68" i="47"/>
  <c r="Y68" i="47"/>
  <c r="AG68" i="47"/>
  <c r="I68" i="47"/>
  <c r="O68" i="47" l="1"/>
  <c r="M69" i="47"/>
  <c r="O69" i="47" s="1"/>
  <c r="AI68" i="47"/>
  <c r="AG69" i="47"/>
  <c r="AI69" i="47" s="1"/>
  <c r="AK68" i="47"/>
  <c r="AC70" i="47"/>
  <c r="K68" i="47"/>
  <c r="I69" i="47"/>
  <c r="K69" i="47" s="1"/>
  <c r="AA68" i="47"/>
  <c r="Y69" i="47"/>
  <c r="AA69" i="47" s="1"/>
  <c r="U68" i="47"/>
  <c r="Q70" i="47"/>
  <c r="E70" i="47"/>
  <c r="AE70" i="47" l="1"/>
  <c r="AC71" i="47"/>
  <c r="AE71" i="47" s="1"/>
  <c r="I70" i="47"/>
  <c r="W68" i="47"/>
  <c r="U69" i="47"/>
  <c r="W69" i="47" s="1"/>
  <c r="AM68" i="47"/>
  <c r="AK69" i="47"/>
  <c r="AM69" i="47" s="1"/>
  <c r="M70" i="47"/>
  <c r="S70" i="47"/>
  <c r="Q71" i="47"/>
  <c r="S71" i="47" s="1"/>
  <c r="AG70" i="47"/>
  <c r="G70" i="47"/>
  <c r="E71" i="47"/>
  <c r="G71" i="47" s="1"/>
  <c r="Y70" i="47"/>
  <c r="U70" i="47" l="1"/>
  <c r="AA70" i="47"/>
  <c r="Y71" i="47"/>
  <c r="AA71" i="47" s="1"/>
  <c r="AI70" i="47"/>
  <c r="AG71" i="47"/>
  <c r="AI71" i="47" s="1"/>
  <c r="O70" i="47"/>
  <c r="M71" i="47"/>
  <c r="O71" i="47" s="1"/>
  <c r="AC72" i="47"/>
  <c r="E72" i="47"/>
  <c r="Q72" i="47"/>
  <c r="AK70" i="47"/>
  <c r="K70" i="47"/>
  <c r="I71" i="47"/>
  <c r="K71" i="47" s="1"/>
  <c r="AM70" i="47" l="1"/>
  <c r="AK71" i="47"/>
  <c r="AM71" i="47" s="1"/>
  <c r="G72" i="47"/>
  <c r="E73" i="47"/>
  <c r="G73" i="47" s="1"/>
  <c r="AG72" i="47"/>
  <c r="S72" i="47"/>
  <c r="Q73" i="47"/>
  <c r="S73" i="47" s="1"/>
  <c r="AE72" i="47"/>
  <c r="AC73" i="47"/>
  <c r="AE73" i="47" s="1"/>
  <c r="W70" i="47"/>
  <c r="U71" i="47"/>
  <c r="W71" i="47" s="1"/>
  <c r="I72" i="47"/>
  <c r="M72" i="47"/>
  <c r="Y72" i="47"/>
  <c r="AC74" i="47" l="1"/>
  <c r="AK72" i="47"/>
  <c r="K72" i="47"/>
  <c r="I73" i="47"/>
  <c r="K73" i="47" s="1"/>
  <c r="AA72" i="47"/>
  <c r="Y73" i="47"/>
  <c r="AA73" i="47" s="1"/>
  <c r="AI72" i="47"/>
  <c r="AG73" i="47"/>
  <c r="AI73" i="47" s="1"/>
  <c r="O72" i="47"/>
  <c r="M73" i="47"/>
  <c r="O73" i="47" s="1"/>
  <c r="U72" i="47"/>
  <c r="Q74" i="47"/>
  <c r="E74" i="47"/>
  <c r="G74" i="47" s="1"/>
  <c r="Q75" i="47" l="1"/>
  <c r="S75" i="47" s="1"/>
  <c r="S74" i="47"/>
  <c r="AG74" i="47"/>
  <c r="AM72" i="47"/>
  <c r="AK73" i="47"/>
  <c r="AM73" i="47" s="1"/>
  <c r="W72" i="47"/>
  <c r="U73" i="47"/>
  <c r="W73" i="47" s="1"/>
  <c r="I74" i="47"/>
  <c r="M74" i="47"/>
  <c r="Y74" i="47"/>
  <c r="AC75" i="47"/>
  <c r="AE75" i="47" s="1"/>
  <c r="AE74" i="47"/>
  <c r="AK74" i="47" l="1"/>
  <c r="I75" i="47"/>
  <c r="K75" i="47" s="1"/>
  <c r="K74" i="47"/>
  <c r="Y75" i="47"/>
  <c r="AA75" i="47" s="1"/>
  <c r="AA74" i="47"/>
  <c r="M75" i="47"/>
  <c r="O75" i="47" s="1"/>
  <c r="O74" i="47"/>
  <c r="U74" i="47"/>
  <c r="AG75" i="47"/>
  <c r="AI75" i="47" s="1"/>
  <c r="AI74" i="47"/>
  <c r="U75" i="47" l="1"/>
  <c r="W75" i="47" s="1"/>
  <c r="W74" i="47"/>
  <c r="AK75" i="47"/>
  <c r="AM75" i="47" s="1"/>
  <c r="AM74" i="47"/>
  <c r="D8" i="7" l="1"/>
  <c r="E320" i="1" l="1"/>
  <c r="E293" i="1"/>
  <c r="E285" i="1"/>
  <c r="E250" i="1"/>
  <c r="E244" i="1"/>
  <c r="E243" i="1"/>
  <c r="E231" i="1"/>
  <c r="E216" i="1"/>
  <c r="E184" i="1"/>
  <c r="E183" i="1"/>
  <c r="E177" i="1"/>
  <c r="E162" i="1"/>
  <c r="E158" i="1"/>
  <c r="E157" i="1"/>
  <c r="E151" i="1"/>
  <c r="E148" i="1"/>
  <c r="E142" i="1"/>
  <c r="E138" i="1"/>
  <c r="E137" i="1"/>
  <c r="E121" i="1"/>
  <c r="E122" i="1" s="1"/>
  <c r="E109" i="1"/>
  <c r="E105" i="1"/>
  <c r="E65" i="1"/>
  <c r="E59" i="1"/>
  <c r="E53" i="1"/>
  <c r="E45" i="1"/>
  <c r="E30" i="1"/>
  <c r="E28" i="1"/>
  <c r="E26" i="1"/>
  <c r="E19" i="1"/>
  <c r="C347" i="1"/>
  <c r="C346" i="1"/>
  <c r="C345" i="1"/>
  <c r="E76" i="13" l="1"/>
  <c r="D61" i="14" l="1"/>
  <c r="F266" i="1" l="1"/>
  <c r="H259" i="1"/>
  <c r="I77" i="8" s="1"/>
  <c r="H258" i="1"/>
  <c r="I76" i="8" s="1"/>
  <c r="H257" i="1"/>
  <c r="I75" i="8" s="1"/>
  <c r="H95" i="1" l="1"/>
  <c r="D60" i="14" l="1"/>
  <c r="D59" i="14" l="1"/>
  <c r="E47" i="17" l="1"/>
  <c r="F47" i="17"/>
  <c r="D44" i="18"/>
  <c r="G44" i="18"/>
  <c r="H44" i="18"/>
  <c r="I44" i="18"/>
  <c r="J44" i="18"/>
  <c r="K44" i="18"/>
  <c r="L44" i="18"/>
  <c r="N44" i="18"/>
  <c r="M44" i="18"/>
  <c r="F24" i="18"/>
  <c r="G24" i="18"/>
  <c r="H24" i="18"/>
  <c r="I24" i="18"/>
  <c r="J24" i="18"/>
  <c r="H144" i="1"/>
  <c r="C43" i="14"/>
  <c r="C44" i="14"/>
  <c r="C45" i="14"/>
  <c r="C46" i="14"/>
  <c r="C47" i="14"/>
  <c r="C48" i="14"/>
  <c r="C49" i="14"/>
  <c r="C50" i="14"/>
  <c r="C42" i="14"/>
  <c r="F264" i="1" l="1"/>
  <c r="L13" i="18" l="1"/>
  <c r="L14" i="18"/>
  <c r="L15" i="18"/>
  <c r="L16" i="18"/>
  <c r="L17" i="18"/>
  <c r="L18" i="18"/>
  <c r="L19" i="18"/>
  <c r="L20" i="18"/>
  <c r="L21" i="18"/>
  <c r="L22" i="18"/>
  <c r="F252" i="1" l="1"/>
  <c r="H13" i="9" l="1"/>
  <c r="C33" i="10" l="1"/>
  <c r="D33" i="10"/>
  <c r="E33" i="10"/>
  <c r="F33" i="10"/>
  <c r="G33" i="10"/>
  <c r="H33" i="10"/>
  <c r="I33" i="10"/>
  <c r="J33" i="10"/>
  <c r="K33" i="10"/>
  <c r="L33" i="10"/>
  <c r="M33" i="10"/>
  <c r="N33" i="10"/>
  <c r="O33" i="10"/>
  <c r="B33" i="10"/>
  <c r="P33" i="10" l="1"/>
  <c r="H145" i="1" l="1"/>
  <c r="G136" i="9"/>
  <c r="E11" i="33"/>
  <c r="E12" i="33"/>
  <c r="E17" i="33"/>
  <c r="E19" i="33"/>
  <c r="E20" i="33"/>
  <c r="E21" i="33"/>
  <c r="E22" i="33"/>
  <c r="E23" i="33"/>
  <c r="E18" i="33"/>
  <c r="E10" i="33"/>
  <c r="C46" i="34"/>
  <c r="I50" i="9" l="1"/>
  <c r="G23" i="32"/>
  <c r="H151" i="1" l="1"/>
  <c r="H157"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10" i="9" s="1"/>
  <c r="L210"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3" i="9"/>
  <c r="R123" i="9"/>
  <c r="Q123" i="9"/>
  <c r="P123" i="9"/>
  <c r="O123" i="9"/>
  <c r="N123" i="9"/>
  <c r="M123" i="9"/>
  <c r="L123" i="9"/>
  <c r="K123" i="9"/>
  <c r="J123" i="9"/>
  <c r="I123" i="9"/>
  <c r="H123" i="9"/>
  <c r="T119" i="9"/>
  <c r="Y119" i="9" s="1"/>
  <c r="T118" i="9"/>
  <c r="Y118" i="9" s="1"/>
  <c r="T117" i="9"/>
  <c r="Y117" i="9" s="1"/>
  <c r="T116" i="9"/>
  <c r="Y116" i="9" s="1"/>
  <c r="T115" i="9"/>
  <c r="Y115" i="9" s="1"/>
  <c r="T114" i="9"/>
  <c r="Y114" i="9" s="1"/>
  <c r="T113" i="9"/>
  <c r="Y113" i="9" s="1"/>
  <c r="T112" i="9"/>
  <c r="Y112" i="9" s="1"/>
  <c r="T109" i="9"/>
  <c r="Y109" i="9" s="1"/>
  <c r="T108" i="9"/>
  <c r="Y108" i="9" s="1"/>
  <c r="T107" i="9"/>
  <c r="Y107" i="9" s="1"/>
  <c r="T106" i="9"/>
  <c r="V106" i="9" s="1"/>
  <c r="Y123" i="9" l="1"/>
  <c r="G38" i="32"/>
  <c r="AB123" i="9"/>
  <c r="T123" i="9"/>
  <c r="V123" i="9"/>
  <c r="H132" i="1" l="1"/>
  <c r="A20" i="7"/>
  <c r="G19" i="7"/>
  <c r="G18" i="7"/>
  <c r="G17" i="7"/>
  <c r="G16" i="7"/>
  <c r="G15" i="7"/>
  <c r="G13" i="7"/>
  <c r="G14" i="7"/>
  <c r="G12" i="7"/>
  <c r="G7" i="7"/>
  <c r="G8" i="7" s="1"/>
  <c r="D33" i="7" l="1"/>
  <c r="H14" i="1" l="1"/>
  <c r="H16" i="1" l="1"/>
  <c r="Z120" i="9" l="1"/>
  <c r="AA120" i="9" s="1"/>
  <c r="Z121" i="9"/>
  <c r="AA121" i="9" s="1"/>
  <c r="T96" i="9"/>
  <c r="T97" i="9" s="1"/>
  <c r="I309" i="49"/>
  <c r="I313" i="49" s="1"/>
  <c r="I289" i="49"/>
  <c r="I293" i="49" s="1"/>
  <c r="I15" i="49" s="1"/>
  <c r="I216" i="49"/>
  <c r="I220" i="49" s="1"/>
  <c r="I14" i="49" s="1"/>
  <c r="I143" i="49"/>
  <c r="I147" i="49" s="1"/>
  <c r="I13" i="49" s="1"/>
  <c r="I73" i="49"/>
  <c r="I77" i="49" s="1"/>
  <c r="I11" i="49" s="1"/>
  <c r="I245" i="49"/>
  <c r="I249" i="49" s="1"/>
  <c r="I100" i="49"/>
  <c r="I104" i="49" s="1"/>
  <c r="I167" i="49"/>
  <c r="I171" i="49" s="1"/>
  <c r="H133" i="9"/>
  <c r="G26" i="33"/>
  <c r="Z110" i="9"/>
  <c r="AA110" i="9" s="1"/>
  <c r="AC110" i="9" s="1"/>
  <c r="Z114" i="9"/>
  <c r="AA114" i="9" s="1"/>
  <c r="Z106" i="9"/>
  <c r="AA106" i="9" s="1"/>
  <c r="Z107" i="9"/>
  <c r="AA107" i="9" s="1"/>
  <c r="Z111" i="9"/>
  <c r="AA111" i="9" s="1"/>
  <c r="AC111" i="9" s="1"/>
  <c r="Z115" i="9"/>
  <c r="AA115" i="9" s="1"/>
  <c r="Z118" i="9"/>
  <c r="AA118" i="9" s="1"/>
  <c r="Z108" i="9"/>
  <c r="AA108" i="9" s="1"/>
  <c r="Z112" i="9"/>
  <c r="AA112" i="9" s="1"/>
  <c r="Z116" i="9"/>
  <c r="AA116" i="9" s="1"/>
  <c r="Z119" i="9"/>
  <c r="AA119" i="9" s="1"/>
  <c r="Z109" i="9"/>
  <c r="AA109" i="9" s="1"/>
  <c r="Z113" i="9"/>
  <c r="AA113" i="9" s="1"/>
  <c r="Z117" i="9"/>
  <c r="AA117" i="9" s="1"/>
  <c r="F20" i="7"/>
  <c r="G20" i="7" s="1"/>
  <c r="I17" i="49" l="1"/>
  <c r="AA123" i="9"/>
  <c r="E26" i="14" l="1"/>
  <c r="J48" i="13" s="1"/>
  <c r="E13" i="33" l="1"/>
  <c r="G24" i="33"/>
  <c r="G27" i="33" s="1"/>
  <c r="E236" i="9"/>
  <c r="E238" i="9" s="1"/>
  <c r="E239" i="9" s="1"/>
  <c r="E241" i="9" l="1"/>
  <c r="E242" i="9" s="1"/>
  <c r="E234" i="9" s="1"/>
  <c r="I199" i="9" l="1"/>
  <c r="I201" i="9"/>
  <c r="I203" i="9"/>
  <c r="I202" i="9"/>
  <c r="I198" i="9" l="1"/>
  <c r="I200" i="9"/>
  <c r="C44" i="18" l="1"/>
  <c r="M13" i="18"/>
  <c r="L23" i="18"/>
  <c r="D24" i="18"/>
  <c r="M23" i="18"/>
  <c r="F44" i="18" l="1"/>
  <c r="K13" i="18"/>
  <c r="M14" i="18"/>
  <c r="E44" i="18" l="1"/>
  <c r="K14" i="18"/>
  <c r="M15" i="18"/>
  <c r="F179" i="1"/>
  <c r="K15" i="18" l="1"/>
  <c r="M16" i="18"/>
  <c r="F55" i="1"/>
  <c r="F49" i="1"/>
  <c r="M17" i="18" l="1"/>
  <c r="K16" i="18"/>
  <c r="K17" i="18" l="1"/>
  <c r="M18" i="18"/>
  <c r="H177" i="1"/>
  <c r="H175" i="1"/>
  <c r="M19" i="18" l="1"/>
  <c r="K18" i="18"/>
  <c r="I221" i="9"/>
  <c r="H184" i="1" s="1"/>
  <c r="I220" i="9"/>
  <c r="H183" i="1" s="1"/>
  <c r="I217" i="9"/>
  <c r="H173" i="1" s="1"/>
  <c r="K66" i="12" s="1"/>
  <c r="K19" i="18" l="1"/>
  <c r="M20" i="18"/>
  <c r="F78" i="1"/>
  <c r="F76" i="1"/>
  <c r="F74" i="1"/>
  <c r="M22" i="18" l="1"/>
  <c r="M21" i="18"/>
  <c r="K20" i="18"/>
  <c r="F321" i="1"/>
  <c r="F313" i="1"/>
  <c r="F310" i="1"/>
  <c r="F309" i="1"/>
  <c r="F308" i="1"/>
  <c r="F306" i="1"/>
  <c r="F302" i="1"/>
  <c r="F301" i="1"/>
  <c r="F300" i="1"/>
  <c r="F299" i="1"/>
  <c r="F298" i="1"/>
  <c r="F295" i="1"/>
  <c r="F289" i="1"/>
  <c r="F288" i="1"/>
  <c r="F287" i="1"/>
  <c r="F286" i="1"/>
  <c r="F284" i="1"/>
  <c r="F281" i="1"/>
  <c r="F279" i="1"/>
  <c r="F278" i="1"/>
  <c r="F277" i="1"/>
  <c r="F276" i="1"/>
  <c r="F275" i="1"/>
  <c r="F273" i="1"/>
  <c r="F272" i="1"/>
  <c r="F271" i="1"/>
  <c r="F238" i="1"/>
  <c r="F236" i="1"/>
  <c r="F235" i="1"/>
  <c r="F234" i="1"/>
  <c r="F233" i="1"/>
  <c r="F230" i="1"/>
  <c r="F229" i="1"/>
  <c r="F223" i="1"/>
  <c r="F222" i="1"/>
  <c r="F220" i="1"/>
  <c r="F219" i="1"/>
  <c r="F209" i="1"/>
  <c r="F196" i="1"/>
  <c r="F187" i="1"/>
  <c r="F186" i="1"/>
  <c r="F185" i="1"/>
  <c r="F181" i="1"/>
  <c r="F180" i="1"/>
  <c r="F127" i="1"/>
  <c r="F123" i="1"/>
  <c r="F122" i="1"/>
  <c r="F118" i="1"/>
  <c r="F116" i="1"/>
  <c r="F113" i="1"/>
  <c r="F111" i="1"/>
  <c r="F110" i="1"/>
  <c r="F80" i="1"/>
  <c r="F75" i="1"/>
  <c r="F61" i="1"/>
  <c r="F57" i="1"/>
  <c r="F56" i="1"/>
  <c r="E24" i="18" l="1"/>
  <c r="K22" i="18"/>
  <c r="K21" i="18"/>
  <c r="C24" i="18"/>
  <c r="H66" i="1"/>
  <c r="H54" i="1"/>
  <c r="F67" i="1"/>
  <c r="F21" i="1"/>
  <c r="H46" i="1"/>
  <c r="H47" i="17" l="1"/>
  <c r="F152" i="1" l="1"/>
  <c r="F139" i="1"/>
  <c r="A24" i="1"/>
  <c r="H31" i="1"/>
  <c r="H29" i="1"/>
  <c r="F22" i="1"/>
  <c r="A26" i="1" l="1"/>
  <c r="F71" i="1" s="1"/>
  <c r="A28" i="1" l="1"/>
  <c r="F72" i="1" s="1"/>
  <c r="D51" i="18"/>
  <c r="E51" i="18"/>
  <c r="F51" i="18"/>
  <c r="C63" i="18"/>
  <c r="C51" i="18"/>
  <c r="L11" i="18"/>
  <c r="K23" i="18"/>
  <c r="K11" i="18"/>
  <c r="M11" i="18"/>
  <c r="A30" i="1" l="1"/>
  <c r="F73" i="1" l="1"/>
  <c r="F32" i="1"/>
  <c r="E64" i="18" l="1"/>
  <c r="D34" i="7"/>
  <c r="F64" i="18" l="1"/>
  <c r="H316" i="1"/>
  <c r="E34" i="5" l="1"/>
  <c r="E27" i="5"/>
  <c r="I63" i="8"/>
  <c r="I61" i="8"/>
  <c r="I49" i="8"/>
  <c r="I39" i="8"/>
  <c r="I28" i="8" s="1"/>
  <c r="I35" i="8"/>
  <c r="I34" i="8"/>
  <c r="I29" i="8"/>
  <c r="I27" i="8"/>
  <c r="I24" i="8"/>
  <c r="H293" i="1"/>
  <c r="H285" i="1"/>
  <c r="H244" i="1"/>
  <c r="I36" i="8"/>
  <c r="H162" i="1"/>
  <c r="K93" i="12" s="1"/>
  <c r="H158" i="1"/>
  <c r="H134" i="1"/>
  <c r="H133" i="1"/>
  <c r="H122" i="1"/>
  <c r="H121" i="1"/>
  <c r="H230" i="1"/>
  <c r="I33" i="8"/>
  <c r="H209" i="1"/>
  <c r="H212" i="1" s="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N22" i="18"/>
  <c r="E22" i="17" s="1"/>
  <c r="N21" i="18"/>
  <c r="E21" i="17" s="1"/>
  <c r="N20" i="18"/>
  <c r="E20" i="17" s="1"/>
  <c r="N19" i="18"/>
  <c r="E19" i="17" s="1"/>
  <c r="N18" i="18"/>
  <c r="E18" i="17" s="1"/>
  <c r="N17" i="18"/>
  <c r="E17" i="17" s="1"/>
  <c r="N16" i="18"/>
  <c r="E16" i="17" s="1"/>
  <c r="N15" i="18"/>
  <c r="E15" i="17" s="1"/>
  <c r="N14" i="18"/>
  <c r="E14" i="17" s="1"/>
  <c r="N13" i="18"/>
  <c r="E13" i="17" s="1"/>
  <c r="E12" i="17"/>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36" i="1" s="1"/>
  <c r="G7" i="9" l="1"/>
  <c r="H7" i="9" s="1"/>
  <c r="F70" i="19"/>
  <c r="M23" i="17"/>
  <c r="H24" i="17"/>
  <c r="H26" i="17" s="1"/>
  <c r="D47" i="17"/>
  <c r="H59" i="1" s="1"/>
  <c r="E24" i="17"/>
  <c r="I24" i="17"/>
  <c r="H26" i="1" s="1"/>
  <c r="J24" i="17"/>
  <c r="J26" i="17" s="1"/>
  <c r="G24" i="17"/>
  <c r="H123" i="1"/>
  <c r="H222" i="1"/>
  <c r="I21" i="8"/>
  <c r="I62" i="8"/>
  <c r="E70" i="19"/>
  <c r="M14" i="17"/>
  <c r="M18" i="17"/>
  <c r="M22" i="17"/>
  <c r="H75" i="1"/>
  <c r="H109" i="1"/>
  <c r="C24" i="17"/>
  <c r="H45" i="1" s="1"/>
  <c r="M17" i="17"/>
  <c r="M19" i="17"/>
  <c r="D74" i="19"/>
  <c r="M15" i="17"/>
  <c r="M20" i="17"/>
  <c r="M12" i="17"/>
  <c r="N24" i="18"/>
  <c r="G64" i="18"/>
  <c r="H112" i="1"/>
  <c r="H64" i="18"/>
  <c r="K23" i="17"/>
  <c r="M13" i="17"/>
  <c r="M16" i="17"/>
  <c r="M11" i="17"/>
  <c r="M21" i="17"/>
  <c r="H246" i="1"/>
  <c r="H159" i="1"/>
  <c r="H203" i="1"/>
  <c r="I30" i="8"/>
  <c r="I40" i="8" s="1"/>
  <c r="I20" i="8"/>
  <c r="F27" i="5"/>
  <c r="G27" i="5" s="1"/>
  <c r="H139" i="1"/>
  <c r="H185" i="1"/>
  <c r="I48" i="8"/>
  <c r="H220" i="1"/>
  <c r="I37" i="8"/>
  <c r="I38" i="8" s="1"/>
  <c r="K11" i="17"/>
  <c r="L11" i="17"/>
  <c r="D12" i="17"/>
  <c r="L12" i="17" s="1"/>
  <c r="D35" i="7"/>
  <c r="D36" i="7" s="1"/>
  <c r="D38" i="7" s="1"/>
  <c r="D39" i="7" s="1"/>
  <c r="D24" i="7" s="1"/>
  <c r="G24" i="7" s="1"/>
  <c r="H180" i="1"/>
  <c r="D8" i="19"/>
  <c r="G8" i="19" s="1"/>
  <c r="H153" i="1"/>
  <c r="H110" i="1"/>
  <c r="H56" i="1"/>
  <c r="D14" i="19"/>
  <c r="D15" i="19"/>
  <c r="H186" i="1"/>
  <c r="G38" i="19"/>
  <c r="H248" i="1" l="1"/>
  <c r="J250" i="9"/>
  <c r="L250" i="9" s="1"/>
  <c r="F12" i="17"/>
  <c r="M24" i="17"/>
  <c r="M26" i="17" s="1"/>
  <c r="I22" i="8"/>
  <c r="I47" i="8" s="1"/>
  <c r="H247" i="1"/>
  <c r="H28" i="1"/>
  <c r="H30" i="1"/>
  <c r="C26" i="17"/>
  <c r="E93" i="12" s="1"/>
  <c r="H111" i="1"/>
  <c r="D75" i="19"/>
  <c r="I64" i="8"/>
  <c r="I66" i="8" s="1"/>
  <c r="E26" i="17"/>
  <c r="H53" i="1"/>
  <c r="H69" i="1"/>
  <c r="H187" i="1"/>
  <c r="H229" i="1"/>
  <c r="F13" i="17"/>
  <c r="F14" i="17"/>
  <c r="K14" i="17" s="1"/>
  <c r="H223" i="1"/>
  <c r="I41" i="8"/>
  <c r="G10" i="19"/>
  <c r="H49" i="1"/>
  <c r="D13" i="17"/>
  <c r="L13" i="17" s="1"/>
  <c r="Q216" i="52" l="1"/>
  <c r="Q218" i="52" s="1"/>
  <c r="Q228" i="52" s="1"/>
  <c r="Q230" i="52" s="1"/>
  <c r="O216" i="52"/>
  <c r="O218" i="52" s="1"/>
  <c r="O228" i="52" s="1"/>
  <c r="O230" i="52" s="1"/>
  <c r="M216" i="52"/>
  <c r="M218" i="52" s="1"/>
  <c r="M228" i="52" s="1"/>
  <c r="M230" i="52" s="1"/>
  <c r="K216" i="52"/>
  <c r="K218" i="52" s="1"/>
  <c r="K228" i="52" s="1"/>
  <c r="K230" i="52" s="1"/>
  <c r="H252" i="1"/>
  <c r="Q111" i="52"/>
  <c r="Q113" i="52" s="1"/>
  <c r="Q123" i="52" s="1"/>
  <c r="O111" i="52"/>
  <c r="O113" i="52" s="1"/>
  <c r="O123" i="52" s="1"/>
  <c r="M111" i="52"/>
  <c r="M113" i="52" s="1"/>
  <c r="M123" i="52" s="1"/>
  <c r="K111" i="52"/>
  <c r="K113" i="52" s="1"/>
  <c r="K123" i="52" s="1"/>
  <c r="I53" i="8"/>
  <c r="I51" i="8"/>
  <c r="H261" i="1"/>
  <c r="L255" i="9"/>
  <c r="H256" i="1"/>
  <c r="I65" i="8"/>
  <c r="K12" i="17"/>
  <c r="I18" i="12"/>
  <c r="I79" i="8"/>
  <c r="I70" i="8"/>
  <c r="I52" i="8"/>
  <c r="H113" i="1"/>
  <c r="H72" i="1"/>
  <c r="H73" i="1"/>
  <c r="H21" i="1"/>
  <c r="D76" i="19"/>
  <c r="K13" i="17"/>
  <c r="H284" i="1"/>
  <c r="D14" i="17"/>
  <c r="L14" i="17" s="1"/>
  <c r="M125" i="52" l="1"/>
  <c r="M242" i="52"/>
  <c r="M244" i="52" s="1"/>
  <c r="O242" i="52"/>
  <c r="O244" i="52" s="1"/>
  <c r="O125" i="52"/>
  <c r="Q242" i="52"/>
  <c r="Q244" i="52" s="1"/>
  <c r="Q125" i="52"/>
  <c r="K242" i="52"/>
  <c r="K244" i="52" s="1"/>
  <c r="K125" i="52"/>
  <c r="I74" i="8"/>
  <c r="I78" i="8" s="1"/>
  <c r="I80" i="8" s="1"/>
  <c r="H260" i="1"/>
  <c r="H262" i="1" s="1"/>
  <c r="H234" i="1"/>
  <c r="H286" i="1"/>
  <c r="H233" i="1"/>
  <c r="H235" i="1"/>
  <c r="D77" i="19"/>
  <c r="I54" i="8"/>
  <c r="F15" i="17"/>
  <c r="F16" i="17"/>
  <c r="K16" i="17" s="1"/>
  <c r="D15" i="17"/>
  <c r="L15" i="17" s="1"/>
  <c r="H236" i="1" l="1"/>
  <c r="H287" i="1"/>
  <c r="D78" i="19"/>
  <c r="F17" i="17"/>
  <c r="K17" i="17" s="1"/>
  <c r="K15" i="17"/>
  <c r="D16" i="17"/>
  <c r="L16" i="17" s="1"/>
  <c r="D79" i="19" l="1"/>
  <c r="D17" i="17"/>
  <c r="L17" i="17" s="1"/>
  <c r="D80" i="19" l="1"/>
  <c r="F18" i="17"/>
  <c r="F19" i="17"/>
  <c r="K19" i="17" s="1"/>
  <c r="D18" i="17"/>
  <c r="L18" i="17" s="1"/>
  <c r="D81" i="19" l="1"/>
  <c r="F20" i="17"/>
  <c r="K20" i="17" s="1"/>
  <c r="K18" i="17"/>
  <c r="D19" i="17"/>
  <c r="L19" i="17" s="1"/>
  <c r="D82" i="19" l="1"/>
  <c r="F21" i="17"/>
  <c r="K21" i="17" s="1"/>
  <c r="D20" i="17"/>
  <c r="L20" i="17" s="1"/>
  <c r="D83" i="19" l="1"/>
  <c r="D64" i="18"/>
  <c r="K24" i="18"/>
  <c r="H19" i="1" s="1"/>
  <c r="D21" i="17"/>
  <c r="L21" i="17" s="1"/>
  <c r="C64" i="18" l="1"/>
  <c r="H22" i="1"/>
  <c r="D84" i="19"/>
  <c r="F22" i="17"/>
  <c r="F24" i="17" s="1"/>
  <c r="D22" i="17"/>
  <c r="L22" i="17" s="1"/>
  <c r="D85" i="19" l="1"/>
  <c r="D86" i="19" s="1"/>
  <c r="C15" i="19" s="1"/>
  <c r="H219" i="9" s="1"/>
  <c r="D51" i="19"/>
  <c r="I25" i="17" s="1"/>
  <c r="H24" i="1"/>
  <c r="K22" i="17"/>
  <c r="K24" i="17" s="1"/>
  <c r="M24" i="18"/>
  <c r="D23" i="17"/>
  <c r="D24" i="17" s="1"/>
  <c r="I219" i="9" l="1"/>
  <c r="H178" i="1"/>
  <c r="G15" i="19"/>
  <c r="H27" i="1"/>
  <c r="I26" i="17"/>
  <c r="F26" i="17"/>
  <c r="H65" i="1"/>
  <c r="K26" i="17"/>
  <c r="H66" i="12" s="1"/>
  <c r="L23" i="17"/>
  <c r="L24" i="17" s="1"/>
  <c r="H93" i="12" l="1"/>
  <c r="I19" i="12"/>
  <c r="H67" i="1"/>
  <c r="H71" i="1"/>
  <c r="H299" i="1"/>
  <c r="H51" i="1"/>
  <c r="H309" i="1" l="1"/>
  <c r="E75" i="13" l="1"/>
  <c r="E77" i="13" s="1"/>
  <c r="F12" i="13" s="1"/>
  <c r="B64" i="13"/>
  <c r="F41" i="14" l="1"/>
  <c r="F42" i="14" s="1"/>
  <c r="F43" i="14" s="1"/>
  <c r="F44" i="14" s="1"/>
  <c r="F45" i="14" s="1"/>
  <c r="F46" i="14" s="1"/>
  <c r="F47" i="14" s="1"/>
  <c r="F48" i="14" s="1"/>
  <c r="F49" i="14" s="1"/>
  <c r="F50" i="14" s="1"/>
  <c r="F51" i="14" s="1"/>
  <c r="F52" i="14" s="1"/>
  <c r="F53" i="14" s="1"/>
  <c r="F54" i="14" s="1"/>
  <c r="F55" i="14" s="1"/>
  <c r="F56" i="14" s="1"/>
  <c r="F57" i="14" s="1"/>
  <c r="F58" i="14" s="1"/>
  <c r="F59" i="14" s="1"/>
  <c r="F60" i="14" l="1"/>
  <c r="G59" i="14"/>
  <c r="G60" i="14" l="1"/>
  <c r="F61" i="14"/>
  <c r="G61" i="14" s="1"/>
  <c r="E66" i="13"/>
  <c r="C47" i="17" l="1"/>
  <c r="H99" i="1" s="1"/>
  <c r="H149" i="1" l="1"/>
  <c r="H148" i="1"/>
  <c r="I24" i="33"/>
  <c r="I27" i="33" s="1"/>
  <c r="E19" i="5" l="1"/>
  <c r="E49" i="5" s="1"/>
  <c r="G98" i="9"/>
  <c r="G34" i="17" s="1"/>
  <c r="O98" i="9"/>
  <c r="G42" i="17" s="1"/>
  <c r="M98" i="9"/>
  <c r="G40" i="17" s="1"/>
  <c r="P98" i="9"/>
  <c r="G43" i="17" s="1"/>
  <c r="K98" i="9"/>
  <c r="G38" i="17" s="1"/>
  <c r="S98" i="9"/>
  <c r="G46" i="17" s="1"/>
  <c r="I98" i="9"/>
  <c r="G36" i="17" s="1"/>
  <c r="H98" i="9"/>
  <c r="G35" i="17" s="1"/>
  <c r="Q98" i="9"/>
  <c r="G44" i="17" s="1"/>
  <c r="N98" i="9"/>
  <c r="G41" i="17" s="1"/>
  <c r="J98" i="9"/>
  <c r="G37" i="17" s="1"/>
  <c r="R98" i="9"/>
  <c r="G45" i="17" s="1"/>
  <c r="L98" i="9"/>
  <c r="G39" i="17" s="1"/>
  <c r="G47" i="17" l="1"/>
  <c r="H105" i="1" s="1"/>
  <c r="H106" i="1" l="1"/>
  <c r="D46" i="13" l="1"/>
  <c r="E25" i="13" l="1"/>
  <c r="E27" i="13"/>
  <c r="E20" i="13"/>
  <c r="E26" i="13"/>
  <c r="E24" i="13"/>
  <c r="E19" i="13"/>
  <c r="E21" i="13"/>
  <c r="E18" i="13"/>
  <c r="E23" i="13"/>
  <c r="E22" i="13"/>
  <c r="F22" i="13" l="1"/>
  <c r="F21" i="13"/>
  <c r="F26" i="13"/>
  <c r="F27" i="13"/>
  <c r="F19" i="13"/>
  <c r="F23" i="13"/>
  <c r="F20" i="13"/>
  <c r="F18" i="13"/>
  <c r="E46" i="13"/>
  <c r="F24" i="13"/>
  <c r="F25" i="13"/>
  <c r="D54" i="14" l="1"/>
  <c r="G54" i="14" s="1"/>
  <c r="G52" i="14"/>
  <c r="D55" i="14"/>
  <c r="G55" i="14" s="1"/>
  <c r="D56" i="14"/>
  <c r="G56" i="14" s="1"/>
  <c r="D58" i="14"/>
  <c r="G58" i="14" s="1"/>
  <c r="D51" i="14"/>
  <c r="G51" i="14" s="1"/>
  <c r="J28" i="13" s="1"/>
  <c r="K28" i="13" s="1"/>
  <c r="D57" i="14"/>
  <c r="G57" i="14" s="1"/>
  <c r="D53" i="14"/>
  <c r="G53" i="14" s="1"/>
  <c r="F46" i="13"/>
  <c r="H24" i="33" l="1"/>
  <c r="H147" i="1"/>
  <c r="H161" i="1" s="1"/>
  <c r="H163" i="1" s="1"/>
  <c r="E24" i="33"/>
  <c r="G209" i="9" s="1"/>
  <c r="L209" i="9" s="1"/>
  <c r="H143" i="1" l="1"/>
  <c r="H152" i="1" s="1"/>
  <c r="H154" i="1" s="1"/>
  <c r="G39" i="19" l="1"/>
  <c r="C75" i="19"/>
  <c r="G75" i="19" s="1"/>
  <c r="G40" i="19" l="1"/>
  <c r="C74" i="19"/>
  <c r="G74" i="19" l="1"/>
  <c r="G41" i="19"/>
  <c r="C76" i="19"/>
  <c r="G76" i="19" s="1"/>
  <c r="G42" i="19" l="1"/>
  <c r="C77" i="19"/>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25" i="1"/>
  <c r="H32" i="1" s="1"/>
  <c r="H34" i="1" s="1"/>
  <c r="G50" i="19"/>
  <c r="G51" i="19" s="1"/>
  <c r="C85" i="19"/>
  <c r="C86" i="19" l="1"/>
  <c r="G85" i="19"/>
  <c r="H70" i="1"/>
  <c r="H74" i="1" s="1"/>
  <c r="H76" i="1" s="1"/>
  <c r="H78" i="1" s="1"/>
  <c r="G26" i="17"/>
  <c r="G86" i="19" l="1"/>
  <c r="C14" i="19"/>
  <c r="C22" i="19" l="1"/>
  <c r="C27" i="19"/>
  <c r="C32" i="19"/>
  <c r="C33" i="19"/>
  <c r="C21" i="19"/>
  <c r="D21" i="19" s="1"/>
  <c r="C31" i="19"/>
  <c r="C23" i="19"/>
  <c r="C28" i="19"/>
  <c r="C29" i="19"/>
  <c r="C30" i="19"/>
  <c r="C26" i="19"/>
  <c r="C24" i="19"/>
  <c r="C25" i="19"/>
  <c r="H218" i="9"/>
  <c r="I218" i="9" s="1"/>
  <c r="C17" i="19"/>
  <c r="G14" i="19"/>
  <c r="G17" i="19" s="1"/>
  <c r="H176" i="1"/>
  <c r="H179" i="1" s="1"/>
  <c r="H181" i="1" s="1"/>
  <c r="D23" i="19" l="1"/>
  <c r="D59" i="19" s="1"/>
  <c r="G23" i="19"/>
  <c r="C59" i="19"/>
  <c r="G59" i="19" s="1"/>
  <c r="D28" i="19"/>
  <c r="D64" i="19" s="1"/>
  <c r="G28" i="19"/>
  <c r="C64" i="19"/>
  <c r="G64" i="19" s="1"/>
  <c r="D33" i="19"/>
  <c r="D69" i="19" s="1"/>
  <c r="G33" i="19"/>
  <c r="C69" i="19"/>
  <c r="D31" i="19"/>
  <c r="D67" i="19" s="1"/>
  <c r="G31" i="19"/>
  <c r="C67" i="19"/>
  <c r="G67" i="19" s="1"/>
  <c r="D24" i="19"/>
  <c r="D60" i="19" s="1"/>
  <c r="G24" i="19"/>
  <c r="C60" i="19"/>
  <c r="G60" i="19" s="1"/>
  <c r="D26" i="19"/>
  <c r="D62" i="19" s="1"/>
  <c r="C62" i="19"/>
  <c r="D32" i="19"/>
  <c r="D68" i="19" s="1"/>
  <c r="C68" i="19"/>
  <c r="D25" i="19"/>
  <c r="D61" i="19" s="1"/>
  <c r="G25" i="19"/>
  <c r="C61" i="19"/>
  <c r="G61" i="19" s="1"/>
  <c r="D30" i="19"/>
  <c r="D66" i="19" s="1"/>
  <c r="G30" i="19"/>
  <c r="C66" i="19"/>
  <c r="G66" i="19" s="1"/>
  <c r="D27" i="19"/>
  <c r="D63" i="19" s="1"/>
  <c r="C63" i="19"/>
  <c r="G63" i="19" s="1"/>
  <c r="D29" i="19"/>
  <c r="D65" i="19" s="1"/>
  <c r="C65" i="19"/>
  <c r="G65" i="19" s="1"/>
  <c r="D22" i="19"/>
  <c r="D58" i="19" s="1"/>
  <c r="G22" i="19"/>
  <c r="C58" i="19"/>
  <c r="G58" i="19" s="1"/>
  <c r="I26" i="12"/>
  <c r="I27" i="12" s="1"/>
  <c r="L27" i="12" s="1"/>
  <c r="H190" i="1"/>
  <c r="H276" i="1" s="1"/>
  <c r="C57" i="19"/>
  <c r="C34" i="19"/>
  <c r="G27" i="19" l="1"/>
  <c r="G68" i="19"/>
  <c r="G32" i="19"/>
  <c r="G29" i="19"/>
  <c r="G62" i="19"/>
  <c r="G26" i="19"/>
  <c r="G69" i="19"/>
  <c r="C70" i="19"/>
  <c r="D57" i="19"/>
  <c r="D70" i="19" s="1"/>
  <c r="D34" i="19"/>
  <c r="G21" i="19"/>
  <c r="G34" i="19" s="1"/>
  <c r="D25" i="17" s="1"/>
  <c r="H52" i="1" l="1"/>
  <c r="H55" i="1" s="1"/>
  <c r="H57" i="1" s="1"/>
  <c r="H61" i="1" s="1"/>
  <c r="D26" i="17"/>
  <c r="L25" i="17"/>
  <c r="L26" i="17" s="1"/>
  <c r="G57" i="19"/>
  <c r="G70" i="19" s="1"/>
  <c r="H36" i="1" l="1"/>
  <c r="H37" i="1" s="1"/>
  <c r="H80" i="1"/>
  <c r="W120" i="9" l="1"/>
  <c r="X120" i="9" s="1"/>
  <c r="AC120" i="9" s="1"/>
  <c r="W121" i="9"/>
  <c r="X121" i="9" s="1"/>
  <c r="AC121" i="9" s="1"/>
  <c r="H39" i="1"/>
  <c r="H40" i="1" s="1"/>
  <c r="H271" i="1"/>
  <c r="H217" i="49"/>
  <c r="H220" i="49" s="1"/>
  <c r="H144" i="49"/>
  <c r="H147" i="49" s="1"/>
  <c r="H74" i="49"/>
  <c r="H77" i="49" s="1"/>
  <c r="H246" i="49"/>
  <c r="H101" i="49"/>
  <c r="H104" i="49" s="1"/>
  <c r="E104" i="49" s="1"/>
  <c r="H168" i="49"/>
  <c r="F19" i="5"/>
  <c r="G19" i="5" s="1"/>
  <c r="W106" i="9"/>
  <c r="X106" i="9" s="1"/>
  <c r="W108" i="9"/>
  <c r="X108" i="9" s="1"/>
  <c r="AC108" i="9" s="1"/>
  <c r="W109" i="9"/>
  <c r="X109" i="9" s="1"/>
  <c r="AC109" i="9" s="1"/>
  <c r="F34" i="5"/>
  <c r="G34" i="5" s="1"/>
  <c r="W111" i="9"/>
  <c r="W117" i="9"/>
  <c r="X117" i="9" s="1"/>
  <c r="AC117" i="9" s="1"/>
  <c r="W114" i="9"/>
  <c r="X114" i="9" s="1"/>
  <c r="AC114" i="9" s="1"/>
  <c r="W115" i="9"/>
  <c r="X115" i="9" s="1"/>
  <c r="AC115" i="9" s="1"/>
  <c r="W119" i="9"/>
  <c r="X119" i="9" s="1"/>
  <c r="AC119" i="9" s="1"/>
  <c r="H135" i="9"/>
  <c r="G140" i="9" s="1"/>
  <c r="W107" i="9"/>
  <c r="X107" i="9" s="1"/>
  <c r="AC107" i="9" s="1"/>
  <c r="W112" i="9"/>
  <c r="X112" i="9" s="1"/>
  <c r="AC112" i="9" s="1"/>
  <c r="W113" i="9"/>
  <c r="X113" i="9" s="1"/>
  <c r="AC113" i="9" s="1"/>
  <c r="W110" i="9"/>
  <c r="W116" i="9"/>
  <c r="X116" i="9" s="1"/>
  <c r="AC116" i="9" s="1"/>
  <c r="W118" i="9"/>
  <c r="X118" i="9" s="1"/>
  <c r="AC118" i="9" s="1"/>
  <c r="H249" i="49" l="1"/>
  <c r="E249" i="49" s="1"/>
  <c r="H290" i="49"/>
  <c r="H310" i="49" s="1"/>
  <c r="G21" i="7"/>
  <c r="G23" i="7" s="1"/>
  <c r="G25" i="7" s="1"/>
  <c r="H292" i="1" s="1"/>
  <c r="I33" i="12" s="1"/>
  <c r="I34" i="12" s="1"/>
  <c r="L34" i="12" s="1"/>
  <c r="D21" i="7"/>
  <c r="D23" i="7" s="1"/>
  <c r="D40" i="7" s="1"/>
  <c r="H14" i="49"/>
  <c r="E14" i="49" s="1"/>
  <c r="L131" i="48" s="1"/>
  <c r="L133" i="48" s="1"/>
  <c r="L135" i="48" s="1"/>
  <c r="L137" i="48" s="1"/>
  <c r="H88" i="1" s="1"/>
  <c r="E220" i="49"/>
  <c r="X123" i="9"/>
  <c r="AC106" i="9"/>
  <c r="AC123" i="9" s="1"/>
  <c r="H102" i="1" s="1"/>
  <c r="G36" i="5"/>
  <c r="H194" i="1" s="1"/>
  <c r="H196" i="1" s="1"/>
  <c r="H11" i="49"/>
  <c r="E77" i="49"/>
  <c r="I172" i="49"/>
  <c r="H171" i="49"/>
  <c r="E171" i="49" s="1"/>
  <c r="H13" i="49"/>
  <c r="E13" i="49" s="1"/>
  <c r="L98" i="48" s="1"/>
  <c r="L100" i="48" s="1"/>
  <c r="L102" i="48" s="1"/>
  <c r="L104" i="48" s="1"/>
  <c r="H87" i="1" s="1"/>
  <c r="E147" i="49"/>
  <c r="H313" i="49"/>
  <c r="E313" i="49" s="1"/>
  <c r="H251" i="1" s="1"/>
  <c r="H164" i="1"/>
  <c r="H165" i="1" s="1"/>
  <c r="H167" i="1" s="1"/>
  <c r="H26" i="33"/>
  <c r="H27" i="33" s="1"/>
  <c r="J28" i="33" s="1"/>
  <c r="H293" i="49" l="1"/>
  <c r="E293" i="49" s="1"/>
  <c r="D44" i="7"/>
  <c r="I69" i="8"/>
  <c r="I71" i="8" s="1"/>
  <c r="H253" i="1"/>
  <c r="H275" i="1"/>
  <c r="I22" i="12"/>
  <c r="I23" i="12" s="1"/>
  <c r="L23" i="12" s="1"/>
  <c r="H116" i="1"/>
  <c r="H118" i="1" s="1"/>
  <c r="E11" i="49"/>
  <c r="I30" i="12"/>
  <c r="I31" i="12" s="1"/>
  <c r="L31" i="12" s="1"/>
  <c r="H277" i="1"/>
  <c r="H15" i="49" l="1"/>
  <c r="E15" i="49" s="1"/>
  <c r="E17" i="49" s="1"/>
  <c r="L36" i="12"/>
  <c r="F74" i="12" s="1"/>
  <c r="G74" i="12" s="1"/>
  <c r="L32" i="48"/>
  <c r="L34" i="48" s="1"/>
  <c r="L36" i="48" s="1"/>
  <c r="L38" i="48" s="1"/>
  <c r="H85" i="1" s="1"/>
  <c r="H90" i="1" s="1"/>
  <c r="H97" i="1" s="1"/>
  <c r="H17" i="49" l="1"/>
  <c r="F67" i="12"/>
  <c r="G67" i="12" s="1"/>
  <c r="F72" i="12"/>
  <c r="G72" i="12" s="1"/>
  <c r="F73" i="12"/>
  <c r="G73" i="12" s="1"/>
  <c r="F68" i="12"/>
  <c r="G68" i="12" s="1"/>
  <c r="F71" i="12"/>
  <c r="G71" i="12" s="1"/>
  <c r="F70" i="12"/>
  <c r="G70" i="12" s="1"/>
  <c r="F69" i="12"/>
  <c r="G69" i="12" s="1"/>
  <c r="F75" i="12"/>
  <c r="G75" i="12" s="1"/>
  <c r="F66" i="12"/>
  <c r="G66" i="12" s="1"/>
  <c r="H125" i="1"/>
  <c r="H272" i="1" s="1"/>
  <c r="G93" i="12" l="1"/>
  <c r="H127" i="1"/>
  <c r="H238" i="1" s="1"/>
  <c r="H264" i="1" s="1"/>
  <c r="H273" i="1" l="1"/>
  <c r="I16" i="8"/>
  <c r="I56" i="8" s="1"/>
  <c r="I82" i="8" s="1"/>
  <c r="I84" i="8" s="1"/>
  <c r="I9" i="8" s="1"/>
  <c r="H307" i="1" s="1"/>
  <c r="H278" i="1"/>
  <c r="I43" i="12" s="1"/>
  <c r="I44" i="12" s="1"/>
  <c r="H266" i="1"/>
  <c r="H279" i="1" s="1"/>
  <c r="I39" i="12" l="1"/>
  <c r="I40" i="12" s="1"/>
  <c r="L40" i="12" s="1"/>
  <c r="H281" i="1"/>
  <c r="H288" i="1" s="1"/>
  <c r="H289" i="1" s="1"/>
  <c r="H295" i="1" s="1"/>
  <c r="L44" i="12"/>
  <c r="I46" i="12" l="1"/>
  <c r="H298" i="1"/>
  <c r="H306" i="1"/>
  <c r="H308" i="1" s="1"/>
  <c r="H313" i="1"/>
  <c r="L46" i="12"/>
  <c r="H311" i="1" l="1"/>
  <c r="K13" i="47" s="1"/>
  <c r="H310" i="1"/>
  <c r="I75" i="12"/>
  <c r="J75" i="12" s="1"/>
  <c r="L75" i="12" s="1"/>
  <c r="O75" i="12" s="1"/>
  <c r="I68" i="12"/>
  <c r="J68" i="12" s="1"/>
  <c r="L68" i="12" s="1"/>
  <c r="O68" i="12" s="1"/>
  <c r="I69" i="12"/>
  <c r="J69" i="12" s="1"/>
  <c r="L69" i="12" s="1"/>
  <c r="O69" i="12" s="1"/>
  <c r="I71" i="12"/>
  <c r="J71" i="12" s="1"/>
  <c r="L71" i="12" s="1"/>
  <c r="I67" i="12"/>
  <c r="J67" i="12" s="1"/>
  <c r="L67" i="12" s="1"/>
  <c r="I70" i="12"/>
  <c r="J70" i="12" s="1"/>
  <c r="L70" i="12" s="1"/>
  <c r="I74" i="12"/>
  <c r="J74" i="12" s="1"/>
  <c r="L74" i="12" s="1"/>
  <c r="O74" i="12" s="1"/>
  <c r="I73" i="12"/>
  <c r="J73" i="12" s="1"/>
  <c r="L73" i="12" s="1"/>
  <c r="O73" i="12" s="1"/>
  <c r="I66" i="12"/>
  <c r="J66" i="12" s="1"/>
  <c r="I72" i="12"/>
  <c r="J72" i="12" s="1"/>
  <c r="L72" i="12" s="1"/>
  <c r="H302" i="1"/>
  <c r="K18" i="47" s="1"/>
  <c r="H300" i="1"/>
  <c r="H301" i="1"/>
  <c r="K12" i="47" s="1"/>
  <c r="AO29" i="47" l="1"/>
  <c r="AR58" i="47" s="1"/>
  <c r="AS29" i="47"/>
  <c r="AR70" i="47"/>
  <c r="AR72" i="47"/>
  <c r="E29" i="47"/>
  <c r="Y29" i="47"/>
  <c r="AK29" i="47"/>
  <c r="U29" i="47"/>
  <c r="AG29" i="47"/>
  <c r="I29" i="47"/>
  <c r="AC29" i="47"/>
  <c r="Q29" i="47"/>
  <c r="M29" i="47"/>
  <c r="J93" i="12"/>
  <c r="L66" i="12"/>
  <c r="K14" i="47"/>
  <c r="AR68" i="47" l="1"/>
  <c r="AR66" i="47"/>
  <c r="AR62" i="47"/>
  <c r="AR64" i="47"/>
  <c r="AR60" i="47"/>
  <c r="AR74" i="47"/>
  <c r="H67" i="47"/>
  <c r="H75" i="47"/>
  <c r="H68" i="47"/>
  <c r="H72" i="47"/>
  <c r="H69" i="47"/>
  <c r="H70" i="47"/>
  <c r="H71" i="47"/>
  <c r="H73" i="47"/>
  <c r="H74" i="47"/>
  <c r="AV58" i="47"/>
  <c r="AV60" i="47"/>
  <c r="AV62" i="47"/>
  <c r="AV64" i="47"/>
  <c r="AV66" i="47"/>
  <c r="AV68" i="47"/>
  <c r="AV70" i="47"/>
  <c r="AV72" i="47"/>
  <c r="AV74" i="47"/>
  <c r="AO30" i="47"/>
  <c r="AR63" i="47" s="1"/>
  <c r="AS30" i="47"/>
  <c r="AR61" i="47"/>
  <c r="AR75" i="47"/>
  <c r="T70" i="47"/>
  <c r="T62" i="47"/>
  <c r="T74" i="47"/>
  <c r="T66" i="47"/>
  <c r="T58" i="47"/>
  <c r="T68" i="47"/>
  <c r="T60" i="47"/>
  <c r="T64" i="47"/>
  <c r="T72" i="47"/>
  <c r="X68" i="47"/>
  <c r="X66" i="47"/>
  <c r="X74" i="47"/>
  <c r="X64" i="47"/>
  <c r="X58" i="47"/>
  <c r="X62" i="47"/>
  <c r="X72" i="47"/>
  <c r="X60" i="47"/>
  <c r="X70" i="47"/>
  <c r="AB64" i="47"/>
  <c r="AB74" i="47"/>
  <c r="AB62" i="47"/>
  <c r="AB66" i="47"/>
  <c r="AB68" i="47"/>
  <c r="AB72" i="47"/>
  <c r="AB60" i="47"/>
  <c r="AB58" i="47"/>
  <c r="AB70" i="47"/>
  <c r="O66" i="12"/>
  <c r="L93" i="12"/>
  <c r="AF68" i="47"/>
  <c r="AF62" i="47"/>
  <c r="AF72" i="47"/>
  <c r="AF66" i="47"/>
  <c r="AF74" i="47"/>
  <c r="AF64" i="47"/>
  <c r="AF70" i="47"/>
  <c r="AF60" i="47"/>
  <c r="AF58" i="47"/>
  <c r="AN58" i="47"/>
  <c r="AN74" i="47"/>
  <c r="AN60" i="47"/>
  <c r="AN68" i="47"/>
  <c r="AN72" i="47"/>
  <c r="AN64" i="47"/>
  <c r="AN66" i="47"/>
  <c r="AN70" i="47"/>
  <c r="AN62" i="47"/>
  <c r="L70" i="47"/>
  <c r="L72" i="47"/>
  <c r="L74" i="47"/>
  <c r="L64" i="47"/>
  <c r="L60" i="47"/>
  <c r="L62" i="47"/>
  <c r="L66" i="47"/>
  <c r="L68" i="47"/>
  <c r="L58" i="47"/>
  <c r="M30" i="47"/>
  <c r="AC30" i="47"/>
  <c r="Q30" i="47"/>
  <c r="AG30" i="47"/>
  <c r="U30" i="47"/>
  <c r="AK30" i="47"/>
  <c r="I30" i="47"/>
  <c r="Y30" i="47"/>
  <c r="E30" i="47"/>
  <c r="P74" i="47"/>
  <c r="P70" i="47"/>
  <c r="P58" i="47"/>
  <c r="P66" i="47"/>
  <c r="P64" i="47"/>
  <c r="P68" i="47"/>
  <c r="P72" i="47"/>
  <c r="P60" i="47"/>
  <c r="P62" i="47"/>
  <c r="AJ66" i="47"/>
  <c r="AJ64" i="47"/>
  <c r="AJ74" i="47"/>
  <c r="AJ68" i="47"/>
  <c r="AJ70" i="47"/>
  <c r="AJ60" i="47"/>
  <c r="AJ62" i="47"/>
  <c r="AJ58" i="47"/>
  <c r="AJ72" i="47"/>
  <c r="H62" i="47"/>
  <c r="H60" i="47"/>
  <c r="H64" i="47"/>
  <c r="H66" i="47"/>
  <c r="H58" i="47"/>
  <c r="AW70" i="47" l="1"/>
  <c r="AY70" i="47" s="1"/>
  <c r="AR59" i="47"/>
  <c r="AR81" i="47"/>
  <c r="AR80" i="47"/>
  <c r="AR73" i="47"/>
  <c r="AR71" i="47"/>
  <c r="AR69" i="47"/>
  <c r="AW66" i="47"/>
  <c r="AY66" i="47" s="1"/>
  <c r="AV59" i="47"/>
  <c r="AV61" i="47"/>
  <c r="AV63" i="47"/>
  <c r="AV65" i="47"/>
  <c r="AV67" i="47"/>
  <c r="AV69" i="47"/>
  <c r="AV71" i="47"/>
  <c r="AV73" i="47"/>
  <c r="AV75" i="47"/>
  <c r="AW64" i="47"/>
  <c r="AY64" i="47" s="1"/>
  <c r="AW72" i="47"/>
  <c r="AY72" i="47" s="1"/>
  <c r="AW62" i="47"/>
  <c r="AY62" i="47" s="1"/>
  <c r="AR67" i="47"/>
  <c r="AW74" i="47"/>
  <c r="AY74" i="47" s="1"/>
  <c r="AW68" i="47"/>
  <c r="AY68" i="47" s="1"/>
  <c r="AW60" i="47"/>
  <c r="AY60" i="47" s="1"/>
  <c r="AR65" i="47"/>
  <c r="L69" i="47"/>
  <c r="L75" i="47"/>
  <c r="L63" i="47"/>
  <c r="L71" i="47"/>
  <c r="L59" i="47"/>
  <c r="L67" i="47"/>
  <c r="L65" i="47"/>
  <c r="L61" i="47"/>
  <c r="L73" i="47"/>
  <c r="AN59" i="47"/>
  <c r="AN71" i="47"/>
  <c r="AN67" i="47"/>
  <c r="AN63" i="47"/>
  <c r="AN69" i="47"/>
  <c r="AN61" i="47"/>
  <c r="AN75" i="47"/>
  <c r="AN65" i="47"/>
  <c r="AN73" i="47"/>
  <c r="AF69" i="47"/>
  <c r="AF59" i="47"/>
  <c r="AF71" i="47"/>
  <c r="AF61" i="47"/>
  <c r="AF67" i="47"/>
  <c r="AF73" i="47"/>
  <c r="AF63" i="47"/>
  <c r="AF75" i="47"/>
  <c r="AF65" i="47"/>
  <c r="AB59" i="47"/>
  <c r="AB75" i="47"/>
  <c r="AB63" i="47"/>
  <c r="N72" i="12" s="1"/>
  <c r="AB67" i="47"/>
  <c r="AB65" i="47"/>
  <c r="AB71" i="47"/>
  <c r="AB73" i="47"/>
  <c r="AB69" i="47"/>
  <c r="AB61" i="47"/>
  <c r="AJ63" i="47"/>
  <c r="AJ61" i="47"/>
  <c r="AJ65" i="47"/>
  <c r="AJ75" i="47"/>
  <c r="AJ67" i="47"/>
  <c r="AJ59" i="47"/>
  <c r="AJ69" i="47"/>
  <c r="AJ71" i="47"/>
  <c r="AJ73" i="47"/>
  <c r="AW58" i="47"/>
  <c r="AY58" i="47" s="1"/>
  <c r="T71" i="47"/>
  <c r="T67" i="47"/>
  <c r="T61" i="47"/>
  <c r="T63" i="47"/>
  <c r="T59" i="47"/>
  <c r="T75" i="47"/>
  <c r="T73" i="47"/>
  <c r="T65" i="47"/>
  <c r="T69" i="47"/>
  <c r="H63" i="47"/>
  <c r="H59" i="47"/>
  <c r="H61" i="47"/>
  <c r="G29" i="47"/>
  <c r="H65" i="47"/>
  <c r="X61" i="47"/>
  <c r="X65" i="47"/>
  <c r="X75" i="47"/>
  <c r="X59" i="47"/>
  <c r="X63" i="47"/>
  <c r="X67" i="47"/>
  <c r="X71" i="47"/>
  <c r="X69" i="47"/>
  <c r="X73" i="47"/>
  <c r="P75" i="47"/>
  <c r="P65" i="47"/>
  <c r="P67" i="47"/>
  <c r="P73" i="47"/>
  <c r="P61" i="47"/>
  <c r="P59" i="47"/>
  <c r="P63" i="47"/>
  <c r="P69" i="47"/>
  <c r="P71" i="47"/>
  <c r="L81" i="47" l="1"/>
  <c r="L80" i="47"/>
  <c r="N71" i="12"/>
  <c r="X81" i="47"/>
  <c r="X80" i="47"/>
  <c r="H81" i="47"/>
  <c r="H80" i="47"/>
  <c r="AF81" i="47"/>
  <c r="AF80" i="47"/>
  <c r="N70" i="12"/>
  <c r="T80" i="47"/>
  <c r="T81" i="47"/>
  <c r="AV81" i="47"/>
  <c r="AV80" i="47"/>
  <c r="P80" i="47"/>
  <c r="P81" i="47"/>
  <c r="AJ80" i="47"/>
  <c r="AJ81" i="47"/>
  <c r="AN81" i="47"/>
  <c r="AN80" i="47"/>
  <c r="AW71" i="47"/>
  <c r="AX71" i="47" s="1"/>
  <c r="AW67" i="47"/>
  <c r="AX67" i="47" s="1"/>
  <c r="AW75" i="47"/>
  <c r="AX75" i="47" s="1"/>
  <c r="AW73" i="47"/>
  <c r="AX73" i="47" s="1"/>
  <c r="AW69" i="47"/>
  <c r="AX69" i="47" s="1"/>
  <c r="N67" i="12"/>
  <c r="AW63" i="47"/>
  <c r="AX63" i="47" s="1"/>
  <c r="H315" i="1" s="1"/>
  <c r="AW65" i="47"/>
  <c r="AX65" i="47" s="1"/>
  <c r="AW61" i="47"/>
  <c r="AX61" i="47" s="1"/>
  <c r="O71" i="12"/>
  <c r="O72" i="12"/>
  <c r="O70" i="12"/>
  <c r="AY78" i="47"/>
  <c r="AW59" i="47"/>
  <c r="AX59" i="47" s="1"/>
  <c r="C80" i="47" l="1"/>
  <c r="C81" i="47"/>
  <c r="N93" i="12"/>
  <c r="O67" i="12"/>
  <c r="AX78" i="47"/>
  <c r="O93" i="12" l="1"/>
  <c r="E81" i="13" l="1"/>
  <c r="G18" i="13" l="1"/>
  <c r="G21" i="13"/>
  <c r="H21" i="13" s="1"/>
  <c r="D44" i="14" s="1"/>
  <c r="G44" i="14" s="1"/>
  <c r="J21" i="13" s="1"/>
  <c r="K21" i="13" s="1"/>
  <c r="P69" i="12" s="1"/>
  <c r="Q69" i="12" s="1"/>
  <c r="G27" i="13"/>
  <c r="H27" i="13" s="1"/>
  <c r="D50" i="14" s="1"/>
  <c r="G50" i="14" s="1"/>
  <c r="J27" i="13" s="1"/>
  <c r="K27" i="13" s="1"/>
  <c r="P75" i="12" s="1"/>
  <c r="Q75" i="12" s="1"/>
  <c r="G23" i="13"/>
  <c r="H23" i="13" s="1"/>
  <c r="D46" i="14" s="1"/>
  <c r="G46" i="14" s="1"/>
  <c r="J23" i="13" s="1"/>
  <c r="K23" i="13" s="1"/>
  <c r="P71" i="12" s="1"/>
  <c r="Q71" i="12" s="1"/>
  <c r="G24" i="13"/>
  <c r="H24" i="13" s="1"/>
  <c r="D47" i="14" s="1"/>
  <c r="G47" i="14" s="1"/>
  <c r="J24" i="13" s="1"/>
  <c r="K24" i="13" s="1"/>
  <c r="P72" i="12" s="1"/>
  <c r="Q72" i="12" s="1"/>
  <c r="G26" i="13"/>
  <c r="H26" i="13" s="1"/>
  <c r="D49" i="14" s="1"/>
  <c r="G49" i="14" s="1"/>
  <c r="J26" i="13" s="1"/>
  <c r="K26" i="13" s="1"/>
  <c r="P74" i="12" s="1"/>
  <c r="Q74" i="12" s="1"/>
  <c r="G19" i="13"/>
  <c r="H19" i="13" s="1"/>
  <c r="D42" i="14" s="1"/>
  <c r="G42" i="14" s="1"/>
  <c r="J19" i="13" s="1"/>
  <c r="K19" i="13" s="1"/>
  <c r="P67" i="12" s="1"/>
  <c r="Q67" i="12" s="1"/>
  <c r="G20" i="13"/>
  <c r="H20" i="13" s="1"/>
  <c r="D43" i="14" s="1"/>
  <c r="G43" i="14" s="1"/>
  <c r="J20" i="13" s="1"/>
  <c r="K20" i="13" s="1"/>
  <c r="P68" i="12" s="1"/>
  <c r="Q68" i="12" s="1"/>
  <c r="G22" i="13"/>
  <c r="H22" i="13" s="1"/>
  <c r="D45" i="14" s="1"/>
  <c r="G45" i="14" s="1"/>
  <c r="J22" i="13" s="1"/>
  <c r="K22" i="13" s="1"/>
  <c r="P70" i="12" s="1"/>
  <c r="Q70" i="12" s="1"/>
  <c r="G25" i="13"/>
  <c r="H25" i="13" s="1"/>
  <c r="D48" i="14" s="1"/>
  <c r="G48" i="14" s="1"/>
  <c r="J25" i="13" s="1"/>
  <c r="K25" i="13" s="1"/>
  <c r="P73" i="12" s="1"/>
  <c r="Q73" i="12" s="1"/>
  <c r="H18" i="13" l="1"/>
  <c r="G46" i="13"/>
  <c r="D41" i="14" l="1"/>
  <c r="H46" i="13"/>
  <c r="G41" i="14" l="1"/>
  <c r="D70" i="14"/>
  <c r="J18" i="13" l="1"/>
  <c r="G70" i="14"/>
  <c r="J46" i="13" l="1"/>
  <c r="J49" i="13" s="1"/>
  <c r="K18" i="13"/>
  <c r="K46" i="13" l="1"/>
  <c r="H314" i="1" s="1"/>
  <c r="H317" i="1" s="1"/>
  <c r="H321" i="1" s="1"/>
  <c r="H323" i="1" s="1"/>
  <c r="P66" i="12"/>
  <c r="P93" i="12" l="1"/>
  <c r="Q66" i="12"/>
  <c r="Q93" i="12" s="1"/>
</calcChain>
</file>

<file path=xl/sharedStrings.xml><?xml version="1.0" encoding="utf-8"?>
<sst xmlns="http://schemas.openxmlformats.org/spreadsheetml/2006/main" count="4902" uniqueCount="1813">
  <si>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</si>
  <si>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</si>
  <si>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</si>
  <si>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</si>
  <si>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</si>
  <si>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</si>
  <si>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</si>
  <si>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</si>
  <si>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</si>
  <si>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</si>
  <si>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</si>
  <si>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</si>
  <si>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</si>
  <si>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</si>
  <si>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</si>
  <si>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</si>
  <si>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</si>
  <si>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</si>
  <si>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</si>
  <si>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</si>
  <si>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</si>
  <si>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</si>
  <si>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</si>
  <si>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</si>
  <si>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</si>
  <si>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</si>
  <si>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</si>
  <si>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</si>
  <si>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</si>
  <si>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</si>
  <si>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</si>
  <si>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</si>
  <si>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</si>
  <si>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</si>
  <si>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</si>
  <si>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</si>
  <si>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</si>
  <si>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</si>
  <si>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</si>
  <si>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</si>
  <si>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</si>
  <si>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</si>
  <si>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</si>
  <si>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</si>
  <si>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</si>
  <si>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</si>
  <si>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</si>
  <si>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</si>
  <si>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</si>
  <si>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</si>
  <si>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</si>
  <si>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</si>
  <si>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</si>
  <si>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</si>
  <si>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</si>
  <si>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</si>
  <si>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</si>
  <si>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</si>
  <si>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</si>
  <si>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</si>
  <si>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</si>
  <si>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</si>
  <si>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</si>
  <si>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</si>
  <si>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</si>
  <si>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</si>
  <si>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</si>
  <si>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</si>
  <si>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</si>
  <si>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</si>
  <si>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</si>
  <si>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</si>
  <si>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</si>
  <si>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</si>
  <si>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</si>
  <si>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</si>
  <si>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</si>
  <si>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</si>
  <si>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</si>
  <si>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</si>
  <si>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</si>
  <si>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</si>
  <si>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</si>
  <si>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</si>
  <si>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</si>
  <si>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</si>
  <si>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</si>
  <si>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</si>
  <si>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</si>
  <si>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</si>
  <si>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</si>
  <si>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</si>
  <si>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</si>
  <si>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</si>
  <si>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</si>
  <si>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</si>
  <si>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</si>
  <si>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</si>
  <si>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</si>
  <si>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</si>
  <si>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</si>
  <si>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</si>
  <si>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</si>
  <si>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</si>
  <si>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</si>
  <si>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</si>
  <si>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</si>
  <si>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</si>
  <si>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</si>
  <si>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</si>
  <si>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</si>
  <si>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</si>
  <si>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</si>
  <si>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</si>
  <si>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</si>
  <si>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</si>
  <si>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</si>
  <si>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</si>
  <si>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</si>
  <si>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</si>
  <si>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</si>
  <si>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</si>
  <si>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</si>
  <si>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</si>
  <si>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</si>
  <si>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</si>
  <si>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</si>
  <si>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</si>
  <si>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</si>
  <si>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</si>
  <si>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</si>
  <si>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</si>
  <si>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</si>
  <si>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</si>
  <si>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</si>
  <si>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</si>
  <si>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</si>
  <si>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</si>
  <si>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</si>
  <si>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</si>
  <si>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</si>
  <si>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</si>
  <si>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</si>
  <si>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</si>
  <si>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</si>
  <si>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</si>
  <si>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</si>
  <si>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</si>
  <si>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</si>
  <si>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</si>
  <si>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</si>
  <si>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</si>
  <si>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</si>
  <si>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</si>
  <si>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</si>
  <si>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</si>
  <si>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</si>
  <si>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</si>
  <si>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</si>
  <si>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</si>
  <si>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</si>
  <si>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</si>
  <si>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</si>
  <si>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</si>
  <si>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</si>
  <si>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</si>
  <si>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</si>
  <si>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</si>
  <si>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</si>
  <si>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</si>
  <si>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</si>
  <si>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</si>
  <si>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</si>
  <si>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</si>
  <si>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</si>
  <si>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</si>
  <si>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</si>
  <si>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</si>
  <si>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</si>
  <si>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</si>
  <si>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</si>
  <si>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</si>
  <si>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</si>
  <si>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</si>
  <si>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</si>
  <si>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</si>
  <si>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</si>
  <si>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</si>
  <si>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</si>
  <si>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</si>
  <si>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</si>
  <si>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</si>
  <si>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</si>
  <si>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</si>
  <si>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</si>
  <si>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</si>
  <si>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</si>
  <si>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</si>
  <si>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</si>
  <si>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</si>
  <si>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</si>
  <si>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</si>
  <si>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</si>
  <si>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</si>
  <si>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</si>
  <si>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</si>
  <si>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</si>
  <si>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</si>
  <si>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</si>
  <si>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</si>
  <si>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</si>
  <si>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</si>
  <si>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</si>
  <si>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</si>
  <si>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</si>
  <si>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</si>
  <si>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</si>
  <si>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</si>
  <si>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</si>
  <si>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</si>
  <si>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</si>
  <si>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</si>
  <si>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</si>
  <si>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</si>
  <si>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</si>
  <si>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</si>
  <si>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</si>
  <si>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</si>
  <si>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</si>
  <si>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</si>
  <si>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</si>
  <si>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</si>
  <si>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</si>
  <si>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</si>
  <si>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</si>
  <si>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</si>
  <si>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</si>
  <si>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</si>
  <si>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</si>
  <si>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</si>
  <si>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</si>
  <si>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</si>
  <si>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</si>
  <si>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</si>
  <si>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</si>
  <si>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</si>
  <si>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</si>
  <si>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</si>
  <si>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</si>
  <si>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</si>
  <si>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</si>
  <si>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</si>
  <si>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</si>
  <si>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</si>
  <si>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</si>
  <si>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</si>
  <si>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</si>
  <si>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</si>
  <si>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</si>
  <si>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</si>
  <si>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</si>
  <si>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</si>
  <si>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</si>
  <si>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</si>
  <si>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</si>
  <si>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</si>
  <si>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Deferred Compensation</t>
  </si>
  <si>
    <t>Allowance for Doubtful Accounts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</si>
  <si>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</si>
  <si>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</si>
  <si>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</si>
  <si>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</si>
  <si>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</si>
  <si>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</si>
  <si>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</si>
  <si>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</si>
  <si>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</si>
  <si>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</si>
  <si>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</si>
  <si>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</si>
  <si>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</si>
  <si>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</si>
  <si>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</si>
  <si>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</si>
  <si>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</si>
  <si>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</si>
  <si>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</si>
  <si>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</si>
  <si>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</si>
  <si>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</si>
  <si>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</si>
  <si>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</si>
  <si>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</si>
  <si>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</si>
  <si>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</si>
  <si>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</si>
  <si>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</si>
  <si>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</si>
  <si>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</si>
  <si>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</si>
  <si>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</si>
  <si>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</si>
  <si>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</si>
  <si>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</si>
  <si>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</si>
  <si>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</si>
  <si>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</si>
  <si>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</si>
  <si>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</si>
  <si>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</si>
  <si>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</si>
  <si>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</si>
  <si>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</si>
  <si>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</si>
  <si>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</si>
  <si>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</si>
  <si>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</si>
  <si>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</si>
  <si>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</si>
  <si>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</si>
  <si>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</si>
  <si>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</si>
  <si>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</si>
  <si>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</si>
  <si>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</si>
  <si>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</si>
  <si>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</si>
  <si>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</si>
  <si>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</si>
  <si>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</si>
  <si>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</si>
  <si>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</si>
  <si>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</si>
  <si>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</si>
  <si>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</si>
  <si>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</si>
  <si>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</si>
  <si>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</si>
  <si>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</si>
  <si>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</si>
  <si>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</si>
  <si>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</si>
  <si>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</si>
  <si>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</si>
  <si>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</si>
  <si>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</si>
  <si>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</si>
  <si>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</si>
  <si>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</si>
  <si>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</si>
  <si>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</si>
  <si>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</si>
  <si>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</si>
  <si>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</si>
  <si>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</si>
  <si>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</si>
  <si>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</si>
  <si>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</si>
  <si>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</si>
  <si>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</si>
  <si>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</si>
  <si>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</si>
  <si>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</si>
  <si>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</si>
  <si>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</si>
  <si>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</si>
  <si>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</si>
  <si>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</si>
  <si>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</si>
  <si>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</si>
  <si>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</si>
  <si>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</si>
  <si>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</si>
  <si>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</si>
  <si>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</si>
  <si>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</si>
  <si>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</si>
  <si>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</si>
  <si>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</si>
  <si>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</si>
  <si>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</si>
  <si>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</si>
  <si>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</si>
  <si>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</si>
  <si>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</si>
  <si>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</si>
  <si>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</si>
  <si>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</si>
  <si>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</si>
  <si>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</si>
  <si>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</si>
  <si>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</si>
  <si>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</si>
  <si>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</si>
  <si>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</si>
  <si>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</si>
  <si>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</si>
  <si>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</si>
  <si>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</si>
  <si>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</si>
  <si>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</si>
  <si>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</si>
  <si>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</si>
  <si>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</si>
  <si>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</si>
  <si>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</si>
  <si>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</si>
  <si>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</si>
  <si>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</si>
  <si>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</si>
  <si>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</si>
  <si>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</si>
  <si>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</si>
  <si>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</si>
  <si>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</si>
  <si>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</si>
  <si>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</si>
  <si>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</si>
  <si>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</si>
  <si>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</si>
  <si>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</si>
  <si>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</si>
  <si>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</si>
  <si>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</si>
  <si>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</si>
  <si>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</si>
  <si>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</si>
  <si>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</si>
  <si>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</si>
  <si>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</si>
  <si>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</si>
  <si>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</si>
  <si>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</si>
  <si>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</si>
  <si>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</si>
  <si>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</si>
  <si>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</si>
  <si>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</si>
  <si>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</si>
  <si>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</si>
  <si>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</si>
  <si>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</si>
  <si>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</si>
  <si>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</si>
  <si>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</si>
  <si>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</si>
  <si>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</si>
  <si>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</si>
  <si>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</si>
  <si>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</si>
  <si>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</si>
  <si>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</si>
  <si>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</si>
  <si>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</si>
  <si>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</si>
  <si>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</si>
  <si>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</si>
  <si>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</si>
  <si>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</si>
  <si>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</si>
  <si>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</si>
  <si>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</si>
  <si>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</si>
  <si>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</si>
  <si>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</si>
  <si>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</si>
  <si>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</si>
  <si>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</si>
  <si>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</si>
  <si>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</si>
  <si>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</si>
  <si>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</si>
  <si>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</si>
  <si>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</si>
  <si>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</si>
  <si>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</si>
  <si>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</si>
  <si>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</si>
  <si>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</si>
  <si>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</si>
  <si>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</si>
  <si>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</si>
  <si>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</si>
  <si>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</si>
  <si>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</si>
  <si>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</si>
  <si>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</si>
  <si>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</si>
  <si>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</si>
  <si>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</si>
  <si>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</si>
  <si>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</si>
  <si>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</si>
  <si>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</si>
  <si>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</si>
  <si>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</si>
  <si>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</si>
  <si>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</si>
  <si>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</si>
  <si>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</si>
  <si>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</si>
  <si>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</si>
  <si>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</si>
  <si>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</si>
  <si>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</si>
  <si>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</si>
  <si>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</si>
  <si>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</si>
  <si>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</si>
  <si>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</si>
  <si>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</si>
  <si>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</si>
  <si>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</si>
  <si>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</si>
  <si>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</si>
  <si>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</si>
  <si>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</si>
  <si>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</si>
  <si>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</si>
  <si>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</si>
  <si>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</si>
  <si>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</si>
  <si>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</si>
  <si>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</si>
  <si>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</si>
  <si>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</si>
  <si>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</si>
  <si>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</si>
  <si>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</si>
  <si>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</si>
  <si>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</si>
  <si>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</si>
  <si>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</si>
  <si>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</si>
  <si>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</si>
  <si>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</si>
  <si>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</si>
  <si>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</si>
  <si>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</si>
  <si>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</si>
  <si>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</si>
  <si>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</si>
  <si>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</si>
  <si>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</si>
  <si>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</si>
  <si>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</si>
  <si>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</si>
  <si>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</si>
  <si>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</si>
  <si>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</si>
  <si>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</si>
  <si>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</si>
  <si>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</si>
  <si>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</si>
  <si>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</si>
  <si>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</si>
  <si>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</si>
  <si>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</si>
  <si>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</si>
  <si>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</si>
  <si>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</si>
  <si>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</si>
  <si>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</si>
  <si>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</si>
  <si>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</si>
  <si>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</si>
  <si>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</si>
  <si>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</si>
  <si>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</si>
  <si>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</si>
  <si>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</si>
  <si>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</si>
  <si>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</si>
  <si>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</si>
  <si>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</si>
  <si>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</si>
  <si>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</si>
  <si>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</si>
  <si>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</si>
  <si>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</si>
  <si>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</si>
  <si>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</si>
  <si>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</si>
  <si>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</si>
  <si>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</si>
  <si>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</si>
  <si>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</si>
  <si>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</si>
  <si>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</si>
  <si>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</si>
  <si>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</si>
  <si>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</si>
  <si>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</si>
  <si>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</si>
  <si>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</si>
  <si>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</si>
  <si>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</si>
  <si>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</si>
  <si>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</si>
  <si>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</si>
  <si>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</si>
  <si>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</si>
  <si>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</si>
  <si>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</si>
  <si>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</si>
  <si>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</si>
  <si>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</si>
  <si>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</si>
  <si>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</si>
  <si>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</si>
  <si>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</si>
  <si>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</si>
  <si>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</si>
  <si>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</si>
  <si>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</si>
  <si>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</si>
  <si>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</si>
  <si>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</si>
  <si>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</si>
  <si>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</si>
  <si>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</si>
  <si>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</si>
  <si>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</si>
  <si>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</si>
  <si>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</si>
  <si>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</si>
  <si>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</si>
  <si>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</si>
  <si>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</si>
  <si>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</si>
  <si>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</si>
  <si>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</si>
  <si>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</si>
  <si>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</si>
  <si>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</si>
  <si>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</si>
  <si>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</si>
  <si>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</si>
  <si>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</si>
  <si>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</si>
  <si>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</si>
  <si>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</si>
  <si>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</si>
  <si>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</si>
  <si>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</si>
  <si>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</si>
  <si>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</si>
  <si>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</si>
  <si>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</si>
  <si>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</si>
  <si>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</si>
  <si>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</si>
  <si>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</si>
  <si>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</si>
  <si>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</si>
  <si>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</si>
  <si>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</si>
  <si>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</si>
  <si>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</si>
  <si>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</si>
  <si>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</si>
  <si>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</si>
  <si>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</si>
  <si>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</si>
  <si>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</si>
  <si>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</si>
  <si>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</si>
  <si>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</si>
  <si>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</si>
  <si>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</si>
  <si>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</si>
  <si>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</si>
  <si>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</si>
  <si>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</si>
  <si>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</si>
  <si>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</si>
  <si>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</si>
  <si>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</si>
  <si>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</si>
  <si>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</si>
  <si>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</si>
  <si>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</si>
  <si>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</si>
  <si>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</si>
  <si>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</si>
  <si>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</si>
  <si>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</si>
  <si>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</si>
  <si>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</si>
  <si>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</si>
  <si>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</si>
  <si>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</si>
  <si>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</si>
  <si>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</si>
  <si>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</si>
  <si>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</si>
  <si>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</si>
  <si>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</si>
  <si>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</si>
  <si>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</si>
  <si>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</si>
  <si>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</si>
  <si>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</si>
  <si>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</si>
  <si>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</si>
  <si>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</si>
  <si>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</si>
  <si>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</si>
  <si>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</si>
  <si>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</si>
  <si>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</si>
  <si>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</si>
  <si>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</si>
  <si>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</si>
  <si>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</si>
  <si>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</si>
  <si>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</si>
  <si>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</si>
  <si>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</si>
  <si>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</si>
  <si>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</si>
  <si>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</si>
  <si>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</si>
  <si>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</si>
  <si>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</si>
  <si>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</si>
  <si>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</si>
  <si>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</si>
  <si>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</si>
  <si>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</si>
  <si>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</si>
  <si>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</si>
  <si>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</si>
  <si>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</si>
  <si>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</si>
  <si>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</si>
  <si>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</si>
  <si>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</si>
  <si>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</si>
  <si>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</si>
  <si>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</si>
  <si>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</si>
  <si>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</si>
  <si>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</si>
  <si>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</si>
  <si>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</si>
  <si>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</si>
  <si>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</si>
  <si>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</si>
  <si>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</si>
  <si>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</si>
  <si>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</si>
  <si>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</si>
  <si>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</si>
  <si>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</si>
  <si>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</si>
  <si>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</si>
  <si>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</si>
  <si>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</si>
  <si>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</si>
  <si>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</si>
  <si>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</si>
  <si>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</si>
  <si>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</si>
  <si>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</si>
  <si>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</si>
  <si>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</si>
  <si>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</si>
  <si>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</si>
  <si>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</si>
  <si>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</si>
  <si>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</si>
  <si>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</si>
  <si>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</si>
  <si>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</si>
  <si>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</si>
  <si>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</si>
  <si>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</si>
  <si>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</si>
  <si>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</si>
  <si>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</si>
  <si>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</si>
  <si>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</si>
  <si>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</si>
  <si>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</si>
  <si>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</si>
  <si>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</si>
  <si>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</si>
  <si>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</si>
  <si>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</si>
  <si>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</si>
  <si>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</si>
  <si>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</si>
  <si>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</si>
  <si>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</si>
  <si>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</si>
  <si>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</si>
  <si>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</si>
  <si>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</si>
  <si>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</si>
  <si>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</si>
  <si>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</si>
  <si>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</si>
  <si>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</si>
  <si>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</si>
  <si>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</si>
  <si>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</si>
  <si>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</si>
  <si>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</si>
  <si>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</si>
  <si>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</si>
  <si>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</si>
  <si>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</si>
  <si>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</si>
  <si>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</si>
  <si>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</si>
  <si>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</si>
  <si>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</si>
  <si>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</si>
  <si>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</si>
  <si>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</si>
  <si>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</si>
  <si>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</si>
  <si>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</si>
  <si>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</si>
  <si>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</si>
  <si>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</si>
  <si>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</si>
  <si>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</si>
  <si>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</si>
  <si>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</si>
  <si>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</si>
  <si>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</si>
  <si>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</si>
  <si>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</si>
  <si>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</si>
  <si>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</si>
  <si>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</si>
  <si>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</si>
  <si>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</si>
  <si>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</si>
  <si>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</si>
  <si>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</si>
  <si>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</si>
  <si>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</si>
  <si>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</si>
  <si>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</si>
  <si>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</si>
  <si>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</si>
  <si>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</si>
  <si>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</si>
  <si>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</si>
  <si>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</si>
  <si>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</si>
  <si>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</si>
  <si>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</si>
  <si>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</si>
  <si>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</si>
  <si>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</si>
  <si>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</si>
  <si>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</si>
  <si>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</si>
  <si>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</si>
  <si>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</si>
  <si>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</si>
  <si>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</si>
  <si>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</si>
  <si>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</si>
  <si>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</si>
  <si>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</si>
  <si>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</si>
  <si>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</si>
  <si>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</si>
  <si>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</si>
  <si>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</si>
  <si>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</si>
  <si>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</si>
  <si>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</si>
  <si>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</si>
  <si>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</si>
  <si>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</si>
  <si>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</si>
  <si>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</si>
  <si>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</si>
  <si>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</si>
  <si>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</si>
  <si>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</si>
  <si>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</si>
  <si>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</si>
  <si>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</si>
  <si>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</si>
  <si>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</si>
  <si>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</si>
  <si>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</si>
  <si>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</si>
  <si>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</si>
  <si>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</si>
  <si>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</si>
  <si>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</si>
  <si>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</si>
  <si>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</si>
  <si>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</si>
  <si>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</si>
  <si>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</si>
  <si>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</si>
  <si>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</si>
  <si>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</si>
  <si>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</si>
  <si>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</si>
  <si>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</si>
  <si>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</si>
  <si>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</si>
  <si>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</si>
  <si>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</si>
  <si>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</si>
  <si>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</si>
  <si>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</si>
  <si>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</si>
  <si>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</si>
  <si>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</si>
  <si>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</si>
  <si>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</si>
  <si>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</si>
  <si>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</si>
  <si>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</si>
  <si>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</si>
  <si>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</si>
  <si>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</si>
  <si>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</si>
  <si>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</si>
  <si>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</si>
  <si>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</si>
  <si>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</si>
  <si>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</si>
  <si>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</si>
  <si>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</si>
  <si>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</si>
  <si>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</si>
  <si>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</si>
  <si>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</si>
  <si>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</si>
  <si>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</si>
  <si>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</si>
  <si>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</si>
  <si>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</si>
  <si>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</si>
  <si>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</si>
  <si>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</si>
  <si>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</si>
  <si>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</si>
  <si>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</si>
  <si>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</si>
  <si>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</si>
  <si>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</si>
  <si>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</si>
  <si>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</si>
  <si>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</si>
  <si>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</si>
  <si>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</si>
  <si>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</si>
  <si>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</si>
  <si>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</si>
  <si>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</si>
  <si>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</si>
  <si>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</si>
  <si>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</si>
  <si>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</si>
  <si>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</si>
  <si>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</si>
  <si>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</si>
  <si>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</si>
  <si>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</si>
  <si>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</si>
  <si>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</si>
  <si>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</si>
  <si>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</si>
  <si>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</si>
  <si>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</si>
  <si>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</si>
  <si>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</si>
  <si>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</si>
  <si>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</si>
  <si>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</si>
  <si>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</si>
  <si>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</si>
  <si>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</si>
  <si>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</si>
  <si>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</si>
  <si>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</si>
  <si>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</si>
  <si>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</si>
  <si>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</si>
  <si>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</si>
  <si>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</si>
  <si>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</si>
  <si>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</si>
  <si>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</si>
  <si>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</si>
  <si>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</si>
  <si>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</si>
  <si>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</si>
  <si>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</si>
  <si>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</si>
  <si>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</si>
  <si>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</si>
  <si>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</si>
  <si>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</si>
  <si>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</si>
  <si>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</si>
  <si>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</si>
  <si>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</si>
  <si>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</si>
  <si>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</si>
  <si>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</si>
  <si>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</si>
  <si>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</si>
  <si>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</si>
  <si>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</si>
  <si>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</si>
  <si>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</si>
  <si>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</si>
  <si>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</si>
  <si>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</si>
  <si>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</si>
  <si>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</si>
  <si>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</si>
  <si>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</si>
  <si>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</si>
  <si>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</si>
  <si>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</si>
  <si>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</si>
  <si>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</si>
  <si>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</si>
  <si>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</si>
  <si>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</si>
  <si>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</si>
  <si>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</si>
  <si>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</si>
  <si>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</si>
  <si>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</si>
  <si>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</si>
  <si>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</si>
  <si>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</si>
  <si>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</si>
  <si>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</si>
  <si>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</si>
  <si>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</si>
  <si>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</si>
  <si>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</si>
  <si>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</si>
  <si>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</si>
  <si>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</si>
  <si>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</si>
  <si>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</si>
  <si>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</si>
  <si>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</si>
  <si>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</si>
  <si>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</si>
  <si>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</si>
  <si>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</si>
  <si>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</si>
  <si>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</si>
  <si>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</si>
  <si>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</si>
  <si>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</si>
  <si>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</si>
  <si>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</si>
  <si>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</si>
  <si>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</si>
  <si>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</si>
  <si>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</si>
  <si>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</si>
  <si>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</si>
  <si>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</si>
  <si>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</si>
  <si>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</si>
  <si>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</si>
  <si>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</si>
  <si>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</si>
  <si>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</si>
  <si>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</si>
  <si>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</si>
  <si>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</si>
  <si>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</si>
  <si>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</si>
  <si>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</si>
  <si>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</si>
  <si>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</si>
  <si>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</si>
  <si>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</si>
  <si>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</si>
  <si>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</si>
  <si>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</si>
  <si>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</si>
  <si>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</si>
  <si>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</si>
  <si>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</si>
  <si>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</si>
  <si>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</si>
  <si>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</si>
  <si>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</si>
  <si>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</si>
  <si>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</si>
  <si>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</si>
  <si>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</si>
  <si>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</si>
  <si>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</si>
  <si>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</si>
  <si>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</si>
  <si>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</si>
  <si>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</si>
  <si>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</si>
  <si>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</si>
  <si>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</si>
  <si>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</si>
  <si>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</si>
  <si>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</si>
  <si>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</si>
  <si>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</si>
  <si>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</si>
  <si>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</si>
  <si>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</si>
  <si>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</si>
  <si>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</si>
  <si>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</si>
  <si>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</si>
  <si>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</si>
  <si>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</si>
  <si>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</si>
  <si>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</si>
  <si>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</si>
  <si>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</si>
  <si>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</si>
  <si>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</si>
  <si>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</si>
  <si>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</si>
  <si>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</si>
  <si>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</si>
  <si>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</si>
  <si>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</si>
  <si>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</si>
  <si>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</si>
  <si>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</si>
  <si>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</si>
  <si>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</si>
  <si>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</si>
  <si>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</si>
  <si>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</si>
  <si>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</si>
  <si>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</si>
  <si>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</si>
  <si>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</si>
  <si>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</si>
  <si>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</si>
  <si>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</si>
  <si>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</si>
  <si>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</si>
  <si>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</si>
  <si>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</si>
  <si>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</si>
  <si>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</si>
  <si>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</si>
  <si>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</si>
  <si>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</si>
  <si>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</si>
  <si>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</si>
  <si>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</si>
  <si>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</si>
  <si>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</si>
  <si>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</si>
  <si>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</si>
  <si>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</si>
  <si>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</si>
  <si>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</si>
  <si>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</si>
  <si>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</si>
  <si>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</si>
  <si>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</si>
  <si>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</si>
  <si>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</si>
  <si>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</si>
  <si>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</si>
  <si>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</si>
  <si>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</si>
  <si>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</si>
  <si>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</si>
  <si>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</si>
  <si>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</si>
  <si>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</si>
  <si>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</si>
  <si>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</si>
  <si>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</si>
  <si>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</si>
  <si>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</si>
  <si>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</si>
  <si>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</si>
  <si>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</si>
  <si>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</si>
  <si>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</si>
  <si>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</si>
  <si>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</si>
  <si>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</si>
  <si>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</si>
  <si>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</si>
  <si>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</si>
  <si>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</si>
  <si>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</si>
  <si>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</si>
  <si>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</si>
  <si>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</si>
  <si>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</si>
  <si>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</si>
  <si>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</si>
  <si>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</si>
  <si>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</si>
  <si>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</si>
  <si>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</si>
  <si>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</si>
  <si>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</si>
  <si>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</si>
  <si>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</si>
  <si>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</si>
  <si>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</si>
  <si>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</si>
  <si>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</si>
  <si>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</si>
  <si>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</si>
  <si>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</si>
  <si>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</si>
  <si>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</si>
  <si>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</si>
  <si>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</si>
  <si>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</si>
  <si>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</si>
  <si>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</si>
  <si>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</si>
  <si>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</si>
  <si>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</si>
  <si>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</si>
  <si>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</si>
  <si>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</si>
  <si>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</si>
  <si>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</si>
  <si>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</si>
  <si>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</si>
  <si>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</si>
  <si>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</si>
  <si>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</si>
  <si>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</si>
  <si>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</si>
  <si>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</si>
  <si>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</si>
  <si>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</si>
  <si>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</si>
  <si>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</si>
  <si>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</si>
  <si>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</si>
  <si>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</si>
  <si>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</si>
  <si>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</si>
  <si>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</si>
  <si>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</si>
  <si>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</si>
  <si>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</si>
  <si>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</si>
  <si>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</si>
  <si>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</si>
  <si>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</si>
  <si>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</si>
  <si>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</si>
  <si>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</si>
  <si>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</si>
  <si>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</si>
  <si>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</si>
  <si>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</si>
  <si>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</si>
  <si>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</si>
  <si>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</si>
  <si>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</si>
  <si>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</si>
  <si>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</si>
  <si>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</si>
  <si>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</si>
  <si>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</si>
  <si>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</si>
  <si>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</si>
  <si>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</si>
  <si>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</si>
  <si>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</si>
  <si>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</si>
  <si>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</si>
  <si>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</si>
  <si>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</si>
  <si>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</si>
  <si>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</si>
  <si>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</si>
  <si>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</si>
  <si>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</si>
  <si>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</si>
  <si>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</si>
  <si>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</si>
  <si>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</si>
  <si>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</si>
  <si>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</si>
  <si>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</si>
  <si>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</si>
  <si>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</si>
  <si>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</si>
  <si>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</si>
  <si>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</si>
  <si>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</si>
  <si>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</si>
  <si>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</si>
  <si>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</si>
  <si>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</si>
  <si>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</si>
  <si>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</si>
  <si>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</si>
  <si>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</si>
  <si>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</si>
  <si>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</si>
  <si>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</si>
  <si>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</si>
  <si>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</si>
  <si>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</si>
  <si>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</si>
  <si>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</si>
  <si>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</si>
  <si>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</si>
  <si>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</si>
  <si>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</si>
  <si>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</si>
  <si>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</si>
  <si>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</si>
  <si>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</si>
  <si>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</si>
  <si>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</si>
  <si>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</si>
  <si>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</si>
  <si>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</si>
  <si>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</si>
  <si>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</si>
  <si>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</si>
  <si>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</si>
  <si>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</si>
  <si>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</si>
  <si>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</si>
  <si>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</si>
  <si>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</si>
  <si>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</si>
  <si>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</si>
  <si>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</si>
  <si>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</si>
  <si>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</si>
  <si>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</si>
  <si>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</si>
  <si>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</si>
  <si>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</si>
  <si>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</si>
  <si>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</si>
  <si>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</si>
  <si>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</si>
  <si>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</si>
  <si>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</si>
  <si>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</si>
  <si>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</si>
  <si>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</si>
  <si>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</si>
  <si>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</si>
  <si>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</si>
  <si>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</si>
  <si>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</si>
  <si>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</si>
  <si>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</si>
  <si>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</si>
  <si>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</si>
  <si>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</si>
  <si>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</si>
  <si>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</si>
  <si>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</si>
  <si>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</si>
  <si>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</si>
  <si>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</si>
  <si>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</si>
  <si>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</si>
  <si>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</si>
  <si>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</si>
  <si>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</si>
  <si>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</si>
  <si>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</si>
  <si>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</si>
  <si>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</si>
  <si>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</si>
  <si>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</si>
  <si>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</si>
  <si>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</si>
  <si>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</si>
  <si>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</si>
  <si>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</si>
  <si>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</si>
  <si>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</si>
  <si>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</si>
  <si>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</si>
  <si>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</si>
  <si>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</si>
  <si>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</si>
  <si>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</si>
  <si>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</si>
  <si>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</si>
  <si>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</si>
  <si>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</si>
  <si>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</si>
  <si>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</si>
  <si>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</si>
  <si>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</si>
  <si>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</si>
  <si>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</si>
  <si>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</si>
  <si>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</si>
  <si>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</si>
  <si>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</si>
  <si>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</si>
  <si>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</si>
  <si>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</si>
  <si>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</si>
  <si>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</si>
  <si>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</si>
  <si>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</si>
  <si>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</si>
  <si>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</si>
  <si>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</si>
  <si>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</si>
  <si>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</si>
  <si>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</si>
  <si>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</si>
  <si>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</si>
  <si>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</si>
  <si>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</si>
  <si>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</si>
  <si>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</si>
  <si>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</si>
  <si>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</si>
  <si>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</si>
  <si>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</si>
  <si>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</si>
  <si>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</si>
  <si>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</si>
  <si>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</si>
  <si>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</si>
  <si>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</si>
  <si>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</si>
  <si>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</si>
  <si>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</si>
  <si>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</si>
  <si>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</si>
  <si>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</si>
  <si>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</si>
  <si>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</si>
  <si>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</si>
  <si>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</si>
  <si>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</si>
  <si>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</si>
  <si>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</si>
  <si>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</si>
  <si>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</si>
  <si>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</si>
  <si>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</si>
  <si>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</si>
  <si>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</si>
  <si>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</si>
  <si>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</si>
  <si>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Charitable Contribution Carryforward</t>
  </si>
  <si>
    <t>Acc Liab - Deferred Comp LT -Old Plans</t>
  </si>
  <si>
    <t>Accrued Liab-OPEB</t>
  </si>
  <si>
    <t>Merger Commitments</t>
  </si>
  <si>
    <t>Plant</t>
  </si>
  <si>
    <t>Other Regulatory Liability - General</t>
  </si>
  <si>
    <t>State NOL</t>
  </si>
  <si>
    <t>Federal NOL</t>
  </si>
  <si>
    <t>FAS109 Non-TCJA</t>
  </si>
  <si>
    <t>N/A</t>
  </si>
  <si>
    <t>FAS 109 - Regulatory Asset Electric</t>
  </si>
  <si>
    <t>SFAS109-Regulatory Liability Electric</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</si>
  <si>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</si>
  <si>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</si>
  <si>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</si>
  <si>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</si>
  <si>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</si>
  <si>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</si>
  <si>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</si>
  <si>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</si>
  <si>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</si>
  <si>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</si>
  <si>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</si>
  <si>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</si>
  <si>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</si>
  <si>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</si>
  <si>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</si>
  <si>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</si>
  <si>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</si>
  <si>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</si>
  <si>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</si>
  <si>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</si>
  <si>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</si>
  <si>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</si>
  <si>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</si>
  <si>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</si>
  <si>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</si>
  <si>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</si>
  <si>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</si>
  <si>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</si>
  <si>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</si>
  <si>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</si>
  <si>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</si>
  <si>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</si>
  <si>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</si>
  <si>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</si>
  <si>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</si>
  <si>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</si>
  <si>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</si>
  <si>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</si>
  <si>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</si>
  <si>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</si>
  <si>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</si>
  <si>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Plant Deferred Taxes - Flow-through</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</si>
  <si>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</si>
  <si>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</si>
  <si>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</si>
  <si>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</si>
  <si>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</si>
  <si>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</si>
  <si>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</si>
  <si>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</si>
  <si>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</si>
  <si>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</si>
  <si>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</si>
  <si>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</si>
  <si>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</si>
  <si>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</si>
  <si>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</si>
  <si>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</si>
  <si>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</si>
  <si>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</si>
  <si>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</si>
  <si>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</si>
  <si>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</si>
  <si>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</si>
  <si>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</si>
  <si>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</si>
  <si>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t>
  </si>
  <si>
    <t>Real property (State, Municipal or Local)</t>
  </si>
  <si>
    <t>Personal property</t>
  </si>
  <si>
    <t>City License</t>
  </si>
  <si>
    <t>Federal Excise</t>
  </si>
  <si>
    <t>State Franchise tax</t>
  </si>
  <si>
    <t xml:space="preserve">TEFA </t>
  </si>
  <si>
    <t>Use &amp; Sales Tax</t>
  </si>
  <si>
    <t xml:space="preserve">  </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</si>
  <si>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</si>
  <si>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</si>
  <si>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</si>
  <si>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</si>
  <si>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</si>
  <si>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</si>
  <si>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</si>
  <si>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</si>
  <si>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</si>
  <si>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</si>
  <si>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</si>
  <si>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</si>
  <si>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</si>
  <si>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</si>
  <si>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</si>
  <si>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</si>
  <si>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</si>
  <si>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</si>
  <si>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</si>
  <si>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</si>
  <si>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</si>
  <si>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</si>
  <si>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</si>
  <si>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</si>
  <si>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</si>
  <si>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</si>
  <si>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</si>
  <si>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may be weighted average of small projects</t>
  </si>
  <si>
    <t>Annual Depreciation Exp</t>
  </si>
  <si>
    <t>….</t>
  </si>
  <si>
    <t>…..</t>
  </si>
  <si>
    <t>Pages 256-257 "Long Term Debt (Account 221, 222, 223, and 224)"</t>
  </si>
  <si>
    <t>Line 17 "Note Payable to ACE Transition Funding - variable"</t>
  </si>
  <si>
    <t>LTD Interest on Securitization Bonds in column (i)</t>
  </si>
  <si>
    <t>LTD on Securitization Bonds in column (h)</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</si>
  <si>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</si>
  <si>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</si>
  <si>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</si>
  <si>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</si>
  <si>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</si>
  <si>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</si>
  <si>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</si>
  <si>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</si>
  <si>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</si>
  <si>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Practice Areas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</si>
  <si>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</si>
  <si>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</si>
  <si>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</si>
  <si>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</si>
  <si>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</si>
  <si>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</si>
  <si>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</si>
  <si>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</si>
  <si>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</si>
  <si>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</si>
  <si>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</si>
  <si>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</si>
  <si>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</si>
  <si>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</si>
  <si>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</si>
  <si>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</si>
  <si>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</si>
  <si>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</si>
  <si>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</si>
  <si>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</si>
  <si>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ACE capital structure is initially fixed at 50% common equity and 50% debt per settlement in ER05-515 subject to moratorium provisions in the settlement.</t>
  </si>
  <si>
    <t>(Line 113 / 116)</t>
  </si>
  <si>
    <t>(Line 114 / 116)</t>
  </si>
  <si>
    <t>(Line 115 / 116)</t>
  </si>
  <si>
    <t>NJ AMA Credit</t>
  </si>
  <si>
    <t>ADIT relates to all functions and attributable to plant in service that is included in rate base.</t>
  </si>
  <si>
    <t>Materials Reserve</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</si>
  <si>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</si>
  <si>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</si>
  <si>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Regulatory Asset - Accrued Vacation</t>
  </si>
  <si>
    <t>Renewable Energy Credits</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</si>
  <si>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</si>
  <si>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</si>
  <si>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</si>
  <si>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</si>
  <si>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</si>
  <si>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1999 AMT</t>
  </si>
  <si>
    <t>Accrual Labor Related</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</si>
  <si>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</si>
  <si>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</si>
  <si>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</si>
  <si>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</si>
  <si>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</si>
  <si>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</si>
  <si>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</si>
  <si>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</si>
  <si>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</si>
  <si>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</si>
  <si>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Accrued Liab - Auto</t>
  </si>
  <si>
    <t>Accrued Liab - Misc.</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</si>
  <si>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</si>
  <si>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</si>
  <si>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</si>
  <si>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</si>
  <si>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</si>
  <si>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</si>
  <si>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</si>
  <si>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</si>
  <si>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</si>
  <si>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</si>
  <si>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</si>
  <si>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</si>
  <si>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</si>
  <si>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</si>
  <si>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Accrued Liability - General</t>
  </si>
  <si>
    <t>Oth Reg Liab-Asset Retirement Obligation</t>
  </si>
  <si>
    <t>Accrued Charitable Contributions-NJ</t>
  </si>
  <si>
    <t>Accrued Charitable Contributions-NJ-Long Term</t>
  </si>
  <si>
    <t>Accumulated Deferred Investment Tax Credit</t>
  </si>
  <si>
    <t>Provision for Uncollectible Accounts-Special Billing</t>
  </si>
  <si>
    <t>BAD DEBT RESERVE</t>
  </si>
  <si>
    <t>Provision for Uncollectible Accounts-NJ</t>
  </si>
  <si>
    <t>Charitable Contributions - Fed</t>
  </si>
  <si>
    <t>Charitable Contribution Limit</t>
  </si>
  <si>
    <t>Charitable Contributions - NJ</t>
  </si>
  <si>
    <t>Accrued Liab-Environmental Site Exp</t>
  </si>
  <si>
    <t>ENVIRONMENTAL EXPENSE</t>
  </si>
  <si>
    <t>Liability-Environmental (925300)-Contra</t>
  </si>
  <si>
    <t>Accrued Liab-Environmental Site Exp - Long Term</t>
  </si>
  <si>
    <t>OPEB</t>
  </si>
  <si>
    <t>Accrued Liability - LTIP - Long-Term</t>
  </si>
  <si>
    <t>SERP Asset</t>
  </si>
  <si>
    <t>SERP</t>
  </si>
  <si>
    <t>Liabilities-SERP (92420L) - Contra</t>
  </si>
  <si>
    <t>Deferred Credits - Deferred MTC Tax Rev</t>
  </si>
  <si>
    <t>Stranded Costs</t>
  </si>
  <si>
    <t>NJ Oth Reg Liability-Tax Benefits</t>
  </si>
  <si>
    <t>Use Tax Payable</t>
  </si>
  <si>
    <t>Use Tax Reserve</t>
  </si>
  <si>
    <t>NJ NOL</t>
  </si>
  <si>
    <t>FAS 109 Regulatory Liability</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</si>
  <si>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</si>
  <si>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</si>
  <si>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</si>
  <si>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</si>
  <si>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</si>
  <si>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</si>
  <si>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</si>
  <si>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</si>
  <si>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</si>
  <si>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</si>
  <si>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</si>
  <si>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BGS Deferred Related - Retail</t>
  </si>
  <si>
    <t>Regulatory Assets - NJ NGC Deferral</t>
  </si>
  <si>
    <t>Loss on Reacquired Debt</t>
  </si>
  <si>
    <t>Miscellaneous Deferred Debits - General</t>
  </si>
  <si>
    <t>Misc. Deferred Debits - Retail</t>
  </si>
  <si>
    <t>NUG Buy-out</t>
  </si>
  <si>
    <t>NUG BUYOUT</t>
  </si>
  <si>
    <t>Renewable Energy Credits - NJ</t>
  </si>
  <si>
    <t>Other- 283</t>
  </si>
  <si>
    <t>Solar Renewable Energy Credits II - NJ</t>
  </si>
  <si>
    <t>Def'd Credits - Def'd Transitional Bond</t>
  </si>
  <si>
    <t>PENSION PAYMENT RESERVE</t>
  </si>
  <si>
    <t>Reg Assets-FERC Formula Rate Adj-Transmission</t>
  </si>
  <si>
    <t>Reg Asset - FERC Formula Rate Adj. Trans. Svc</t>
  </si>
  <si>
    <t>Regulatory Assets - NJ Recovery - Base</t>
  </si>
  <si>
    <t>Reg Asset-NJ Rec-Base</t>
  </si>
  <si>
    <t>Regulatory Assets - NJ</t>
  </si>
  <si>
    <t>Regulatory Assets-Current-Corp Acctg</t>
  </si>
  <si>
    <t>Regulatory Asset - General</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</si>
  <si>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</si>
  <si>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</si>
  <si>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</si>
  <si>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</si>
  <si>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</si>
  <si>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</si>
  <si>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</si>
  <si>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</si>
  <si>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Regulatory Asset - SREC Program</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</si>
  <si>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</si>
  <si>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</si>
  <si>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</si>
  <si>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</si>
  <si>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</si>
  <si>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</si>
  <si>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</si>
  <si>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</si>
  <si>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</si>
  <si>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</si>
  <si>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</si>
  <si>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</si>
  <si>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</si>
  <si>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</si>
  <si>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</si>
  <si>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</si>
  <si>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</si>
  <si>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</si>
  <si>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</si>
  <si>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</si>
  <si>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</si>
  <si>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</si>
  <si>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</si>
  <si>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</si>
  <si>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</si>
  <si>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</si>
  <si>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</si>
  <si>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</si>
  <si>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</si>
  <si>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</si>
  <si>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</si>
  <si>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</si>
  <si>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</si>
  <si>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</si>
  <si>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</si>
  <si>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</si>
  <si>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</si>
  <si>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</si>
  <si>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</si>
  <si>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</si>
  <si>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</si>
  <si>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</si>
  <si>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 xml:space="preserve">Atlantic City Electric Company  elected to amortize investment tax credits against recoverable income tax expense, rather than to reduce rate base by unamortized investment tax credit.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</si>
  <si>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</si>
  <si>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</si>
  <si>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</si>
  <si>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</si>
  <si>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</si>
  <si>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</si>
  <si>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General Capital Lease $15,364,358</t>
  </si>
  <si>
    <t>General Capital Lease $2,551,013</t>
  </si>
  <si>
    <t>Inputs from Atlantic City Electric Company 2020 FERC Form 1</t>
  </si>
  <si>
    <t>Government Affairs</t>
  </si>
  <si>
    <t>Deferred Comp Plan - Level 2</t>
  </si>
  <si>
    <t>Kenneth Square Rent Revenue</t>
  </si>
  <si>
    <t>Acct 454</t>
  </si>
  <si>
    <t>Excluded State Dist RA Amort in line 5</t>
  </si>
  <si>
    <t>BPU Assessment</t>
  </si>
  <si>
    <t>Federal FICA &amp; Unemployment and Unemployment( State)</t>
  </si>
  <si>
    <t>December 31, 2020</t>
  </si>
  <si>
    <t>December 31, 2020 (Actual)</t>
  </si>
  <si>
    <t>Accrued Liability - Legal</t>
  </si>
  <si>
    <t>Deferred Revenue</t>
  </si>
  <si>
    <t>Prepaid Taxes</t>
  </si>
  <si>
    <t>State Income Taxes</t>
  </si>
  <si>
    <t>Accrued Property Taxes</t>
  </si>
  <si>
    <t>Total - Pg. 275  (Form 1-F filer:  see note 7, below)</t>
  </si>
  <si>
    <t>December 31, 2021</t>
  </si>
  <si>
    <t>Projected for the 12 Months Ended December 31, 2021</t>
  </si>
  <si>
    <t>12/31/2020 (Actual)</t>
  </si>
  <si>
    <t>2021 Projected</t>
  </si>
  <si>
    <t>December 31, 2021 (Projected)</t>
  </si>
  <si>
    <t>2020 Annual Update Credit</t>
  </si>
  <si>
    <t>Jun-Aug 2020 True up 3/12th</t>
  </si>
  <si>
    <t>Separation Costs</t>
  </si>
  <si>
    <t>b0210.1 Orchard-Cumberland - Install second 230kV line</t>
  </si>
  <si>
    <t>b0212 Corson upgrade 138kV line trap</t>
  </si>
  <si>
    <t xml:space="preserve">2021 Projected
</t>
  </si>
  <si>
    <t>The actuarially determined amount of OPEB expense in FERC 926 decreased $0.9 million from the prior year; The decrease was mainly due to favorable asset returns which were 14.40% in 2020 compared to the expected return of 6.7%. Returns in 2019 were unfavorable at -4.66% compared to the expected return of 6.7%. Further, interest rates decreased from 4.27% in 2019 to 3.27% in 2020. The impact of the decrease in the discount rate decreases interest cost and increases service cost; however, the decrease in interest cost more than offset the increase in service cost.</t>
  </si>
  <si>
    <t>Prior Period Adjustments listed in row 3j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</si>
</sst>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24">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3" fillId="0" borderId="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1" fillId="0" borderId="0"/>
    <xf numFmtId="168" fontId="35" fillId="0" borderId="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168" fontId="35" fillId="0" borderId="0" applyProtection="0"/>
    <xf numFmtId="168" fontId="35" fillId="0" borderId="0" applyProtection="0"/>
    <xf numFmtId="0" fontId="8" fillId="0" borderId="0"/>
    <xf numFmtId="0" fontId="82" fillId="0" borderId="0"/>
    <xf numFmtId="0" fontId="61" fillId="0" borderId="0"/>
    <xf numFmtId="0" fontId="8" fillId="0" borderId="0"/>
    <xf numFmtId="168" fontId="35" fillId="0" borderId="0" applyProtection="0"/>
    <xf numFmtId="0" fontId="8" fillId="0" borderId="0"/>
    <xf numFmtId="168" fontId="35" fillId="0" borderId="0" applyProtection="0"/>
    <xf numFmtId="44" fontId="61" fillId="0" borderId="0" applyFont="0" applyFill="0" applyBorder="0" applyAlignment="0" applyProtection="0"/>
    <xf numFmtId="44" fontId="8" fillId="0" borderId="0" applyFont="0" applyFill="0" applyBorder="0" applyAlignment="0" applyProtection="0"/>
    <xf numFmtId="0" fontId="61" fillId="0" borderId="0"/>
    <xf numFmtId="0" fontId="8"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8"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4" fillId="0" borderId="0"/>
    <xf numFmtId="0" fontId="8" fillId="0" borderId="0"/>
    <xf numFmtId="0" fontId="100"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7"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8" fillId="0" borderId="0"/>
    <xf numFmtId="0" fontId="8" fillId="0" borderId="0"/>
    <xf numFmtId="0" fontId="8" fillId="0" borderId="0"/>
    <xf numFmtId="0" fontId="8" fillId="0" borderId="0"/>
  </cellStyleXfs>
  <cellXfs count="1906">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7" fillId="0" borderId="0" xfId="0" applyFont="1" applyAlignment="1">
      <alignment horizontal="center"/>
    </xf>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164" fontId="12" fillId="0" borderId="6" xfId="4" applyNumberFormat="1" applyFont="1" applyBorder="1"/>
    <xf numFmtId="164" fontId="12" fillId="2" borderId="5" xfId="4" applyNumberFormat="1" applyFont="1" applyFill="1" applyBorder="1"/>
    <xf numFmtId="164" fontId="12" fillId="0" borderId="0" xfId="4" applyNumberFormat="1" applyFont="1" applyBorder="1"/>
    <xf numFmtId="164" fontId="12" fillId="0" borderId="0" xfId="1" applyNumberFormat="1" applyFont="1" applyBorder="1"/>
    <xf numFmtId="164" fontId="12" fillId="0" borderId="5" xfId="4"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42" fontId="0" fillId="0" borderId="0" xfId="0" applyNumberFormat="1"/>
    <xf numFmtId="37" fontId="0" fillId="2" borderId="0" xfId="0" applyNumberFormat="1" applyFill="1" applyAlignment="1">
      <alignment horizontal="right" wrapText="1"/>
    </xf>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44"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4"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56" fillId="0" borderId="0" xfId="0" applyFont="1"/>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7"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164" fontId="25" fillId="0" borderId="0" xfId="0" applyNumberFormat="1" applyFont="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8"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9"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0"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0" applyFont="1"/>
    <xf numFmtId="0" fontId="11" fillId="0" borderId="0" xfId="7" applyFont="1" applyBorder="1"/>
    <xf numFmtId="0" fontId="9" fillId="0" borderId="0" xfId="7" applyFont="1" applyBorder="1"/>
    <xf numFmtId="0" fontId="8" fillId="0" borderId="0" xfId="7" applyFont="1"/>
    <xf numFmtId="0" fontId="9" fillId="0" borderId="0" xfId="20"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6" fillId="0" borderId="0" xfId="21" applyFont="1"/>
    <xf numFmtId="177" fontId="63" fillId="8" borderId="0" xfId="20" applyNumberFormat="1" applyFill="1" applyBorder="1"/>
    <xf numFmtId="177" fontId="62" fillId="0" borderId="0" xfId="8" applyNumberFormat="1" applyFont="1" applyAlignment="1">
      <alignment horizontal="center"/>
    </xf>
    <xf numFmtId="177" fontId="0" fillId="0" borderId="0" xfId="10" applyNumberFormat="1" applyFont="1" applyBorder="1"/>
    <xf numFmtId="177" fontId="63" fillId="8" borderId="0" xfId="20" applyNumberFormat="1" applyFill="1"/>
    <xf numFmtId="177" fontId="46" fillId="0" borderId="0" xfId="22" applyNumberFormat="1" applyFont="1" applyBorder="1"/>
    <xf numFmtId="177" fontId="64" fillId="8" borderId="0" xfId="23" applyNumberFormat="1" applyFont="1" applyFill="1"/>
    <xf numFmtId="177" fontId="46" fillId="0" borderId="0" xfId="24" applyNumberFormat="1" applyFont="1" applyBorder="1"/>
    <xf numFmtId="177" fontId="46" fillId="8" borderId="0" xfId="23" applyNumberFormat="1" applyFont="1" applyFill="1"/>
    <xf numFmtId="177" fontId="46" fillId="8" borderId="0" xfId="23" applyNumberFormat="1" applyFont="1" applyFill="1" applyBorder="1"/>
    <xf numFmtId="177" fontId="0" fillId="0" borderId="0" xfId="8" applyNumberFormat="1" applyFont="1" applyBorder="1"/>
    <xf numFmtId="177" fontId="63" fillId="0" borderId="0" xfId="20" applyNumberFormat="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0" applyNumberFormat="1" applyFont="1"/>
    <xf numFmtId="166" fontId="65"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7" fillId="0" borderId="0" xfId="25" applyNumberFormat="1" applyFont="1" applyFill="1" applyAlignment="1">
      <alignment horizontal="center"/>
    </xf>
    <xf numFmtId="168" fontId="68" fillId="0" borderId="0" xfId="25" applyFont="1" applyFill="1" applyAlignment="1"/>
    <xf numFmtId="0" fontId="68" fillId="0" borderId="0" xfId="26" applyFont="1" applyFill="1"/>
    <xf numFmtId="0" fontId="68" fillId="0" borderId="0" xfId="27" applyNumberFormat="1" applyFont="1" applyFill="1" applyBorder="1" applyAlignment="1" applyProtection="1">
      <alignment horizontal="center"/>
      <protection locked="0"/>
    </xf>
    <xf numFmtId="0" fontId="68" fillId="0" borderId="0" xfId="26" applyFont="1" applyFill="1" applyAlignment="1">
      <alignment horizontal="right"/>
    </xf>
    <xf numFmtId="0" fontId="68" fillId="0" borderId="0" xfId="25" applyNumberFormat="1" applyFont="1" applyFill="1" applyAlignment="1">
      <alignment horizontal="center"/>
    </xf>
    <xf numFmtId="0" fontId="68" fillId="0" borderId="0" xfId="26" applyFont="1" applyFill="1" applyAlignment="1">
      <alignment horizontal="center"/>
    </xf>
    <xf numFmtId="168" fontId="68" fillId="0" borderId="0" xfId="25" applyFont="1" applyFill="1" applyAlignment="1">
      <alignment horizontal="right"/>
    </xf>
    <xf numFmtId="0" fontId="68" fillId="0" borderId="0" xfId="28" applyNumberFormat="1" applyFont="1" applyFill="1" applyAlignment="1">
      <alignment horizontal="center"/>
    </xf>
    <xf numFmtId="0" fontId="69" fillId="0" borderId="0" xfId="26" applyFont="1" applyFill="1" applyAlignment="1">
      <alignment horizontal="centerContinuous"/>
    </xf>
    <xf numFmtId="0" fontId="69" fillId="0" borderId="0" xfId="26" applyFont="1" applyFill="1" applyAlignment="1">
      <alignment horizontal="center"/>
    </xf>
    <xf numFmtId="0" fontId="68" fillId="0" borderId="0" xfId="25" applyNumberFormat="1" applyFont="1" applyFill="1" applyAlignment="1">
      <alignment horizontal="center" wrapText="1"/>
    </xf>
    <xf numFmtId="0" fontId="69" fillId="0" borderId="0" xfId="26" applyFont="1" applyFill="1" applyAlignment="1">
      <alignment horizontal="center" wrapText="1"/>
    </xf>
    <xf numFmtId="168" fontId="69" fillId="0" borderId="0" xfId="25" applyFont="1" applyFill="1" applyAlignment="1">
      <alignment horizontal="center" wrapText="1"/>
    </xf>
    <xf numFmtId="168" fontId="68" fillId="0" borderId="0" xfId="25" applyFont="1" applyFill="1" applyAlignment="1">
      <alignment wrapText="1"/>
    </xf>
    <xf numFmtId="0" fontId="69" fillId="0" borderId="0" xfId="29" applyFont="1" applyFill="1" applyBorder="1" applyAlignment="1">
      <alignment horizontal="center" wrapText="1"/>
    </xf>
    <xf numFmtId="168" fontId="67" fillId="0" borderId="0" xfId="25" applyFont="1" applyFill="1" applyAlignment="1"/>
    <xf numFmtId="0" fontId="68" fillId="0" borderId="0" xfId="30" applyFont="1" applyFill="1" applyAlignment="1">
      <alignment horizontal="left" wrapText="1"/>
    </xf>
    <xf numFmtId="37" fontId="68" fillId="0" borderId="0" xfId="8" applyNumberFormat="1" applyFont="1" applyFill="1" applyAlignment="1">
      <alignment horizontal="center"/>
    </xf>
    <xf numFmtId="37" fontId="68" fillId="0" borderId="0" xfId="8" applyNumberFormat="1" applyFont="1" applyFill="1" applyAlignment="1">
      <alignment horizontal="center" wrapText="1"/>
    </xf>
    <xf numFmtId="3" fontId="68" fillId="0" borderId="0" xfId="31" applyNumberFormat="1" applyFont="1" applyFill="1" applyAlignment="1">
      <alignment horizontal="left" wrapText="1"/>
    </xf>
    <xf numFmtId="3" fontId="68" fillId="0" borderId="0" xfId="31" applyNumberFormat="1" applyFont="1" applyFill="1" applyAlignment="1">
      <alignment wrapText="1"/>
    </xf>
    <xf numFmtId="3" fontId="68" fillId="0" borderId="0" xfId="31" applyNumberFormat="1" applyFont="1" applyFill="1" applyAlignment="1">
      <alignment horizontal="center" wrapText="1"/>
    </xf>
    <xf numFmtId="0" fontId="68" fillId="0" borderId="0" xfId="26" quotePrefix="1" applyFont="1" applyFill="1" applyAlignment="1">
      <alignment horizontal="left"/>
    </xf>
    <xf numFmtId="41" fontId="68" fillId="10" borderId="0" xfId="26" applyNumberFormat="1" applyFont="1" applyFill="1"/>
    <xf numFmtId="164" fontId="68" fillId="10" borderId="0" xfId="8" applyNumberFormat="1" applyFont="1" applyFill="1"/>
    <xf numFmtId="164" fontId="68" fillId="0" borderId="20" xfId="8" applyNumberFormat="1" applyFont="1" applyFill="1" applyBorder="1"/>
    <xf numFmtId="37" fontId="68" fillId="0" borderId="0" xfId="26" applyNumberFormat="1" applyFont="1" applyFill="1"/>
    <xf numFmtId="168" fontId="68" fillId="0" borderId="0" xfId="32" applyFont="1" applyFill="1" applyAlignment="1"/>
    <xf numFmtId="0" fontId="69" fillId="0" borderId="0" xfId="26" applyFont="1" applyFill="1" applyAlignment="1">
      <alignment horizontal="centerContinuous" wrapText="1"/>
    </xf>
    <xf numFmtId="168" fontId="69" fillId="0" borderId="0" xfId="25" applyFont="1" applyFill="1" applyAlignment="1">
      <alignment horizontal="center"/>
    </xf>
    <xf numFmtId="0" fontId="68" fillId="0" borderId="0" xfId="29" applyFont="1" applyFill="1" applyBorder="1" applyAlignment="1">
      <alignment horizontal="center" wrapText="1"/>
    </xf>
    <xf numFmtId="168" fontId="68" fillId="0" borderId="0" xfId="25" applyFont="1" applyFill="1" applyAlignment="1">
      <alignment horizontal="center"/>
    </xf>
    <xf numFmtId="41" fontId="70" fillId="11" borderId="0" xfId="26" applyNumberFormat="1" applyFont="1" applyFill="1"/>
    <xf numFmtId="0" fontId="68" fillId="0" borderId="0" xfId="26" applyFont="1" applyFill="1" applyAlignment="1">
      <alignment horizontal="left"/>
    </xf>
    <xf numFmtId="43" fontId="68" fillId="0" borderId="20" xfId="8" applyFont="1" applyFill="1" applyBorder="1"/>
    <xf numFmtId="164" fontId="68" fillId="10" borderId="0" xfId="8" applyNumberFormat="1" applyFont="1" applyFill="1" applyBorder="1"/>
    <xf numFmtId="43" fontId="68" fillId="0" borderId="0" xfId="8" applyFont="1" applyFill="1" applyBorder="1" applyAlignment="1">
      <alignment horizontal="center"/>
    </xf>
    <xf numFmtId="164" fontId="68" fillId="0" borderId="0" xfId="8" applyNumberFormat="1" applyFont="1" applyFill="1" applyBorder="1"/>
    <xf numFmtId="164" fontId="68" fillId="0" borderId="0" xfId="8" applyNumberFormat="1" applyFont="1" applyFill="1" applyBorder="1" applyAlignment="1">
      <alignment horizontal="center"/>
    </xf>
    <xf numFmtId="0" fontId="71" fillId="0" borderId="0" xfId="25" applyNumberFormat="1" applyFont="1" applyFill="1" applyAlignment="1">
      <alignment horizontal="center"/>
    </xf>
    <xf numFmtId="168" fontId="71" fillId="0" borderId="0" xfId="25" applyFont="1" applyFill="1" applyAlignment="1">
      <alignment horizontal="center"/>
    </xf>
    <xf numFmtId="44" fontId="71" fillId="0" borderId="0" xfId="25" applyNumberFormat="1" applyFont="1" applyFill="1" applyBorder="1" applyAlignment="1"/>
    <xf numFmtId="168" fontId="68" fillId="0" borderId="0" xfId="25" applyFont="1" applyFill="1" applyAlignment="1">
      <alignment vertical="center" wrapText="1"/>
    </xf>
    <xf numFmtId="168" fontId="68" fillId="0" borderId="0" xfId="25" applyFont="1" applyFill="1" applyAlignment="1">
      <alignment horizontal="left" vertical="center"/>
    </xf>
    <xf numFmtId="168" fontId="68" fillId="0" borderId="0" xfId="25" applyFont="1" applyFill="1" applyAlignment="1">
      <alignment horizontal="left" vertical="center" wrapText="1"/>
    </xf>
    <xf numFmtId="0" fontId="68" fillId="0" borderId="0" xfId="25" applyNumberFormat="1" applyFont="1" applyFill="1" applyBorder="1" applyAlignment="1">
      <alignment vertical="top"/>
    </xf>
    <xf numFmtId="0" fontId="72" fillId="0" borderId="0" xfId="34" applyFont="1" applyFill="1" applyAlignment="1">
      <alignment horizontal="center"/>
    </xf>
    <xf numFmtId="0" fontId="72" fillId="0" borderId="0" xfId="34" applyFont="1" applyFill="1"/>
    <xf numFmtId="0" fontId="69" fillId="0" borderId="0" xfId="27" applyNumberFormat="1" applyFont="1" applyFill="1" applyBorder="1" applyAlignment="1" applyProtection="1">
      <alignment horizontal="center"/>
      <protection locked="0"/>
    </xf>
    <xf numFmtId="0" fontId="73" fillId="0" borderId="0" xfId="34" applyFont="1" applyFill="1" applyAlignment="1">
      <alignment horizontal="center"/>
    </xf>
    <xf numFmtId="168" fontId="68"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9" fillId="0" borderId="0" xfId="26" quotePrefix="1" applyFont="1" applyFill="1" applyAlignment="1">
      <alignment horizontal="left"/>
    </xf>
    <xf numFmtId="0" fontId="68" fillId="10" borderId="0" xfId="26" quotePrefix="1" applyFont="1" applyFill="1" applyAlignment="1">
      <alignment horizontal="left"/>
    </xf>
    <xf numFmtId="168" fontId="35" fillId="10" borderId="0" xfId="35" applyFill="1" applyAlignment="1"/>
    <xf numFmtId="0" fontId="68" fillId="0" borderId="0" xfId="26" quotePrefix="1" applyFont="1" applyFill="1" applyAlignment="1">
      <alignment horizontal="center"/>
    </xf>
    <xf numFmtId="0" fontId="68" fillId="10" borderId="0" xfId="26" quotePrefix="1" applyFont="1" applyFill="1" applyAlignment="1">
      <alignment horizontal="center"/>
    </xf>
    <xf numFmtId="166" fontId="68" fillId="0" borderId="0" xfId="10" quotePrefix="1" applyNumberFormat="1" applyFont="1" applyFill="1" applyAlignment="1">
      <alignment horizontal="left"/>
    </xf>
    <xf numFmtId="39" fontId="68" fillId="10" borderId="0" xfId="8" quotePrefix="1" applyNumberFormat="1" applyFont="1" applyFill="1" applyAlignment="1">
      <alignment horizontal="left"/>
    </xf>
    <xf numFmtId="164" fontId="68" fillId="0" borderId="0" xfId="8" quotePrefix="1" applyNumberFormat="1" applyFont="1" applyFill="1" applyAlignment="1">
      <alignment horizontal="left"/>
    </xf>
    <xf numFmtId="164" fontId="68" fillId="10" borderId="0" xfId="26" applyNumberFormat="1" applyFont="1" applyFill="1"/>
    <xf numFmtId="166" fontId="68" fillId="10" borderId="0" xfId="46" quotePrefix="1" applyNumberFormat="1" applyFont="1" applyFill="1" applyAlignment="1">
      <alignment horizontal="center"/>
    </xf>
    <xf numFmtId="168" fontId="68" fillId="0" borderId="0" xfId="27" applyFont="1" applyFill="1" applyBorder="1" applyAlignment="1"/>
    <xf numFmtId="168" fontId="68" fillId="0" borderId="0" xfId="27" applyFont="1" applyFill="1" applyBorder="1" applyAlignment="1">
      <alignment horizontal="right"/>
    </xf>
    <xf numFmtId="164" fontId="68" fillId="0" borderId="0" xfId="8" applyNumberFormat="1" applyFont="1" applyFill="1" applyBorder="1" applyAlignment="1"/>
    <xf numFmtId="0" fontId="68" fillId="0" borderId="0" xfId="27" applyNumberFormat="1" applyFont="1" applyFill="1" applyBorder="1" applyAlignment="1" applyProtection="1">
      <protection locked="0"/>
    </xf>
    <xf numFmtId="0" fontId="68" fillId="0" borderId="0" xfId="27" applyNumberFormat="1" applyFont="1" applyFill="1" applyBorder="1" applyProtection="1">
      <protection locked="0"/>
    </xf>
    <xf numFmtId="0" fontId="68" fillId="0" borderId="0" xfId="31" applyFont="1" applyFill="1"/>
    <xf numFmtId="0" fontId="68" fillId="0" borderId="0" xfId="27" applyNumberFormat="1" applyFont="1" applyFill="1" applyAlignment="1">
      <alignment horizontal="right"/>
    </xf>
    <xf numFmtId="0" fontId="68" fillId="0" borderId="0" xfId="27" applyNumberFormat="1" applyFont="1" applyFill="1" applyBorder="1"/>
    <xf numFmtId="164" fontId="74" fillId="0" borderId="0" xfId="8" applyNumberFormat="1" applyFont="1" applyFill="1" applyBorder="1"/>
    <xf numFmtId="3" fontId="68" fillId="0" borderId="0" xfId="27" applyNumberFormat="1" applyFont="1" applyFill="1" applyBorder="1" applyAlignment="1"/>
    <xf numFmtId="0" fontId="74" fillId="0" borderId="0" xfId="27" applyNumberFormat="1" applyFont="1" applyFill="1" applyBorder="1" applyAlignment="1">
      <alignment horizontal="center"/>
    </xf>
    <xf numFmtId="0" fontId="74" fillId="0" borderId="0" xfId="27" applyNumberFormat="1" applyFont="1" applyFill="1" applyBorder="1"/>
    <xf numFmtId="49" fontId="68" fillId="0" borderId="0" xfId="27" applyNumberFormat="1" applyFont="1" applyFill="1" applyBorder="1"/>
    <xf numFmtId="3" fontId="68" fillId="0" borderId="0" xfId="27" applyNumberFormat="1" applyFont="1" applyFill="1" applyBorder="1"/>
    <xf numFmtId="0" fontId="68" fillId="0" borderId="0" xfId="27" applyNumberFormat="1" applyFont="1" applyFill="1" applyBorder="1" applyAlignment="1">
      <alignment horizontal="center"/>
    </xf>
    <xf numFmtId="49" fontId="68" fillId="0" borderId="0" xfId="27" applyNumberFormat="1" applyFont="1" applyFill="1" applyBorder="1" applyAlignment="1">
      <alignment horizontal="center"/>
    </xf>
    <xf numFmtId="0" fontId="68" fillId="0" borderId="0" xfId="27" applyNumberFormat="1" applyFont="1" applyFill="1" applyBorder="1" applyAlignment="1"/>
    <xf numFmtId="3" fontId="69" fillId="0" borderId="0" xfId="27" applyNumberFormat="1" applyFont="1" applyFill="1" applyBorder="1" applyAlignment="1">
      <alignment horizontal="center"/>
    </xf>
    <xf numFmtId="168" fontId="69" fillId="0" borderId="0" xfId="27" applyFont="1" applyFill="1" applyBorder="1" applyAlignment="1">
      <alignment horizontal="center"/>
    </xf>
    <xf numFmtId="0" fontId="69" fillId="0" borderId="0" xfId="27" applyNumberFormat="1" applyFont="1" applyFill="1" applyBorder="1" applyAlignment="1">
      <alignment horizontal="center"/>
    </xf>
    <xf numFmtId="0" fontId="69" fillId="0" borderId="0" xfId="27" applyNumberFormat="1" applyFont="1" applyFill="1" applyBorder="1" applyAlignment="1"/>
    <xf numFmtId="0" fontId="75" fillId="0" borderId="0" xfId="27" applyNumberFormat="1" applyFont="1" applyFill="1" applyBorder="1" applyAlignment="1" applyProtection="1">
      <alignment horizontal="center"/>
      <protection locked="0"/>
    </xf>
    <xf numFmtId="3" fontId="68" fillId="0" borderId="0" xfId="27" applyNumberFormat="1" applyFont="1" applyFill="1" applyBorder="1" applyAlignment="1">
      <alignment horizontal="center"/>
    </xf>
    <xf numFmtId="3" fontId="68" fillId="0" borderId="0" xfId="27" applyNumberFormat="1" applyFont="1" applyFill="1" applyBorder="1" applyAlignment="1">
      <alignment horizontal="left"/>
    </xf>
    <xf numFmtId="43" fontId="68" fillId="0" borderId="0" xfId="8" applyNumberFormat="1" applyFont="1" applyFill="1" applyBorder="1" applyAlignment="1"/>
    <xf numFmtId="43" fontId="76" fillId="0" borderId="0" xfId="8" applyNumberFormat="1" applyFont="1" applyFill="1" applyBorder="1" applyAlignment="1"/>
    <xf numFmtId="10" fontId="76" fillId="0" borderId="0" xfId="12" applyNumberFormat="1" applyFont="1" applyFill="1" applyBorder="1" applyAlignment="1"/>
    <xf numFmtId="10" fontId="69" fillId="0" borderId="0" xfId="27" applyNumberFormat="1" applyFont="1" applyFill="1" applyBorder="1" applyAlignment="1"/>
    <xf numFmtId="3" fontId="69" fillId="0" borderId="0" xfId="27" applyNumberFormat="1" applyFont="1" applyFill="1" applyBorder="1" applyAlignment="1"/>
    <xf numFmtId="179" fontId="69" fillId="0" borderId="0" xfId="27" applyNumberFormat="1" applyFont="1" applyFill="1" applyBorder="1" applyAlignment="1"/>
    <xf numFmtId="10" fontId="68" fillId="0" borderId="0" xfId="27" applyNumberFormat="1" applyFont="1" applyFill="1" applyBorder="1" applyAlignment="1"/>
    <xf numFmtId="168" fontId="68" fillId="0" borderId="0" xfId="27" applyFont="1" applyFill="1" applyBorder="1" applyAlignment="1">
      <alignment horizontal="left"/>
    </xf>
    <xf numFmtId="168" fontId="68" fillId="0" borderId="0" xfId="27" applyFont="1" applyFill="1" applyBorder="1" applyAlignment="1">
      <alignment horizontal="center"/>
    </xf>
    <xf numFmtId="43" fontId="68" fillId="0" borderId="0" xfId="8" applyFont="1" applyFill="1" applyBorder="1" applyAlignment="1"/>
    <xf numFmtId="49" fontId="69" fillId="0" borderId="0" xfId="27" applyNumberFormat="1" applyFont="1" applyFill="1" applyBorder="1" applyAlignment="1">
      <alignment horizontal="center"/>
    </xf>
    <xf numFmtId="168" fontId="69" fillId="0" borderId="0" xfId="27" applyFont="1" applyFill="1" applyBorder="1" applyAlignment="1"/>
    <xf numFmtId="3" fontId="69" fillId="0" borderId="0" xfId="27" applyNumberFormat="1" applyFont="1" applyFill="1" applyBorder="1" applyAlignment="1">
      <alignment horizontal="left"/>
    </xf>
    <xf numFmtId="43" fontId="69" fillId="0" borderId="0" xfId="8" applyNumberFormat="1" applyFont="1" applyFill="1" applyBorder="1" applyAlignment="1"/>
    <xf numFmtId="10" fontId="69" fillId="0" borderId="0" xfId="12" applyNumberFormat="1" applyFont="1" applyFill="1" applyBorder="1" applyAlignment="1"/>
    <xf numFmtId="0" fontId="68" fillId="0" borderId="0" xfId="27" applyNumberFormat="1" applyFont="1" applyFill="1" applyBorder="1" applyAlignment="1">
      <alignment horizontal="fill"/>
    </xf>
    <xf numFmtId="168" fontId="77" fillId="0" borderId="0" xfId="27" applyFont="1" applyFill="1" applyBorder="1" applyAlignment="1"/>
    <xf numFmtId="3" fontId="77" fillId="0" borderId="0" xfId="27" applyNumberFormat="1" applyFont="1" applyFill="1" applyBorder="1" applyAlignment="1"/>
    <xf numFmtId="167" fontId="68" fillId="0" borderId="0" xfId="27" applyNumberFormat="1" applyFont="1" applyFill="1" applyBorder="1" applyAlignment="1">
      <alignment horizontal="left"/>
    </xf>
    <xf numFmtId="167" fontId="68" fillId="0" borderId="0" xfId="27" applyNumberFormat="1" applyFont="1" applyFill="1" applyBorder="1" applyAlignment="1">
      <alignment horizontal="center"/>
    </xf>
    <xf numFmtId="180" fontId="68" fillId="0" borderId="0" xfId="27" applyNumberFormat="1" applyFont="1" applyFill="1" applyBorder="1" applyAlignment="1"/>
    <xf numFmtId="0" fontId="77" fillId="0" borderId="0" xfId="27" applyNumberFormat="1" applyFont="1" applyFill="1" applyBorder="1"/>
    <xf numFmtId="49" fontId="68" fillId="0" borderId="0" xfId="27" applyNumberFormat="1" applyFont="1" applyFill="1" applyBorder="1" applyAlignment="1">
      <alignment horizontal="left"/>
    </xf>
    <xf numFmtId="0" fontId="68" fillId="0" borderId="0" xfId="27" applyNumberFormat="1" applyFont="1" applyFill="1" applyBorder="1" applyAlignment="1">
      <alignment horizontal="right"/>
    </xf>
    <xf numFmtId="178" fontId="69" fillId="0" borderId="0" xfId="27" applyNumberFormat="1" applyFont="1" applyFill="1" applyBorder="1" applyAlignment="1">
      <alignment horizontal="center"/>
    </xf>
    <xf numFmtId="178" fontId="69" fillId="0" borderId="0" xfId="27" quotePrefix="1" applyNumberFormat="1" applyFont="1" applyFill="1" applyBorder="1" applyAlignment="1">
      <alignment horizontal="center"/>
    </xf>
    <xf numFmtId="168" fontId="69" fillId="0" borderId="22" xfId="27" applyFont="1" applyFill="1" applyBorder="1" applyAlignment="1">
      <alignment horizontal="center" wrapText="1"/>
    </xf>
    <xf numFmtId="168" fontId="69" fillId="0" borderId="21" xfId="27" applyFont="1" applyFill="1" applyBorder="1" applyAlignment="1"/>
    <xf numFmtId="0" fontId="69" fillId="0" borderId="21" xfId="27" applyNumberFormat="1" applyFont="1" applyFill="1" applyBorder="1" applyAlignment="1">
      <alignment horizontal="center" wrapText="1"/>
    </xf>
    <xf numFmtId="168" fontId="69" fillId="0" borderId="23" xfId="27" applyFont="1" applyFill="1" applyBorder="1" applyAlignment="1">
      <alignment horizontal="center" wrapText="1"/>
    </xf>
    <xf numFmtId="3" fontId="69" fillId="0" borderId="23" xfId="27" applyNumberFormat="1" applyFont="1" applyFill="1" applyBorder="1" applyAlignment="1">
      <alignment horizontal="center" wrapText="1"/>
    </xf>
    <xf numFmtId="0" fontId="68" fillId="0" borderId="22" xfId="27" applyNumberFormat="1" applyFont="1" applyFill="1" applyBorder="1"/>
    <xf numFmtId="0" fontId="68" fillId="0" borderId="21" xfId="27" applyNumberFormat="1" applyFont="1" applyFill="1" applyBorder="1"/>
    <xf numFmtId="0" fontId="68" fillId="0" borderId="21" xfId="27" applyNumberFormat="1" applyFont="1" applyFill="1" applyBorder="1" applyAlignment="1">
      <alignment horizontal="center"/>
    </xf>
    <xf numFmtId="0" fontId="68" fillId="0" borderId="23" xfId="27" applyNumberFormat="1" applyFont="1" applyFill="1" applyBorder="1" applyAlignment="1">
      <alignment horizontal="center"/>
    </xf>
    <xf numFmtId="0" fontId="68" fillId="0" borderId="23" xfId="27" applyNumberFormat="1" applyFont="1" applyFill="1" applyBorder="1" applyAlignment="1">
      <alignment horizontal="center" wrapText="1"/>
    </xf>
    <xf numFmtId="3" fontId="68" fillId="0" borderId="23" xfId="27" applyNumberFormat="1" applyFont="1" applyFill="1" applyBorder="1" applyAlignment="1">
      <alignment horizontal="center" wrapText="1"/>
    </xf>
    <xf numFmtId="3" fontId="68" fillId="0" borderId="21" xfId="27" applyNumberFormat="1" applyFont="1" applyFill="1" applyBorder="1" applyAlignment="1">
      <alignment horizontal="center"/>
    </xf>
    <xf numFmtId="0" fontId="68" fillId="0" borderId="31" xfId="27" applyNumberFormat="1" applyFont="1" applyFill="1" applyBorder="1"/>
    <xf numFmtId="0" fontId="68" fillId="0" borderId="27" xfId="27" applyNumberFormat="1" applyFont="1" applyFill="1" applyBorder="1"/>
    <xf numFmtId="0" fontId="68" fillId="0" borderId="29" xfId="27" applyNumberFormat="1" applyFont="1" applyFill="1" applyBorder="1"/>
    <xf numFmtId="3" fontId="68" fillId="0" borderId="27" xfId="27" applyNumberFormat="1" applyFont="1" applyFill="1" applyBorder="1" applyAlignment="1"/>
    <xf numFmtId="168" fontId="68" fillId="0" borderId="31" xfId="50" applyFont="1" applyFill="1" applyBorder="1" applyAlignment="1"/>
    <xf numFmtId="168" fontId="68" fillId="0" borderId="0" xfId="50" applyFont="1" applyFill="1" applyBorder="1" applyAlignment="1"/>
    <xf numFmtId="43" fontId="68" fillId="0" borderId="27" xfId="8" applyFont="1" applyFill="1" applyBorder="1" applyAlignment="1"/>
    <xf numFmtId="164" fontId="68" fillId="0" borderId="27" xfId="8" applyNumberFormat="1" applyFont="1" applyFill="1" applyBorder="1" applyAlignment="1"/>
    <xf numFmtId="168" fontId="68" fillId="10" borderId="0" xfId="50" applyFont="1" applyFill="1" applyBorder="1" applyAlignment="1"/>
    <xf numFmtId="0" fontId="68" fillId="10" borderId="0" xfId="8" applyNumberFormat="1" applyFont="1" applyFill="1" applyBorder="1" applyAlignment="1">
      <alignment horizontal="left"/>
    </xf>
    <xf numFmtId="166" fontId="68" fillId="10" borderId="0" xfId="10" applyNumberFormat="1" applyFont="1" applyFill="1" applyBorder="1" applyAlignment="1"/>
    <xf numFmtId="164" fontId="68" fillId="10" borderId="0" xfId="8" applyNumberFormat="1" applyFont="1" applyFill="1" applyBorder="1" applyAlignment="1"/>
    <xf numFmtId="164" fontId="68" fillId="10" borderId="31" xfId="8" applyNumberFormat="1" applyFont="1" applyFill="1" applyBorder="1" applyAlignment="1"/>
    <xf numFmtId="168" fontId="68" fillId="10" borderId="0" xfId="27" applyFont="1" applyFill="1" applyBorder="1" applyAlignment="1">
      <alignment horizontal="left"/>
    </xf>
    <xf numFmtId="166" fontId="70" fillId="10" borderId="0" xfId="10" applyNumberFormat="1" applyFont="1" applyFill="1" applyBorder="1" applyAlignment="1"/>
    <xf numFmtId="164" fontId="70" fillId="10" borderId="0" xfId="8" applyNumberFormat="1" applyFont="1" applyFill="1" applyBorder="1" applyAlignment="1"/>
    <xf numFmtId="168" fontId="68" fillId="0" borderId="31" xfId="27" applyFont="1" applyFill="1" applyBorder="1" applyAlignment="1"/>
    <xf numFmtId="168" fontId="68" fillId="10" borderId="0" xfId="27" applyFont="1" applyFill="1" applyBorder="1" applyAlignment="1"/>
    <xf numFmtId="168" fontId="68" fillId="0" borderId="32" xfId="27" applyFont="1" applyFill="1" applyBorder="1" applyAlignment="1"/>
    <xf numFmtId="168" fontId="68" fillId="0" borderId="12" xfId="27" applyFont="1" applyFill="1" applyBorder="1" applyAlignment="1"/>
    <xf numFmtId="168" fontId="68" fillId="10" borderId="12" xfId="27" applyFont="1" applyFill="1" applyBorder="1" applyAlignment="1"/>
    <xf numFmtId="168" fontId="68" fillId="0" borderId="25" xfId="27" applyFont="1" applyFill="1" applyBorder="1" applyAlignment="1"/>
    <xf numFmtId="164" fontId="68" fillId="0" borderId="25" xfId="8" applyNumberFormat="1" applyFont="1" applyFill="1" applyBorder="1" applyAlignment="1"/>
    <xf numFmtId="164" fontId="68" fillId="10" borderId="12" xfId="8" applyNumberFormat="1" applyFont="1" applyFill="1" applyBorder="1" applyAlignment="1"/>
    <xf numFmtId="164" fontId="71" fillId="10" borderId="32" xfId="8" applyNumberFormat="1" applyFont="1" applyFill="1" applyBorder="1" applyAlignment="1"/>
    <xf numFmtId="164" fontId="71" fillId="0" borderId="25" xfId="8" applyNumberFormat="1" applyFont="1" applyFill="1" applyBorder="1" applyAlignment="1"/>
    <xf numFmtId="1" fontId="68" fillId="0" borderId="0" xfId="8" applyNumberFormat="1" applyFont="1" applyFill="1" applyBorder="1" applyAlignment="1">
      <alignment horizontal="center"/>
    </xf>
    <xf numFmtId="168" fontId="68" fillId="0" borderId="1" xfId="27" applyFont="1" applyFill="1" applyBorder="1" applyAlignment="1"/>
    <xf numFmtId="168" fontId="68" fillId="0" borderId="0" xfId="27" applyFont="1" applyFill="1" applyBorder="1" applyAlignment="1">
      <alignment horizontal="center" vertical="top"/>
    </xf>
    <xf numFmtId="168" fontId="68" fillId="0" borderId="0" xfId="35" applyFont="1" applyFill="1" applyAlignment="1"/>
    <xf numFmtId="168" fontId="78" fillId="0" borderId="0" xfId="27" applyFont="1" applyFill="1" applyBorder="1" applyAlignment="1"/>
    <xf numFmtId="0" fontId="68" fillId="0" borderId="0" xfId="8" applyNumberFormat="1" applyFont="1" applyFill="1" applyBorder="1" applyAlignment="1">
      <alignment horizontal="center"/>
    </xf>
    <xf numFmtId="0" fontId="68"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8" fillId="0" borderId="0" xfId="8" applyNumberFormat="1" applyFont="1" applyFill="1" applyAlignment="1">
      <alignment horizontal="center"/>
    </xf>
    <xf numFmtId="168" fontId="68" fillId="0" borderId="0" xfId="35" applyFont="1" applyFill="1"/>
    <xf numFmtId="168" fontId="68" fillId="0" borderId="0" xfId="35" applyFont="1" applyFill="1" applyAlignment="1">
      <alignment horizontal="center"/>
    </xf>
    <xf numFmtId="168" fontId="68" fillId="0" borderId="29" xfId="35" applyFont="1" applyFill="1" applyBorder="1"/>
    <xf numFmtId="168" fontId="68" fillId="0" borderId="33" xfId="35" applyFont="1" applyFill="1" applyBorder="1" applyAlignment="1">
      <alignment horizontal="center"/>
    </xf>
    <xf numFmtId="168" fontId="68" fillId="0" borderId="19" xfId="35" applyFont="1" applyFill="1" applyBorder="1"/>
    <xf numFmtId="168" fontId="68" fillId="0" borderId="30" xfId="35" applyFont="1" applyFill="1" applyBorder="1"/>
    <xf numFmtId="168" fontId="68" fillId="0" borderId="32" xfId="35" applyFont="1" applyFill="1" applyBorder="1" applyAlignment="1"/>
    <xf numFmtId="168" fontId="68" fillId="0" borderId="25" xfId="35" applyFont="1" applyFill="1" applyBorder="1" applyAlignment="1">
      <alignment horizontal="center"/>
    </xf>
    <xf numFmtId="168" fontId="68" fillId="0" borderId="12" xfId="35" applyFont="1" applyFill="1" applyBorder="1" applyAlignment="1"/>
    <xf numFmtId="168" fontId="68" fillId="0" borderId="26" xfId="35" applyFont="1" applyFill="1" applyBorder="1" applyAlignment="1"/>
    <xf numFmtId="168" fontId="68" fillId="0" borderId="33" xfId="35" applyFont="1" applyFill="1" applyBorder="1"/>
    <xf numFmtId="168" fontId="68" fillId="0" borderId="27" xfId="35" applyFont="1" applyFill="1" applyBorder="1"/>
    <xf numFmtId="168" fontId="68" fillId="0" borderId="23" xfId="35" applyFont="1" applyFill="1" applyBorder="1" applyAlignment="1">
      <alignment horizontal="center"/>
    </xf>
    <xf numFmtId="168" fontId="68" fillId="0" borderId="27" xfId="35" applyFont="1" applyFill="1" applyBorder="1" applyAlignment="1">
      <alignment horizontal="center"/>
    </xf>
    <xf numFmtId="168" fontId="68" fillId="0" borderId="31" xfId="35" applyFont="1" applyFill="1" applyBorder="1" applyAlignment="1">
      <alignment horizontal="center"/>
    </xf>
    <xf numFmtId="168" fontId="68" fillId="0" borderId="0" xfId="35" applyFont="1" applyFill="1" applyBorder="1" applyAlignment="1">
      <alignment horizontal="center"/>
    </xf>
    <xf numFmtId="168" fontId="12" fillId="0" borderId="25" xfId="27" applyFont="1" applyFill="1" applyBorder="1" applyAlignment="1">
      <alignment horizontal="center"/>
    </xf>
    <xf numFmtId="164" fontId="68" fillId="10" borderId="28" xfId="8" applyNumberFormat="1" applyFont="1" applyFill="1" applyBorder="1" applyAlignment="1">
      <alignment horizontal="center"/>
    </xf>
    <xf numFmtId="164" fontId="68" fillId="10" borderId="27" xfId="8" applyNumberFormat="1" applyFont="1" applyFill="1" applyBorder="1" applyAlignment="1">
      <alignment horizontal="center"/>
    </xf>
    <xf numFmtId="164" fontId="68" fillId="10" borderId="27" xfId="8" applyNumberFormat="1" applyFont="1" applyFill="1" applyBorder="1"/>
    <xf numFmtId="43" fontId="68" fillId="10" borderId="27" xfId="8" applyFont="1" applyFill="1" applyBorder="1"/>
    <xf numFmtId="168" fontId="68" fillId="10" borderId="27" xfId="35" applyFont="1" applyFill="1" applyBorder="1"/>
    <xf numFmtId="43" fontId="68" fillId="10" borderId="0" xfId="8" applyFont="1" applyFill="1" applyBorder="1"/>
    <xf numFmtId="43" fontId="68" fillId="10" borderId="28" xfId="8" applyFont="1" applyFill="1" applyBorder="1"/>
    <xf numFmtId="43" fontId="68" fillId="10" borderId="27" xfId="8" applyFont="1" applyFill="1" applyBorder="1" applyAlignment="1">
      <alignment horizontal="center"/>
    </xf>
    <xf numFmtId="168" fontId="68" fillId="0" borderId="25" xfId="35" applyFont="1" applyFill="1" applyBorder="1"/>
    <xf numFmtId="168" fontId="68" fillId="0" borderId="12" xfId="35" applyFont="1" applyFill="1" applyBorder="1"/>
    <xf numFmtId="166" fontId="68" fillId="0" borderId="25" xfId="10" applyNumberFormat="1" applyFont="1" applyFill="1" applyBorder="1"/>
    <xf numFmtId="168" fontId="68" fillId="0" borderId="26" xfId="35" applyFont="1" applyFill="1" applyBorder="1"/>
    <xf numFmtId="164" fontId="68" fillId="0" borderId="0" xfId="8" applyNumberFormat="1" applyFont="1" applyFill="1"/>
    <xf numFmtId="43" fontId="68" fillId="0" borderId="0" xfId="8" applyFont="1" applyFill="1"/>
    <xf numFmtId="172" fontId="68" fillId="0" borderId="0" xfId="8" applyNumberFormat="1" applyFont="1" applyFill="1"/>
    <xf numFmtId="168" fontId="68" fillId="0" borderId="0" xfId="35" applyNumberFormat="1" applyFont="1" applyFill="1" applyBorder="1" applyAlignment="1" applyProtection="1"/>
    <xf numFmtId="168" fontId="68" fillId="0" borderId="0" xfId="27" applyFont="1" applyFill="1" applyAlignment="1"/>
    <xf numFmtId="43" fontId="68" fillId="0" borderId="0" xfId="8" applyFont="1" applyFill="1" applyAlignment="1"/>
    <xf numFmtId="0" fontId="69" fillId="0" borderId="0" xfId="8" applyNumberFormat="1" applyFont="1" applyFill="1" applyBorder="1" applyAlignment="1">
      <alignment horizontal="left"/>
    </xf>
    <xf numFmtId="168" fontId="68" fillId="0" borderId="12" xfId="27" applyFont="1" applyFill="1" applyBorder="1" applyAlignment="1">
      <alignment horizontal="center"/>
    </xf>
    <xf numFmtId="168" fontId="68" fillId="0" borderId="0" xfId="27" applyFont="1" applyFill="1" applyAlignment="1">
      <alignment horizontal="center"/>
    </xf>
    <xf numFmtId="168" fontId="68" fillId="0" borderId="29" xfId="27" applyFont="1" applyFill="1" applyBorder="1" applyAlignment="1">
      <alignment horizontal="center"/>
    </xf>
    <xf numFmtId="168" fontId="68" fillId="0" borderId="33" xfId="27" applyFont="1" applyFill="1" applyBorder="1" applyAlignment="1">
      <alignment horizontal="center"/>
    </xf>
    <xf numFmtId="168" fontId="68" fillId="0" borderId="31" xfId="27" applyFont="1" applyFill="1" applyBorder="1" applyAlignment="1">
      <alignment horizontal="center"/>
    </xf>
    <xf numFmtId="168" fontId="68" fillId="0" borderId="27" xfId="27" applyFont="1" applyFill="1" applyBorder="1" applyAlignment="1">
      <alignment horizontal="center"/>
    </xf>
    <xf numFmtId="43" fontId="68" fillId="10" borderId="31" xfId="8" applyFont="1" applyFill="1" applyBorder="1" applyAlignment="1">
      <alignment horizontal="center"/>
    </xf>
    <xf numFmtId="164" fontId="68" fillId="10" borderId="27" xfId="8" applyNumberFormat="1" applyFont="1" applyFill="1" applyBorder="1" applyAlignment="1"/>
    <xf numFmtId="168" fontId="68" fillId="0" borderId="32" xfId="27" applyFont="1" applyFill="1" applyBorder="1" applyAlignment="1">
      <alignment horizontal="center"/>
    </xf>
    <xf numFmtId="164" fontId="68" fillId="0" borderId="0" xfId="8" applyNumberFormat="1" applyFont="1" applyFill="1" applyAlignment="1"/>
    <xf numFmtId="0" fontId="68" fillId="0" borderId="0" xfId="52" applyFont="1" applyFill="1"/>
    <xf numFmtId="0" fontId="68" fillId="0" borderId="0" xfId="8" applyNumberFormat="1" applyFont="1" applyFill="1" applyAlignment="1">
      <alignment horizontal="center" vertical="top"/>
    </xf>
    <xf numFmtId="0" fontId="68" fillId="0" borderId="0" xfId="35" applyNumberFormat="1" applyFont="1" applyFill="1" applyAlignment="1">
      <alignment horizontal="center" vertical="top"/>
    </xf>
    <xf numFmtId="0" fontId="68" fillId="0" borderId="0" xfId="0" applyFont="1" applyFill="1" applyAlignment="1"/>
    <xf numFmtId="0" fontId="68" fillId="0" borderId="0" xfId="0" applyFont="1" applyFill="1" applyAlignment="1">
      <alignment horizontal="right"/>
    </xf>
    <xf numFmtId="0" fontId="68" fillId="0" borderId="0" xfId="0" applyFont="1" applyFill="1" applyAlignment="1">
      <alignment horizontal="center"/>
    </xf>
    <xf numFmtId="0" fontId="68"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7" fillId="0" borderId="0" xfId="27" quotePrefix="1" applyFont="1" applyFill="1" applyAlignment="1">
      <alignment horizontal="left"/>
    </xf>
    <xf numFmtId="168" fontId="7" fillId="0" borderId="0" xfId="27" applyFont="1" applyFill="1" applyAlignment="1"/>
    <xf numFmtId="0" fontId="83" fillId="0" borderId="0" xfId="53" applyFont="1" applyFill="1" applyAlignment="1">
      <alignment horizontal="center" wrapText="1"/>
    </xf>
    <xf numFmtId="0" fontId="83"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4" fillId="10" borderId="0" xfId="8" applyNumberFormat="1" applyFont="1" applyFill="1"/>
    <xf numFmtId="10" fontId="84" fillId="0" borderId="0" xfId="53" applyNumberFormat="1" applyFont="1" applyFill="1" applyBorder="1"/>
    <xf numFmtId="43" fontId="83" fillId="0" borderId="0" xfId="8" applyFont="1" applyFill="1" applyBorder="1"/>
    <xf numFmtId="0" fontId="83" fillId="0" borderId="0" xfId="53" applyFont="1" applyFill="1" applyBorder="1"/>
    <xf numFmtId="0" fontId="25" fillId="0" borderId="0" xfId="53" applyNumberFormat="1" applyFont="1" applyFill="1" applyBorder="1" applyAlignment="1">
      <alignment horizontal="center"/>
    </xf>
    <xf numFmtId="0" fontId="83" fillId="0" borderId="0" xfId="53" applyFont="1" applyFill="1" applyBorder="1" applyAlignment="1">
      <alignment horizontal="center"/>
    </xf>
    <xf numFmtId="10" fontId="83"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5" fillId="0" borderId="0" xfId="53" applyFont="1" applyFill="1" applyBorder="1"/>
    <xf numFmtId="168" fontId="25" fillId="0" borderId="0" xfId="27" applyFont="1" applyFill="1" applyBorder="1" applyAlignment="1"/>
    <xf numFmtId="0" fontId="83" fillId="0" borderId="0" xfId="53" applyFont="1" applyFill="1"/>
    <xf numFmtId="0" fontId="68" fillId="0" borderId="0" xfId="0" applyFont="1" applyFill="1"/>
    <xf numFmtId="0" fontId="68" fillId="0" borderId="0" xfId="0" applyFont="1" applyFill="1" applyBorder="1"/>
    <xf numFmtId="166" fontId="68" fillId="0" borderId="0" xfId="10" applyNumberFormat="1" applyFont="1" applyFill="1" applyBorder="1"/>
    <xf numFmtId="0" fontId="68" fillId="0" borderId="29" xfId="0" applyFont="1" applyFill="1" applyBorder="1" applyAlignment="1">
      <alignment horizontal="center"/>
    </xf>
    <xf numFmtId="0" fontId="68" fillId="0" borderId="19" xfId="0" applyFont="1" applyFill="1" applyBorder="1" applyAlignment="1">
      <alignment horizontal="center"/>
    </xf>
    <xf numFmtId="0" fontId="68" fillId="0" borderId="30" xfId="0" applyFont="1" applyFill="1" applyBorder="1" applyAlignment="1">
      <alignment horizontal="center"/>
    </xf>
    <xf numFmtId="0" fontId="68" fillId="0" borderId="31" xfId="0" applyFont="1" applyFill="1" applyBorder="1"/>
    <xf numFmtId="168" fontId="12" fillId="0" borderId="28" xfId="27" applyFont="1" applyFill="1" applyBorder="1" applyAlignment="1"/>
    <xf numFmtId="0" fontId="68" fillId="0" borderId="31" xfId="0" applyFont="1" applyFill="1" applyBorder="1" applyAlignment="1">
      <alignment horizontal="center"/>
    </xf>
    <xf numFmtId="0" fontId="68" fillId="0" borderId="28" xfId="0" applyFont="1" applyFill="1" applyBorder="1" applyAlignment="1">
      <alignment horizontal="center"/>
    </xf>
    <xf numFmtId="168" fontId="68" fillId="0" borderId="0" xfId="27" applyFont="1" applyFill="1" applyBorder="1" applyAlignment="1">
      <alignment horizontal="center" wrapText="1"/>
    </xf>
    <xf numFmtId="0" fontId="68"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8" fillId="0" borderId="28" xfId="0" applyFont="1" applyFill="1" applyBorder="1" applyAlignment="1">
      <alignment horizontal="center" wrapText="1"/>
    </xf>
    <xf numFmtId="43" fontId="68" fillId="0" borderId="0" xfId="8" applyFont="1" applyFill="1" applyBorder="1"/>
    <xf numFmtId="172" fontId="68" fillId="0" borderId="0" xfId="8" applyNumberFormat="1" applyFont="1" applyFill="1" applyBorder="1"/>
    <xf numFmtId="43" fontId="68" fillId="0" borderId="28" xfId="8" applyFont="1" applyFill="1" applyBorder="1"/>
    <xf numFmtId="0" fontId="68" fillId="10" borderId="31" xfId="0" applyFont="1" applyFill="1" applyBorder="1"/>
    <xf numFmtId="0" fontId="68" fillId="10" borderId="0" xfId="0" applyFont="1" applyFill="1" applyBorder="1"/>
    <xf numFmtId="181" fontId="68" fillId="0" borderId="0" xfId="8" applyNumberFormat="1" applyFont="1" applyFill="1" applyBorder="1" applyAlignment="1"/>
    <xf numFmtId="0" fontId="68" fillId="0" borderId="12" xfId="0" applyFont="1" applyFill="1" applyBorder="1"/>
    <xf numFmtId="43" fontId="68" fillId="0" borderId="12" xfId="8" applyFont="1" applyFill="1" applyBorder="1"/>
    <xf numFmtId="10" fontId="68" fillId="0" borderId="0" xfId="12" applyNumberFormat="1" applyFont="1" applyFill="1" applyBorder="1"/>
    <xf numFmtId="164" fontId="68" fillId="0" borderId="28" xfId="48" applyNumberFormat="1" applyFont="1" applyFill="1" applyBorder="1"/>
    <xf numFmtId="164" fontId="68" fillId="0" borderId="12" xfId="8" applyNumberFormat="1" applyFont="1" applyFill="1" applyBorder="1"/>
    <xf numFmtId="164" fontId="68" fillId="0" borderId="26" xfId="8" applyNumberFormat="1" applyFont="1" applyFill="1" applyBorder="1"/>
    <xf numFmtId="168" fontId="86" fillId="10" borderId="0" xfId="35" applyFont="1" applyFill="1" applyAlignment="1"/>
    <xf numFmtId="164" fontId="68" fillId="0" borderId="21" xfId="8" applyNumberFormat="1" applyFont="1" applyFill="1" applyBorder="1"/>
    <xf numFmtId="168" fontId="68" fillId="0" borderId="0" xfId="35" applyFont="1" applyFill="1" applyBorder="1"/>
    <xf numFmtId="168" fontId="68" fillId="10" borderId="27" xfId="50" applyFont="1" applyFill="1" applyBorder="1" applyAlignment="1"/>
    <xf numFmtId="168" fontId="68" fillId="10" borderId="0" xfId="35" applyFont="1" applyFill="1" applyBorder="1"/>
    <xf numFmtId="10" fontId="68" fillId="0" borderId="26" xfId="12" applyNumberFormat="1" applyFont="1" applyFill="1" applyBorder="1"/>
    <xf numFmtId="43" fontId="68" fillId="0" borderId="0" xfId="8" applyNumberFormat="1" applyFont="1" applyFill="1"/>
    <xf numFmtId="0" fontId="68" fillId="0" borderId="0" xfId="56" applyNumberFormat="1" applyFont="1" applyFill="1" applyAlignment="1">
      <alignment horizontal="center"/>
    </xf>
    <xf numFmtId="168" fontId="68" fillId="0" borderId="0" xfId="56" applyFont="1" applyFill="1" applyAlignment="1"/>
    <xf numFmtId="0" fontId="67" fillId="0" borderId="0" xfId="56" applyNumberFormat="1" applyFont="1" applyFill="1" applyAlignment="1">
      <alignment horizontal="center"/>
    </xf>
    <xf numFmtId="0" fontId="68" fillId="0" borderId="0" xfId="56" applyNumberFormat="1" applyFont="1" applyFill="1" applyAlignment="1">
      <alignment horizontal="center" wrapText="1"/>
    </xf>
    <xf numFmtId="0" fontId="68" fillId="0" borderId="0" xfId="57" applyFont="1" applyFill="1" applyAlignment="1">
      <alignment horizontal="left" wrapText="1"/>
    </xf>
    <xf numFmtId="168" fontId="69" fillId="0" borderId="0" xfId="56" applyFont="1" applyFill="1" applyAlignment="1">
      <alignment horizontal="center" wrapText="1"/>
    </xf>
    <xf numFmtId="168" fontId="68" fillId="0" borderId="0" xfId="56" applyFont="1" applyFill="1" applyAlignment="1">
      <alignment wrapText="1"/>
    </xf>
    <xf numFmtId="168" fontId="67" fillId="0" borderId="0" xfId="56" applyFont="1" applyFill="1" applyAlignment="1"/>
    <xf numFmtId="168" fontId="68" fillId="0" borderId="29" xfId="35" applyFont="1" applyFill="1" applyBorder="1" applyAlignment="1">
      <alignment horizontal="center"/>
    </xf>
    <xf numFmtId="0" fontId="68"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8" fillId="10" borderId="0" xfId="59" quotePrefix="1" applyNumberFormat="1" applyFont="1" applyFill="1" applyAlignment="1">
      <alignment horizontal="center"/>
    </xf>
    <xf numFmtId="168" fontId="86" fillId="10" borderId="0" xfId="58" applyFont="1" applyFill="1" applyAlignment="1"/>
    <xf numFmtId="166" fontId="68" fillId="0" borderId="0" xfId="60" quotePrefix="1" applyNumberFormat="1" applyFont="1" applyFill="1" applyAlignment="1">
      <alignment horizontal="left"/>
    </xf>
    <xf numFmtId="0" fontId="69" fillId="0" borderId="0" xfId="26" quotePrefix="1" applyFont="1" applyFill="1" applyAlignment="1">
      <alignment horizontal="center"/>
    </xf>
    <xf numFmtId="175" fontId="25" fillId="0" borderId="0" xfId="0" applyNumberFormat="1" applyFont="1" applyAlignment="1">
      <alignment horizontal="center"/>
    </xf>
    <xf numFmtId="0" fontId="89" fillId="0" borderId="0" xfId="0" applyFont="1"/>
    <xf numFmtId="0" fontId="88" fillId="0" borderId="0" xfId="0" applyFont="1"/>
    <xf numFmtId="0" fontId="90" fillId="10" borderId="0" xfId="0" applyFont="1" applyFill="1"/>
    <xf numFmtId="0" fontId="89" fillId="10" borderId="0" xfId="0" applyFont="1" applyFill="1"/>
    <xf numFmtId="0" fontId="64" fillId="0" borderId="0" xfId="0" applyFont="1"/>
    <xf numFmtId="0" fontId="92" fillId="12" borderId="0" xfId="0" applyFont="1" applyFill="1"/>
    <xf numFmtId="41" fontId="68" fillId="0" borderId="0" xfId="26" applyNumberFormat="1" applyFont="1" applyFill="1"/>
    <xf numFmtId="0" fontId="81" fillId="0" borderId="0" xfId="0" applyFont="1" applyAlignment="1">
      <alignment wrapText="1"/>
    </xf>
    <xf numFmtId="0" fontId="93"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7"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6"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8" fillId="0" borderId="0" xfId="26" applyNumberFormat="1" applyFont="1" applyFill="1" applyAlignment="1">
      <alignment horizontal="center"/>
    </xf>
    <xf numFmtId="164" fontId="68" fillId="0" borderId="0" xfId="52" applyNumberFormat="1" applyFont="1" applyFill="1"/>
    <xf numFmtId="0" fontId="62" fillId="0" borderId="0" xfId="0" applyFont="1"/>
    <xf numFmtId="0" fontId="62" fillId="0" borderId="0" xfId="0" applyFont="1" applyAlignment="1">
      <alignment horizontal="center"/>
    </xf>
    <xf numFmtId="0" fontId="95" fillId="0" borderId="0" xfId="34" applyFont="1" applyFill="1" applyAlignment="1">
      <alignment horizontal="center"/>
    </xf>
    <xf numFmtId="164" fontId="62" fillId="0" borderId="0" xfId="8" applyNumberFormat="1" applyFont="1" applyAlignment="1">
      <alignment horizontal="center"/>
    </xf>
    <xf numFmtId="0" fontId="69" fillId="0" borderId="0" xfId="26" applyFont="1" applyFill="1"/>
    <xf numFmtId="0" fontId="84" fillId="0" borderId="0" xfId="53" applyNumberFormat="1" applyFont="1" applyFill="1" applyBorder="1"/>
    <xf numFmtId="0" fontId="69" fillId="0" borderId="0" xfId="0" applyFont="1" applyFill="1" applyAlignment="1"/>
    <xf numFmtId="168" fontId="96"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8"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9" fillId="0" borderId="5" xfId="26" quotePrefix="1" applyFont="1" applyFill="1" applyBorder="1" applyAlignment="1">
      <alignment horizontal="left" wrapText="1"/>
    </xf>
    <xf numFmtId="0" fontId="69" fillId="0" borderId="0" xfId="26" applyFont="1" applyFill="1" applyAlignment="1">
      <alignment wrapText="1"/>
    </xf>
    <xf numFmtId="182" fontId="46" fillId="0" borderId="6" xfId="0"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48"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9" fillId="0" borderId="35" xfId="26" quotePrefix="1" applyFont="1" applyFill="1" applyBorder="1" applyAlignment="1">
      <alignment horizontal="left" wrapText="1"/>
    </xf>
    <xf numFmtId="0" fontId="69" fillId="0" borderId="12" xfId="26" applyFont="1" applyFill="1" applyBorder="1"/>
    <xf numFmtId="0" fontId="69" fillId="0" borderId="12" xfId="26" applyFont="1" applyFill="1" applyBorder="1" applyAlignment="1">
      <alignment wrapText="1"/>
    </xf>
    <xf numFmtId="0" fontId="69" fillId="0" borderId="12" xfId="26" applyFont="1" applyFill="1" applyBorder="1" applyAlignment="1">
      <alignment horizontal="center" wrapText="1"/>
    </xf>
    <xf numFmtId="3" fontId="68" fillId="0" borderId="35" xfId="33" applyNumberFormat="1" applyFont="1" applyFill="1" applyBorder="1" applyAlignment="1">
      <alignment horizontal="center" wrapText="1"/>
    </xf>
    <xf numFmtId="0" fontId="68" fillId="0" borderId="12" xfId="33" applyFont="1" applyFill="1" applyBorder="1" applyAlignment="1">
      <alignment horizontal="center" wrapText="1"/>
    </xf>
    <xf numFmtId="3" fontId="68"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8" fillId="0" borderId="0" xfId="25" applyFont="1" applyFill="1" applyAlignment="1">
      <alignment horizontal="left"/>
    </xf>
    <xf numFmtId="164" fontId="68" fillId="0" borderId="0" xfId="8" applyNumberFormat="1" applyFont="1" applyFill="1" applyAlignment="1">
      <alignment horizontal="center"/>
    </xf>
    <xf numFmtId="10" fontId="68" fillId="0" borderId="0" xfId="8" applyNumberFormat="1" applyFont="1" applyFill="1" applyAlignment="1">
      <alignment horizontal="center"/>
    </xf>
    <xf numFmtId="164" fontId="68" fillId="0" borderId="0" xfId="48" applyNumberFormat="1" applyFont="1" applyFill="1"/>
    <xf numFmtId="164" fontId="68" fillId="0" borderId="0" xfId="48" applyNumberFormat="1" applyFont="1" applyFill="1" applyAlignment="1">
      <alignment horizontal="center" wrapText="1"/>
    </xf>
    <xf numFmtId="182" fontId="0" fillId="0" borderId="6" xfId="0" applyNumberFormat="1" applyFill="1" applyBorder="1"/>
    <xf numFmtId="164" fontId="68" fillId="0" borderId="0" xfId="8" applyNumberFormat="1" applyFont="1" applyFill="1" applyAlignment="1">
      <alignment horizontal="center" wrapText="1"/>
    </xf>
    <xf numFmtId="164" fontId="13" fillId="0" borderId="38" xfId="48" applyNumberFormat="1" applyFont="1" applyFill="1" applyBorder="1"/>
    <xf numFmtId="164" fontId="98" fillId="0" borderId="40" xfId="48" applyNumberFormat="1" applyFont="1" applyFill="1" applyBorder="1"/>
    <xf numFmtId="164" fontId="13" fillId="0" borderId="41" xfId="48" applyNumberFormat="1" applyFont="1" applyFill="1" applyBorder="1"/>
    <xf numFmtId="168" fontId="68" fillId="0" borderId="0" xfId="25" applyFont="1" applyFill="1"/>
    <xf numFmtId="164" fontId="98" fillId="0" borderId="0" xfId="48" applyNumberFormat="1" applyFont="1" applyFill="1"/>
    <xf numFmtId="164" fontId="13" fillId="0" borderId="0" xfId="48" applyNumberFormat="1" applyFont="1" applyFill="1"/>
    <xf numFmtId="182" fontId="0" fillId="0" borderId="0" xfId="0" applyNumberFormat="1" applyFill="1"/>
    <xf numFmtId="0" fontId="66" fillId="0" borderId="1" xfId="0" applyFont="1" applyFill="1" applyBorder="1" applyAlignment="1">
      <alignment horizontal="left"/>
    </xf>
    <xf numFmtId="164" fontId="12" fillId="0" borderId="5" xfId="48" applyNumberFormat="1" applyFont="1" applyFill="1" applyBorder="1"/>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9" fillId="0" borderId="0" xfId="0" applyFont="1"/>
    <xf numFmtId="164" fontId="101" fillId="10" borderId="0" xfId="48" applyNumberFormat="1" applyFont="1" applyFill="1" applyProtection="1">
      <protection locked="0"/>
    </xf>
    <xf numFmtId="0" fontId="101" fillId="0" borderId="0" xfId="0" applyFont="1"/>
    <xf numFmtId="0" fontId="73" fillId="0" borderId="0" xfId="0" applyFont="1"/>
    <xf numFmtId="0" fontId="73" fillId="0" borderId="0" xfId="150" applyFont="1" applyAlignment="1">
      <alignment horizontal="center"/>
    </xf>
    <xf numFmtId="43" fontId="73" fillId="0" borderId="0" xfId="8" applyFont="1" applyAlignment="1">
      <alignment horizontal="center"/>
    </xf>
    <xf numFmtId="164" fontId="99" fillId="0" borderId="0" xfId="8" applyNumberFormat="1" applyFont="1"/>
    <xf numFmtId="0" fontId="73" fillId="0" borderId="0" xfId="150" applyFont="1"/>
    <xf numFmtId="10" fontId="73" fillId="0" borderId="0" xfId="12" applyNumberFormat="1" applyFont="1" applyAlignment="1">
      <alignment horizontal="center"/>
    </xf>
    <xf numFmtId="0" fontId="95" fillId="0" borderId="0" xfId="150" applyFont="1" applyAlignment="1">
      <alignment horizontal="center" vertical="center"/>
    </xf>
    <xf numFmtId="10" fontId="73" fillId="0" borderId="0" xfId="12" applyNumberFormat="1" applyFont="1" applyAlignment="1">
      <alignment horizontal="center" vertical="center"/>
    </xf>
    <xf numFmtId="0" fontId="73" fillId="0" borderId="0" xfId="150" applyFont="1" applyAlignment="1">
      <alignment horizontal="left"/>
    </xf>
    <xf numFmtId="172" fontId="73" fillId="0" borderId="0" xfId="8" applyNumberFormat="1" applyFont="1"/>
    <xf numFmtId="0" fontId="95" fillId="0" borderId="0" xfId="150" applyFont="1" applyAlignment="1">
      <alignment horizontal="left" vertical="center"/>
    </xf>
    <xf numFmtId="169" fontId="95" fillId="0" borderId="0" xfId="8" applyNumberFormat="1" applyFont="1" applyAlignment="1">
      <alignment horizontal="center"/>
    </xf>
    <xf numFmtId="0" fontId="73" fillId="0" borderId="0" xfId="150" applyFont="1" applyAlignment="1">
      <alignment horizontal="left" indent="1"/>
    </xf>
    <xf numFmtId="0" fontId="99" fillId="0" borderId="0" xfId="0" applyFont="1" applyAlignment="1">
      <alignment vertical="center" wrapText="1"/>
    </xf>
    <xf numFmtId="0" fontId="53" fillId="0" borderId="0" xfId="20" applyFont="1" applyAlignment="1"/>
    <xf numFmtId="3" fontId="25" fillId="0" borderId="12" xfId="0" applyNumberFormat="1" applyFont="1" applyBorder="1"/>
    <xf numFmtId="3" fontId="25" fillId="0" borderId="12" xfId="0" applyNumberFormat="1" applyFont="1" applyBorder="1" applyAlignment="1">
      <alignment horizontal="center"/>
    </xf>
    <xf numFmtId="175" fontId="25" fillId="0" borderId="0" xfId="0" applyNumberFormat="1" applyFont="1"/>
    <xf numFmtId="3" fontId="38" fillId="0" borderId="0" xfId="0" applyNumberFormat="1" applyFont="1" applyAlignment="1">
      <alignment horizontal="center"/>
    </xf>
    <xf numFmtId="166" fontId="101" fillId="10" borderId="0" xfId="46" applyNumberFormat="1" applyFont="1" applyFill="1" applyProtection="1">
      <protection locked="0"/>
    </xf>
    <xf numFmtId="0" fontId="103" fillId="0" borderId="0" xfId="0" applyFont="1"/>
    <xf numFmtId="0" fontId="103" fillId="0" borderId="0" xfId="26" applyFont="1" applyAlignment="1">
      <alignment horizontal="center"/>
    </xf>
    <xf numFmtId="0" fontId="101" fillId="0" borderId="0" xfId="0" applyFont="1" applyAlignment="1">
      <alignment horizontal="center" wrapText="1"/>
    </xf>
    <xf numFmtId="1" fontId="101" fillId="0" borderId="12" xfId="0" applyNumberFormat="1" applyFont="1" applyBorder="1" applyAlignment="1">
      <alignment horizontal="center"/>
    </xf>
    <xf numFmtId="0" fontId="101" fillId="0" borderId="12" xfId="0" applyFont="1" applyBorder="1"/>
    <xf numFmtId="0" fontId="103" fillId="0" borderId="0" xfId="149" applyFont="1" applyAlignment="1">
      <alignment horizontal="center"/>
    </xf>
    <xf numFmtId="0" fontId="101" fillId="0" borderId="0" xfId="48" applyNumberFormat="1" applyFont="1" applyAlignment="1">
      <alignment horizontal="left"/>
    </xf>
    <xf numFmtId="1" fontId="101" fillId="0" borderId="0" xfId="149" applyNumberFormat="1" applyFont="1" applyAlignment="1">
      <alignment horizontal="center"/>
    </xf>
    <xf numFmtId="164" fontId="101" fillId="0" borderId="12" xfId="149" applyNumberFormat="1" applyFont="1" applyBorder="1" applyAlignment="1" applyProtection="1">
      <alignment horizontal="center"/>
      <protection locked="0"/>
    </xf>
    <xf numFmtId="0" fontId="101" fillId="0" borderId="0" xfId="0" applyFont="1" applyAlignment="1">
      <alignment horizontal="center"/>
    </xf>
    <xf numFmtId="183" fontId="101" fillId="0" borderId="0" xfId="149" applyNumberFormat="1" applyFont="1" applyAlignment="1">
      <alignment horizontal="left"/>
    </xf>
    <xf numFmtId="184" fontId="101" fillId="0" borderId="0" xfId="149" applyNumberFormat="1" applyFont="1" applyAlignment="1">
      <alignment horizontal="center"/>
    </xf>
    <xf numFmtId="166" fontId="101" fillId="0" borderId="0" xfId="46" applyNumberFormat="1" applyFont="1"/>
    <xf numFmtId="166" fontId="101" fillId="0" borderId="0" xfId="0" applyNumberFormat="1" applyFont="1" applyProtection="1">
      <protection locked="0"/>
    </xf>
    <xf numFmtId="164" fontId="101" fillId="0" borderId="0" xfId="48" applyNumberFormat="1" applyFont="1"/>
    <xf numFmtId="184" fontId="101" fillId="0" borderId="0" xfId="0" applyNumberFormat="1" applyFont="1" applyAlignment="1">
      <alignment horizontal="center"/>
    </xf>
    <xf numFmtId="0" fontId="101" fillId="0" borderId="0" xfId="149" applyFont="1" applyAlignment="1">
      <alignment horizontal="left"/>
    </xf>
    <xf numFmtId="166" fontId="101" fillId="0" borderId="21" xfId="46" applyNumberFormat="1" applyFont="1" applyBorder="1" applyProtection="1">
      <protection locked="0"/>
    </xf>
    <xf numFmtId="0" fontId="101" fillId="0" borderId="0" xfId="0" applyFont="1" applyAlignment="1">
      <alignment horizontal="right"/>
    </xf>
    <xf numFmtId="10" fontId="101" fillId="0" borderId="0" xfId="47" applyNumberFormat="1" applyFont="1"/>
    <xf numFmtId="180" fontId="101" fillId="0" borderId="0" xfId="0" applyNumberFormat="1" applyFont="1"/>
    <xf numFmtId="164" fontId="101" fillId="0" borderId="0" xfId="48" quotePrefix="1" applyNumberFormat="1" applyFont="1" applyAlignment="1">
      <alignment horizontal="left"/>
    </xf>
    <xf numFmtId="0" fontId="103" fillId="0" borderId="0" xfId="26" applyFont="1" applyAlignment="1">
      <alignment horizontal="center" wrapText="1"/>
    </xf>
    <xf numFmtId="185" fontId="101" fillId="0" borderId="0" xfId="46" applyNumberFormat="1" applyFont="1"/>
    <xf numFmtId="166" fontId="101" fillId="10" borderId="0" xfId="46" applyNumberFormat="1" applyFont="1" applyFill="1"/>
    <xf numFmtId="169" fontId="101" fillId="0" borderId="0" xfId="48" applyNumberFormat="1" applyFont="1"/>
    <xf numFmtId="164" fontId="101" fillId="10" borderId="0" xfId="48" applyNumberFormat="1" applyFont="1" applyFill="1"/>
    <xf numFmtId="164" fontId="101" fillId="0" borderId="0" xfId="48" applyNumberFormat="1" applyFont="1" applyProtection="1">
      <protection locked="0"/>
    </xf>
    <xf numFmtId="166" fontId="101" fillId="0" borderId="0" xfId="46" applyNumberFormat="1" applyFont="1" applyProtection="1">
      <protection locked="0"/>
    </xf>
    <xf numFmtId="185" fontId="101" fillId="0" borderId="21" xfId="46" applyNumberFormat="1" applyFont="1" applyBorder="1" applyProtection="1">
      <protection locked="0"/>
    </xf>
    <xf numFmtId="164" fontId="101"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8" fillId="0" borderId="0" xfId="25" applyNumberFormat="1" applyFont="1" applyAlignment="1">
      <alignment horizontal="center"/>
    </xf>
    <xf numFmtId="168" fontId="68" fillId="0" borderId="0" xfId="25" applyFont="1"/>
    <xf numFmtId="0" fontId="69"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0" fontId="14" fillId="0" borderId="0" xfId="5" applyFont="1" applyFill="1" applyAlignment="1">
      <alignment horizontal="center"/>
    </xf>
    <xf numFmtId="44" fontId="68" fillId="0" borderId="0" xfId="25" applyNumberFormat="1" applyFont="1" applyFill="1" applyBorder="1" applyAlignment="1"/>
    <xf numFmtId="164" fontId="99" fillId="0" borderId="0" xfId="48" applyNumberFormat="1" applyFont="1"/>
    <xf numFmtId="164" fontId="35" fillId="0" borderId="0" xfId="48" applyNumberFormat="1" applyFont="1" applyAlignment="1"/>
    <xf numFmtId="0" fontId="101" fillId="0" borderId="0" xfId="150" applyFont="1" applyFill="1" applyAlignment="1">
      <alignment horizontal="left" indent="1"/>
    </xf>
    <xf numFmtId="0" fontId="103" fillId="0" borderId="0" xfId="150" applyFont="1" applyFill="1" applyAlignment="1">
      <alignment horizontal="left" indent="1"/>
    </xf>
    <xf numFmtId="0" fontId="101" fillId="0" borderId="0" xfId="150" applyFont="1" applyAlignment="1">
      <alignment horizontal="left" indent="1"/>
    </xf>
    <xf numFmtId="164" fontId="101" fillId="0" borderId="0" xfId="0" applyNumberFormat="1" applyFont="1"/>
    <xf numFmtId="0" fontId="101" fillId="0" borderId="0" xfId="0" applyFont="1" applyAlignment="1">
      <alignment horizontal="left"/>
    </xf>
    <xf numFmtId="0" fontId="99" fillId="10" borderId="0" xfId="0" applyFont="1" applyFill="1"/>
    <xf numFmtId="0" fontId="10" fillId="3" borderId="4" xfId="0" applyFont="1" applyFill="1" applyBorder="1"/>
    <xf numFmtId="0" fontId="106"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0" xfId="7" applyAlignment="1">
      <alignment horizontal="center"/>
    </xf>
    <xf numFmtId="177" fontId="107" fillId="0" borderId="0" xfId="10" applyNumberFormat="1" applyFont="1"/>
    <xf numFmtId="0" fontId="24" fillId="0" borderId="0" xfId="33" applyFont="1"/>
    <xf numFmtId="177" fontId="107" fillId="0" borderId="0" xfId="8" applyNumberFormat="1" applyFont="1"/>
    <xf numFmtId="43" fontId="66" fillId="0" borderId="0" xfId="48" applyFont="1"/>
    <xf numFmtId="44" fontId="8" fillId="0" borderId="0" xfId="20" applyNumberFormat="1" applyFont="1"/>
    <xf numFmtId="0" fontId="62" fillId="0" borderId="0" xfId="0" applyFont="1" applyBorder="1"/>
    <xf numFmtId="164" fontId="0" fillId="0" borderId="0" xfId="0" applyNumberFormat="1" applyBorder="1"/>
    <xf numFmtId="164" fontId="12" fillId="0" borderId="0" xfId="8" applyNumberFormat="1" applyFont="1" applyFill="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0" fillId="0" borderId="0" xfId="0"/>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2" fillId="4" borderId="3" xfId="0" applyFont="1" applyFill="1" applyBorder="1" applyAlignment="1">
      <alignment horizontal="center"/>
    </xf>
    <xf numFmtId="0" fontId="68" fillId="0" borderId="0" xfId="27" applyNumberFormat="1" applyFont="1" applyAlignment="1" applyProtection="1">
      <alignment horizontal="center"/>
      <protection locked="0"/>
    </xf>
    <xf numFmtId="168" fontId="69" fillId="0" borderId="19" xfId="27" applyFont="1" applyBorder="1"/>
    <xf numFmtId="168" fontId="69" fillId="0" borderId="21" xfId="27" applyFont="1" applyBorder="1" applyAlignment="1">
      <alignment horizontal="center" wrapText="1"/>
    </xf>
    <xf numFmtId="0" fontId="68" fillId="0" borderId="0" xfId="51" applyNumberFormat="1" applyFont="1" applyAlignment="1" applyProtection="1">
      <alignment horizontal="center"/>
      <protection locked="0"/>
    </xf>
    <xf numFmtId="43" fontId="68" fillId="10" borderId="30" xfId="8" applyNumberFormat="1" applyFont="1" applyFill="1" applyBorder="1"/>
    <xf numFmtId="164" fontId="68" fillId="10" borderId="33" xfId="8" applyNumberFormat="1" applyFont="1" applyFill="1" applyBorder="1" applyAlignment="1">
      <alignment horizontal="center"/>
    </xf>
    <xf numFmtId="168" fontId="68" fillId="0" borderId="0" xfId="27" applyFont="1"/>
    <xf numFmtId="0" fontId="68" fillId="0" borderId="0" xfId="8" applyNumberFormat="1" applyFont="1" applyFill="1" applyBorder="1" applyAlignment="1"/>
    <xf numFmtId="164" fontId="12" fillId="0" borderId="6" xfId="4" applyNumberFormat="1" applyFont="1" applyFill="1" applyBorder="1"/>
    <xf numFmtId="164" fontId="12" fillId="0" borderId="0" xfId="4" applyNumberFormat="1" applyFont="1" applyFill="1" applyBorder="1"/>
    <xf numFmtId="0" fontId="68" fillId="10" borderId="27" xfId="0" applyFont="1" applyFill="1" applyBorder="1"/>
    <xf numFmtId="0" fontId="68"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4" fillId="8" borderId="0" xfId="0" applyFont="1" applyFill="1" applyAlignment="1">
      <alignment horizontal="center"/>
    </xf>
    <xf numFmtId="0" fontId="64" fillId="8" borderId="0" xfId="0" applyFont="1" applyFill="1" applyAlignment="1">
      <alignment horizontal="left"/>
    </xf>
    <xf numFmtId="2" fontId="64" fillId="8" borderId="0" xfId="0" applyNumberFormat="1" applyFont="1" applyFill="1" applyAlignment="1">
      <alignment horizontal="center"/>
    </xf>
    <xf numFmtId="164" fontId="64" fillId="8" borderId="0" xfId="8" applyNumberFormat="1" applyFont="1" applyFill="1" applyBorder="1"/>
    <xf numFmtId="164" fontId="43" fillId="8" borderId="0" xfId="8" applyNumberFormat="1" applyFont="1" applyFill="1" applyBorder="1" applyAlignment="1">
      <alignment horizontal="center"/>
    </xf>
    <xf numFmtId="164" fontId="64" fillId="8" borderId="0" xfId="0" applyNumberFormat="1" applyFont="1" applyFill="1"/>
    <xf numFmtId="0" fontId="43" fillId="8" borderId="0" xfId="0" applyFont="1" applyFill="1" applyAlignment="1">
      <alignment horizontal="center"/>
    </xf>
    <xf numFmtId="0" fontId="64" fillId="8" borderId="6" xfId="0" applyFont="1" applyFill="1" applyBorder="1" applyAlignment="1">
      <alignment horizontal="center"/>
    </xf>
    <xf numFmtId="0" fontId="43" fillId="8" borderId="0" xfId="0" applyFont="1" applyFill="1" applyAlignment="1">
      <alignment horizontal="left"/>
    </xf>
    <xf numFmtId="1" fontId="64" fillId="8" borderId="0" xfId="0" applyNumberFormat="1" applyFont="1" applyFill="1" applyAlignment="1">
      <alignment horizontal="center"/>
    </xf>
    <xf numFmtId="37" fontId="64" fillId="8" borderId="0" xfId="0" applyNumberFormat="1" applyFont="1" applyFill="1"/>
    <xf numFmtId="0" fontId="64" fillId="8" borderId="0" xfId="0" applyFont="1" applyFill="1"/>
    <xf numFmtId="0" fontId="64"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8" fillId="8" borderId="0" xfId="0" applyFont="1" applyFill="1" applyAlignment="1">
      <alignment horizontal="left"/>
    </xf>
    <xf numFmtId="164" fontId="64" fillId="8" borderId="0" xfId="8" applyNumberFormat="1" applyFont="1" applyFill="1" applyBorder="1" applyAlignment="1">
      <alignment horizontal="center"/>
    </xf>
    <xf numFmtId="166" fontId="64" fillId="10" borderId="0" xfId="60" applyNumberFormat="1" applyFont="1" applyFill="1" applyBorder="1"/>
    <xf numFmtId="166" fontId="64" fillId="8" borderId="0" xfId="60" applyNumberFormat="1" applyFont="1" applyFill="1" applyBorder="1" applyAlignment="1">
      <alignment horizontal="center"/>
    </xf>
    <xf numFmtId="10" fontId="64" fillId="10" borderId="0" xfId="153" applyNumberFormat="1" applyFont="1" applyFill="1" applyBorder="1" applyAlignment="1">
      <alignment horizontal="center"/>
    </xf>
    <xf numFmtId="164" fontId="64" fillId="8" borderId="0" xfId="8" quotePrefix="1" applyNumberFormat="1" applyFont="1" applyFill="1" applyBorder="1" applyAlignment="1">
      <alignment horizontal="center"/>
    </xf>
    <xf numFmtId="166" fontId="64" fillId="8" borderId="0" xfId="60" applyNumberFormat="1" applyFont="1" applyFill="1" applyBorder="1"/>
    <xf numFmtId="0" fontId="34" fillId="8" borderId="0" xfId="8" applyNumberFormat="1" applyFont="1" applyFill="1" applyBorder="1" applyAlignment="1"/>
    <xf numFmtId="0" fontId="34" fillId="8" borderId="6" xfId="8" applyNumberFormat="1" applyFont="1" applyFill="1" applyBorder="1" applyAlignment="1"/>
    <xf numFmtId="164" fontId="64" fillId="10" borderId="0" xfId="8" applyNumberFormat="1" applyFont="1" applyFill="1" applyBorder="1"/>
    <xf numFmtId="0" fontId="34" fillId="8" borderId="0" xfId="60" applyNumberFormat="1" applyFont="1" applyFill="1" applyBorder="1" applyAlignment="1"/>
    <xf numFmtId="0" fontId="34" fillId="8" borderId="6" xfId="60" applyNumberFormat="1" applyFont="1" applyFill="1" applyBorder="1" applyAlignment="1"/>
    <xf numFmtId="0" fontId="43" fillId="8" borderId="0" xfId="0" applyFont="1" applyFill="1" applyAlignment="1">
      <alignment horizontal="left" vertical="top"/>
    </xf>
    <xf numFmtId="166" fontId="64" fillId="8" borderId="20" xfId="60" applyNumberFormat="1" applyFont="1" applyFill="1" applyBorder="1"/>
    <xf numFmtId="0" fontId="64" fillId="8" borderId="1" xfId="0" applyFont="1" applyFill="1" applyBorder="1" applyAlignment="1">
      <alignment horizontal="center"/>
    </xf>
    <xf numFmtId="164" fontId="64" fillId="8" borderId="1" xfId="8" applyNumberFormat="1" applyFont="1" applyFill="1" applyBorder="1"/>
    <xf numFmtId="164" fontId="64" fillId="8" borderId="1" xfId="0" applyNumberFormat="1" applyFont="1" applyFill="1" applyBorder="1"/>
    <xf numFmtId="0" fontId="43" fillId="8" borderId="1" xfId="0" applyFont="1" applyFill="1" applyBorder="1" applyAlignment="1">
      <alignment horizontal="center"/>
    </xf>
    <xf numFmtId="0" fontId="64" fillId="8" borderId="8" xfId="0" applyFont="1" applyFill="1" applyBorder="1" applyAlignment="1">
      <alignment horizontal="center"/>
    </xf>
    <xf numFmtId="3" fontId="68" fillId="0" borderId="0" xfId="31" applyNumberFormat="1" applyFont="1" applyAlignment="1">
      <alignment wrapText="1"/>
    </xf>
    <xf numFmtId="0" fontId="25" fillId="0" borderId="0" xfId="0" applyFont="1" applyAlignment="1">
      <alignment horizontal="center"/>
    </xf>
    <xf numFmtId="0" fontId="64" fillId="8" borderId="5" xfId="0" applyFont="1" applyFill="1" applyBorder="1" applyAlignment="1">
      <alignment horizontal="center"/>
    </xf>
    <xf numFmtId="0" fontId="64" fillId="8" borderId="35" xfId="0" applyFont="1" applyFill="1" applyBorder="1" applyAlignment="1">
      <alignment horizontal="left"/>
    </xf>
    <xf numFmtId="0" fontId="108" fillId="8" borderId="5" xfId="0" applyFont="1" applyFill="1" applyBorder="1" applyAlignment="1">
      <alignment horizontal="left"/>
    </xf>
    <xf numFmtId="0" fontId="64" fillId="8" borderId="5" xfId="0" applyFont="1" applyFill="1" applyBorder="1" applyAlignment="1">
      <alignment horizontal="left" vertical="center"/>
    </xf>
    <xf numFmtId="0" fontId="64" fillId="8" borderId="7"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89" fillId="0" borderId="0" xfId="0" applyFont="1" applyAlignment="1">
      <alignment horizontal="center"/>
    </xf>
    <xf numFmtId="0" fontId="46" fillId="0" borderId="0" xfId="0" applyFont="1" applyAlignment="1">
      <alignment horizontal="center"/>
    </xf>
    <xf numFmtId="0" fontId="65" fillId="0" borderId="0" xfId="0" applyFont="1" applyAlignment="1">
      <alignment horizontal="center" vertical="center" wrapText="1"/>
    </xf>
    <xf numFmtId="0" fontId="65"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64" fontId="46" fillId="10" borderId="0" xfId="48" applyNumberFormat="1" applyFont="1" applyFill="1" applyBorder="1" applyAlignment="1">
      <alignment vertical="center" wrapText="1"/>
    </xf>
    <xf numFmtId="15" fontId="46" fillId="0" borderId="0" xfId="0" applyNumberFormat="1" applyFont="1" applyAlignment="1">
      <alignment horizontal="left" vertical="center" wrapText="1" indent="1"/>
    </xf>
    <xf numFmtId="164" fontId="46" fillId="10" borderId="0" xfId="48" applyNumberFormat="1" applyFont="1" applyFill="1" applyBorder="1" applyAlignment="1">
      <alignment horizontal="right" vertical="center" wrapText="1"/>
    </xf>
    <xf numFmtId="10" fontId="46" fillId="0" borderId="0" xfId="47" applyNumberFormat="1" applyFont="1" applyFill="1"/>
    <xf numFmtId="164" fontId="46" fillId="0" borderId="0" xfId="48" applyNumberFormat="1" applyFont="1" applyFill="1" applyBorder="1" applyAlignment="1">
      <alignment horizontal="right" vertical="center" wrapText="1"/>
    </xf>
    <xf numFmtId="164" fontId="46" fillId="0" borderId="0" xfId="48" applyNumberFormat="1" applyFont="1" applyFill="1" applyBorder="1" applyAlignment="1">
      <alignment vertical="center" wrapText="1"/>
    </xf>
    <xf numFmtId="15" fontId="46" fillId="0" borderId="12" xfId="0" applyNumberFormat="1" applyFont="1" applyBorder="1" applyAlignment="1">
      <alignment horizontal="left" vertical="center" wrapText="1" indent="1"/>
    </xf>
    <xf numFmtId="0" fontId="46" fillId="10" borderId="0" xfId="48" applyNumberFormat="1" applyFont="1" applyFill="1" applyBorder="1" applyAlignment="1">
      <alignment horizontal="right" vertical="center" wrapText="1"/>
    </xf>
    <xf numFmtId="3" fontId="8" fillId="0" borderId="0" xfId="0" applyNumberFormat="1" applyFont="1"/>
    <xf numFmtId="164" fontId="46" fillId="0" borderId="19" xfId="48" applyNumberFormat="1" applyFont="1" applyFill="1" applyBorder="1" applyAlignment="1">
      <alignment vertical="center" wrapText="1"/>
    </xf>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48" applyNumberFormat="1" applyFont="1" applyFill="1" applyBorder="1" applyAlignment="1">
      <alignment horizontal="right" vertical="center" wrapText="1"/>
    </xf>
    <xf numFmtId="164" fontId="46" fillId="0" borderId="19" xfId="48" applyNumberFormat="1" applyFont="1" applyFill="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9"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164" fontId="110" fillId="0" borderId="0" xfId="48" applyNumberFormat="1" applyFont="1" applyFill="1" applyBorder="1" applyAlignment="1">
      <alignment vertical="center" wrapText="1"/>
    </xf>
    <xf numFmtId="0" fontId="65" fillId="0" borderId="0" xfId="0" applyFont="1" applyAlignment="1">
      <alignment vertical="center"/>
    </xf>
    <xf numFmtId="164" fontId="46" fillId="0" borderId="34" xfId="48" applyNumberFormat="1" applyFont="1" applyFill="1" applyBorder="1" applyAlignment="1">
      <alignment vertical="center" wrapText="1"/>
    </xf>
    <xf numFmtId="0" fontId="65" fillId="0" borderId="12" xfId="0" quotePrefix="1" applyFont="1" applyBorder="1" applyAlignment="1">
      <alignment vertical="center"/>
    </xf>
    <xf numFmtId="0" fontId="65" fillId="0" borderId="12" xfId="0" applyFont="1" applyBorder="1" applyAlignment="1">
      <alignment vertical="center"/>
    </xf>
    <xf numFmtId="43" fontId="46" fillId="0" borderId="0" xfId="0" applyNumberFormat="1" applyFont="1"/>
    <xf numFmtId="0" fontId="111" fillId="12" borderId="0" xfId="0" applyFont="1" applyFill="1"/>
    <xf numFmtId="0" fontId="111"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164" fontId="8" fillId="0" borderId="12" xfId="48" applyNumberFormat="1" applyFont="1" applyFill="1" applyBorder="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164" fontId="8" fillId="0" borderId="0" xfId="18" applyNumberFormat="1" applyFont="1" applyFill="1"/>
    <xf numFmtId="0" fontId="8" fillId="0" borderId="0" xfId="17" applyFont="1" applyAlignment="1">
      <alignment horizontal="left" indent="1"/>
    </xf>
    <xf numFmtId="43" fontId="8" fillId="0" borderId="0" xfId="17" applyNumberFormat="1" applyFont="1"/>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5"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65"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12"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46" fillId="10" borderId="32" xfId="14" applyFont="1" applyFill="1" applyBorder="1"/>
    <xf numFmtId="0" fontId="8" fillId="10" borderId="26" xfId="14" applyFill="1" applyBorder="1"/>
    <xf numFmtId="0" fontId="8" fillId="10" borderId="23" xfId="14" applyFill="1" applyBorder="1"/>
    <xf numFmtId="0" fontId="65"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5"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65" fillId="0" borderId="0" xfId="14" applyFont="1" applyAlignment="1">
      <alignment horizontal="left"/>
    </xf>
    <xf numFmtId="0" fontId="112"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5" fillId="0" borderId="32" xfId="0" applyFont="1" applyBorder="1" applyAlignment="1">
      <alignment vertical="center"/>
    </xf>
    <xf numFmtId="0" fontId="46" fillId="0" borderId="26" xfId="0" applyFont="1" applyBorder="1" applyAlignment="1">
      <alignment vertical="center" wrapText="1"/>
    </xf>
    <xf numFmtId="0" fontId="65" fillId="0" borderId="32" xfId="0" applyFont="1" applyBorder="1" applyAlignment="1">
      <alignment horizontal="left" vertical="center" indent="1"/>
    </xf>
    <xf numFmtId="0" fontId="46" fillId="0" borderId="26" xfId="0" applyFont="1" applyBorder="1"/>
    <xf numFmtId="0" fontId="65" fillId="0" borderId="23" xfId="0" applyFont="1" applyBorder="1" applyAlignment="1">
      <alignment horizontal="center" wrapText="1"/>
    </xf>
    <xf numFmtId="0" fontId="65" fillId="0" borderId="22" xfId="0" applyFont="1" applyBorder="1" applyAlignment="1">
      <alignment vertical="center"/>
    </xf>
    <xf numFmtId="0" fontId="46" fillId="0" borderId="24" xfId="0" applyFont="1" applyBorder="1" applyAlignment="1">
      <alignment vertical="center" wrapText="1"/>
    </xf>
    <xf numFmtId="0" fontId="65"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0" borderId="0" xfId="46" applyNumberFormat="1" applyFont="1" applyFill="1"/>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5" fillId="0" borderId="21" xfId="46" applyNumberFormat="1" applyFont="1" applyBorder="1"/>
    <xf numFmtId="3" fontId="8" fillId="0" borderId="0" xfId="0" applyNumberFormat="1" applyFont="1" applyAlignment="1">
      <alignment horizontal="left"/>
    </xf>
    <xf numFmtId="0" fontId="91"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5"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109" fillId="0" borderId="0" xfId="48" applyNumberFormat="1" applyFont="1" applyFill="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46" fillId="0" borderId="0" xfId="152"/>
    <xf numFmtId="0" fontId="46" fillId="0" borderId="0" xfId="152" applyAlignment="1">
      <alignment horizontal="center"/>
    </xf>
    <xf numFmtId="0" fontId="46" fillId="0" borderId="0" xfId="152" applyAlignment="1">
      <alignment horizontal="left"/>
    </xf>
    <xf numFmtId="0" fontId="8" fillId="0" borderId="0" xfId="152" applyFont="1"/>
    <xf numFmtId="0" fontId="111" fillId="0" borderId="0" xfId="152" applyFont="1" applyAlignment="1">
      <alignment horizontal="left"/>
    </xf>
    <xf numFmtId="0" fontId="111" fillId="0" borderId="0" xfId="152" applyFont="1" applyAlignment="1">
      <alignment horizontal="center" wrapText="1"/>
    </xf>
    <xf numFmtId="0" fontId="115" fillId="0" borderId="0" xfId="152" applyFont="1"/>
    <xf numFmtId="0" fontId="116" fillId="0" borderId="0" xfId="152" applyFont="1" applyAlignment="1">
      <alignment horizontal="left"/>
    </xf>
    <xf numFmtId="0" fontId="116" fillId="0" borderId="0" xfId="152" applyFont="1" applyAlignment="1">
      <alignment horizontal="center"/>
    </xf>
    <xf numFmtId="0" fontId="65"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5"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5" fillId="0" borderId="0" xfId="0" applyFont="1" applyAlignment="1">
      <alignment horizontal="left"/>
    </xf>
    <xf numFmtId="164" fontId="46" fillId="0" borderId="0" xfId="8" applyNumberFormat="1" applyFont="1" applyFill="1" applyBorder="1"/>
    <xf numFmtId="0" fontId="24" fillId="0" borderId="0" xfId="0" applyFont="1" applyAlignment="1">
      <alignment vertical="top" wrapText="1"/>
    </xf>
    <xf numFmtId="0" fontId="8" fillId="0" borderId="0" xfId="152" applyFont="1" applyAlignment="1">
      <alignment horizontal="center" vertical="center"/>
    </xf>
    <xf numFmtId="164" fontId="46" fillId="0" borderId="0" xfId="152" applyNumberFormat="1"/>
    <xf numFmtId="0" fontId="46" fillId="0" borderId="0" xfId="152" applyAlignment="1">
      <alignment horizontal="center" vertical="center"/>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41" fontId="8" fillId="2" borderId="23" xfId="0" applyNumberFormat="1" applyFont="1" applyFill="1" applyBorder="1" applyAlignment="1">
      <alignment vertical="top"/>
    </xf>
    <xf numFmtId="0" fontId="8" fillId="2" borderId="24" xfId="14"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37" fontId="0" fillId="10" borderId="0" xfId="0" applyNumberFormat="1" applyFill="1" applyAlignment="1">
      <alignment horizontal="right" wrapText="1"/>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37" fontId="0" fillId="0" borderId="0" xfId="0" applyNumberFormat="1" applyAlignment="1">
      <alignment horizontal="lef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44" fillId="0" borderId="0" xfId="0" applyNumberFormat="1" applyFont="1"/>
    <xf numFmtId="41" fontId="0" fillId="0" borderId="12" xfId="0" applyNumberFormat="1" applyBorder="1" applyAlignment="1">
      <alignment horizontal="right"/>
    </xf>
    <xf numFmtId="37" fontId="8" fillId="0" borderId="0" xfId="0" applyNumberFormat="1" applyFont="1"/>
    <xf numFmtId="168" fontId="68" fillId="10" borderId="0" xfId="50" applyFont="1" applyFill="1"/>
    <xf numFmtId="0" fontId="117" fillId="0" borderId="0" xfId="155"/>
    <xf numFmtId="0" fontId="1" fillId="0" borderId="0" xfId="155" applyFont="1" applyAlignment="1">
      <alignment horizontal="center"/>
    </xf>
    <xf numFmtId="0" fontId="1" fillId="0" borderId="0" xfId="155" applyFont="1"/>
    <xf numFmtId="0" fontId="7" fillId="0" borderId="0" xfId="155" applyFont="1" applyAlignment="1">
      <alignment horizontal="center"/>
    </xf>
    <xf numFmtId="0" fontId="2" fillId="0" borderId="0" xfId="155" applyFont="1"/>
    <xf numFmtId="0" fontId="117" fillId="0" borderId="0" xfId="155" applyAlignment="1">
      <alignment horizontal="center"/>
    </xf>
    <xf numFmtId="164" fontId="8" fillId="0" borderId="0" xfId="4" applyNumberFormat="1"/>
    <xf numFmtId="0" fontId="9" fillId="0" borderId="0" xfId="155" applyFont="1" applyAlignment="1">
      <alignment horizontal="left"/>
    </xf>
    <xf numFmtId="0" fontId="117" fillId="0" borderId="0" xfId="155" applyAlignment="1">
      <alignment horizontal="left"/>
    </xf>
    <xf numFmtId="164" fontId="8" fillId="0" borderId="0" xfId="4" applyNumberFormat="1" applyFill="1"/>
    <xf numFmtId="0" fontId="10" fillId="0" borderId="0" xfId="155" applyFont="1"/>
    <xf numFmtId="0" fontId="117" fillId="0" borderId="0" xfId="155" applyAlignment="1">
      <alignment wrapText="1"/>
    </xf>
    <xf numFmtId="0" fontId="12" fillId="0" borderId="2" xfId="155" applyFont="1" applyBorder="1"/>
    <xf numFmtId="0" fontId="12" fillId="0" borderId="3" xfId="155" applyFont="1" applyBorder="1" applyAlignment="1">
      <alignment horizontal="center"/>
    </xf>
    <xf numFmtId="0" fontId="13" fillId="0" borderId="2" xfId="155" applyFont="1" applyBorder="1" applyAlignment="1">
      <alignment horizontal="left"/>
    </xf>
    <xf numFmtId="0" fontId="13" fillId="0" borderId="4" xfId="155" applyFont="1" applyBorder="1" applyAlignment="1">
      <alignment horizontal="left"/>
    </xf>
    <xf numFmtId="0" fontId="13" fillId="0" borderId="3" xfId="155" applyFont="1" applyBorder="1" applyAlignment="1">
      <alignment horizontal="left"/>
    </xf>
    <xf numFmtId="0" fontId="13" fillId="0" borderId="2" xfId="155" applyFont="1" applyBorder="1" applyAlignment="1">
      <alignment horizontal="centerContinuous"/>
    </xf>
    <xf numFmtId="0" fontId="13" fillId="0" borderId="4" xfId="155" applyFont="1" applyBorder="1" applyAlignment="1">
      <alignment horizontal="centerContinuous"/>
    </xf>
    <xf numFmtId="0" fontId="13" fillId="0" borderId="3" xfId="155" applyFont="1" applyBorder="1" applyAlignment="1">
      <alignment horizontal="centerContinuous"/>
    </xf>
    <xf numFmtId="0" fontId="12" fillId="0" borderId="3" xfId="155" applyFont="1" applyBorder="1"/>
    <xf numFmtId="0" fontId="12" fillId="0" borderId="5" xfId="155" applyFont="1" applyBorder="1"/>
    <xf numFmtId="0" fontId="12" fillId="0" borderId="6" xfId="155" applyFont="1" applyBorder="1" applyAlignment="1">
      <alignment horizontal="center"/>
    </xf>
    <xf numFmtId="0" fontId="12" fillId="2" borderId="5" xfId="155" applyFont="1" applyFill="1" applyBorder="1" applyAlignment="1">
      <alignment horizontal="center"/>
    </xf>
    <xf numFmtId="0" fontId="117" fillId="0" borderId="6" xfId="155" applyBorder="1" applyAlignment="1">
      <alignment horizontal="center"/>
    </xf>
    <xf numFmtId="0" fontId="8" fillId="0" borderId="0" xfId="155" applyFont="1" applyAlignment="1">
      <alignment horizontal="center"/>
    </xf>
    <xf numFmtId="0" fontId="8" fillId="0" borderId="6" xfId="155" applyFont="1" applyBorder="1" applyAlignment="1">
      <alignment horizontal="center"/>
    </xf>
    <xf numFmtId="0" fontId="13" fillId="2" borderId="5" xfId="155" applyFont="1" applyFill="1" applyBorder="1" applyAlignment="1">
      <alignment horizontal="center"/>
    </xf>
    <xf numFmtId="0" fontId="13" fillId="0" borderId="0" xfId="155" applyFont="1" applyAlignment="1">
      <alignment horizontal="center"/>
    </xf>
    <xf numFmtId="0" fontId="13" fillId="0" borderId="6" xfId="155" applyFont="1" applyBorder="1" applyAlignment="1">
      <alignment horizontal="center"/>
    </xf>
    <xf numFmtId="0" fontId="12" fillId="0" borderId="6" xfId="155" applyFont="1" applyBorder="1"/>
    <xf numFmtId="0" fontId="12" fillId="0" borderId="0" xfId="155" applyFont="1" applyAlignment="1">
      <alignment horizontal="center"/>
    </xf>
    <xf numFmtId="165" fontId="12" fillId="0" borderId="5" xfId="155" applyNumberFormat="1" applyFont="1" applyBorder="1"/>
    <xf numFmtId="0" fontId="12" fillId="0" borderId="0" xfId="155" applyFont="1"/>
    <xf numFmtId="167" fontId="12" fillId="0" borderId="0" xfId="145" applyNumberFormat="1" applyFont="1" applyBorder="1"/>
    <xf numFmtId="0" fontId="12" fillId="0" borderId="6" xfId="155" applyFont="1" applyBorder="1" applyAlignment="1">
      <alignment horizontal="center" wrapText="1"/>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164" fontId="14" fillId="2" borderId="5" xfId="4" applyNumberFormat="1" applyFont="1" applyFill="1" applyBorder="1"/>
    <xf numFmtId="164" fontId="118" fillId="0" borderId="0" xfId="4" applyNumberFormat="1" applyFont="1" applyBorder="1"/>
    <xf numFmtId="164" fontId="118" fillId="0" borderId="6" xfId="4" applyNumberFormat="1" applyFont="1" applyBorder="1"/>
    <xf numFmtId="0" fontId="12" fillId="0" borderId="0" xfId="3" applyFont="1" applyAlignment="1">
      <alignment wrapText="1"/>
    </xf>
    <xf numFmtId="43" fontId="12" fillId="2" borderId="5" xfId="4" applyFont="1" applyFill="1" applyBorder="1"/>
    <xf numFmtId="43" fontId="12" fillId="0" borderId="0" xfId="4" applyFont="1" applyFill="1" applyBorder="1"/>
    <xf numFmtId="43" fontId="12" fillId="0" borderId="6" xfId="4" applyFont="1" applyFill="1" applyBorder="1"/>
    <xf numFmtId="0" fontId="12" fillId="0" borderId="7" xfId="155" applyFont="1" applyBorder="1"/>
    <xf numFmtId="0" fontId="12" fillId="0" borderId="8" xfId="155" applyFont="1" applyBorder="1" applyAlignment="1">
      <alignment horizontal="center"/>
    </xf>
    <xf numFmtId="0" fontId="12" fillId="0" borderId="8" xfId="155" applyFont="1" applyBorder="1"/>
    <xf numFmtId="0" fontId="13" fillId="0" borderId="9" xfId="155" applyFont="1" applyBorder="1" applyAlignment="1">
      <alignment horizontal="center"/>
    </xf>
    <xf numFmtId="0" fontId="13" fillId="0" borderId="4" xfId="155" applyFont="1" applyBorder="1" applyAlignment="1">
      <alignment horizontal="center"/>
    </xf>
    <xf numFmtId="164" fontId="13" fillId="0" borderId="3" xfId="4" applyNumberFormat="1" applyFont="1" applyBorder="1" applyAlignment="1">
      <alignment horizontal="center"/>
    </xf>
    <xf numFmtId="0" fontId="13" fillId="0" borderId="3" xfId="155" applyFont="1" applyBorder="1" applyAlignment="1">
      <alignment horizontal="center"/>
    </xf>
    <xf numFmtId="0" fontId="13" fillId="0" borderId="2" xfId="155" applyFont="1" applyBorder="1" applyAlignment="1">
      <alignment horizontal="center"/>
    </xf>
    <xf numFmtId="0" fontId="12" fillId="0" borderId="10" xfId="155" applyFont="1" applyBorder="1" applyAlignment="1">
      <alignment horizontal="center"/>
    </xf>
    <xf numFmtId="164" fontId="12" fillId="0" borderId="0" xfId="155" applyNumberFormat="1" applyFont="1"/>
    <xf numFmtId="166" fontId="12" fillId="0" borderId="10" xfId="156" applyNumberFormat="1" applyFont="1" applyFill="1" applyBorder="1"/>
    <xf numFmtId="166" fontId="12" fillId="0" borderId="6" xfId="155" applyNumberFormat="1" applyFont="1" applyBorder="1"/>
    <xf numFmtId="166" fontId="12" fillId="0" borderId="0" xfId="155" applyNumberFormat="1" applyFont="1"/>
    <xf numFmtId="166" fontId="117" fillId="0" borderId="0" xfId="155" applyNumberFormat="1"/>
    <xf numFmtId="164" fontId="12" fillId="0" borderId="5" xfId="155" applyNumberFormat="1" applyFont="1" applyBorder="1"/>
    <xf numFmtId="164" fontId="117" fillId="0" borderId="0" xfId="155" applyNumberFormat="1"/>
    <xf numFmtId="166" fontId="12" fillId="0" borderId="10" xfId="156" applyNumberFormat="1" applyFont="1" applyBorder="1"/>
    <xf numFmtId="164" fontId="12" fillId="0" borderId="0" xfId="4" applyNumberFormat="1" applyFont="1"/>
    <xf numFmtId="164" fontId="13" fillId="0" borderId="10" xfId="155" applyNumberFormat="1" applyFont="1" applyBorder="1"/>
    <xf numFmtId="164" fontId="13" fillId="0" borderId="0" xfId="155" applyNumberFormat="1" applyFont="1"/>
    <xf numFmtId="164" fontId="13" fillId="0" borderId="6" xfId="4" applyNumberFormat="1" applyFont="1" applyBorder="1"/>
    <xf numFmtId="164" fontId="13" fillId="0" borderId="11" xfId="155" applyNumberFormat="1" applyFont="1" applyBorder="1"/>
    <xf numFmtId="164" fontId="13" fillId="0" borderId="1" xfId="155" applyNumberFormat="1" applyFont="1" applyBorder="1"/>
    <xf numFmtId="164" fontId="13" fillId="0" borderId="8" xfId="4" applyNumberFormat="1" applyFont="1" applyBorder="1"/>
    <xf numFmtId="166" fontId="12" fillId="0" borderId="11" xfId="156" applyNumberFormat="1" applyFont="1" applyBorder="1"/>
    <xf numFmtId="166" fontId="12" fillId="0" borderId="1" xfId="155" applyNumberFormat="1" applyFont="1" applyBorder="1"/>
    <xf numFmtId="166" fontId="12" fillId="0" borderId="0" xfId="156" applyNumberFormat="1" applyFont="1"/>
    <xf numFmtId="43" fontId="117" fillId="0" borderId="0" xfId="155" applyNumberFormat="1"/>
    <xf numFmtId="164" fontId="8" fillId="0" borderId="0" xfId="4" applyNumberFormat="1" applyFill="1" applyBorder="1"/>
    <xf numFmtId="168" fontId="68"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10" fontId="12" fillId="2" borderId="7" xfId="145" applyNumberFormat="1" applyFont="1" applyFill="1" applyBorder="1" applyAlignment="1">
      <alignment horizontal="center"/>
    </xf>
    <xf numFmtId="167" fontId="12" fillId="2" borderId="1" xfId="145" applyNumberFormat="1" applyFont="1" applyFill="1" applyBorder="1" applyAlignment="1">
      <alignment horizontal="center"/>
    </xf>
    <xf numFmtId="164" fontId="12" fillId="0" borderId="0" xfId="8" applyNumberFormat="1" applyFont="1" applyBorder="1"/>
    <xf numFmtId="0" fontId="18" fillId="0" borderId="0" xfId="0" applyFont="1" applyFill="1" applyAlignment="1">
      <alignment horizontal="left"/>
    </xf>
    <xf numFmtId="164" fontId="68" fillId="10" borderId="0" xfId="8" quotePrefix="1" applyNumberFormat="1" applyFont="1" applyFill="1" applyAlignment="1">
      <alignment horizontal="left"/>
    </xf>
    <xf numFmtId="164" fontId="68" fillId="10" borderId="0" xfId="48" quotePrefix="1" applyNumberFormat="1" applyFont="1" applyFill="1" applyAlignment="1">
      <alignment horizontal="left"/>
    </xf>
    <xf numFmtId="44" fontId="8" fillId="0" borderId="0" xfId="46" applyFont="1" applyFill="1" applyAlignment="1">
      <alignment horizontal="center"/>
    </xf>
    <xf numFmtId="43" fontId="24" fillId="0" borderId="0" xfId="48" applyFont="1" applyFill="1"/>
    <xf numFmtId="168" fontId="25" fillId="0" borderId="0" xfId="19" applyFont="1"/>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46" fillId="0" borderId="0" xfId="0" applyFont="1" applyAlignment="1">
      <alignment horizontal="left" vertical="top" wrapText="1"/>
    </xf>
    <xf numFmtId="0" fontId="65" fillId="0" borderId="0" xfId="0" applyFont="1" applyAlignment="1">
      <alignment horizontal="left" vertical="center" indent="1"/>
    </xf>
    <xf numFmtId="0" fontId="46" fillId="0" borderId="0" xfId="0" applyFont="1" applyAlignment="1">
      <alignment horizontal="center" vertical="center" wrapText="1"/>
    </xf>
    <xf numFmtId="0" fontId="8" fillId="0" borderId="0" xfId="0" applyFont="1" applyAlignment="1">
      <alignment horizontal="left" vertical="top" wrapText="1"/>
    </xf>
    <xf numFmtId="168" fontId="8" fillId="2" borderId="22" xfId="25" applyFont="1" applyFill="1" applyBorder="1" applyAlignment="1">
      <alignment vertical="top"/>
    </xf>
    <xf numFmtId="168" fontId="8" fillId="2" borderId="24" xfId="25" applyFont="1" applyFill="1" applyBorder="1" applyAlignment="1">
      <alignment wrapText="1"/>
    </xf>
    <xf numFmtId="164" fontId="8" fillId="2" borderId="23" xfId="157" applyNumberFormat="1" applyFill="1" applyBorder="1" applyAlignment="1">
      <alignment vertical="top" wrapText="1"/>
    </xf>
    <xf numFmtId="168" fontId="8" fillId="2" borderId="23" xfId="25" applyFont="1" applyFill="1" applyBorder="1" applyAlignment="1">
      <alignment wrapText="1"/>
    </xf>
    <xf numFmtId="164" fontId="8" fillId="2" borderId="23" xfId="157" applyNumberFormat="1" applyFill="1" applyBorder="1" applyAlignment="1">
      <alignment wrapText="1"/>
    </xf>
    <xf numFmtId="0" fontId="8" fillId="10" borderId="23" xfId="0" applyFont="1" applyFill="1" applyBorder="1" applyAlignment="1">
      <alignment horizontal="left" wrapText="1"/>
    </xf>
    <xf numFmtId="0" fontId="8" fillId="10" borderId="23" xfId="0" applyFont="1" applyFill="1" applyBorder="1" applyAlignment="1">
      <alignment horizontal="left" vertical="top" wrapText="1"/>
    </xf>
    <xf numFmtId="164" fontId="46" fillId="0" borderId="0" xfId="48" applyNumberFormat="1" applyFont="1" applyFill="1"/>
    <xf numFmtId="43" fontId="46" fillId="0" borderId="0" xfId="48" applyFont="1" applyFill="1"/>
    <xf numFmtId="0" fontId="65" fillId="0" borderId="12" xfId="0" applyFont="1" applyBorder="1" applyAlignment="1">
      <alignment horizontal="center" wrapText="1"/>
    </xf>
    <xf numFmtId="0" fontId="65" fillId="0" borderId="12" xfId="0" applyFont="1" applyBorder="1" applyAlignment="1">
      <alignment horizontal="left" wrapText="1"/>
    </xf>
    <xf numFmtId="0" fontId="65" fillId="0" borderId="0" xfId="0" applyFont="1" applyAlignment="1">
      <alignment horizontal="left" wrapText="1" indent="1"/>
    </xf>
    <xf numFmtId="0" fontId="65" fillId="0" borderId="0" xfId="0" applyFont="1" applyAlignment="1">
      <alignment horizontal="center" wrapText="1"/>
    </xf>
    <xf numFmtId="0" fontId="65" fillId="0" borderId="0" xfId="0" applyFont="1" applyAlignment="1">
      <alignment horizontal="left" wrapText="1"/>
    </xf>
    <xf numFmtId="0" fontId="120" fillId="0" borderId="0" xfId="0" applyFont="1"/>
    <xf numFmtId="42" fontId="46" fillId="10" borderId="0" xfId="8" applyNumberFormat="1" applyFont="1" applyFill="1"/>
    <xf numFmtId="42" fontId="46" fillId="0" borderId="0" xfId="8" applyNumberFormat="1" applyFont="1"/>
    <xf numFmtId="164" fontId="46" fillId="0" borderId="0" xfId="158" applyNumberFormat="1" applyFont="1" applyProtection="1">
      <protection locked="0"/>
    </xf>
    <xf numFmtId="164" fontId="46" fillId="0" borderId="0" xfId="158" applyNumberFormat="1" applyFont="1"/>
    <xf numFmtId="167" fontId="46" fillId="0" borderId="0" xfId="145" applyNumberFormat="1" applyFont="1"/>
    <xf numFmtId="164" fontId="46" fillId="10" borderId="0" xfId="8" applyNumberFormat="1" applyFont="1" applyFill="1"/>
    <xf numFmtId="164" fontId="46" fillId="0" borderId="0" xfId="8" applyNumberFormat="1" applyFont="1"/>
    <xf numFmtId="164" fontId="46" fillId="0" borderId="0" xfId="8" applyNumberFormat="1" applyFont="1" applyProtection="1">
      <protection locked="0"/>
    </xf>
    <xf numFmtId="164" fontId="65" fillId="0" borderId="0" xfId="0" applyNumberFormat="1" applyFont="1"/>
    <xf numFmtId="42" fontId="65" fillId="0" borderId="19" xfId="48" applyNumberFormat="1" applyFont="1" applyFill="1" applyBorder="1"/>
    <xf numFmtId="164" fontId="122" fillId="0" borderId="0" xfId="151" applyNumberFormat="1" applyFont="1" applyFill="1" applyBorder="1" applyProtection="1">
      <protection locked="0"/>
    </xf>
    <xf numFmtId="164" fontId="122" fillId="0" borderId="0" xfId="151" applyNumberFormat="1" applyFont="1" applyFill="1" applyProtection="1"/>
    <xf numFmtId="167" fontId="122" fillId="0" borderId="0" xfId="47" applyNumberFormat="1" applyFont="1" applyFill="1" applyProtection="1"/>
    <xf numFmtId="42" fontId="46" fillId="0" borderId="0" xfId="48" applyNumberFormat="1" applyFont="1" applyFill="1" applyBorder="1"/>
    <xf numFmtId="42" fontId="65" fillId="0" borderId="20" xfId="0" applyNumberFormat="1" applyFont="1" applyBorder="1"/>
    <xf numFmtId="166" fontId="46" fillId="0" borderId="19" xfId="46" applyNumberFormat="1" applyFont="1" applyFill="1" applyBorder="1"/>
    <xf numFmtId="166" fontId="46" fillId="0" borderId="20" xfId="46" applyNumberFormat="1" applyFont="1" applyFill="1" applyBorder="1"/>
    <xf numFmtId="164" fontId="46" fillId="0" borderId="0" xfId="48" applyNumberFormat="1" applyFont="1" applyFill="1" applyBorder="1"/>
    <xf numFmtId="0" fontId="123"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0" fontId="68" fillId="0" borderId="0" xfId="26" applyFont="1" applyFill="1" applyAlignment="1">
      <alignment horizontal="center" wrapText="1"/>
    </xf>
    <xf numFmtId="0" fontId="114" fillId="12" borderId="0" xfId="0" applyFont="1" applyFill="1"/>
    <xf numFmtId="0" fontId="25" fillId="0" borderId="0" xfId="0" applyNumberFormat="1" applyFont="1" applyBorder="1" applyAlignment="1">
      <alignment horizontal="left" indent="1"/>
    </xf>
    <xf numFmtId="0" fontId="89" fillId="0" borderId="0" xfId="152" applyFont="1"/>
    <xf numFmtId="0" fontId="89" fillId="0" borderId="0" xfId="152" applyFont="1" applyAlignment="1">
      <alignment horizontal="left"/>
    </xf>
    <xf numFmtId="0" fontId="113" fillId="0" borderId="0" xfId="152" applyFont="1"/>
    <xf numFmtId="0" fontId="89" fillId="0" borderId="0" xfId="152" applyFont="1" applyAlignment="1">
      <alignment horizontal="center"/>
    </xf>
    <xf numFmtId="0" fontId="25" fillId="0" borderId="0" xfId="0" applyNumberFormat="1" applyFont="1" applyFill="1" applyAlignment="1">
      <alignment horizontal="left" indent="1"/>
    </xf>
    <xf numFmtId="0" fontId="25" fillId="0" borderId="12" xfId="0" applyNumberFormat="1" applyFont="1" applyFill="1" applyBorder="1" applyAlignment="1">
      <alignment horizontal="left" indent="1"/>
    </xf>
    <xf numFmtId="0" fontId="8" fillId="0" borderId="0" xfId="14" applyFont="1" applyAlignment="1">
      <alignment vertical="top" wrapText="1"/>
    </xf>
    <xf numFmtId="0" fontId="8" fillId="0" borderId="0" xfId="14" applyFont="1"/>
    <xf numFmtId="0" fontId="8" fillId="10" borderId="23" xfId="154" applyFont="1" applyFill="1" applyBorder="1" applyAlignment="1">
      <alignment vertical="top" wrapText="1"/>
    </xf>
    <xf numFmtId="0" fontId="8" fillId="10" borderId="23" xfId="154" applyFont="1" applyFill="1" applyBorder="1" applyAlignment="1">
      <alignment wrapText="1"/>
    </xf>
    <xf numFmtId="0" fontId="8" fillId="0" borderId="23" xfId="14" applyFont="1" applyBorder="1" applyAlignment="1">
      <alignment wrapText="1"/>
    </xf>
    <xf numFmtId="0" fontId="8" fillId="2" borderId="23" xfId="14" applyFont="1" applyFill="1" applyBorder="1" applyAlignment="1">
      <alignment wrapText="1"/>
    </xf>
    <xf numFmtId="0" fontId="8" fillId="0" borderId="0" xfId="14" applyFont="1" applyAlignment="1">
      <alignment wrapText="1"/>
    </xf>
    <xf numFmtId="37" fontId="8" fillId="0" borderId="0" xfId="14" applyNumberFormat="1" applyFont="1" applyAlignment="1">
      <alignment wrapText="1"/>
    </xf>
    <xf numFmtId="0" fontId="8" fillId="2" borderId="23" xfId="14" applyFont="1" applyFill="1" applyBorder="1" applyAlignment="1">
      <alignment vertical="top" wrapText="1"/>
    </xf>
    <xf numFmtId="0" fontId="25" fillId="0" borderId="0" xfId="0" applyFont="1" applyFill="1" applyBorder="1" applyAlignment="1">
      <alignment horizontal="left" indent="1"/>
    </xf>
    <xf numFmtId="10" fontId="101" fillId="10" borderId="0" xfId="47" applyNumberFormat="1" applyFont="1" applyFill="1" applyAlignment="1">
      <alignment horizontal="center" vertical="center" wrapText="1"/>
    </xf>
    <xf numFmtId="10" fontId="73" fillId="10" borderId="0" xfId="12" applyNumberFormat="1" applyFont="1" applyFill="1" applyAlignment="1">
      <alignment horizontal="center"/>
    </xf>
    <xf numFmtId="169" fontId="95" fillId="10" borderId="0" xfId="8" applyNumberFormat="1" applyFont="1" applyFill="1" applyAlignment="1">
      <alignment horizontal="center"/>
    </xf>
    <xf numFmtId="0" fontId="25" fillId="8" borderId="0" xfId="0" applyFont="1" applyFill="1" applyAlignment="1">
      <alignment horizontal="left" indent="1"/>
    </xf>
    <xf numFmtId="0" fontId="46" fillId="0" borderId="12" xfId="0" applyFont="1" applyBorder="1" applyAlignment="1">
      <alignment horizontal="center" wrapText="1"/>
    </xf>
    <xf numFmtId="164" fontId="12" fillId="0" borderId="0" xfId="157" applyNumberFormat="1" applyFont="1" applyFill="1" applyBorder="1"/>
    <xf numFmtId="164" fontId="6" fillId="0" borderId="1" xfId="48" applyNumberFormat="1" applyFont="1" applyBorder="1"/>
    <xf numFmtId="43" fontId="12" fillId="0" borderId="0" xfId="0" applyNumberFormat="1" applyFont="1" applyBorder="1"/>
    <xf numFmtId="37" fontId="8" fillId="2" borderId="0" xfId="0" applyNumberFormat="1" applyFont="1" applyFill="1" applyAlignment="1">
      <alignment wrapText="1"/>
    </xf>
    <xf numFmtId="166" fontId="46" fillId="10" borderId="0" xfId="10" applyNumberFormat="1" applyFont="1" applyFill="1"/>
    <xf numFmtId="166" fontId="46" fillId="0" borderId="0" xfId="10" applyNumberFormat="1" applyFont="1" applyFill="1"/>
    <xf numFmtId="0" fontId="46" fillId="0" borderId="12" xfId="0" applyFont="1" applyBorder="1" applyAlignment="1">
      <alignment horizontal="center" wrapText="1"/>
    </xf>
    <xf numFmtId="0" fontId="20" fillId="3" borderId="4" xfId="0" applyFont="1" applyFill="1" applyBorder="1" applyAlignment="1">
      <alignment horizontal="center" wrapText="1"/>
    </xf>
    <xf numFmtId="0" fontId="12" fillId="0" borderId="0" xfId="0" applyFont="1" applyAlignment="1">
      <alignment wrapText="1"/>
    </xf>
    <xf numFmtId="0" fontId="20" fillId="3" borderId="3" xfId="0" applyFont="1" applyFill="1" applyBorder="1" applyAlignment="1">
      <alignment wrapText="1"/>
    </xf>
    <xf numFmtId="164" fontId="68" fillId="0" borderId="0" xfId="48" applyNumberFormat="1" applyFont="1" applyFill="1" applyBorder="1" applyAlignment="1"/>
    <xf numFmtId="164" fontId="68" fillId="10" borderId="27" xfId="8" applyNumberFormat="1" applyFont="1" applyFill="1" applyBorder="1" applyAlignment="1"/>
    <xf numFmtId="41" fontId="68" fillId="0" borderId="0" xfId="26" applyNumberFormat="1" applyFont="1" applyFill="1" applyAlignment="1">
      <alignment horizontal="center"/>
    </xf>
    <xf numFmtId="0" fontId="13" fillId="0" borderId="2" xfId="155" applyFont="1"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0" xfId="0" applyFont="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0" borderId="0" xfId="0" applyNumberFormat="1" applyFont="1"/>
    <xf numFmtId="0" fontId="8" fillId="10" borderId="23" xfId="154" applyFill="1" applyBorder="1" applyAlignment="1">
      <alignment vertical="top" wrapText="1"/>
    </xf>
    <xf numFmtId="0" fontId="8" fillId="10" borderId="23" xfId="154" applyFill="1" applyBorder="1" applyAlignment="1">
      <alignment wrapText="1"/>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4" fillId="0" borderId="0" xfId="0" applyFont="1" applyAlignment="1">
      <alignment vertical="top" wrapText="1"/>
    </xf>
    <xf numFmtId="0" fontId="65" fillId="0" borderId="29" xfId="0" applyFont="1" applyBorder="1" applyAlignment="1">
      <alignment horizontal="center" vertical="center"/>
    </xf>
    <xf numFmtId="0" fontId="65" fillId="0" borderId="19" xfId="0" applyFont="1" applyBorder="1" applyAlignment="1">
      <alignment horizontal="center" vertical="center"/>
    </xf>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65" fillId="0" borderId="12" xfId="0" applyFont="1" applyBorder="1" applyAlignment="1">
      <alignment horizontal="center" vertical="center"/>
    </xf>
    <xf numFmtId="0" fontId="46" fillId="0" borderId="0" xfId="0" applyFont="1" applyAlignment="1">
      <alignment horizontal="left" vertical="top" wrapText="1"/>
    </xf>
    <xf numFmtId="0" fontId="46" fillId="0" borderId="0" xfId="0" applyFont="1" applyAlignment="1">
      <alignment horizontal="left" vertical="top"/>
    </xf>
    <xf numFmtId="0" fontId="46" fillId="10" borderId="0" xfId="0" applyFont="1" applyFill="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5" fillId="0" borderId="0" xfId="14" applyFont="1" applyAlignment="1">
      <alignment horizontal="left" vertical="top" wrapText="1"/>
    </xf>
    <xf numFmtId="0" fontId="113" fillId="13" borderId="0" xfId="0" applyFont="1" applyFill="1" applyAlignment="1">
      <alignment horizontal="center"/>
    </xf>
    <xf numFmtId="0" fontId="111" fillId="13" borderId="0" xfId="0" applyFont="1" applyFill="1" applyAlignment="1">
      <alignment horizontal="left"/>
    </xf>
    <xf numFmtId="0" fontId="111" fillId="13" borderId="12" xfId="0" applyFont="1" applyFill="1" applyBorder="1" applyAlignment="1">
      <alignment horizontal="left"/>
    </xf>
    <xf numFmtId="0" fontId="65" fillId="0" borderId="0" xfId="0" applyFont="1" applyAlignment="1">
      <alignment horizontal="left" vertical="center" indent="1"/>
    </xf>
    <xf numFmtId="0" fontId="65" fillId="0" borderId="12" xfId="0" applyFont="1" applyBorder="1" applyAlignment="1">
      <alignment horizontal="left" vertical="center" inden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0" xfId="0" applyFont="1" applyAlignment="1">
      <alignment horizontal="center" wrapText="1"/>
    </xf>
    <xf numFmtId="0" fontId="46" fillId="0" borderId="12" xfId="0" applyFont="1" applyBorder="1" applyAlignment="1">
      <alignment horizontal="center" wrapText="1"/>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65" fillId="0" borderId="0" xfId="0" applyFont="1" applyAlignment="1">
      <alignment horizontal="center" vertical="center"/>
    </xf>
    <xf numFmtId="0" fontId="65" fillId="0" borderId="0" xfId="0" applyFont="1" applyAlignment="1">
      <alignment horizontal="left" vertical="center"/>
    </xf>
    <xf numFmtId="0" fontId="65"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 fillId="0" borderId="0" xfId="0" applyFont="1" applyAlignment="1">
      <alignment horizontal="left" vertical="top" wrapText="1"/>
    </xf>
    <xf numFmtId="0" fontId="8" fillId="0" borderId="0" xfId="152" applyFont="1" applyAlignment="1">
      <alignment horizontal="left" vertical="top" wrapText="1"/>
    </xf>
    <xf numFmtId="0" fontId="46" fillId="0" borderId="0" xfId="152" applyAlignment="1">
      <alignment horizontal="left" vertical="top" wrapText="1"/>
    </xf>
    <xf numFmtId="0" fontId="114" fillId="13" borderId="22" xfId="0" applyFont="1" applyFill="1" applyBorder="1" applyAlignment="1">
      <alignment horizontal="center"/>
    </xf>
    <xf numFmtId="0" fontId="114" fillId="13" borderId="21" xfId="0" applyFont="1" applyFill="1" applyBorder="1" applyAlignment="1">
      <alignment horizontal="center"/>
    </xf>
    <xf numFmtId="0" fontId="114" fillId="13" borderId="24" xfId="0" applyFont="1" applyFill="1" applyBorder="1" applyAlignment="1">
      <alignment horizontal="center"/>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64" fillId="8" borderId="0" xfId="0" applyFont="1" applyFill="1" applyAlignment="1">
      <alignment horizontal="left" vertical="top" wrapText="1"/>
    </xf>
    <xf numFmtId="0" fontId="64" fillId="8" borderId="0" xfId="0" applyFont="1" applyFill="1" applyAlignment="1">
      <alignment horizontal="left" vertical="center" wrapText="1"/>
    </xf>
    <xf numFmtId="0" fontId="34" fillId="8" borderId="0" xfId="0" applyFont="1" applyFill="1" applyAlignment="1">
      <alignment horizontal="left" vertical="top" wrapText="1"/>
    </xf>
    <xf numFmtId="0" fontId="64"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3" fillId="0" borderId="0" xfId="0" applyFont="1" applyFill="1" applyBorder="1" applyAlignment="1">
      <alignment horizontal="center" wrapText="1"/>
    </xf>
    <xf numFmtId="0" fontId="13" fillId="0" borderId="6" xfId="0" applyFont="1" applyFill="1" applyBorder="1" applyAlignment="1">
      <alignment horizontal="center" wrapText="1"/>
    </xf>
    <xf numFmtId="0" fontId="19" fillId="4" borderId="2"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8"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20" fillId="3" borderId="3" xfId="0"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2" borderId="1" xfId="0" applyFont="1" applyFill="1" applyBorder="1" applyAlignment="1">
      <alignment horizontal="center" wrapText="1"/>
    </xf>
    <xf numFmtId="0" fontId="12" fillId="2"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 fillId="0" borderId="0" xfId="20" applyFont="1" applyAlignment="1">
      <alignment horizontal="center"/>
    </xf>
    <xf numFmtId="0" fontId="53" fillId="0" borderId="0" xfId="20" applyFont="1" applyAlignment="1"/>
    <xf numFmtId="168" fontId="68" fillId="0" borderId="0" xfId="27" applyFont="1" applyFill="1" applyBorder="1" applyAlignment="1">
      <alignment horizontal="left"/>
    </xf>
    <xf numFmtId="168" fontId="68" fillId="0" borderId="0" xfId="35" applyFont="1" applyAlignment="1">
      <alignment horizontal="left" vertical="center" wrapText="1"/>
    </xf>
    <xf numFmtId="168" fontId="68" fillId="0" borderId="0" xfId="27" applyFont="1" applyFill="1" applyBorder="1" applyAlignment="1">
      <alignment horizontal="left" vertical="top" wrapText="1"/>
    </xf>
    <xf numFmtId="168" fontId="68" fillId="0" borderId="0" xfId="27" applyFont="1" applyFill="1" applyBorder="1" applyAlignment="1">
      <alignment horizontal="left" wrapText="1"/>
    </xf>
    <xf numFmtId="168" fontId="68" fillId="0" borderId="0" xfId="27" applyFont="1" applyAlignment="1">
      <alignment horizontal="left" vertical="top" wrapText="1"/>
    </xf>
    <xf numFmtId="168" fontId="68" fillId="0" borderId="29" xfId="35" applyFont="1" applyFill="1" applyBorder="1" applyAlignment="1">
      <alignment horizontal="center"/>
    </xf>
    <xf numFmtId="168" fontId="68" fillId="0" borderId="30" xfId="35" applyFont="1" applyFill="1" applyBorder="1" applyAlignment="1">
      <alignment horizontal="center"/>
    </xf>
    <xf numFmtId="168" fontId="68" fillId="0" borderId="32" xfId="35" applyFont="1" applyFill="1" applyBorder="1" applyAlignment="1">
      <alignment horizontal="center"/>
    </xf>
    <xf numFmtId="168" fontId="68" fillId="0" borderId="26" xfId="35" applyFont="1" applyFill="1" applyBorder="1" applyAlignment="1">
      <alignment horizontal="center"/>
    </xf>
    <xf numFmtId="168" fontId="69" fillId="0" borderId="29" xfId="27" applyFont="1" applyBorder="1" applyAlignment="1">
      <alignment horizontal="center"/>
    </xf>
    <xf numFmtId="168" fontId="69" fillId="0" borderId="32" xfId="27" applyFont="1" applyBorder="1" applyAlignment="1">
      <alignment horizontal="center"/>
    </xf>
    <xf numFmtId="168" fontId="69" fillId="0" borderId="33" xfId="27" applyFont="1" applyBorder="1" applyAlignment="1">
      <alignment horizontal="center" wrapText="1"/>
    </xf>
    <xf numFmtId="168" fontId="69" fillId="0" borderId="25" xfId="27" applyFont="1" applyBorder="1" applyAlignment="1">
      <alignment horizontal="center" wrapText="1"/>
    </xf>
    <xf numFmtId="168" fontId="68" fillId="0" borderId="0" xfId="35" applyFont="1" applyAlignment="1">
      <alignment horizontal="left" vertical="top" wrapText="1"/>
    </xf>
    <xf numFmtId="0" fontId="68" fillId="0" borderId="0" xfId="0" applyFont="1" applyFill="1" applyBorder="1" applyAlignment="1">
      <alignment horizontal="center"/>
    </xf>
    <xf numFmtId="0" fontId="14" fillId="0" borderId="5" xfId="7" applyFont="1" applyBorder="1" applyAlignment="1">
      <alignment horizontal="left" wrapText="1"/>
    </xf>
    <xf numFmtId="0" fontId="14" fillId="0" borderId="6" xfId="7" applyFont="1" applyBorder="1" applyAlignment="1">
      <alignment horizontal="left" wrapText="1"/>
    </xf>
    <xf numFmtId="0" fontId="2" fillId="0" borderId="1" xfId="155" applyFont="1" applyBorder="1" applyAlignment="1">
      <alignment wrapText="1"/>
    </xf>
    <xf numFmtId="0" fontId="117" fillId="0" borderId="1" xfId="155" applyBorder="1" applyAlignment="1">
      <alignment wrapText="1"/>
    </xf>
    <xf numFmtId="0" fontId="13" fillId="0" borderId="2" xfId="155" applyFont="1" applyBorder="1" applyAlignment="1">
      <alignment horizontal="center"/>
    </xf>
    <xf numFmtId="0" fontId="117" fillId="0" borderId="4" xfId="155" applyBorder="1" applyAlignment="1">
      <alignment horizontal="center"/>
    </xf>
    <xf numFmtId="0" fontId="117" fillId="0" borderId="3" xfId="155"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0" fillId="0" borderId="0" xfId="0" applyAlignment="1">
      <alignment horizontal="center"/>
    </xf>
    <xf numFmtId="0" fontId="69" fillId="9" borderId="22" xfId="26" applyFont="1" applyFill="1" applyBorder="1" applyAlignment="1">
      <alignment horizontal="center"/>
    </xf>
    <xf numFmtId="0" fontId="69" fillId="9" borderId="21" xfId="26" applyFont="1" applyFill="1" applyBorder="1" applyAlignment="1">
      <alignment horizontal="center"/>
    </xf>
    <xf numFmtId="0" fontId="69" fillId="9" borderId="24" xfId="26" applyFont="1" applyFill="1" applyBorder="1" applyAlignment="1">
      <alignment horizontal="center"/>
    </xf>
    <xf numFmtId="168" fontId="69" fillId="9" borderId="22" xfId="56" applyFont="1" applyFill="1" applyBorder="1" applyAlignment="1">
      <alignment horizontal="center"/>
    </xf>
    <xf numFmtId="0" fontId="0" fillId="0" borderId="21" xfId="0" applyBorder="1" applyAlignment="1">
      <alignment horizontal="center"/>
    </xf>
    <xf numFmtId="168" fontId="69" fillId="0" borderId="0" xfId="25" applyFont="1" applyFill="1" applyAlignment="1">
      <alignment horizontal="center"/>
    </xf>
    <xf numFmtId="168" fontId="68" fillId="0" borderId="0" xfId="25" applyFont="1" applyAlignment="1">
      <alignment horizontal="left" vertical="center" wrapText="1"/>
    </xf>
    <xf numFmtId="0" fontId="0" fillId="0" borderId="24" xfId="0" applyBorder="1" applyAlignment="1"/>
    <xf numFmtId="0" fontId="0" fillId="0" borderId="24" xfId="0" applyBorder="1" applyAlignment="1">
      <alignment horizontal="center"/>
    </xf>
    <xf numFmtId="0" fontId="69"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9" fillId="9" borderId="15" xfId="26" applyFont="1" applyFill="1" applyBorder="1" applyAlignment="1">
      <alignment horizontal="center"/>
    </xf>
    <xf numFmtId="0" fontId="69" fillId="9" borderId="16" xfId="26"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5" applyFont="1" applyFill="1" applyAlignment="1">
      <alignment horizontal="center"/>
    </xf>
    <xf numFmtId="0" fontId="103" fillId="0" borderId="0" xfId="5" applyFont="1" applyAlignment="1">
      <alignment horizontal="center"/>
    </xf>
    <xf numFmtId="0" fontId="104" fillId="0" borderId="0" xfId="0" applyFont="1" applyAlignment="1">
      <alignment horizontal="center"/>
    </xf>
    <xf numFmtId="0" fontId="95" fillId="0" borderId="0" xfId="5" applyFont="1" applyAlignment="1">
      <alignment horizontal="center"/>
    </xf>
    <xf numFmtId="0" fontId="102" fillId="0" borderId="0" xfId="0" applyFont="1" applyAlignment="1">
      <alignment horizontal="center"/>
    </xf>
  </cellXfs>
  <cellStyles count="163">
    <cellStyle name="Comma" xfId="48" builtinId="3"/>
    <cellStyle name="Comma [0] 3 2" xfId="40" xr:uid="{EC5EA9AE-B745-47C8-AFE6-56FBEE149A5C}"/>
    <cellStyle name="Comma [0] 3 2 2" xfId="43" xr:uid="{36FED332-A54D-4C01-AB73-D6D936DA350F}"/>
    <cellStyle name="Comma 10 10 2" xfId="157" xr:uid="{872D9DD5-D62D-4115-AB0C-CE045DF114CC}"/>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255958DD-1819-40F7-98BF-71C34A7E5E47}"/>
    <cellStyle name="Comma 4" xfId="1" xr:uid="{00000000-0005-0000-0000-000006000000}"/>
    <cellStyle name="Comma 4 2 2" xfId="4" xr:uid="{00000000-0005-0000-0000-000007000000}"/>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7" xfId="27" xr:uid="{D5B5E0E3-DC2B-44D9-8A11-A6C8C1AD539A}"/>
    <cellStyle name="Normal 8" xfId="147" xr:uid="{56776621-D035-4D92-8F56-61856F74D484}"/>
    <cellStyle name="Normal 8 2" xfId="161" xr:uid="{832B7EB1-0988-434D-B14D-FFE698D76903}"/>
    <cellStyle name="Normal 8 3" xfId="159" xr:uid="{FEF37073-70FE-416B-A37C-0886C381BF03}"/>
    <cellStyle name="Normal 9" xfId="155" xr:uid="{880F2C80-EE04-4EAB-ACEC-B8A30062EA2F}"/>
    <cellStyle name="Normal 9 2" xfId="162" xr:uid="{E7A3FF41-A320-4C54-9489-2CC1E6C357BD}"/>
    <cellStyle name="Normal 9 3" xfId="160" xr:uid="{3EE50957-1D01-4A1C-9EB3-7C22E53A8351}"/>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94</xdr:row>
      <xdr:rowOff>123825</xdr:rowOff>
    </xdr:from>
    <xdr:to>
      <xdr:col>14</xdr:col>
      <xdr:colOff>170136</xdr:colOff>
      <xdr:row>127</xdr:row>
      <xdr:rowOff>113633</xdr:rowOff>
    </xdr:to>
    <xdr:pic>
      <xdr:nvPicPr>
        <xdr:cNvPr id="4" name="Picture 3">
          <a:extLst>
            <a:ext uri="{FF2B5EF4-FFF2-40B4-BE49-F238E27FC236}">
              <a16:creationId xmlns:a16="http://schemas.microsoft.com/office/drawing/2014/main" id="{08AAF4C7-D8B7-455E-83CE-7CBCADD3AE75}"/>
            </a:ext>
          </a:extLst>
        </xdr:cNvPr>
        <xdr:cNvPicPr>
          <a:picLocks noChangeAspect="1"/>
        </xdr:cNvPicPr>
      </xdr:nvPicPr>
      <xdr:blipFill>
        <a:blip xmlns:r="http://schemas.openxmlformats.org/officeDocument/2006/relationships" r:embed="rId1"/>
        <a:stretch>
          <a:fillRect/>
        </a:stretch>
      </xdr:blipFill>
      <xdr:spPr>
        <a:xfrm>
          <a:off x="628650" y="20669250"/>
          <a:ext cx="10514286" cy="5333333"/>
        </a:xfrm>
        <a:prstGeom prst="rect">
          <a:avLst/>
        </a:prstGeom>
      </xdr:spPr>
    </xdr:pic>
    <xdr:clientData/>
  </xdr:twoCellAnchor>
  <xdr:twoCellAnchor editAs="oneCell">
    <xdr:from>
      <xdr:col>0</xdr:col>
      <xdr:colOff>1038225</xdr:colOff>
      <xdr:row>127</xdr:row>
      <xdr:rowOff>142875</xdr:rowOff>
    </xdr:from>
    <xdr:to>
      <xdr:col>14</xdr:col>
      <xdr:colOff>113044</xdr:colOff>
      <xdr:row>156</xdr:row>
      <xdr:rowOff>47050</xdr:rowOff>
    </xdr:to>
    <xdr:pic>
      <xdr:nvPicPr>
        <xdr:cNvPr id="7" name="Picture 6">
          <a:extLst>
            <a:ext uri="{FF2B5EF4-FFF2-40B4-BE49-F238E27FC236}">
              <a16:creationId xmlns:a16="http://schemas.microsoft.com/office/drawing/2014/main" id="{654BF506-AB5D-4BDB-98C8-76D9F1814001}"/>
            </a:ext>
          </a:extLst>
        </xdr:cNvPr>
        <xdr:cNvPicPr>
          <a:picLocks noChangeAspect="1"/>
        </xdr:cNvPicPr>
      </xdr:nvPicPr>
      <xdr:blipFill>
        <a:blip xmlns:r="http://schemas.openxmlformats.org/officeDocument/2006/relationships" r:embed="rId2"/>
        <a:stretch>
          <a:fillRect/>
        </a:stretch>
      </xdr:blipFill>
      <xdr:spPr>
        <a:xfrm>
          <a:off x="1038225" y="26031825"/>
          <a:ext cx="10047619" cy="4600000"/>
        </a:xfrm>
        <a:prstGeom prst="rect">
          <a:avLst/>
        </a:prstGeom>
      </xdr:spPr>
    </xdr:pic>
    <xdr:clientData/>
  </xdr:twoCellAnchor>
  <xdr:twoCellAnchor editAs="oneCell">
    <xdr:from>
      <xdr:col>0</xdr:col>
      <xdr:colOff>2124075</xdr:colOff>
      <xdr:row>35</xdr:row>
      <xdr:rowOff>123825</xdr:rowOff>
    </xdr:from>
    <xdr:to>
      <xdr:col>9</xdr:col>
      <xdr:colOff>628650</xdr:colOff>
      <xdr:row>89</xdr:row>
      <xdr:rowOff>58239</xdr:rowOff>
    </xdr:to>
    <xdr:pic>
      <xdr:nvPicPr>
        <xdr:cNvPr id="5" name="Picture 4">
          <a:extLst>
            <a:ext uri="{FF2B5EF4-FFF2-40B4-BE49-F238E27FC236}">
              <a16:creationId xmlns:a16="http://schemas.microsoft.com/office/drawing/2014/main" id="{E819E9C3-138A-4F52-9D06-7610C0B1B731}"/>
            </a:ext>
          </a:extLst>
        </xdr:cNvPr>
        <xdr:cNvPicPr>
          <a:picLocks noChangeAspect="1"/>
        </xdr:cNvPicPr>
      </xdr:nvPicPr>
      <xdr:blipFill rotWithShape="1">
        <a:blip xmlns:r="http://schemas.openxmlformats.org/officeDocument/2006/relationships" r:embed="rId3"/>
        <a:srcRect l="1" r="568" b="769"/>
        <a:stretch/>
      </xdr:blipFill>
      <xdr:spPr>
        <a:xfrm>
          <a:off x="2124075" y="6419850"/>
          <a:ext cx="6372225" cy="867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78"/>
  <sheetViews>
    <sheetView tabSelected="1" zoomScale="75" zoomScaleNormal="75" zoomScaleSheetLayoutView="80" workbookViewId="0">
      <selection activeCell="H5" sqref="H5"/>
    </sheetView>
  </sheetViews>
  <sheetFormatPr defaultColWidth="9.1796875" defaultRowHeight="15.5"/>
  <cols>
    <col min="1" max="1" width="7.453125" style="227" customWidth="1"/>
    <col min="2" max="2" width="5.7265625" style="232" customWidth="1"/>
    <col min="3" max="3" width="64" style="232" customWidth="1"/>
    <col min="4" max="4" width="35.81640625" style="232" customWidth="1"/>
    <col min="5" max="5" width="25.7265625" style="220" customWidth="1"/>
    <col min="6" max="6" width="65.7265625" style="168" customWidth="1"/>
    <col min="7" max="7" width="2.7265625" style="168" customWidth="1"/>
    <col min="8" max="8" width="19.7265625" style="168" customWidth="1"/>
    <col min="9" max="9" width="3.26953125" style="221" customWidth="1"/>
    <col min="10" max="10" width="7.453125" style="168" customWidth="1"/>
    <col min="11" max="11" width="16.7265625" customWidth="1"/>
    <col min="12" max="12" width="4.1796875" customWidth="1"/>
    <col min="13" max="13" width="32.81640625" customWidth="1"/>
    <col min="14" max="14" width="9.1796875" style="168" customWidth="1"/>
    <col min="15" max="15" width="19.453125" style="168" customWidth="1"/>
    <col min="16" max="17" width="9.1796875" style="168" customWidth="1"/>
    <col min="18" max="18" width="12.453125" style="168" customWidth="1"/>
    <col min="19" max="16384" width="9.1796875" style="168"/>
  </cols>
  <sheetData>
    <row r="1" spans="1:16" ht="30">
      <c r="A1" s="1"/>
      <c r="C1" s="232" t="s">
        <v>86</v>
      </c>
      <c r="F1" s="919"/>
      <c r="H1" s="271"/>
      <c r="I1" s="921"/>
      <c r="J1" s="312"/>
    </row>
    <row r="2" spans="1:16" ht="28">
      <c r="A2" s="1"/>
      <c r="D2" s="390" t="s">
        <v>1545</v>
      </c>
      <c r="F2" s="391"/>
      <c r="H2" s="271"/>
      <c r="I2" s="921"/>
      <c r="J2" s="312"/>
    </row>
    <row r="3" spans="1:16" s="395" customFormat="1" ht="25.5" customHeight="1" thickBot="1">
      <c r="A3" s="392"/>
      <c r="B3" s="393"/>
      <c r="C3" s="393"/>
      <c r="D3" s="393"/>
      <c r="E3" s="394"/>
      <c r="J3" s="312"/>
      <c r="K3"/>
      <c r="L3"/>
      <c r="M3"/>
    </row>
    <row r="4" spans="1:16" ht="27.75" customHeight="1" thickBot="1">
      <c r="A4" s="396" t="s">
        <v>1546</v>
      </c>
      <c r="B4" s="397"/>
      <c r="C4" s="397"/>
      <c r="D4" s="397"/>
      <c r="E4" s="398"/>
      <c r="F4" s="399"/>
      <c r="H4" s="422"/>
      <c r="I4" s="394"/>
      <c r="J4" s="11"/>
    </row>
    <row r="5" spans="1:16" s="312" customFormat="1" ht="56.25" customHeight="1" thickBot="1">
      <c r="A5" s="400" t="s">
        <v>277</v>
      </c>
      <c r="B5" s="401"/>
      <c r="C5" s="402"/>
      <c r="D5" s="402"/>
      <c r="E5" s="403" t="s">
        <v>278</v>
      </c>
      <c r="F5" s="404" t="s">
        <v>279</v>
      </c>
      <c r="G5" s="405"/>
      <c r="H5" s="406" t="s">
        <v>1810</v>
      </c>
      <c r="I5" s="975"/>
      <c r="K5"/>
      <c r="L5"/>
      <c r="M5"/>
    </row>
    <row r="6" spans="1:16" s="413" customFormat="1" ht="23.25" customHeight="1">
      <c r="A6" s="407" t="s">
        <v>280</v>
      </c>
      <c r="B6" s="408"/>
      <c r="C6" s="409"/>
      <c r="D6" s="409"/>
      <c r="E6" s="410"/>
      <c r="F6" s="411"/>
      <c r="G6" s="412"/>
      <c r="H6" s="411"/>
      <c r="I6" s="411"/>
      <c r="K6"/>
      <c r="L6"/>
      <c r="M6"/>
    </row>
    <row r="7" spans="1:16" s="221" customFormat="1">
      <c r="A7" s="414" t="s">
        <v>281</v>
      </c>
      <c r="B7" s="415"/>
      <c r="C7" s="416"/>
      <c r="D7" s="416"/>
      <c r="E7" s="417"/>
      <c r="F7" s="418"/>
      <c r="G7" s="418"/>
      <c r="H7" s="292"/>
      <c r="I7" s="420"/>
      <c r="K7"/>
      <c r="L7"/>
      <c r="M7"/>
      <c r="N7"/>
      <c r="O7"/>
      <c r="P7"/>
    </row>
    <row r="8" spans="1:16" s="221" customFormat="1">
      <c r="A8" s="252"/>
      <c r="B8" s="311"/>
      <c r="C8" s="311"/>
      <c r="D8" s="311"/>
      <c r="E8" s="1508"/>
      <c r="F8" s="419"/>
      <c r="G8" s="419"/>
      <c r="H8" s="420"/>
      <c r="I8" s="420"/>
      <c r="K8"/>
      <c r="L8"/>
      <c r="M8"/>
      <c r="N8"/>
      <c r="O8"/>
      <c r="P8"/>
    </row>
    <row r="9" spans="1:16" ht="18" customHeight="1">
      <c r="A9" s="228"/>
      <c r="B9" s="259" t="s">
        <v>282</v>
      </c>
      <c r="E9" s="294"/>
      <c r="F9" s="243"/>
      <c r="G9" s="243"/>
      <c r="H9" s="243"/>
      <c r="I9" s="244"/>
      <c r="N9"/>
      <c r="O9"/>
      <c r="P9"/>
    </row>
    <row r="10" spans="1:16">
      <c r="A10" s="236">
        <v>1</v>
      </c>
      <c r="B10" s="236"/>
      <c r="C10" s="419" t="s">
        <v>283</v>
      </c>
      <c r="D10" s="421"/>
      <c r="E10" s="1501"/>
      <c r="F10" s="243" t="s">
        <v>284</v>
      </c>
      <c r="G10" s="232"/>
      <c r="H10" s="423">
        <v>5048447</v>
      </c>
      <c r="I10" s="976"/>
      <c r="N10"/>
      <c r="O10"/>
      <c r="P10"/>
    </row>
    <row r="11" spans="1:16">
      <c r="A11" s="220"/>
      <c r="E11" s="1501"/>
      <c r="N11"/>
      <c r="O11"/>
      <c r="P11"/>
    </row>
    <row r="12" spans="1:16">
      <c r="A12" s="236">
        <v>2</v>
      </c>
      <c r="B12" s="236"/>
      <c r="C12" s="419" t="s">
        <v>285</v>
      </c>
      <c r="D12" s="419"/>
      <c r="E12" s="1501"/>
      <c r="F12" s="419" t="s">
        <v>286</v>
      </c>
      <c r="G12" s="232"/>
      <c r="H12" s="423">
        <v>39587969</v>
      </c>
      <c r="I12" s="976"/>
      <c r="N12"/>
      <c r="O12"/>
      <c r="P12"/>
    </row>
    <row r="13" spans="1:16">
      <c r="A13" s="236">
        <v>3</v>
      </c>
      <c r="B13" s="236"/>
      <c r="C13" s="1695" t="s">
        <v>287</v>
      </c>
      <c r="D13" s="419"/>
      <c r="E13" s="1501"/>
      <c r="F13" s="419" t="s">
        <v>288</v>
      </c>
      <c r="G13" s="232"/>
      <c r="H13" s="424">
        <v>3239295</v>
      </c>
      <c r="I13" s="977"/>
      <c r="N13"/>
      <c r="O13"/>
      <c r="P13"/>
    </row>
    <row r="14" spans="1:16">
      <c r="A14" s="236">
        <v>4</v>
      </c>
      <c r="B14" s="236"/>
      <c r="C14" s="425" t="s">
        <v>44</v>
      </c>
      <c r="D14" s="263"/>
      <c r="E14" s="426"/>
      <c r="F14" s="263" t="s">
        <v>812</v>
      </c>
      <c r="G14" s="260"/>
      <c r="H14" s="263">
        <f>H12-H13</f>
        <v>36348674</v>
      </c>
      <c r="I14" s="235"/>
      <c r="N14"/>
      <c r="O14"/>
      <c r="P14"/>
    </row>
    <row r="15" spans="1:16">
      <c r="A15" s="236"/>
      <c r="B15" s="236"/>
      <c r="C15" s="247"/>
      <c r="E15" s="294"/>
      <c r="F15" s="232"/>
      <c r="G15" s="232"/>
      <c r="H15" s="243"/>
      <c r="I15" s="244"/>
      <c r="N15"/>
      <c r="O15"/>
      <c r="P15"/>
    </row>
    <row r="16" spans="1:16" ht="16" thickBot="1">
      <c r="A16" s="236">
        <v>5</v>
      </c>
      <c r="B16" s="427" t="s">
        <v>264</v>
      </c>
      <c r="C16" s="427"/>
      <c r="D16" s="428"/>
      <c r="E16" s="495"/>
      <c r="F16" s="429" t="s">
        <v>813</v>
      </c>
      <c r="G16" s="430"/>
      <c r="H16" s="431">
        <f>+H10/H14</f>
        <v>0.13888944064369446</v>
      </c>
      <c r="I16" s="973"/>
      <c r="N16"/>
      <c r="O16"/>
      <c r="P16"/>
    </row>
    <row r="17" spans="1:16" ht="16" thickTop="1">
      <c r="A17" s="236"/>
      <c r="B17" s="236"/>
      <c r="C17" s="259"/>
      <c r="D17" s="255"/>
      <c r="E17" s="294"/>
      <c r="F17" s="232"/>
      <c r="G17" s="232"/>
      <c r="H17" s="432"/>
      <c r="I17" s="978"/>
      <c r="N17"/>
      <c r="O17"/>
      <c r="P17"/>
    </row>
    <row r="18" spans="1:16">
      <c r="A18" s="220"/>
      <c r="B18" s="259" t="s">
        <v>54</v>
      </c>
      <c r="D18" s="168"/>
      <c r="E18" s="1501"/>
      <c r="N18"/>
      <c r="O18"/>
      <c r="P18"/>
    </row>
    <row r="19" spans="1:16">
      <c r="A19" s="228">
        <v>6</v>
      </c>
      <c r="B19" s="168"/>
      <c r="C19" s="419" t="s">
        <v>144</v>
      </c>
      <c r="E19" s="513" t="str">
        <f>"(Note "&amp;B$327&amp;")"</f>
        <v>(Note B)</v>
      </c>
      <c r="F19" s="419" t="s">
        <v>787</v>
      </c>
      <c r="H19" s="423">
        <f>'9A - Gross Plant &amp; ARO'!K24</f>
        <v>4727281883.7855968</v>
      </c>
      <c r="I19" s="976"/>
      <c r="N19"/>
      <c r="O19"/>
      <c r="P19"/>
    </row>
    <row r="20" spans="1:16">
      <c r="A20" s="228" t="s">
        <v>810</v>
      </c>
      <c r="B20" s="228"/>
      <c r="C20" s="259" t="s">
        <v>762</v>
      </c>
      <c r="D20" s="255"/>
      <c r="E20" s="1501"/>
      <c r="F20" s="244" t="s">
        <v>811</v>
      </c>
      <c r="H20" s="423">
        <f>+'10 - Merger Costs'!C103</f>
        <v>969311.32000000018</v>
      </c>
      <c r="I20" s="976"/>
      <c r="N20"/>
      <c r="O20"/>
      <c r="P20"/>
    </row>
    <row r="21" spans="1:16">
      <c r="A21" s="228">
        <v>7</v>
      </c>
      <c r="B21" s="168"/>
      <c r="C21" s="419" t="s">
        <v>289</v>
      </c>
      <c r="E21" s="513"/>
      <c r="F21" s="241" t="str">
        <f>"(Line "&amp;A$53&amp;" - "&amp;A$54&amp;")"</f>
        <v>(Line 24 - 24a)</v>
      </c>
      <c r="H21" s="244">
        <f>H53-H54</f>
        <v>0</v>
      </c>
      <c r="I21" s="244"/>
      <c r="N21"/>
      <c r="O21"/>
      <c r="P21"/>
    </row>
    <row r="22" spans="1:16">
      <c r="A22" s="228">
        <v>8</v>
      </c>
      <c r="B22" s="168"/>
      <c r="C22" s="433" t="s">
        <v>290</v>
      </c>
      <c r="D22" s="260"/>
      <c r="E22" s="436"/>
      <c r="F22" s="263" t="str">
        <f>"(Line "&amp;A19&amp;" - "&amp;A20&amp;" +"&amp;A21&amp;")"</f>
        <v>(Line 6 - 6a +7)</v>
      </c>
      <c r="G22" s="434"/>
      <c r="H22" s="258">
        <f>+H19-H20+H21</f>
        <v>4726312572.4655972</v>
      </c>
      <c r="I22" s="235"/>
      <c r="N22"/>
      <c r="O22"/>
      <c r="P22"/>
    </row>
    <row r="23" spans="1:16">
      <c r="A23" s="422"/>
      <c r="B23" s="168"/>
      <c r="C23" s="419"/>
      <c r="E23" s="1501"/>
      <c r="F23" s="419"/>
      <c r="H23" s="244"/>
      <c r="I23" s="244"/>
      <c r="N23"/>
      <c r="O23"/>
      <c r="P23"/>
    </row>
    <row r="24" spans="1:16">
      <c r="A24" s="228">
        <f>+A22+1</f>
        <v>9</v>
      </c>
      <c r="B24" s="168"/>
      <c r="C24" s="419" t="s">
        <v>145</v>
      </c>
      <c r="E24" s="1501"/>
      <c r="F24" s="419" t="s">
        <v>861</v>
      </c>
      <c r="H24" s="423">
        <f>+'9A - Gross Plant &amp; ARO'!C64</f>
        <v>989393662.71745598</v>
      </c>
      <c r="I24" s="976"/>
      <c r="N24"/>
      <c r="O24"/>
      <c r="P24"/>
    </row>
    <row r="25" spans="1:16">
      <c r="A25" s="228" t="s">
        <v>855</v>
      </c>
      <c r="B25" s="221"/>
      <c r="C25" s="259" t="s">
        <v>762</v>
      </c>
      <c r="D25" s="255"/>
      <c r="E25" s="1501"/>
      <c r="F25" s="244" t="s">
        <v>859</v>
      </c>
      <c r="H25" s="423">
        <f>+'10 - Merger Costs'!C51</f>
        <v>66635.317999999999</v>
      </c>
      <c r="I25" s="976"/>
      <c r="N25"/>
      <c r="O25"/>
      <c r="P25"/>
    </row>
    <row r="26" spans="1:16">
      <c r="A26" s="228">
        <f>+A24+1</f>
        <v>10</v>
      </c>
      <c r="B26" s="168"/>
      <c r="C26" s="419" t="s">
        <v>146</v>
      </c>
      <c r="E26" s="513" t="str">
        <f>"(Note "&amp;B$326&amp;")"</f>
        <v>(Note A)</v>
      </c>
      <c r="F26" s="244" t="s">
        <v>862</v>
      </c>
      <c r="H26" s="423">
        <f>+'9 - Rate Base'!I24</f>
        <v>37523830.798533</v>
      </c>
      <c r="I26" s="976"/>
      <c r="N26"/>
      <c r="O26"/>
      <c r="P26"/>
    </row>
    <row r="27" spans="1:16">
      <c r="A27" s="228" t="s">
        <v>856</v>
      </c>
      <c r="B27" s="221"/>
      <c r="C27" s="259" t="s">
        <v>762</v>
      </c>
      <c r="D27" s="255"/>
      <c r="E27" s="1501"/>
      <c r="F27" s="244" t="s">
        <v>886</v>
      </c>
      <c r="H27" s="423">
        <f>+'9 - Rate Base'!I25</f>
        <v>607640.91218217928</v>
      </c>
      <c r="I27" s="976"/>
      <c r="N27"/>
      <c r="O27"/>
      <c r="P27"/>
    </row>
    <row r="28" spans="1:16">
      <c r="A28" s="228">
        <f>+A26+1</f>
        <v>11</v>
      </c>
      <c r="B28" s="168"/>
      <c r="C28" s="419" t="s">
        <v>291</v>
      </c>
      <c r="E28" s="513" t="str">
        <f>"(Note "&amp;B$326&amp;")"</f>
        <v>(Note A)</v>
      </c>
      <c r="F28" s="244" t="s">
        <v>863</v>
      </c>
      <c r="H28" s="435">
        <f>+'9 - Rate Base'!J24</f>
        <v>0</v>
      </c>
      <c r="I28" s="244"/>
      <c r="N28"/>
      <c r="O28"/>
      <c r="P28"/>
    </row>
    <row r="29" spans="1:16">
      <c r="A29" s="228" t="s">
        <v>866</v>
      </c>
      <c r="B29" s="221"/>
      <c r="C29" s="259" t="s">
        <v>762</v>
      </c>
      <c r="D29" s="255"/>
      <c r="E29" s="1501"/>
      <c r="F29" s="244" t="s">
        <v>864</v>
      </c>
      <c r="H29" s="435">
        <f>+'9 - Rate Base'!J25</f>
        <v>0</v>
      </c>
      <c r="I29" s="244"/>
      <c r="N29"/>
      <c r="O29"/>
      <c r="P29"/>
    </row>
    <row r="30" spans="1:16">
      <c r="A30" s="228">
        <f>+A28+1</f>
        <v>12</v>
      </c>
      <c r="C30" s="311" t="s">
        <v>293</v>
      </c>
      <c r="E30" s="513" t="str">
        <f>"(Note "&amp;B$326&amp;")"</f>
        <v>(Note A)</v>
      </c>
      <c r="F30" s="244" t="s">
        <v>865</v>
      </c>
      <c r="H30" s="435">
        <f>+'9 - Rate Base'!H24</f>
        <v>0</v>
      </c>
      <c r="I30" s="244"/>
      <c r="N30"/>
      <c r="O30"/>
      <c r="P30"/>
    </row>
    <row r="31" spans="1:16">
      <c r="A31" s="228" t="s">
        <v>867</v>
      </c>
      <c r="B31" s="221"/>
      <c r="C31" s="259" t="s">
        <v>762</v>
      </c>
      <c r="D31" s="255"/>
      <c r="E31" s="1501"/>
      <c r="F31" s="244" t="s">
        <v>885</v>
      </c>
      <c r="H31" s="435">
        <f>+'9 - Rate Base'!H25</f>
        <v>0</v>
      </c>
      <c r="I31" s="244"/>
      <c r="N31"/>
      <c r="O31"/>
      <c r="P31"/>
    </row>
    <row r="32" spans="1:16">
      <c r="A32" s="228">
        <v>13</v>
      </c>
      <c r="C32" s="433" t="s">
        <v>294</v>
      </c>
      <c r="D32" s="260"/>
      <c r="E32" s="436"/>
      <c r="F32" s="263" t="str">
        <f>"(Line "&amp;A24&amp;" - "&amp;A25&amp;" + "&amp;A26&amp;" - "&amp;A27&amp;" + "&amp;A28&amp;" - "&amp;A29&amp;" + "&amp;A30&amp;" - "&amp;A31&amp;")"</f>
        <v>(Line 9 - 9a + 10 - 10a + 11 - 11a + 12 - 12a)</v>
      </c>
      <c r="G32" s="434"/>
      <c r="H32" s="258">
        <f>H24-H25+H26-H27+H28-H29+H30-H31</f>
        <v>1026243217.2858068</v>
      </c>
      <c r="I32" s="235"/>
      <c r="N32"/>
      <c r="O32"/>
      <c r="P32"/>
    </row>
    <row r="33" spans="1:16" ht="17.25" customHeight="1">
      <c r="A33" s="220"/>
      <c r="C33" s="311"/>
      <c r="E33" s="1501"/>
      <c r="F33" s="243"/>
      <c r="H33" s="437"/>
      <c r="I33" s="439"/>
      <c r="N33"/>
      <c r="O33"/>
      <c r="P33"/>
    </row>
    <row r="34" spans="1:16">
      <c r="A34" s="236">
        <v>14</v>
      </c>
      <c r="B34" s="168"/>
      <c r="C34" s="434" t="s">
        <v>295</v>
      </c>
      <c r="D34" s="434"/>
      <c r="E34" s="436"/>
      <c r="F34" s="263" t="s">
        <v>815</v>
      </c>
      <c r="G34" s="434"/>
      <c r="H34" s="263">
        <f>+H22-H32</f>
        <v>3700069355.1797905</v>
      </c>
      <c r="I34" s="235"/>
      <c r="N34"/>
      <c r="O34"/>
      <c r="P34"/>
    </row>
    <row r="35" spans="1:16">
      <c r="A35" s="220"/>
      <c r="B35" s="168"/>
      <c r="C35" s="168"/>
      <c r="D35" s="168"/>
      <c r="E35" s="1501"/>
      <c r="N35"/>
      <c r="O35"/>
      <c r="P35"/>
    </row>
    <row r="36" spans="1:16">
      <c r="A36" s="228">
        <v>15</v>
      </c>
      <c r="B36" s="168"/>
      <c r="C36" s="168" t="s">
        <v>296</v>
      </c>
      <c r="D36" s="168"/>
      <c r="E36" s="1501"/>
      <c r="F36" s="241" t="s">
        <v>816</v>
      </c>
      <c r="H36" s="437">
        <f>+H61-H59</f>
        <v>1794388111.4348691</v>
      </c>
      <c r="I36" s="439"/>
      <c r="N36"/>
      <c r="O36"/>
      <c r="P36"/>
    </row>
    <row r="37" spans="1:16" ht="16" thickBot="1">
      <c r="A37" s="236">
        <v>16</v>
      </c>
      <c r="B37" s="283" t="s">
        <v>237</v>
      </c>
      <c r="C37" s="283"/>
      <c r="D37" s="283"/>
      <c r="E37" s="438"/>
      <c r="F37" s="429" t="s">
        <v>817</v>
      </c>
      <c r="G37" s="283"/>
      <c r="H37" s="431">
        <f>+H36/(H22)</f>
        <v>0.37965921295357374</v>
      </c>
      <c r="I37" s="973"/>
      <c r="N37"/>
      <c r="O37"/>
      <c r="P37"/>
    </row>
    <row r="38" spans="1:16" ht="16" thickTop="1">
      <c r="A38" s="220"/>
      <c r="E38" s="1501"/>
      <c r="N38"/>
      <c r="O38"/>
      <c r="P38"/>
    </row>
    <row r="39" spans="1:16">
      <c r="A39" s="228">
        <v>17</v>
      </c>
      <c r="B39" s="236"/>
      <c r="C39" s="259" t="s">
        <v>297</v>
      </c>
      <c r="D39" s="255"/>
      <c r="E39" s="294"/>
      <c r="F39" s="241" t="s">
        <v>818</v>
      </c>
      <c r="G39" s="232"/>
      <c r="H39" s="439">
        <f>+H80-H59</f>
        <v>1475111333.3442364</v>
      </c>
      <c r="I39" s="439"/>
      <c r="N39"/>
      <c r="O39"/>
      <c r="P39"/>
    </row>
    <row r="40" spans="1:16" ht="16" thickBot="1">
      <c r="A40" s="236">
        <v>18</v>
      </c>
      <c r="B40" s="283" t="s">
        <v>298</v>
      </c>
      <c r="C40" s="283"/>
      <c r="D40" s="283"/>
      <c r="E40" s="438"/>
      <c r="F40" s="429" t="s">
        <v>819</v>
      </c>
      <c r="G40" s="283"/>
      <c r="H40" s="440">
        <f>+H39/H34</f>
        <v>0.39867126579105949</v>
      </c>
      <c r="I40" s="973"/>
      <c r="N40"/>
      <c r="O40"/>
      <c r="P40"/>
    </row>
    <row r="41" spans="1:16" ht="16" thickTop="1">
      <c r="A41" s="236"/>
      <c r="B41" s="461"/>
      <c r="C41" s="461"/>
      <c r="D41" s="461"/>
      <c r="E41" s="1501"/>
      <c r="F41" s="234"/>
      <c r="G41" s="461"/>
      <c r="H41" s="973"/>
      <c r="I41" s="973"/>
      <c r="N41"/>
      <c r="O41"/>
      <c r="P41"/>
    </row>
    <row r="42" spans="1:16" s="221" customFormat="1">
      <c r="A42" s="441" t="s">
        <v>299</v>
      </c>
      <c r="B42" s="442"/>
      <c r="C42" s="416"/>
      <c r="D42" s="416"/>
      <c r="E42" s="1509"/>
      <c r="F42" s="418"/>
      <c r="G42" s="418"/>
      <c r="H42" s="292"/>
      <c r="I42" s="420"/>
      <c r="K42"/>
      <c r="L42"/>
      <c r="M42"/>
      <c r="N42"/>
      <c r="O42"/>
      <c r="P42"/>
    </row>
    <row r="43" spans="1:16" s="221" customFormat="1">
      <c r="A43" s="443"/>
      <c r="B43" s="444"/>
      <c r="C43" s="311"/>
      <c r="D43" s="311"/>
      <c r="E43" s="1510"/>
      <c r="F43" s="419"/>
      <c r="G43" s="419"/>
      <c r="H43" s="420"/>
      <c r="I43" s="420"/>
      <c r="K43"/>
      <c r="L43"/>
      <c r="M43"/>
      <c r="N43"/>
      <c r="O43"/>
      <c r="P43"/>
    </row>
    <row r="44" spans="1:16">
      <c r="A44" s="220"/>
      <c r="B44" s="259" t="s">
        <v>56</v>
      </c>
      <c r="E44" s="294"/>
      <c r="F44" s="244"/>
      <c r="G44" s="228"/>
      <c r="H44" s="243"/>
      <c r="I44" s="244"/>
      <c r="N44"/>
      <c r="O44"/>
      <c r="P44"/>
    </row>
    <row r="45" spans="1:16">
      <c r="A45" s="228">
        <v>19</v>
      </c>
      <c r="B45" s="236"/>
      <c r="C45" s="247" t="s">
        <v>300</v>
      </c>
      <c r="E45" s="513" t="str">
        <f>"(Note "&amp;B$327&amp;")"</f>
        <v>(Note B)</v>
      </c>
      <c r="F45" s="244" t="s">
        <v>880</v>
      </c>
      <c r="G45" s="232"/>
      <c r="H45" s="423">
        <f>+'9 - Rate Base'!C24</f>
        <v>1754695686.1443346</v>
      </c>
      <c r="I45" s="976"/>
      <c r="N45"/>
      <c r="O45"/>
      <c r="P45"/>
    </row>
    <row r="46" spans="1:16">
      <c r="A46" s="228" t="s">
        <v>868</v>
      </c>
      <c r="B46" s="221"/>
      <c r="C46" s="259" t="s">
        <v>762</v>
      </c>
      <c r="D46" s="255"/>
      <c r="E46" s="1501"/>
      <c r="F46" s="244" t="s">
        <v>869</v>
      </c>
      <c r="G46" s="232"/>
      <c r="H46" s="435">
        <f>+'9 - Rate Base'!C25</f>
        <v>0</v>
      </c>
      <c r="I46" s="244"/>
      <c r="N46"/>
      <c r="O46"/>
      <c r="P46"/>
    </row>
    <row r="47" spans="1:16">
      <c r="A47" s="228">
        <v>20</v>
      </c>
      <c r="B47" s="228"/>
      <c r="C47" s="259" t="s">
        <v>803</v>
      </c>
      <c r="D47" s="255"/>
      <c r="E47" s="294"/>
      <c r="F47" s="252"/>
      <c r="G47" s="232"/>
      <c r="H47" s="902">
        <v>0</v>
      </c>
      <c r="I47" s="902"/>
      <c r="N47"/>
      <c r="O47"/>
      <c r="P47"/>
    </row>
    <row r="48" spans="1:16">
      <c r="A48" s="228">
        <v>21</v>
      </c>
      <c r="B48" s="228"/>
      <c r="C48" s="539" t="s">
        <v>803</v>
      </c>
      <c r="D48" s="489"/>
      <c r="E48" s="445"/>
      <c r="F48" s="305"/>
      <c r="G48" s="238"/>
      <c r="H48" s="903">
        <v>0</v>
      </c>
      <c r="I48" s="902"/>
      <c r="N48"/>
      <c r="O48"/>
      <c r="P48"/>
    </row>
    <row r="49" spans="1:16">
      <c r="A49" s="228">
        <v>22</v>
      </c>
      <c r="B49" s="236"/>
      <c r="C49" s="247" t="s">
        <v>302</v>
      </c>
      <c r="E49" s="513"/>
      <c r="F49" s="263" t="str">
        <f>"(Line "&amp;A45&amp;" -"&amp;A46&amp;")"</f>
        <v>(Line 19 -19a)</v>
      </c>
      <c r="G49" s="232"/>
      <c r="H49" s="244">
        <f>H45-H46+H47+H48</f>
        <v>1754695686.1443346</v>
      </c>
      <c r="I49" s="244"/>
      <c r="N49"/>
      <c r="O49"/>
      <c r="P49"/>
    </row>
    <row r="50" spans="1:16" s="221" customFormat="1">
      <c r="A50" s="228"/>
      <c r="B50" s="228"/>
      <c r="C50" s="259"/>
      <c r="D50" s="255"/>
      <c r="E50" s="1501"/>
      <c r="F50" s="244"/>
      <c r="G50" s="255"/>
      <c r="H50" s="244"/>
      <c r="I50" s="244"/>
      <c r="K50"/>
      <c r="L50"/>
      <c r="M50"/>
      <c r="N50"/>
      <c r="O50"/>
      <c r="P50"/>
    </row>
    <row r="51" spans="1:16">
      <c r="A51" s="228">
        <v>23</v>
      </c>
      <c r="B51" s="236"/>
      <c r="C51" s="247" t="s">
        <v>147</v>
      </c>
      <c r="E51" s="1501"/>
      <c r="F51" s="244" t="s">
        <v>881</v>
      </c>
      <c r="G51" s="232"/>
      <c r="H51" s="435">
        <f>+'9 - Rate Base'!D24</f>
        <v>286753638.09514374</v>
      </c>
      <c r="I51" s="244"/>
      <c r="N51"/>
      <c r="O51"/>
      <c r="P51"/>
    </row>
    <row r="52" spans="1:16">
      <c r="A52" s="228" t="s">
        <v>870</v>
      </c>
      <c r="B52" s="228"/>
      <c r="C52" s="259" t="s">
        <v>762</v>
      </c>
      <c r="D52" s="255"/>
      <c r="E52" s="1501"/>
      <c r="F52" s="244" t="s">
        <v>871</v>
      </c>
      <c r="G52" s="232"/>
      <c r="H52" s="435">
        <f>+'9 - Rate Base'!D25</f>
        <v>969311.32000000018</v>
      </c>
      <c r="I52" s="244"/>
      <c r="N52"/>
      <c r="O52"/>
      <c r="P52"/>
    </row>
    <row r="53" spans="1:16">
      <c r="A53" s="228">
        <v>24</v>
      </c>
      <c r="B53" s="236"/>
      <c r="C53" s="247" t="s">
        <v>303</v>
      </c>
      <c r="E53" s="513" t="str">
        <f>"(Notes "&amp;B$326&amp;" &amp; "&amp;B$327&amp;")"</f>
        <v>(Notes A &amp; B)</v>
      </c>
      <c r="F53" s="235" t="s">
        <v>882</v>
      </c>
      <c r="G53" s="232"/>
      <c r="H53" s="446">
        <f>+'9 - Rate Base'!E24</f>
        <v>0</v>
      </c>
      <c r="I53" s="235"/>
      <c r="N53"/>
      <c r="O53"/>
      <c r="P53"/>
    </row>
    <row r="54" spans="1:16">
      <c r="A54" s="228" t="s">
        <v>872</v>
      </c>
      <c r="B54" s="228"/>
      <c r="C54" s="259" t="s">
        <v>762</v>
      </c>
      <c r="D54" s="255"/>
      <c r="E54" s="1501"/>
      <c r="F54" s="250" t="s">
        <v>873</v>
      </c>
      <c r="G54" s="232"/>
      <c r="H54" s="435">
        <f>+'9 - Rate Base'!E25</f>
        <v>0</v>
      </c>
      <c r="I54" s="244"/>
      <c r="N54"/>
      <c r="O54"/>
      <c r="P54"/>
    </row>
    <row r="55" spans="1:16">
      <c r="A55" s="228">
        <v>25</v>
      </c>
      <c r="B55" s="236"/>
      <c r="C55" s="425" t="s">
        <v>304</v>
      </c>
      <c r="D55" s="260"/>
      <c r="E55" s="436"/>
      <c r="F55" s="263" t="str">
        <f>"(Line "&amp;A51&amp;" -"&amp;A52&amp;" + "&amp;A53&amp;" - "&amp;A54&amp;")"</f>
        <v>(Line 23 -23a + 24 - 24a)</v>
      </c>
      <c r="G55" s="260"/>
      <c r="H55" s="263">
        <f>H51-H52+H53-H54</f>
        <v>285784326.77514374</v>
      </c>
      <c r="I55" s="235"/>
      <c r="N55"/>
      <c r="O55"/>
      <c r="P55"/>
    </row>
    <row r="56" spans="1:16">
      <c r="A56" s="228">
        <v>26</v>
      </c>
      <c r="B56" s="236"/>
      <c r="C56" s="1684" t="s">
        <v>305</v>
      </c>
      <c r="D56" s="259"/>
      <c r="E56" s="294"/>
      <c r="F56" s="241" t="str">
        <f>"(Line "&amp;A$16&amp;")"</f>
        <v>(Line 5)</v>
      </c>
      <c r="G56" s="447"/>
      <c r="H56" s="448">
        <f>+H16</f>
        <v>0.13888944064369446</v>
      </c>
      <c r="I56" s="979"/>
      <c r="N56"/>
      <c r="O56"/>
      <c r="P56"/>
    </row>
    <row r="57" spans="1:16">
      <c r="A57" s="228">
        <v>27</v>
      </c>
      <c r="B57" s="168"/>
      <c r="C57" s="257" t="s">
        <v>306</v>
      </c>
      <c r="D57" s="433"/>
      <c r="E57" s="426"/>
      <c r="F57" s="234" t="str">
        <f>"(Line "&amp;A55&amp;" * "&amp;A56&amp;")"</f>
        <v>(Line 25 * 26)</v>
      </c>
      <c r="G57" s="434"/>
      <c r="H57" s="263">
        <f>+H56*H55</f>
        <v>39692425.290534511</v>
      </c>
      <c r="I57" s="235"/>
      <c r="N57"/>
      <c r="O57"/>
      <c r="P57"/>
    </row>
    <row r="58" spans="1:16">
      <c r="A58" s="422"/>
      <c r="B58" s="168"/>
      <c r="C58" s="259"/>
      <c r="D58" s="221"/>
      <c r="E58" s="445"/>
      <c r="H58" s="234"/>
      <c r="I58" s="235"/>
      <c r="N58"/>
      <c r="O58"/>
      <c r="P58"/>
    </row>
    <row r="59" spans="1:16">
      <c r="A59" s="228">
        <v>28</v>
      </c>
      <c r="B59" s="236"/>
      <c r="C59" s="257" t="s">
        <v>307</v>
      </c>
      <c r="D59" s="449"/>
      <c r="E59" s="513" t="str">
        <f>"(Note "&amp;B$332&amp;")"</f>
        <v>(Note C)</v>
      </c>
      <c r="F59" s="258" t="s">
        <v>789</v>
      </c>
      <c r="G59" s="260"/>
      <c r="H59" s="450">
        <f>+'9 - Rate Base'!D47</f>
        <v>813792.15384615387</v>
      </c>
      <c r="I59" s="235"/>
      <c r="N59"/>
      <c r="O59"/>
      <c r="P59"/>
    </row>
    <row r="60" spans="1:16">
      <c r="A60" s="422"/>
      <c r="B60" s="168"/>
      <c r="C60" s="259"/>
      <c r="D60" s="221"/>
      <c r="E60" s="1501"/>
      <c r="H60" s="234"/>
      <c r="I60" s="235"/>
      <c r="N60"/>
      <c r="O60"/>
      <c r="P60"/>
    </row>
    <row r="61" spans="1:16" s="312" customFormat="1" ht="16" thickBot="1">
      <c r="A61" s="228">
        <v>29</v>
      </c>
      <c r="B61" s="283" t="s">
        <v>308</v>
      </c>
      <c r="C61" s="283"/>
      <c r="D61" s="283"/>
      <c r="E61" s="438"/>
      <c r="F61" s="429" t="str">
        <f>"(Line "&amp;A49&amp;" + "&amp;A57&amp;" + "&amp;A59&amp;")"</f>
        <v>(Line 22 + 27 + 28)</v>
      </c>
      <c r="G61" s="283"/>
      <c r="H61" s="451">
        <f>SUM(H49,H57,H59)</f>
        <v>1795201903.5887153</v>
      </c>
      <c r="I61" s="538"/>
      <c r="J61" s="168"/>
      <c r="K61"/>
      <c r="L61"/>
      <c r="M61"/>
      <c r="N61"/>
      <c r="O61"/>
      <c r="P61"/>
    </row>
    <row r="62" spans="1:16" ht="16" thickTop="1">
      <c r="A62" s="422"/>
      <c r="B62" s="168"/>
      <c r="C62" s="168"/>
      <c r="D62" s="168"/>
      <c r="E62" s="1501"/>
      <c r="N62"/>
      <c r="O62"/>
      <c r="P62"/>
    </row>
    <row r="63" spans="1:16">
      <c r="A63" s="228"/>
      <c r="B63" s="259" t="s">
        <v>73</v>
      </c>
      <c r="C63" s="259"/>
      <c r="D63" s="244"/>
      <c r="E63" s="294"/>
      <c r="F63" s="243"/>
      <c r="G63" s="301"/>
      <c r="H63" s="243"/>
      <c r="I63" s="244"/>
      <c r="N63"/>
      <c r="O63"/>
      <c r="P63"/>
    </row>
    <row r="64" spans="1:16">
      <c r="A64" s="422"/>
      <c r="B64" s="255"/>
      <c r="C64" s="255"/>
      <c r="D64" s="255"/>
      <c r="E64" s="1501"/>
      <c r="F64" s="243"/>
      <c r="G64" s="243"/>
      <c r="H64" s="243"/>
      <c r="I64" s="244"/>
      <c r="N64"/>
      <c r="O64"/>
      <c r="P64"/>
    </row>
    <row r="65" spans="1:16">
      <c r="A65" s="228">
        <v>30</v>
      </c>
      <c r="B65" s="236"/>
      <c r="C65" s="247" t="s">
        <v>309</v>
      </c>
      <c r="E65" s="513" t="str">
        <f>"(Note "&amp;B$327&amp;")"</f>
        <v>(Note B)</v>
      </c>
      <c r="F65" s="244" t="s">
        <v>877</v>
      </c>
      <c r="G65" s="232"/>
      <c r="H65" s="435">
        <f>+'9 - Rate Base'!F24</f>
        <v>305945179.5733732</v>
      </c>
      <c r="I65" s="244"/>
      <c r="N65"/>
      <c r="O65"/>
      <c r="P65"/>
    </row>
    <row r="66" spans="1:16">
      <c r="A66" s="228" t="s">
        <v>874</v>
      </c>
      <c r="B66" s="221"/>
      <c r="C66" s="539" t="s">
        <v>762</v>
      </c>
      <c r="D66" s="489"/>
      <c r="E66" s="445"/>
      <c r="F66" s="250" t="s">
        <v>878</v>
      </c>
      <c r="G66" s="238"/>
      <c r="H66" s="512">
        <f>+'9 - Rate Base'!F25</f>
        <v>0</v>
      </c>
      <c r="I66" s="235"/>
      <c r="N66"/>
      <c r="O66"/>
      <c r="P66"/>
    </row>
    <row r="67" spans="1:16">
      <c r="A67" s="228" t="s">
        <v>875</v>
      </c>
      <c r="B67" s="221"/>
      <c r="C67" s="259" t="s">
        <v>876</v>
      </c>
      <c r="D67" s="255"/>
      <c r="E67" s="1501"/>
      <c r="F67" s="244" t="str">
        <f>"(Line "&amp;A65&amp;" - "&amp;A66&amp;")"</f>
        <v>(Line 30 - 30a)</v>
      </c>
      <c r="G67" s="232"/>
      <c r="H67" s="435">
        <f>+H65-H66</f>
        <v>305945179.5733732</v>
      </c>
      <c r="I67" s="244"/>
      <c r="N67"/>
      <c r="O67"/>
      <c r="P67"/>
    </row>
    <row r="68" spans="1:16" s="221" customFormat="1">
      <c r="A68" s="228"/>
      <c r="B68" s="228"/>
      <c r="C68" s="255"/>
      <c r="D68" s="259"/>
      <c r="E68" s="1501"/>
      <c r="F68" s="244"/>
      <c r="G68" s="255"/>
      <c r="H68" s="244"/>
      <c r="I68" s="244"/>
      <c r="K68"/>
      <c r="L68"/>
      <c r="M68"/>
      <c r="N68"/>
      <c r="O68"/>
      <c r="P68"/>
    </row>
    <row r="69" spans="1:16">
      <c r="A69" s="228">
        <v>31</v>
      </c>
      <c r="B69" s="236"/>
      <c r="C69" s="247" t="s">
        <v>151</v>
      </c>
      <c r="E69" s="1501"/>
      <c r="F69" s="244" t="s">
        <v>883</v>
      </c>
      <c r="G69" s="232"/>
      <c r="H69" s="435">
        <f>+'9 - Rate Base'!G24</f>
        <v>59137573.43413166</v>
      </c>
      <c r="I69" s="244"/>
      <c r="N69"/>
      <c r="O69"/>
      <c r="P69"/>
    </row>
    <row r="70" spans="1:16">
      <c r="A70" s="228" t="s">
        <v>879</v>
      </c>
      <c r="B70" s="228"/>
      <c r="C70" s="259" t="s">
        <v>762</v>
      </c>
      <c r="D70" s="255"/>
      <c r="E70" s="1501"/>
      <c r="F70" s="244" t="s">
        <v>884</v>
      </c>
      <c r="G70" s="232"/>
      <c r="H70" s="435">
        <f>+'9 - Rate Base'!G25</f>
        <v>66635.317999999999</v>
      </c>
      <c r="I70" s="244"/>
      <c r="N70"/>
      <c r="O70"/>
      <c r="P70"/>
    </row>
    <row r="71" spans="1:16">
      <c r="A71" s="228">
        <v>32</v>
      </c>
      <c r="B71" s="236"/>
      <c r="C71" s="247" t="s">
        <v>146</v>
      </c>
      <c r="E71" s="1501"/>
      <c r="F71" s="234" t="str">
        <f>"(Line "&amp;A$26&amp;" - "&amp;A$27&amp;")"</f>
        <v>(Line 10 - 10a)</v>
      </c>
      <c r="G71" s="232"/>
      <c r="H71" s="244">
        <f>+H26-H27</f>
        <v>36916189.886350818</v>
      </c>
      <c r="I71" s="244"/>
      <c r="N71"/>
      <c r="O71"/>
      <c r="P71"/>
    </row>
    <row r="72" spans="1:16">
      <c r="A72" s="228">
        <v>33</v>
      </c>
      <c r="B72" s="236"/>
      <c r="C72" s="247" t="s">
        <v>291</v>
      </c>
      <c r="E72" s="513"/>
      <c r="F72" s="234" t="str">
        <f>"(Line "&amp;A$28&amp;" - "&amp;A$29&amp;")"</f>
        <v>(Line 11 - 11a)</v>
      </c>
      <c r="G72" s="232"/>
      <c r="H72" s="244">
        <f>+H28-H29</f>
        <v>0</v>
      </c>
      <c r="I72" s="244"/>
      <c r="N72"/>
      <c r="O72"/>
      <c r="P72"/>
    </row>
    <row r="73" spans="1:16">
      <c r="A73" s="228">
        <v>34</v>
      </c>
      <c r="B73" s="236"/>
      <c r="C73" s="273" t="s">
        <v>310</v>
      </c>
      <c r="D73" s="238"/>
      <c r="E73" s="480"/>
      <c r="F73" s="241" t="str">
        <f>"(Line "&amp;A$30&amp;" - "&amp;A$31&amp;")"</f>
        <v>(Line 12 - 12a)</v>
      </c>
      <c r="G73" s="232"/>
      <c r="H73" s="250">
        <f>+H30-H31</f>
        <v>0</v>
      </c>
      <c r="I73" s="235"/>
      <c r="N73"/>
      <c r="O73"/>
      <c r="P73"/>
    </row>
    <row r="74" spans="1:16">
      <c r="A74" s="228">
        <v>35</v>
      </c>
      <c r="B74" s="236"/>
      <c r="C74" s="453" t="s">
        <v>294</v>
      </c>
      <c r="D74" s="231"/>
      <c r="E74" s="294"/>
      <c r="F74" s="263" t="str">
        <f>"(Line "&amp;A69&amp;" - "&amp;A70&amp;" + "&amp;A71&amp;" + "&amp;A72&amp;" + "&amp;A73&amp;")"</f>
        <v>(Line 31 - 31a + 32 + 33 + 34)</v>
      </c>
      <c r="G74" s="234"/>
      <c r="H74" s="234">
        <f>H69-H70+H71+H72+H73</f>
        <v>95987128.002482474</v>
      </c>
      <c r="I74" s="235"/>
      <c r="N74"/>
      <c r="O74"/>
      <c r="P74"/>
    </row>
    <row r="75" spans="1:16">
      <c r="A75" s="228">
        <v>36</v>
      </c>
      <c r="B75" s="236"/>
      <c r="C75" s="1679" t="s">
        <v>305</v>
      </c>
      <c r="D75" s="231"/>
      <c r="E75" s="294"/>
      <c r="F75" s="241" t="str">
        <f>"(Line "&amp;A$16&amp;")"</f>
        <v>(Line 5)</v>
      </c>
      <c r="G75" s="234"/>
      <c r="H75" s="454">
        <f>+H16</f>
        <v>0.13888944064369446</v>
      </c>
      <c r="I75" s="980"/>
      <c r="N75"/>
      <c r="O75"/>
      <c r="P75"/>
    </row>
    <row r="76" spans="1:16">
      <c r="A76" s="228">
        <v>37</v>
      </c>
      <c r="B76" s="168"/>
      <c r="C76" s="425" t="s">
        <v>311</v>
      </c>
      <c r="D76" s="434"/>
      <c r="E76" s="436"/>
      <c r="F76" s="234" t="str">
        <f>"(Line "&amp;A74&amp;" * "&amp;A75&amp;")"</f>
        <v>(Line 35 * 36)</v>
      </c>
      <c r="G76" s="434"/>
      <c r="H76" s="263">
        <f>+H75*H74</f>
        <v>13331598.517259492</v>
      </c>
      <c r="I76" s="235"/>
      <c r="N76"/>
      <c r="O76"/>
      <c r="P76"/>
    </row>
    <row r="77" spans="1:16">
      <c r="A77" s="422"/>
      <c r="B77" s="168"/>
      <c r="C77" s="168"/>
      <c r="D77" s="168"/>
      <c r="E77" s="1501"/>
      <c r="N77"/>
      <c r="O77"/>
      <c r="P77"/>
    </row>
    <row r="78" spans="1:16" ht="16" thickBot="1">
      <c r="A78" s="228">
        <v>38</v>
      </c>
      <c r="B78" s="283" t="s">
        <v>312</v>
      </c>
      <c r="C78" s="283"/>
      <c r="D78" s="283"/>
      <c r="E78" s="438"/>
      <c r="F78" s="429" t="str">
        <f>"(Line "&amp;A67&amp;" + "&amp;A76&amp;")"</f>
        <v>(Line 30b + 37)</v>
      </c>
      <c r="G78" s="283"/>
      <c r="H78" s="451">
        <f>+H76+H67</f>
        <v>319276778.09063268</v>
      </c>
      <c r="I78" s="538"/>
      <c r="N78"/>
      <c r="O78"/>
      <c r="P78"/>
    </row>
    <row r="79" spans="1:16" ht="16" thickTop="1">
      <c r="A79" s="422"/>
      <c r="B79" s="168"/>
      <c r="C79" s="168"/>
      <c r="D79" s="168"/>
      <c r="E79" s="1501"/>
      <c r="N79"/>
      <c r="O79"/>
      <c r="P79"/>
    </row>
    <row r="80" spans="1:16" ht="16" thickBot="1">
      <c r="A80" s="228">
        <v>39</v>
      </c>
      <c r="B80" s="283" t="s">
        <v>313</v>
      </c>
      <c r="C80" s="283"/>
      <c r="D80" s="283"/>
      <c r="E80" s="438"/>
      <c r="F80" s="429" t="str">
        <f>"(Line "&amp;A61&amp;" - "&amp;A78&amp;")"</f>
        <v>(Line 29 - 38)</v>
      </c>
      <c r="G80" s="283"/>
      <c r="H80" s="451">
        <f>+H61-H78</f>
        <v>1475925125.4980826</v>
      </c>
      <c r="I80" s="538"/>
      <c r="N80"/>
      <c r="O80"/>
      <c r="P80"/>
    </row>
    <row r="81" spans="1:16" ht="16" thickTop="1">
      <c r="A81" s="220"/>
      <c r="B81" s="168"/>
      <c r="C81" s="168"/>
      <c r="D81" s="168"/>
      <c r="E81" s="1501"/>
      <c r="N81"/>
      <c r="O81"/>
      <c r="P81"/>
    </row>
    <row r="82" spans="1:16">
      <c r="A82" s="441" t="s">
        <v>314</v>
      </c>
      <c r="B82" s="416"/>
      <c r="C82" s="416"/>
      <c r="D82" s="416"/>
      <c r="E82" s="1509"/>
      <c r="F82" s="418"/>
      <c r="G82" s="418"/>
      <c r="H82" s="225"/>
      <c r="N82"/>
      <c r="O82"/>
      <c r="P82"/>
    </row>
    <row r="83" spans="1:16">
      <c r="A83" s="1485"/>
      <c r="B83" s="456"/>
      <c r="C83" s="456"/>
      <c r="D83" s="456"/>
      <c r="E83" s="1501"/>
      <c r="N83"/>
      <c r="O83"/>
      <c r="P83"/>
    </row>
    <row r="84" spans="1:16">
      <c r="A84" s="422"/>
      <c r="B84" s="1193" t="s">
        <v>896</v>
      </c>
      <c r="C84" s="1184"/>
      <c r="D84" s="1185"/>
      <c r="E84" s="271"/>
      <c r="F84" s="1185"/>
      <c r="G84" s="1184"/>
      <c r="H84" s="1187"/>
      <c r="N84"/>
      <c r="O84"/>
      <c r="P84"/>
    </row>
    <row r="85" spans="1:16">
      <c r="A85" s="422" t="s">
        <v>897</v>
      </c>
      <c r="B85" s="1193"/>
      <c r="C85" s="1186" t="s">
        <v>898</v>
      </c>
      <c r="D85" s="1246" t="str">
        <f>'1A - ADIT Summary'!D177</f>
        <v>Projected Activity</v>
      </c>
      <c r="E85" s="513" t="str">
        <f>"(Note "&amp;B356&amp;")"</f>
        <v>(Note V)</v>
      </c>
      <c r="F85" s="1225" t="str">
        <f>"Attachment 1A - ADIT Summary, Line "&amp;'1A - ADIT Summary'!B38&amp;""</f>
        <v>Attachment 1A - ADIT Summary, Line 23</v>
      </c>
      <c r="G85" s="1184"/>
      <c r="H85" s="1675">
        <f>IF('1A - ADIT Summary'!$D$177="True-Up Adjustment", '1A - ADIT Summary'!R38,'1A - ADIT Summary'!L38)</f>
        <v>15668614.03813217</v>
      </c>
      <c r="J85" s="1185"/>
      <c r="N85"/>
      <c r="O85"/>
      <c r="P85"/>
    </row>
    <row r="86" spans="1:16">
      <c r="A86" s="422" t="s">
        <v>899</v>
      </c>
      <c r="B86" s="1193"/>
      <c r="C86" s="1186" t="s">
        <v>900</v>
      </c>
      <c r="D86" s="1246" t="str">
        <f>D85</f>
        <v>Projected Activity</v>
      </c>
      <c r="E86" s="513" t="str">
        <f>"(Note "&amp;B356&amp;")"</f>
        <v>(Note V)</v>
      </c>
      <c r="F86" s="1225" t="str">
        <f>"Attachment 1A - ADIT Summary, Line "&amp;'1A - ADIT Summary'!B71&amp;""</f>
        <v>Attachment 1A - ADIT Summary, Line 46</v>
      </c>
      <c r="G86" s="1184"/>
      <c r="H86" s="1675">
        <f>IF('1A - ADIT Summary'!$D$177="True-Up Adjustment", '1A - ADIT Summary'!R71,'1A - ADIT Summary'!L71)</f>
        <v>0</v>
      </c>
      <c r="J86" s="1185"/>
      <c r="N86"/>
      <c r="O86"/>
      <c r="P86"/>
    </row>
    <row r="87" spans="1:16">
      <c r="A87" s="422" t="s">
        <v>901</v>
      </c>
      <c r="B87" s="1193"/>
      <c r="C87" s="1186" t="s">
        <v>1207</v>
      </c>
      <c r="D87" s="1246" t="str">
        <f>D86</f>
        <v>Projected Activity</v>
      </c>
      <c r="E87" s="513" t="str">
        <f>"(Note "&amp;B356&amp;")"</f>
        <v>(Note V)</v>
      </c>
      <c r="F87" s="1225" t="str">
        <f>"Attachment 1A - ADIT Summary, Line "&amp;'1A - ADIT Summary'!B104&amp;""</f>
        <v>Attachment 1A - ADIT Summary, Line 69</v>
      </c>
      <c r="G87" s="1184"/>
      <c r="H87" s="1675">
        <f>IF('1A - ADIT Summary'!$D$177="True-Up Adjustment", '1A - ADIT Summary'!R104,'1A - ADIT Summary'!L104)</f>
        <v>-276270845.79019105</v>
      </c>
      <c r="J87" s="1185"/>
      <c r="N87"/>
      <c r="O87"/>
      <c r="P87"/>
    </row>
    <row r="88" spans="1:16">
      <c r="A88" s="422" t="s">
        <v>902</v>
      </c>
      <c r="B88" s="1194"/>
      <c r="C88" s="1186" t="s">
        <v>903</v>
      </c>
      <c r="D88" s="1246" t="str">
        <f>D87</f>
        <v>Projected Activity</v>
      </c>
      <c r="E88" s="513" t="str">
        <f>"(Note "&amp;B356&amp;")"</f>
        <v>(Note V)</v>
      </c>
      <c r="F88" s="1225" t="str">
        <f>"Attachment 1A - ADIT Summary, Line "&amp;'1A - ADIT Summary'!B137&amp;""</f>
        <v>Attachment 1A - ADIT Summary, Line 92</v>
      </c>
      <c r="G88" s="1184"/>
      <c r="H88" s="1675">
        <f>IF('1A - ADIT Summary'!$D$177="True-Up Adjustment", '1A - ADIT Summary'!R137,'1A - ADIT Summary'!L137)</f>
        <v>-1834877.5769621802</v>
      </c>
      <c r="J88" s="1185"/>
      <c r="N88"/>
      <c r="O88"/>
      <c r="P88"/>
    </row>
    <row r="89" spans="1:16">
      <c r="A89" s="422" t="s">
        <v>1208</v>
      </c>
      <c r="B89" s="1185"/>
      <c r="C89" s="1190" t="s">
        <v>904</v>
      </c>
      <c r="D89" s="1246" t="str">
        <f>D88</f>
        <v>Projected Activity</v>
      </c>
      <c r="E89" s="480" t="str">
        <f>"(Note "&amp;B354&amp;")"</f>
        <v>(Note U)</v>
      </c>
      <c r="F89" s="1229" t="str">
        <f>"Attachment 1A - ADIT Summary, Line "&amp;'1A - ADIT Summary'!B170&amp;""</f>
        <v>Attachment 1A - ADIT Summary, Line 115</v>
      </c>
      <c r="G89" s="1189"/>
      <c r="H89" s="1676">
        <f>IF('1A - ADIT Summary'!$D$177="True-Up Adjustment", '1A - ADIT Summary'!R170,'1A - ADIT Summary'!L170)</f>
        <v>0</v>
      </c>
      <c r="J89" s="1185"/>
      <c r="N89"/>
      <c r="O89"/>
      <c r="P89"/>
    </row>
    <row r="90" spans="1:16">
      <c r="A90" s="422" t="s">
        <v>1209</v>
      </c>
      <c r="B90" s="1185"/>
      <c r="C90" s="1195" t="s">
        <v>318</v>
      </c>
      <c r="D90" s="1192"/>
      <c r="E90" s="436"/>
      <c r="F90" s="1225" t="str">
        <f>"(Line "&amp;A85&amp;" + "&amp;A86&amp;" + "&amp;A87&amp;" + "&amp;A88&amp;" + "&amp;A89&amp;")"</f>
        <v>(Line 40a + 40b + 40c + 40d + 40e)</v>
      </c>
      <c r="G90" s="1192"/>
      <c r="H90" s="1198">
        <f>SUM(H85:H89)</f>
        <v>-262437109.32902107</v>
      </c>
      <c r="J90" s="1185"/>
      <c r="N90"/>
      <c r="O90"/>
      <c r="P90"/>
    </row>
    <row r="91" spans="1:16">
      <c r="A91" s="422"/>
      <c r="B91" s="1185"/>
      <c r="C91" s="1194"/>
      <c r="D91" s="1191"/>
      <c r="E91" s="1501"/>
      <c r="F91" s="1191"/>
      <c r="G91" s="1196"/>
      <c r="H91" s="1197"/>
      <c r="J91" s="1185"/>
      <c r="N91"/>
      <c r="O91"/>
      <c r="P91"/>
    </row>
    <row r="92" spans="1:16">
      <c r="A92" s="228"/>
      <c r="B92" s="1185" t="s">
        <v>1740</v>
      </c>
      <c r="C92" s="1193"/>
      <c r="D92" s="1191"/>
      <c r="E92" s="1501"/>
      <c r="F92" s="1219"/>
      <c r="G92" s="1191"/>
      <c r="H92" s="1201"/>
      <c r="J92" s="1185"/>
      <c r="N92"/>
      <c r="O92"/>
      <c r="P92"/>
    </row>
    <row r="93" spans="1:16">
      <c r="A93" s="228" t="s">
        <v>1210</v>
      </c>
      <c r="B93" s="1185"/>
      <c r="C93" s="1193" t="s">
        <v>1211</v>
      </c>
      <c r="D93" s="1191" t="s">
        <v>1206</v>
      </c>
      <c r="E93" s="513" t="str">
        <f>"(Note "&amp;B366&amp;")"</f>
        <v>(Note W)</v>
      </c>
      <c r="F93" s="1225" t="str">
        <f>"Attachment 1D - ADIT Rate Base Adjustment, Line "&amp;'1D - ADIT Rate Base Adjustment'!B117&amp;""</f>
        <v>Attachment 1D - ADIT Rate Base Adjustment, Line 73</v>
      </c>
      <c r="G93" s="1191"/>
      <c r="H93" s="1202">
        <f>IF('1D - ADIT Rate Base Adjustment'!D237="True-Up Adjustment",'1D - ADIT Rate Base Adjustment'!N117,'1D - ADIT Rate Base Adjustment'!H117)</f>
        <v>-62715208.229053684</v>
      </c>
      <c r="J93" s="1185"/>
      <c r="N93"/>
      <c r="O93"/>
      <c r="P93"/>
    </row>
    <row r="94" spans="1:16">
      <c r="A94" s="228" t="s">
        <v>1212</v>
      </c>
      <c r="B94" s="1185"/>
      <c r="C94" s="1199" t="s">
        <v>1213</v>
      </c>
      <c r="D94" s="1200" t="s">
        <v>1206</v>
      </c>
      <c r="E94" s="480" t="str">
        <f>"(Note "&amp;B366&amp;")"</f>
        <v>(Note W)</v>
      </c>
      <c r="F94" s="1229" t="str">
        <f>"Attachment 1D - ADIT Rate Base Adjustment, Line "&amp;'1D - ADIT Rate Base Adjustment'!B230&amp;""</f>
        <v>Attachment 1D - ADIT Rate Base Adjustment, Line 146</v>
      </c>
      <c r="G94" s="1200"/>
      <c r="H94" s="1203">
        <f>IF('1D - ADIT Rate Base Adjustment'!D237="True-Up Adjustment",'1D - ADIT Rate Base Adjustment'!N230,'1D - ADIT Rate Base Adjustment'!H230)</f>
        <v>0</v>
      </c>
      <c r="J94" s="1185"/>
      <c r="N94"/>
      <c r="O94"/>
      <c r="P94"/>
    </row>
    <row r="95" spans="1:16">
      <c r="A95" s="228">
        <v>42</v>
      </c>
      <c r="B95" s="1185"/>
      <c r="C95" s="1193" t="s">
        <v>1214</v>
      </c>
      <c r="D95" s="1191"/>
      <c r="E95" s="1501"/>
      <c r="F95" s="1225" t="str">
        <f>"(Line "&amp;A93&amp;" + "&amp;A94&amp;")"</f>
        <v>(Line 41a + 41b)</v>
      </c>
      <c r="G95" s="1191"/>
      <c r="H95" s="1201">
        <f>H93+H94</f>
        <v>-62715208.229053684</v>
      </c>
      <c r="J95" s="1185"/>
      <c r="N95"/>
      <c r="O95"/>
      <c r="P95"/>
    </row>
    <row r="96" spans="1:16">
      <c r="A96" s="228"/>
      <c r="B96" s="1185"/>
      <c r="C96" s="1193"/>
      <c r="D96" s="1191"/>
      <c r="E96" s="1501"/>
      <c r="F96" s="1188"/>
      <c r="G96" s="1191"/>
      <c r="H96" s="1201"/>
      <c r="J96" s="1185"/>
      <c r="N96"/>
      <c r="O96"/>
      <c r="P96"/>
    </row>
    <row r="97" spans="1:16">
      <c r="A97" s="228">
        <v>43</v>
      </c>
      <c r="B97" s="1185"/>
      <c r="C97" s="1195" t="s">
        <v>1215</v>
      </c>
      <c r="D97" s="1192"/>
      <c r="E97" s="436"/>
      <c r="F97" s="1225" t="str">
        <f>"(Line "&amp;A90&amp;" + "&amp;A95&amp;")"</f>
        <v>(Line 40f + 42)</v>
      </c>
      <c r="G97" s="1192"/>
      <c r="H97" s="1204">
        <f>H90+H95</f>
        <v>-325152317.55807477</v>
      </c>
      <c r="J97" s="1185"/>
      <c r="N97"/>
      <c r="O97"/>
      <c r="P97"/>
    </row>
    <row r="98" spans="1:16">
      <c r="A98" s="455"/>
      <c r="B98" s="456"/>
      <c r="C98" s="456"/>
      <c r="D98" s="456"/>
      <c r="E98" s="1501"/>
      <c r="N98"/>
      <c r="O98"/>
      <c r="P98"/>
    </row>
    <row r="99" spans="1:16">
      <c r="A99" s="228" t="s">
        <v>319</v>
      </c>
      <c r="B99" s="457" t="s">
        <v>320</v>
      </c>
      <c r="D99" s="419"/>
      <c r="E99" s="513" t="s">
        <v>321</v>
      </c>
      <c r="F99" s="235" t="s">
        <v>889</v>
      </c>
      <c r="G99" s="419"/>
      <c r="H99" s="463">
        <f>+'9 - Rate Base'!C47</f>
        <v>0</v>
      </c>
      <c r="I99" s="462"/>
      <c r="N99"/>
      <c r="O99"/>
      <c r="P99"/>
    </row>
    <row r="100" spans="1:16" ht="15" customHeight="1">
      <c r="A100" s="228"/>
      <c r="B100" s="168"/>
      <c r="D100" s="419"/>
      <c r="E100" s="513"/>
      <c r="F100" s="235"/>
      <c r="G100" s="461"/>
      <c r="H100" s="462"/>
      <c r="I100" s="462"/>
      <c r="N100"/>
      <c r="O100"/>
      <c r="P100"/>
    </row>
    <row r="101" spans="1:16" s="221" customFormat="1">
      <c r="A101" s="228"/>
      <c r="B101" s="221" t="s">
        <v>323</v>
      </c>
      <c r="C101" s="458"/>
      <c r="D101" s="419"/>
      <c r="E101" s="1501"/>
      <c r="F101" s="235"/>
      <c r="G101" s="419"/>
      <c r="H101" s="462"/>
      <c r="I101" s="462"/>
      <c r="K101"/>
      <c r="L101"/>
      <c r="M101"/>
      <c r="N101"/>
      <c r="O101"/>
      <c r="P101"/>
    </row>
    <row r="102" spans="1:16">
      <c r="A102" s="422">
        <v>44</v>
      </c>
      <c r="B102" s="221"/>
      <c r="C102" s="457" t="s">
        <v>1038</v>
      </c>
      <c r="D102" s="419"/>
      <c r="E102" s="1501" t="s">
        <v>317</v>
      </c>
      <c r="F102" s="922" t="s">
        <v>322</v>
      </c>
      <c r="G102" s="461"/>
      <c r="H102" s="1197">
        <f>+'5 - Cost Support 1'!AC123</f>
        <v>-5867156.040400926</v>
      </c>
      <c r="I102" s="462"/>
      <c r="N102"/>
      <c r="O102"/>
      <c r="P102"/>
    </row>
    <row r="103" spans="1:16">
      <c r="A103" s="228"/>
      <c r="B103" s="464"/>
      <c r="C103" s="255"/>
      <c r="D103" s="255"/>
      <c r="E103" s="1501"/>
      <c r="F103" s="465"/>
      <c r="G103" s="315"/>
      <c r="N103"/>
      <c r="O103"/>
      <c r="P103"/>
    </row>
    <row r="104" spans="1:16">
      <c r="A104" s="228"/>
      <c r="B104" s="229" t="s">
        <v>111</v>
      </c>
      <c r="C104" s="229"/>
      <c r="D104" s="255"/>
      <c r="E104" s="1501"/>
      <c r="F104" s="466"/>
      <c r="G104" s="467"/>
      <c r="N104"/>
      <c r="O104"/>
      <c r="P104"/>
    </row>
    <row r="105" spans="1:16">
      <c r="A105" s="228">
        <v>45</v>
      </c>
      <c r="B105" s="468"/>
      <c r="C105" s="469" t="s">
        <v>113</v>
      </c>
      <c r="D105" s="452"/>
      <c r="E105" s="480" t="str">
        <f>"(Note "&amp;B$326&amp;")"</f>
        <v>(Note A)</v>
      </c>
      <c r="F105" s="469" t="s">
        <v>790</v>
      </c>
      <c r="G105" s="470"/>
      <c r="H105" s="462">
        <f>+'9 - Rate Base'!G47</f>
        <v>6705535.5434512179</v>
      </c>
      <c r="I105" s="462"/>
      <c r="J105" s="437"/>
      <c r="N105"/>
      <c r="O105"/>
      <c r="P105"/>
    </row>
    <row r="106" spans="1:16">
      <c r="A106" s="236">
        <v>46</v>
      </c>
      <c r="B106" s="464"/>
      <c r="C106" s="221" t="s">
        <v>324</v>
      </c>
      <c r="D106" s="260"/>
      <c r="E106" s="436"/>
      <c r="F106" s="235" t="s">
        <v>824</v>
      </c>
      <c r="G106" s="309"/>
      <c r="H106" s="471">
        <f>+H105</f>
        <v>6705535.5434512179</v>
      </c>
      <c r="I106" s="462"/>
      <c r="J106" s="437"/>
      <c r="N106"/>
      <c r="O106"/>
      <c r="P106"/>
    </row>
    <row r="107" spans="1:16">
      <c r="A107" s="228"/>
      <c r="B107" s="464"/>
      <c r="C107" s="255"/>
      <c r="E107" s="1501"/>
      <c r="F107" s="315"/>
      <c r="G107" s="315"/>
      <c r="N107"/>
      <c r="O107"/>
      <c r="P107"/>
    </row>
    <row r="108" spans="1:16">
      <c r="A108" s="228"/>
      <c r="B108" s="229" t="s">
        <v>58</v>
      </c>
      <c r="C108" s="221"/>
      <c r="D108" s="221"/>
      <c r="E108" s="1511"/>
      <c r="F108" s="470"/>
      <c r="G108" s="467"/>
      <c r="H108" s="472"/>
      <c r="I108" s="981"/>
      <c r="N108"/>
      <c r="O108"/>
      <c r="P108"/>
    </row>
    <row r="109" spans="1:16">
      <c r="A109" s="422">
        <v>47</v>
      </c>
      <c r="B109" s="221"/>
      <c r="C109" s="221" t="s">
        <v>325</v>
      </c>
      <c r="D109" s="255"/>
      <c r="E109" s="513" t="str">
        <f>"(Note "&amp;B$326&amp;")"</f>
        <v>(Note A)</v>
      </c>
      <c r="F109" s="229" t="s">
        <v>791</v>
      </c>
      <c r="H109" s="473">
        <f>+'9 - Rate Base'!F47</f>
        <v>0</v>
      </c>
      <c r="I109" s="319"/>
      <c r="J109" s="437"/>
      <c r="N109"/>
      <c r="O109"/>
      <c r="P109"/>
    </row>
    <row r="110" spans="1:16" s="221" customFormat="1">
      <c r="A110" s="228">
        <v>48</v>
      </c>
      <c r="B110" s="464"/>
      <c r="C110" s="469" t="s">
        <v>305</v>
      </c>
      <c r="D110" s="305"/>
      <c r="E110" s="445"/>
      <c r="F110" s="241" t="str">
        <f>"(Line "&amp;A$16&amp;")"</f>
        <v>(Line 5)</v>
      </c>
      <c r="G110" s="475"/>
      <c r="H110" s="302">
        <f>+H16</f>
        <v>0.13888944064369446</v>
      </c>
      <c r="I110" s="302"/>
      <c r="K110"/>
      <c r="L110"/>
      <c r="M110"/>
      <c r="N110"/>
      <c r="O110"/>
      <c r="P110"/>
    </row>
    <row r="111" spans="1:16">
      <c r="A111" s="228">
        <v>49</v>
      </c>
      <c r="B111" s="464"/>
      <c r="C111" s="229" t="s">
        <v>326</v>
      </c>
      <c r="D111" s="255"/>
      <c r="E111" s="1501"/>
      <c r="F111" s="234" t="str">
        <f>"(Line "&amp;A109&amp;" * "&amp;A110&amp;")"</f>
        <v>(Line 47 * 48)</v>
      </c>
      <c r="G111" s="467"/>
      <c r="H111" s="471">
        <f>+H109*H110</f>
        <v>0</v>
      </c>
      <c r="I111" s="462"/>
      <c r="N111"/>
      <c r="O111"/>
      <c r="P111"/>
    </row>
    <row r="112" spans="1:16">
      <c r="A112" s="228">
        <v>50</v>
      </c>
      <c r="B112" s="464"/>
      <c r="C112" s="229" t="s">
        <v>327</v>
      </c>
      <c r="D112" s="255"/>
      <c r="E112" s="480" t="s">
        <v>1216</v>
      </c>
      <c r="F112" s="469" t="s">
        <v>1176</v>
      </c>
      <c r="G112" s="467"/>
      <c r="H112" s="473">
        <f>+'9 - Rate Base'!E47</f>
        <v>2968938.0236148783</v>
      </c>
      <c r="I112" s="319"/>
      <c r="N112"/>
      <c r="O112"/>
      <c r="P112"/>
    </row>
    <row r="113" spans="1:16" ht="18" customHeight="1">
      <c r="A113" s="228">
        <v>51</v>
      </c>
      <c r="B113" s="464"/>
      <c r="C113" s="433" t="s">
        <v>328</v>
      </c>
      <c r="D113" s="260"/>
      <c r="E113" s="436"/>
      <c r="F113" s="234" t="str">
        <f>"(Line "&amp;A111&amp;" + "&amp;A112&amp;")"</f>
        <v>(Line 49 + 50)</v>
      </c>
      <c r="G113" s="309"/>
      <c r="H113" s="476">
        <f>SUM(H111:H112)</f>
        <v>2968938.0236148783</v>
      </c>
      <c r="I113" s="538"/>
      <c r="N113"/>
      <c r="O113"/>
      <c r="P113"/>
    </row>
    <row r="114" spans="1:16">
      <c r="A114" s="228"/>
      <c r="B114" s="464"/>
      <c r="C114" s="229"/>
      <c r="E114" s="1501"/>
      <c r="F114" s="467"/>
      <c r="G114" s="467"/>
      <c r="N114"/>
      <c r="O114"/>
      <c r="P114"/>
    </row>
    <row r="115" spans="1:16">
      <c r="A115" s="228"/>
      <c r="B115" s="229" t="s">
        <v>329</v>
      </c>
      <c r="C115" s="221"/>
      <c r="E115" s="1501"/>
      <c r="F115" s="467"/>
      <c r="G115" s="467"/>
      <c r="N115"/>
      <c r="O115"/>
      <c r="P115"/>
    </row>
    <row r="116" spans="1:16">
      <c r="A116" s="228">
        <v>52</v>
      </c>
      <c r="B116" s="464"/>
      <c r="C116" s="229" t="s">
        <v>330</v>
      </c>
      <c r="D116" s="227"/>
      <c r="E116" s="1501"/>
      <c r="F116" s="234" t="str">
        <f>"(Line "&amp;A$167&amp;")"</f>
        <v>(Line 85)</v>
      </c>
      <c r="G116" s="467"/>
      <c r="H116" s="1197">
        <f>+H167</f>
        <v>35457088.173571624</v>
      </c>
      <c r="I116" s="477"/>
      <c r="J116" s="437"/>
      <c r="N116"/>
      <c r="O116"/>
      <c r="P116"/>
    </row>
    <row r="117" spans="1:16">
      <c r="A117" s="228">
        <v>53</v>
      </c>
      <c r="B117" s="464"/>
      <c r="C117" s="254" t="s">
        <v>331</v>
      </c>
      <c r="D117" s="227"/>
      <c r="E117" s="1501"/>
      <c r="F117" s="272" t="s">
        <v>332</v>
      </c>
      <c r="H117" s="302">
        <v>0.125</v>
      </c>
      <c r="I117" s="982"/>
      <c r="N117"/>
      <c r="O117"/>
      <c r="P117"/>
    </row>
    <row r="118" spans="1:16" s="312" customFormat="1">
      <c r="A118" s="228">
        <v>54</v>
      </c>
      <c r="B118" s="464"/>
      <c r="C118" s="459" t="s">
        <v>333</v>
      </c>
      <c r="D118" s="262"/>
      <c r="E118" s="436"/>
      <c r="F118" s="234" t="str">
        <f>"(Line "&amp;A116&amp;" * "&amp;A117&amp;")"</f>
        <v>(Line 52 * 53)</v>
      </c>
      <c r="G118" s="434"/>
      <c r="H118" s="476">
        <f>+H116*H117</f>
        <v>4432136.021696453</v>
      </c>
      <c r="I118" s="465"/>
      <c r="J118" s="168"/>
      <c r="K118"/>
      <c r="L118"/>
      <c r="M118"/>
      <c r="N118"/>
      <c r="O118"/>
      <c r="P118"/>
    </row>
    <row r="119" spans="1:16" s="312" customFormat="1">
      <c r="A119" s="228"/>
      <c r="B119" s="464"/>
      <c r="C119" s="457"/>
      <c r="D119" s="242"/>
      <c r="E119" s="1501"/>
      <c r="F119" s="234"/>
      <c r="G119" s="461"/>
      <c r="H119" s="315"/>
      <c r="I119" s="465"/>
      <c r="K119"/>
      <c r="L119"/>
      <c r="M119"/>
      <c r="N119"/>
      <c r="O119"/>
      <c r="P119"/>
    </row>
    <row r="120" spans="1:16" s="312" customFormat="1">
      <c r="A120" s="168"/>
      <c r="B120" s="457" t="s">
        <v>118</v>
      </c>
      <c r="C120" s="168"/>
      <c r="D120" s="242"/>
      <c r="E120" s="1246"/>
      <c r="F120" s="234"/>
      <c r="G120" s="461"/>
      <c r="H120" s="315"/>
      <c r="I120" s="465"/>
      <c r="K120"/>
      <c r="L120"/>
      <c r="M120"/>
      <c r="N120"/>
      <c r="O120"/>
      <c r="P120"/>
    </row>
    <row r="121" spans="1:16">
      <c r="A121" s="228">
        <v>55</v>
      </c>
      <c r="B121" s="168"/>
      <c r="C121" s="168" t="s">
        <v>334</v>
      </c>
      <c r="D121" s="168"/>
      <c r="E121" s="513" t="str">
        <f>"(Note "&amp;B$343&amp;")"</f>
        <v>(Note N)</v>
      </c>
      <c r="F121" s="168" t="s">
        <v>335</v>
      </c>
      <c r="H121" s="478">
        <f>+'5 - Cost Support 1'!G147</f>
        <v>0</v>
      </c>
      <c r="N121"/>
      <c r="O121"/>
      <c r="P121"/>
    </row>
    <row r="122" spans="1:16">
      <c r="A122" s="220">
        <v>56</v>
      </c>
      <c r="B122" s="168"/>
      <c r="C122" s="479" t="s">
        <v>336</v>
      </c>
      <c r="D122" s="479"/>
      <c r="E122" s="480" t="str">
        <f>+E121</f>
        <v>(Note N)</v>
      </c>
      <c r="F122" s="481" t="str">
        <f>+F121</f>
        <v>From PJM</v>
      </c>
      <c r="H122" s="482">
        <f>+'5 - Cost Support 1'!G152</f>
        <v>0</v>
      </c>
      <c r="I122" s="419"/>
      <c r="N122"/>
      <c r="O122"/>
      <c r="P122"/>
    </row>
    <row r="123" spans="1:16">
      <c r="A123" s="220">
        <v>57</v>
      </c>
      <c r="B123" s="168"/>
      <c r="C123" s="168" t="s">
        <v>337</v>
      </c>
      <c r="D123" s="168"/>
      <c r="E123" s="1501"/>
      <c r="F123" s="234" t="str">
        <f>"(Line "&amp;A121&amp;" - "&amp;A122&amp;")"</f>
        <v>(Line 55 - 56)</v>
      </c>
      <c r="H123" s="168">
        <f>+H121-H122</f>
        <v>0</v>
      </c>
      <c r="N123"/>
      <c r="O123"/>
      <c r="P123"/>
    </row>
    <row r="124" spans="1:16">
      <c r="A124" s="220"/>
      <c r="B124" s="168"/>
      <c r="C124" s="168"/>
      <c r="D124" s="168"/>
      <c r="E124" s="1501"/>
      <c r="N124"/>
      <c r="O124"/>
      <c r="P124"/>
    </row>
    <row r="125" spans="1:16" ht="16" thickBot="1">
      <c r="A125" s="220">
        <v>58</v>
      </c>
      <c r="B125" s="283" t="s">
        <v>338</v>
      </c>
      <c r="C125" s="283"/>
      <c r="D125" s="283"/>
      <c r="E125" s="438"/>
      <c r="F125" s="451" t="str">
        <f>"(Line "&amp;A97&amp;" + "&amp;A99&amp;" + "&amp;A102&amp;" + "&amp;A106&amp;" + "&amp;A113&amp;" + "&amp;A118&amp;" - "&amp;A123&amp;")"</f>
        <v>(Line 43 + 43a + 44 + 46 + 51 + 54 - 57)</v>
      </c>
      <c r="G125" s="483"/>
      <c r="H125" s="451">
        <f>SUM(H97,H99,H102,H106,H113,H118)-H123</f>
        <v>-316912864.00971317</v>
      </c>
      <c r="I125" s="538"/>
      <c r="J125" s="437"/>
      <c r="N125"/>
      <c r="O125"/>
      <c r="P125"/>
    </row>
    <row r="126" spans="1:16" ht="16" thickTop="1">
      <c r="A126" s="220"/>
      <c r="B126" s="168"/>
      <c r="C126" s="168"/>
      <c r="D126" s="168"/>
      <c r="E126" s="1501"/>
      <c r="N126"/>
      <c r="O126"/>
      <c r="P126"/>
    </row>
    <row r="127" spans="1:16" ht="16" thickBot="1">
      <c r="A127" s="236">
        <v>59</v>
      </c>
      <c r="B127" s="283" t="s">
        <v>339</v>
      </c>
      <c r="C127" s="283"/>
      <c r="D127" s="283"/>
      <c r="E127" s="438"/>
      <c r="F127" s="429" t="str">
        <f>"(Line "&amp;A80&amp;" + "&amp;A125&amp;")"</f>
        <v>(Line 39 + 58)</v>
      </c>
      <c r="G127" s="283"/>
      <c r="H127" s="451">
        <f>+H80+H125</f>
        <v>1159012261.4883695</v>
      </c>
      <c r="I127" s="538"/>
      <c r="J127" s="437"/>
      <c r="N127"/>
      <c r="O127"/>
      <c r="P127"/>
    </row>
    <row r="128" spans="1:16" ht="16" thickTop="1">
      <c r="B128" s="168"/>
      <c r="C128" s="168"/>
      <c r="D128" s="168"/>
      <c r="E128" s="1501"/>
      <c r="N128"/>
      <c r="O128"/>
      <c r="P128"/>
    </row>
    <row r="129" spans="1:16" s="221" customFormat="1">
      <c r="A129" s="484" t="s">
        <v>340</v>
      </c>
      <c r="B129" s="485"/>
      <c r="C129" s="486"/>
      <c r="D129" s="290"/>
      <c r="E129" s="1509"/>
      <c r="F129" s="225"/>
      <c r="G129" s="225"/>
      <c r="H129" s="292"/>
      <c r="I129" s="420"/>
      <c r="K129"/>
      <c r="L129"/>
      <c r="M129"/>
      <c r="N129"/>
      <c r="O129"/>
      <c r="P129"/>
    </row>
    <row r="130" spans="1:16" s="221" customFormat="1">
      <c r="A130" s="255"/>
      <c r="B130" s="255"/>
      <c r="C130" s="255"/>
      <c r="D130" s="255"/>
      <c r="E130" s="1510"/>
      <c r="H130" s="420"/>
      <c r="I130" s="420"/>
      <c r="K130"/>
      <c r="L130"/>
      <c r="M130"/>
      <c r="N130"/>
      <c r="O130"/>
      <c r="P130"/>
    </row>
    <row r="131" spans="1:16">
      <c r="A131" s="236"/>
      <c r="B131" s="259" t="s">
        <v>148</v>
      </c>
      <c r="D131" s="243"/>
      <c r="E131" s="294"/>
      <c r="G131" s="243"/>
      <c r="H131" s="243"/>
      <c r="I131" s="244"/>
      <c r="N131"/>
      <c r="O131"/>
      <c r="P131"/>
    </row>
    <row r="132" spans="1:16">
      <c r="A132" s="236">
        <v>60</v>
      </c>
      <c r="B132" s="236"/>
      <c r="C132" s="259" t="s">
        <v>148</v>
      </c>
      <c r="D132" s="255"/>
      <c r="E132" s="1501"/>
      <c r="F132" s="244" t="s">
        <v>1039</v>
      </c>
      <c r="G132" s="228"/>
      <c r="H132" s="435">
        <f>+'11A - O&amp;M'!G38</f>
        <v>22134005</v>
      </c>
      <c r="I132" s="244"/>
      <c r="N132"/>
      <c r="O132"/>
      <c r="P132"/>
    </row>
    <row r="133" spans="1:16">
      <c r="A133" s="236">
        <v>61</v>
      </c>
      <c r="B133" s="236"/>
      <c r="C133" s="259" t="s">
        <v>341</v>
      </c>
      <c r="D133" s="255"/>
      <c r="E133" s="1501"/>
      <c r="F133" s="244" t="s">
        <v>322</v>
      </c>
      <c r="G133" s="228"/>
      <c r="H133" s="244">
        <f>'5 - Cost Support 1'!G160</f>
        <v>0</v>
      </c>
      <c r="I133" s="244"/>
      <c r="N133"/>
      <c r="O133"/>
      <c r="P133"/>
    </row>
    <row r="134" spans="1:16">
      <c r="A134" s="236">
        <v>62</v>
      </c>
      <c r="B134" s="236"/>
      <c r="C134" s="259" t="s">
        <v>342</v>
      </c>
      <c r="D134" s="255"/>
      <c r="E134" s="1501"/>
      <c r="F134" s="244" t="s">
        <v>322</v>
      </c>
      <c r="G134" s="228"/>
      <c r="H134" s="244">
        <f>'5 - Cost Support 1'!J161</f>
        <v>0</v>
      </c>
      <c r="I134" s="244"/>
      <c r="N134"/>
      <c r="O134"/>
      <c r="P134"/>
    </row>
    <row r="135" spans="1:16">
      <c r="A135" s="228">
        <v>63</v>
      </c>
      <c r="B135" s="236"/>
      <c r="C135" s="259" t="s">
        <v>343</v>
      </c>
      <c r="D135" s="255"/>
      <c r="E135" s="1501"/>
      <c r="F135" s="244" t="s">
        <v>344</v>
      </c>
      <c r="G135" s="255"/>
      <c r="H135" s="435">
        <v>0</v>
      </c>
      <c r="I135" s="244"/>
      <c r="N135"/>
      <c r="O135"/>
      <c r="P135"/>
    </row>
    <row r="136" spans="1:16">
      <c r="A136" s="228" t="s">
        <v>759</v>
      </c>
      <c r="B136" s="228"/>
      <c r="C136" s="259" t="s">
        <v>760</v>
      </c>
      <c r="D136" s="255"/>
      <c r="E136" s="1501"/>
      <c r="F136" s="244" t="s">
        <v>907</v>
      </c>
      <c r="G136" s="255"/>
      <c r="H136" s="435">
        <f>+'10 - Merger Costs'!G7</f>
        <v>0</v>
      </c>
      <c r="I136" s="244"/>
      <c r="N136"/>
      <c r="O136"/>
      <c r="P136"/>
    </row>
    <row r="137" spans="1:16">
      <c r="A137" s="228">
        <v>64</v>
      </c>
      <c r="B137" s="228"/>
      <c r="C137" s="259" t="s">
        <v>345</v>
      </c>
      <c r="D137" s="255"/>
      <c r="E137" s="513" t="str">
        <f>"(Note "&amp;B$346&amp;")"</f>
        <v>(Note O)</v>
      </c>
      <c r="F137" s="244" t="s">
        <v>346</v>
      </c>
      <c r="G137" s="255"/>
      <c r="H137" s="435">
        <v>0</v>
      </c>
      <c r="I137" s="244"/>
      <c r="J137" s="487"/>
      <c r="N137"/>
      <c r="O137"/>
      <c r="P137"/>
    </row>
    <row r="138" spans="1:16">
      <c r="A138" s="228">
        <v>65</v>
      </c>
      <c r="B138" s="236"/>
      <c r="C138" s="259" t="s">
        <v>347</v>
      </c>
      <c r="D138" s="244"/>
      <c r="E138" s="480" t="str">
        <f>"(Note "&amp;B$326&amp;")"</f>
        <v>(Note A)</v>
      </c>
      <c r="F138" s="250" t="s">
        <v>348</v>
      </c>
      <c r="G138" s="255"/>
      <c r="H138" s="446">
        <v>0</v>
      </c>
      <c r="I138" s="235"/>
      <c r="N138"/>
      <c r="O138"/>
      <c r="P138"/>
    </row>
    <row r="139" spans="1:16">
      <c r="A139" s="228">
        <v>66</v>
      </c>
      <c r="B139" s="255"/>
      <c r="C139" s="257" t="s">
        <v>148</v>
      </c>
      <c r="D139" s="256"/>
      <c r="E139" s="436"/>
      <c r="F139" s="235" t="str">
        <f>"(Lines "&amp;A132&amp;" - "&amp;A133&amp;" + "&amp;A134&amp;" - "&amp;A135&amp;" - "&amp;A136&amp;" + "&amp;A137&amp;" + "&amp;A138&amp;")"</f>
        <v>(Lines 60 - 61 + 62 - 63 - 63a + 64 + 65)</v>
      </c>
      <c r="G139" s="433"/>
      <c r="H139" s="258">
        <f>+H132-H133+H134-H135-H136+H137+H138</f>
        <v>22134005</v>
      </c>
      <c r="I139" s="235"/>
      <c r="N139"/>
      <c r="O139"/>
      <c r="P139"/>
    </row>
    <row r="140" spans="1:16">
      <c r="A140" s="228"/>
      <c r="B140" s="228"/>
      <c r="C140" s="259"/>
      <c r="D140" s="255"/>
      <c r="E140" s="294"/>
      <c r="F140" s="255"/>
      <c r="G140" s="255"/>
      <c r="H140" s="432"/>
      <c r="I140" s="978"/>
      <c r="N140"/>
      <c r="O140"/>
      <c r="P140"/>
    </row>
    <row r="141" spans="1:16">
      <c r="A141" s="228"/>
      <c r="B141" s="259" t="s">
        <v>59</v>
      </c>
      <c r="C141" s="255"/>
      <c r="D141" s="255"/>
      <c r="E141" s="294"/>
      <c r="F141" s="255"/>
      <c r="G141" s="255"/>
      <c r="H141" s="432"/>
      <c r="I141" s="978"/>
      <c r="N141"/>
      <c r="O141"/>
      <c r="P141"/>
    </row>
    <row r="142" spans="1:16">
      <c r="A142" s="228">
        <v>67</v>
      </c>
      <c r="B142" s="228"/>
      <c r="C142" s="259" t="s">
        <v>349</v>
      </c>
      <c r="D142" s="255"/>
      <c r="E142" s="513" t="str">
        <f>"(Note "&amp;B$326&amp;")"</f>
        <v>(Note A)</v>
      </c>
      <c r="F142" s="243" t="s">
        <v>292</v>
      </c>
      <c r="G142" s="255"/>
      <c r="H142" s="435">
        <v>0</v>
      </c>
      <c r="I142" s="244"/>
      <c r="N142"/>
      <c r="O142"/>
      <c r="P142"/>
    </row>
    <row r="143" spans="1:16">
      <c r="A143" s="228">
        <v>68</v>
      </c>
      <c r="B143" s="228"/>
      <c r="C143" s="259" t="s">
        <v>149</v>
      </c>
      <c r="D143" s="255"/>
      <c r="E143" s="1501"/>
      <c r="F143" s="244" t="s">
        <v>1040</v>
      </c>
      <c r="G143" s="255"/>
      <c r="H143" s="435">
        <f>+'11B - A&amp;G'!E24</f>
        <v>95550952</v>
      </c>
      <c r="I143" s="244"/>
      <c r="N143"/>
      <c r="O143"/>
      <c r="P143"/>
    </row>
    <row r="144" spans="1:16">
      <c r="A144" s="228" t="s">
        <v>350</v>
      </c>
      <c r="B144" s="228"/>
      <c r="C144" s="259" t="s">
        <v>351</v>
      </c>
      <c r="D144" s="255"/>
      <c r="E144" s="513" t="s">
        <v>352</v>
      </c>
      <c r="F144" s="244" t="s">
        <v>322</v>
      </c>
      <c r="G144" s="488"/>
      <c r="H144" s="435">
        <f>+'5 - Cost Support 1'!I227</f>
        <v>-473130.4</v>
      </c>
      <c r="I144" s="244"/>
      <c r="N144"/>
      <c r="O144"/>
      <c r="P144"/>
    </row>
    <row r="145" spans="1:16">
      <c r="A145" s="228" t="s">
        <v>761</v>
      </c>
      <c r="B145" s="228"/>
      <c r="C145" s="259" t="s">
        <v>762</v>
      </c>
      <c r="D145" s="255"/>
      <c r="E145" s="1501"/>
      <c r="F145" s="244" t="s">
        <v>908</v>
      </c>
      <c r="G145" s="255"/>
      <c r="H145" s="435">
        <f>+'10 - Merger Costs'!C8</f>
        <v>-21209.119999999995</v>
      </c>
      <c r="I145" s="244"/>
      <c r="J145" s="1246"/>
      <c r="N145"/>
      <c r="O145"/>
      <c r="P145"/>
    </row>
    <row r="146" spans="1:16">
      <c r="A146" s="228" t="s">
        <v>1198</v>
      </c>
      <c r="B146" s="228"/>
      <c r="C146" s="259" t="s">
        <v>1199</v>
      </c>
      <c r="D146" s="255"/>
      <c r="E146" s="1501"/>
      <c r="F146" s="244" t="s">
        <v>322</v>
      </c>
      <c r="G146" s="255"/>
      <c r="H146" s="435">
        <f>+'5 - Cost Support 1'!K209+'5 - Cost Support 1'!J209+'5 - Cost Support 1'!I209</f>
        <v>396336.66486999998</v>
      </c>
      <c r="I146" s="244"/>
      <c r="J146" s="1246"/>
      <c r="N146"/>
      <c r="O146"/>
      <c r="P146"/>
    </row>
    <row r="147" spans="1:16">
      <c r="A147" s="228">
        <v>69</v>
      </c>
      <c r="B147" s="228"/>
      <c r="C147" s="259" t="s">
        <v>353</v>
      </c>
      <c r="D147" s="244"/>
      <c r="E147" s="1501"/>
      <c r="F147" s="259" t="s">
        <v>354</v>
      </c>
      <c r="G147" s="232"/>
      <c r="H147" s="435">
        <f>+'11B - A&amp;G'!E14</f>
        <v>595673</v>
      </c>
      <c r="I147" s="244"/>
      <c r="J147" s="1246"/>
      <c r="N147"/>
      <c r="O147"/>
      <c r="P147"/>
    </row>
    <row r="148" spans="1:16">
      <c r="A148" s="228">
        <v>70</v>
      </c>
      <c r="B148" s="228"/>
      <c r="C148" s="259" t="s">
        <v>355</v>
      </c>
      <c r="D148" s="244"/>
      <c r="E148" s="513" t="str">
        <f>"(Note "&amp;B$334&amp;")"</f>
        <v>(Note E)</v>
      </c>
      <c r="F148" s="259" t="s">
        <v>68</v>
      </c>
      <c r="G148" s="232"/>
      <c r="H148" s="435">
        <f>+'11B - A&amp;G'!E18</f>
        <v>1551388</v>
      </c>
      <c r="I148" s="244"/>
      <c r="J148" s="1246"/>
      <c r="N148"/>
      <c r="O148"/>
      <c r="P148"/>
    </row>
    <row r="149" spans="1:16">
      <c r="A149" s="228">
        <v>71</v>
      </c>
      <c r="B149" s="228"/>
      <c r="C149" s="259" t="s">
        <v>356</v>
      </c>
      <c r="D149" s="244"/>
      <c r="E149" s="1501"/>
      <c r="F149" s="259" t="s">
        <v>357</v>
      </c>
      <c r="G149" s="232"/>
      <c r="H149" s="435">
        <f>+'11B - A&amp;G'!E20</f>
        <v>458332</v>
      </c>
      <c r="I149" s="244"/>
      <c r="J149" s="1246"/>
      <c r="N149"/>
      <c r="O149"/>
      <c r="P149"/>
    </row>
    <row r="150" spans="1:16">
      <c r="A150" s="228">
        <v>72</v>
      </c>
      <c r="B150" s="228"/>
      <c r="C150" s="259" t="s">
        <v>358</v>
      </c>
      <c r="D150" s="244"/>
      <c r="E150" s="1501"/>
      <c r="F150" s="259" t="s">
        <v>359</v>
      </c>
      <c r="G150" s="232"/>
      <c r="H150" s="435">
        <v>0</v>
      </c>
      <c r="I150" s="244"/>
      <c r="J150" s="1246"/>
      <c r="N150"/>
      <c r="O150"/>
      <c r="P150"/>
    </row>
    <row r="151" spans="1:16">
      <c r="A151" s="228">
        <v>73</v>
      </c>
      <c r="B151" s="228"/>
      <c r="C151" s="259" t="s">
        <v>360</v>
      </c>
      <c r="D151" s="168"/>
      <c r="E151" s="513" t="str">
        <f>"(Note "&amp;B$333&amp;")"</f>
        <v>(Note D)</v>
      </c>
      <c r="F151" s="250" t="s">
        <v>361</v>
      </c>
      <c r="G151" s="255"/>
      <c r="H151" s="435">
        <f>+'11B - A&amp;G'!I21</f>
        <v>266334</v>
      </c>
      <c r="I151" s="244"/>
      <c r="J151" s="1246"/>
      <c r="N151"/>
      <c r="O151"/>
      <c r="P151"/>
    </row>
    <row r="152" spans="1:16">
      <c r="A152" s="228">
        <v>74</v>
      </c>
      <c r="B152" s="228"/>
      <c r="C152" s="257" t="s">
        <v>362</v>
      </c>
      <c r="D152" s="256"/>
      <c r="E152" s="426"/>
      <c r="F152" s="234" t="str">
        <f>"(Lines "&amp;A142&amp;" + "&amp;A143&amp;") -  Sum ("&amp;A145&amp;" to "&amp;A151&amp;")"</f>
        <v>(Lines 67 + 68) -  Sum (68b to 73)</v>
      </c>
      <c r="G152" s="260"/>
      <c r="H152" s="263">
        <f>H142+H143-SUM(H145:H151)</f>
        <v>92304097.455129996</v>
      </c>
      <c r="I152" s="235"/>
      <c r="J152" s="1246"/>
      <c r="N152"/>
      <c r="O152"/>
      <c r="P152"/>
    </row>
    <row r="153" spans="1:16">
      <c r="A153" s="228">
        <v>75</v>
      </c>
      <c r="B153" s="228"/>
      <c r="C153" s="1684" t="s">
        <v>305</v>
      </c>
      <c r="D153" s="254"/>
      <c r="E153" s="1501"/>
      <c r="F153" s="489" t="s">
        <v>821</v>
      </c>
      <c r="G153" s="467"/>
      <c r="H153" s="472">
        <f>+H16</f>
        <v>0.13888944064369446</v>
      </c>
      <c r="I153" s="981"/>
      <c r="J153" s="1246"/>
      <c r="N153"/>
      <c r="O153"/>
      <c r="P153"/>
    </row>
    <row r="154" spans="1:16">
      <c r="A154" s="228">
        <v>76</v>
      </c>
      <c r="B154" s="228"/>
      <c r="C154" s="257" t="s">
        <v>363</v>
      </c>
      <c r="D154" s="256"/>
      <c r="E154" s="426"/>
      <c r="F154" s="234" t="s">
        <v>829</v>
      </c>
      <c r="G154" s="260"/>
      <c r="H154" s="263">
        <f>+H153*H152</f>
        <v>12820064.464664066</v>
      </c>
      <c r="I154" s="235"/>
      <c r="J154" s="1246"/>
      <c r="N154"/>
      <c r="O154"/>
      <c r="P154"/>
    </row>
    <row r="155" spans="1:16">
      <c r="A155" s="228"/>
      <c r="B155" s="228"/>
      <c r="C155" s="265"/>
      <c r="D155" s="311"/>
      <c r="E155" s="294"/>
      <c r="F155" s="231"/>
      <c r="G155" s="231"/>
      <c r="H155" s="234"/>
      <c r="I155" s="235"/>
      <c r="N155"/>
      <c r="O155"/>
      <c r="P155"/>
    </row>
    <row r="156" spans="1:16">
      <c r="A156" s="228"/>
      <c r="B156" s="259" t="s">
        <v>65</v>
      </c>
      <c r="C156" s="221"/>
      <c r="D156" s="311"/>
      <c r="E156" s="294"/>
      <c r="F156" s="231"/>
      <c r="G156" s="231"/>
      <c r="H156" s="234"/>
      <c r="I156" s="235"/>
      <c r="N156"/>
      <c r="O156"/>
      <c r="P156"/>
    </row>
    <row r="157" spans="1:16">
      <c r="A157" s="228">
        <v>77</v>
      </c>
      <c r="B157" s="464"/>
      <c r="C157" s="229" t="s">
        <v>66</v>
      </c>
      <c r="D157" s="490"/>
      <c r="E157" s="513" t="str">
        <f>"(Note "&amp;B$336&amp;")"</f>
        <v>(Note G)</v>
      </c>
      <c r="F157" s="229" t="s">
        <v>68</v>
      </c>
      <c r="G157" s="221"/>
      <c r="H157" s="473">
        <f>+'11B - A&amp;G'!J18</f>
        <v>265541</v>
      </c>
      <c r="I157" s="319"/>
      <c r="N157"/>
      <c r="O157"/>
      <c r="P157"/>
    </row>
    <row r="158" spans="1:16">
      <c r="A158" s="236">
        <v>78</v>
      </c>
      <c r="B158" s="464"/>
      <c r="C158" s="469" t="s">
        <v>364</v>
      </c>
      <c r="D158" s="491"/>
      <c r="E158" s="480" t="str">
        <f>"(Note "&amp;B$340&amp;")"</f>
        <v>(Note K)</v>
      </c>
      <c r="F158" s="469" t="s">
        <v>357</v>
      </c>
      <c r="G158" s="221"/>
      <c r="H158" s="492">
        <f>'5 - Cost Support 1'!H58</f>
        <v>0</v>
      </c>
      <c r="I158" s="462"/>
      <c r="N158"/>
      <c r="O158"/>
      <c r="P158"/>
    </row>
    <row r="159" spans="1:16">
      <c r="A159" s="236">
        <v>79</v>
      </c>
      <c r="B159" s="464"/>
      <c r="C159" s="229" t="s">
        <v>365</v>
      </c>
      <c r="D159" s="255"/>
      <c r="E159" s="1511"/>
      <c r="F159" s="234" t="s">
        <v>831</v>
      </c>
      <c r="G159" s="221"/>
      <c r="H159" s="319">
        <f>+H158+H157</f>
        <v>265541</v>
      </c>
      <c r="I159" s="319"/>
      <c r="N159"/>
      <c r="O159"/>
      <c r="P159"/>
    </row>
    <row r="160" spans="1:16">
      <c r="A160" s="228"/>
      <c r="B160" s="464"/>
      <c r="C160" s="229"/>
      <c r="D160" s="255"/>
      <c r="E160" s="1511"/>
      <c r="F160" s="229"/>
      <c r="G160" s="221"/>
      <c r="H160" s="470"/>
      <c r="I160" s="470"/>
      <c r="N160"/>
      <c r="O160"/>
      <c r="P160"/>
    </row>
    <row r="161" spans="1:16">
      <c r="A161" s="236">
        <v>80</v>
      </c>
      <c r="B161" s="464"/>
      <c r="C161" s="229" t="s">
        <v>366</v>
      </c>
      <c r="D161" s="255"/>
      <c r="E161" s="1501"/>
      <c r="F161" s="229" t="s">
        <v>354</v>
      </c>
      <c r="G161" s="221"/>
      <c r="H161" s="473">
        <f>H147</f>
        <v>595673</v>
      </c>
      <c r="I161" s="319"/>
      <c r="N161"/>
      <c r="O161"/>
      <c r="P161"/>
    </row>
    <row r="162" spans="1:16" ht="16" thickBot="1">
      <c r="A162" s="236">
        <v>81</v>
      </c>
      <c r="B162" s="464"/>
      <c r="C162" s="229" t="s">
        <v>364</v>
      </c>
      <c r="D162" s="255"/>
      <c r="E162" s="513" t="str">
        <f>"(Note "&amp;B$335&amp;")"</f>
        <v>(Note F)</v>
      </c>
      <c r="F162" s="469" t="s">
        <v>357</v>
      </c>
      <c r="G162" s="221"/>
      <c r="H162" s="473">
        <f>+'5 - Cost Support 1'!H71</f>
        <v>0</v>
      </c>
      <c r="I162" s="319"/>
      <c r="N162"/>
      <c r="O162"/>
      <c r="P162"/>
    </row>
    <row r="163" spans="1:16">
      <c r="A163" s="228">
        <v>82</v>
      </c>
      <c r="B163" s="464"/>
      <c r="C163" s="459" t="s">
        <v>44</v>
      </c>
      <c r="D163" s="256"/>
      <c r="E163" s="436"/>
      <c r="F163" s="234" t="s">
        <v>832</v>
      </c>
      <c r="G163" s="433"/>
      <c r="H163" s="493">
        <f>+H161+H162</f>
        <v>595673</v>
      </c>
      <c r="I163" s="462"/>
      <c r="N163"/>
      <c r="O163"/>
      <c r="P163"/>
    </row>
    <row r="164" spans="1:16">
      <c r="A164" s="236">
        <v>83</v>
      </c>
      <c r="B164" s="228"/>
      <c r="C164" s="1193" t="s">
        <v>193</v>
      </c>
      <c r="D164" s="254"/>
      <c r="E164" s="1501"/>
      <c r="F164" s="241" t="s">
        <v>823</v>
      </c>
      <c r="G164" s="467"/>
      <c r="H164" s="494">
        <f>+H40</f>
        <v>0.39867126579105949</v>
      </c>
      <c r="I164" s="302"/>
      <c r="N164"/>
      <c r="O164"/>
      <c r="P164"/>
    </row>
    <row r="165" spans="1:16">
      <c r="A165" s="228">
        <v>84</v>
      </c>
      <c r="B165" s="228"/>
      <c r="C165" s="257" t="s">
        <v>367</v>
      </c>
      <c r="D165" s="256"/>
      <c r="E165" s="426"/>
      <c r="F165" s="234" t="s">
        <v>833</v>
      </c>
      <c r="G165" s="260"/>
      <c r="H165" s="460">
        <f>+H164*H163</f>
        <v>237477.70890755777</v>
      </c>
      <c r="I165" s="462"/>
      <c r="N165"/>
      <c r="O165"/>
      <c r="P165"/>
    </row>
    <row r="166" spans="1:16">
      <c r="A166" s="236"/>
      <c r="B166" s="236"/>
      <c r="C166" s="259"/>
      <c r="D166" s="255"/>
      <c r="E166" s="294"/>
      <c r="F166" s="232"/>
      <c r="G166" s="232"/>
      <c r="H166" s="234"/>
      <c r="I166" s="235"/>
      <c r="N166"/>
      <c r="O166"/>
      <c r="P166"/>
    </row>
    <row r="167" spans="1:16" ht="16" thickBot="1">
      <c r="A167" s="236">
        <v>85</v>
      </c>
      <c r="B167" s="236"/>
      <c r="C167" s="427" t="s">
        <v>368</v>
      </c>
      <c r="D167" s="428"/>
      <c r="E167" s="495"/>
      <c r="F167" s="429" t="s">
        <v>834</v>
      </c>
      <c r="G167" s="430"/>
      <c r="H167" s="429">
        <f>+H139+H154+H159+H165</f>
        <v>35457088.173571624</v>
      </c>
      <c r="I167" s="235"/>
      <c r="N167"/>
      <c r="O167"/>
      <c r="P167"/>
    </row>
    <row r="168" spans="1:16" ht="16" thickTop="1">
      <c r="A168" s="236"/>
      <c r="B168" s="236"/>
      <c r="C168" s="265"/>
      <c r="D168" s="311"/>
      <c r="E168" s="294"/>
      <c r="F168" s="234"/>
      <c r="G168" s="231"/>
      <c r="H168" s="234"/>
      <c r="I168" s="235"/>
      <c r="N168"/>
      <c r="O168"/>
      <c r="P168"/>
    </row>
    <row r="169" spans="1:16">
      <c r="A169" s="237"/>
      <c r="B169" s="236"/>
      <c r="C169" s="259"/>
      <c r="D169" s="255"/>
      <c r="E169" s="294"/>
      <c r="F169" s="232"/>
      <c r="G169" s="232"/>
      <c r="H169" s="432"/>
      <c r="I169" s="978"/>
      <c r="N169"/>
      <c r="O169"/>
      <c r="P169"/>
    </row>
    <row r="170" spans="1:16">
      <c r="A170" s="484" t="s">
        <v>369</v>
      </c>
      <c r="B170" s="485"/>
      <c r="C170" s="486"/>
      <c r="D170" s="290"/>
      <c r="E170" s="1509"/>
      <c r="F170" s="225"/>
      <c r="G170" s="225"/>
      <c r="H170" s="292"/>
      <c r="I170" s="420"/>
      <c r="N170"/>
      <c r="O170"/>
      <c r="P170"/>
    </row>
    <row r="171" spans="1:16">
      <c r="A171" s="259"/>
      <c r="B171" s="236"/>
      <c r="C171" s="259"/>
      <c r="D171" s="255"/>
      <c r="E171" s="294"/>
      <c r="F171" s="232"/>
      <c r="G171" s="232"/>
      <c r="H171" s="432"/>
      <c r="I171" s="978"/>
      <c r="N171"/>
      <c r="O171"/>
      <c r="P171"/>
    </row>
    <row r="172" spans="1:16">
      <c r="A172" s="220"/>
      <c r="B172" s="237" t="s">
        <v>60</v>
      </c>
      <c r="C172" s="168"/>
      <c r="E172" s="1501"/>
      <c r="F172" s="271"/>
      <c r="G172" s="271"/>
      <c r="H172" s="496"/>
      <c r="I172" s="983"/>
      <c r="N172"/>
      <c r="O172"/>
      <c r="P172"/>
    </row>
    <row r="173" spans="1:16">
      <c r="A173" s="236">
        <v>86</v>
      </c>
      <c r="B173" s="447"/>
      <c r="C173" s="229" t="s">
        <v>370</v>
      </c>
      <c r="E173" s="1501"/>
      <c r="F173" s="229" t="s">
        <v>891</v>
      </c>
      <c r="H173" s="473">
        <f>+'5 - Cost Support 1'!I217</f>
        <v>43524210.691606045</v>
      </c>
      <c r="I173" s="319"/>
      <c r="N173"/>
      <c r="O173"/>
      <c r="P173"/>
    </row>
    <row r="174" spans="1:16">
      <c r="A174" s="236"/>
      <c r="B174" s="447"/>
      <c r="C174" s="229"/>
      <c r="E174" s="1501"/>
      <c r="F174" s="237"/>
      <c r="H174" s="477"/>
      <c r="I174" s="477"/>
      <c r="N174"/>
      <c r="O174"/>
      <c r="P174"/>
    </row>
    <row r="175" spans="1:16">
      <c r="A175" s="236">
        <v>87</v>
      </c>
      <c r="B175" s="447"/>
      <c r="C175" s="457" t="s">
        <v>150</v>
      </c>
      <c r="D175" s="231"/>
      <c r="E175" s="1501"/>
      <c r="F175" s="457" t="s">
        <v>892</v>
      </c>
      <c r="H175" s="473">
        <f>+'5 - Cost Support 1'!G218</f>
        <v>11561510.847928105</v>
      </c>
      <c r="I175" s="319"/>
      <c r="N175"/>
      <c r="O175"/>
      <c r="P175"/>
    </row>
    <row r="176" spans="1:16">
      <c r="A176" s="236" t="s">
        <v>807</v>
      </c>
      <c r="B176" s="464"/>
      <c r="C176" s="259" t="s">
        <v>762</v>
      </c>
      <c r="D176" s="255"/>
      <c r="E176" s="1501"/>
      <c r="F176" s="457" t="s">
        <v>890</v>
      </c>
      <c r="H176" s="463">
        <f>+'10 - Merger Costs'!C14</f>
        <v>23718.212</v>
      </c>
      <c r="I176" s="462"/>
      <c r="J176" s="1246"/>
      <c r="N176"/>
      <c r="O176"/>
      <c r="P176"/>
    </row>
    <row r="177" spans="1:16">
      <c r="A177" s="236">
        <v>88</v>
      </c>
      <c r="B177" s="447"/>
      <c r="C177" s="457" t="s">
        <v>371</v>
      </c>
      <c r="D177" s="231"/>
      <c r="E177" s="513" t="str">
        <f>"(Note "&amp;B$326&amp;")"</f>
        <v>(Note A)</v>
      </c>
      <c r="F177" s="457" t="s">
        <v>893</v>
      </c>
      <c r="H177" s="463">
        <f>+'5 - Cost Support 1'!G219</f>
        <v>16510393.032524996</v>
      </c>
      <c r="I177" s="462"/>
      <c r="J177" s="1246"/>
      <c r="N177"/>
      <c r="O177"/>
      <c r="P177"/>
    </row>
    <row r="178" spans="1:16">
      <c r="A178" s="236" t="s">
        <v>808</v>
      </c>
      <c r="B178" s="464"/>
      <c r="C178" s="539" t="s">
        <v>762</v>
      </c>
      <c r="D178" s="489"/>
      <c r="E178" s="480"/>
      <c r="F178" s="469" t="s">
        <v>1009</v>
      </c>
      <c r="G178" s="479"/>
      <c r="H178" s="492">
        <f>+'10 - Merger Costs'!C15</f>
        <v>174669.87000000034</v>
      </c>
      <c r="I178" s="462"/>
      <c r="J178" s="1246"/>
      <c r="N178"/>
      <c r="O178"/>
      <c r="P178"/>
    </row>
    <row r="179" spans="1:16">
      <c r="A179" s="236">
        <v>89</v>
      </c>
      <c r="B179" s="447"/>
      <c r="C179" s="266" t="s">
        <v>44</v>
      </c>
      <c r="D179" s="231"/>
      <c r="E179" s="1501"/>
      <c r="F179" s="235" t="str">
        <f>"(Line "&amp;87&amp;" - "&amp;A176&amp;" + "&amp;88&amp;" - "&amp;A178&amp;")"</f>
        <v>(Line 87 - 87a + 88 - 88a)</v>
      </c>
      <c r="H179" s="460">
        <f>H175-H176+H177-H178</f>
        <v>27873515.7984531</v>
      </c>
      <c r="I179" s="462"/>
      <c r="J179" s="1246"/>
      <c r="N179"/>
      <c r="O179"/>
      <c r="P179"/>
    </row>
    <row r="180" spans="1:16">
      <c r="A180" s="236">
        <v>90</v>
      </c>
      <c r="B180" s="447"/>
      <c r="C180" s="1685" t="s">
        <v>305</v>
      </c>
      <c r="D180" s="305"/>
      <c r="E180" s="445"/>
      <c r="F180" s="489" t="str">
        <f>"(Line "&amp;A$16&amp;")"</f>
        <v>(Line 5)</v>
      </c>
      <c r="G180" s="475"/>
      <c r="H180" s="497">
        <f>+H16</f>
        <v>0.13888944064369446</v>
      </c>
      <c r="I180" s="984"/>
      <c r="J180" s="1246"/>
      <c r="N180"/>
      <c r="O180"/>
      <c r="P180"/>
    </row>
    <row r="181" spans="1:16">
      <c r="A181" s="236">
        <v>91</v>
      </c>
      <c r="B181" s="447"/>
      <c r="C181" s="237" t="s">
        <v>372</v>
      </c>
      <c r="E181" s="1501"/>
      <c r="F181" s="234" t="str">
        <f>"(Line "&amp;A179&amp;" * "&amp;A180&amp;")"</f>
        <v>(Line 89 * 90)</v>
      </c>
      <c r="G181" s="467"/>
      <c r="H181" s="460">
        <f>+H179*H180</f>
        <v>3871337.0180203319</v>
      </c>
      <c r="I181" s="462"/>
      <c r="J181" s="1246"/>
      <c r="N181"/>
      <c r="O181"/>
      <c r="P181"/>
    </row>
    <row r="182" spans="1:16">
      <c r="A182" s="228"/>
      <c r="B182" s="464"/>
      <c r="C182" s="229"/>
      <c r="D182" s="255"/>
      <c r="E182" s="1501"/>
      <c r="F182" s="229"/>
      <c r="G182" s="467"/>
      <c r="H182" s="498"/>
      <c r="I182" s="477"/>
      <c r="N182"/>
      <c r="O182"/>
      <c r="P182"/>
    </row>
    <row r="183" spans="1:16">
      <c r="A183" s="236">
        <v>92</v>
      </c>
      <c r="B183" s="464"/>
      <c r="C183" s="229" t="s">
        <v>373</v>
      </c>
      <c r="D183" s="255"/>
      <c r="E183" s="513" t="str">
        <f>"(Note "&amp;B$326&amp;")"</f>
        <v>(Note A)</v>
      </c>
      <c r="F183" s="229" t="s">
        <v>894</v>
      </c>
      <c r="H183" s="499">
        <f>+'5 - Cost Support 1'!I220</f>
        <v>0</v>
      </c>
      <c r="I183" s="477"/>
      <c r="N183"/>
      <c r="O183"/>
      <c r="P183"/>
    </row>
    <row r="184" spans="1:16">
      <c r="A184" s="228">
        <v>93</v>
      </c>
      <c r="B184" s="464"/>
      <c r="C184" s="469" t="s">
        <v>374</v>
      </c>
      <c r="D184" s="489"/>
      <c r="E184" s="480" t="str">
        <f>"(Note "&amp;B$326&amp;")"</f>
        <v>(Note A)</v>
      </c>
      <c r="F184" s="469" t="s">
        <v>895</v>
      </c>
      <c r="G184" s="479"/>
      <c r="H184" s="500">
        <f>+'5 - Cost Support 1'!I221</f>
        <v>0</v>
      </c>
      <c r="I184" s="465"/>
      <c r="N184"/>
      <c r="O184"/>
      <c r="P184"/>
    </row>
    <row r="185" spans="1:16">
      <c r="A185" s="228">
        <v>94</v>
      </c>
      <c r="B185" s="464"/>
      <c r="C185" s="229" t="s">
        <v>44</v>
      </c>
      <c r="D185" s="255"/>
      <c r="E185" s="1501"/>
      <c r="F185" s="234" t="str">
        <f>"(Line "&amp;A183&amp;" + "&amp;A184&amp;")"</f>
        <v>(Line 92 + 93)</v>
      </c>
      <c r="H185" s="477">
        <f>+H184+H183</f>
        <v>0</v>
      </c>
      <c r="I185" s="477"/>
      <c r="N185"/>
      <c r="O185"/>
      <c r="P185"/>
    </row>
    <row r="186" spans="1:16">
      <c r="A186" s="236">
        <v>95</v>
      </c>
      <c r="B186" s="464"/>
      <c r="C186" s="1685" t="s">
        <v>305</v>
      </c>
      <c r="D186" s="305"/>
      <c r="E186" s="445"/>
      <c r="F186" s="489" t="str">
        <f>"(Line "&amp;A$16&amp;")"</f>
        <v>(Line 5)</v>
      </c>
      <c r="G186" s="475"/>
      <c r="H186" s="497">
        <f>+H16</f>
        <v>0.13888944064369446</v>
      </c>
      <c r="I186" s="984"/>
      <c r="N186"/>
      <c r="O186"/>
      <c r="P186"/>
    </row>
    <row r="187" spans="1:16">
      <c r="A187" s="236">
        <v>96</v>
      </c>
      <c r="B187" s="464"/>
      <c r="C187" s="237" t="s">
        <v>375</v>
      </c>
      <c r="D187" s="255"/>
      <c r="E187" s="1501"/>
      <c r="F187" s="234" t="str">
        <f>"(Line "&amp;A185&amp;" * "&amp;A186&amp;")"</f>
        <v>(Line 94 * 95)</v>
      </c>
      <c r="G187" s="467"/>
      <c r="H187" s="315">
        <f>+H186*H185</f>
        <v>0</v>
      </c>
      <c r="I187" s="465"/>
      <c r="N187"/>
      <c r="O187"/>
      <c r="P187"/>
    </row>
    <row r="188" spans="1:16">
      <c r="A188" s="228"/>
      <c r="B188" s="464"/>
      <c r="C188" s="168"/>
      <c r="D188" s="255"/>
      <c r="E188" s="1501"/>
      <c r="F188" s="229"/>
      <c r="G188" s="467"/>
      <c r="H188" s="315"/>
      <c r="I188" s="465"/>
      <c r="N188"/>
      <c r="O188"/>
      <c r="P188"/>
    </row>
    <row r="189" spans="1:16">
      <c r="A189" s="501"/>
      <c r="B189" s="502"/>
      <c r="C189" s="229"/>
      <c r="D189" s="255"/>
      <c r="E189" s="1501"/>
      <c r="F189" s="229"/>
      <c r="G189" s="467"/>
      <c r="H189" s="472"/>
      <c r="I189" s="981"/>
      <c r="N189"/>
      <c r="O189"/>
      <c r="P189"/>
    </row>
    <row r="190" spans="1:16" s="312" customFormat="1" ht="16" thickBot="1">
      <c r="A190" s="236">
        <v>97</v>
      </c>
      <c r="B190" s="503" t="s">
        <v>376</v>
      </c>
      <c r="C190" s="504"/>
      <c r="D190" s="430"/>
      <c r="E190" s="438"/>
      <c r="F190" s="429" t="str">
        <f>"(Line "&amp;A173&amp;" + "&amp;A181&amp;" + "&amp;A187&amp;")"</f>
        <v>(Line 86 + 91 + 96)</v>
      </c>
      <c r="G190" s="505"/>
      <c r="H190" s="506">
        <f>+H173+H181+H187</f>
        <v>47395547.709626377</v>
      </c>
      <c r="I190" s="462"/>
      <c r="J190" s="168"/>
      <c r="K190"/>
      <c r="L190"/>
      <c r="M190"/>
      <c r="N190"/>
      <c r="O190"/>
      <c r="P190"/>
    </row>
    <row r="191" spans="1:16" ht="16" thickTop="1">
      <c r="E191" s="1501"/>
      <c r="N191"/>
      <c r="O191"/>
      <c r="P191"/>
    </row>
    <row r="192" spans="1:16">
      <c r="A192" s="484" t="s">
        <v>377</v>
      </c>
      <c r="B192" s="485"/>
      <c r="C192" s="486"/>
      <c r="D192" s="290"/>
      <c r="E192" s="1512"/>
      <c r="F192" s="225"/>
      <c r="G192" s="225"/>
      <c r="H192" s="292"/>
      <c r="I192" s="420"/>
      <c r="N192"/>
      <c r="O192"/>
      <c r="P192"/>
    </row>
    <row r="193" spans="1:16">
      <c r="A193" s="455"/>
      <c r="B193" s="236"/>
      <c r="C193" s="259"/>
      <c r="D193" s="255"/>
      <c r="E193" s="294"/>
      <c r="F193" s="232"/>
      <c r="G193" s="232"/>
      <c r="H193" s="432"/>
      <c r="I193" s="978"/>
      <c r="N193"/>
      <c r="O193"/>
      <c r="P193"/>
    </row>
    <row r="194" spans="1:16">
      <c r="A194" s="228">
        <v>98</v>
      </c>
      <c r="B194" s="229" t="s">
        <v>378</v>
      </c>
      <c r="C194" s="507"/>
      <c r="E194" s="513"/>
      <c r="F194" s="221" t="s">
        <v>379</v>
      </c>
      <c r="G194" s="221"/>
      <c r="H194" s="508">
        <f>+'2 - Other Tax'!G36</f>
        <v>1247237.2224480165</v>
      </c>
      <c r="I194" s="508"/>
      <c r="N194"/>
      <c r="O194"/>
      <c r="P194"/>
    </row>
    <row r="195" spans="1:16">
      <c r="A195" s="422"/>
      <c r="B195" s="255"/>
      <c r="E195" s="1501"/>
      <c r="F195" s="237"/>
      <c r="G195" s="221"/>
      <c r="N195"/>
      <c r="O195"/>
      <c r="P195"/>
    </row>
    <row r="196" spans="1:16" ht="16" thickBot="1">
      <c r="A196" s="228">
        <v>99</v>
      </c>
      <c r="B196" s="427" t="s">
        <v>380</v>
      </c>
      <c r="C196" s="427"/>
      <c r="D196" s="430"/>
      <c r="E196" s="438"/>
      <c r="F196" s="429" t="str">
        <f>"(Line "&amp;A194&amp;")"</f>
        <v>(Line 98)</v>
      </c>
      <c r="G196" s="283"/>
      <c r="H196" s="451">
        <f>+H194</f>
        <v>1247237.2224480165</v>
      </c>
      <c r="I196" s="538"/>
      <c r="N196"/>
      <c r="O196"/>
      <c r="P196"/>
    </row>
    <row r="197" spans="1:16" ht="16" thickTop="1">
      <c r="A197" s="220"/>
      <c r="E197" s="1501"/>
      <c r="N197"/>
      <c r="O197"/>
      <c r="P197"/>
    </row>
    <row r="198" spans="1:16">
      <c r="A198" s="484" t="s">
        <v>381</v>
      </c>
      <c r="B198" s="485"/>
      <c r="C198" s="486"/>
      <c r="D198" s="290"/>
      <c r="E198" s="1509"/>
      <c r="F198" s="225"/>
      <c r="G198" s="225"/>
      <c r="H198" s="292"/>
      <c r="I198" s="420"/>
      <c r="N198"/>
      <c r="O198"/>
      <c r="P198"/>
    </row>
    <row r="199" spans="1:16">
      <c r="A199" s="237"/>
      <c r="B199" s="236"/>
      <c r="C199" s="259"/>
      <c r="D199" s="255"/>
      <c r="E199" s="294"/>
      <c r="F199" s="232"/>
      <c r="G199" s="232"/>
      <c r="H199" s="432"/>
      <c r="I199" s="978"/>
      <c r="N199"/>
      <c r="O199"/>
      <c r="P199"/>
    </row>
    <row r="200" spans="1:16">
      <c r="A200" s="228"/>
      <c r="B200" s="234" t="s">
        <v>2</v>
      </c>
      <c r="D200" s="231"/>
      <c r="E200" s="294"/>
      <c r="G200" s="234"/>
      <c r="N200"/>
      <c r="O200"/>
      <c r="P200"/>
    </row>
    <row r="201" spans="1:16">
      <c r="A201" s="228">
        <v>100</v>
      </c>
      <c r="B201" s="234"/>
      <c r="C201" s="232" t="s">
        <v>2</v>
      </c>
      <c r="D201" s="231"/>
      <c r="E201" s="294"/>
      <c r="F201" s="234" t="s">
        <v>382</v>
      </c>
      <c r="G201" s="234"/>
      <c r="H201" s="446">
        <f>56869086+1254461+692425+1781557</f>
        <v>60597529</v>
      </c>
      <c r="I201" s="235"/>
      <c r="N201"/>
      <c r="O201"/>
      <c r="P201"/>
    </row>
    <row r="202" spans="1:16">
      <c r="A202" s="228">
        <v>101</v>
      </c>
      <c r="B202" s="228"/>
      <c r="C202" s="509" t="s">
        <v>383</v>
      </c>
      <c r="D202" s="489"/>
      <c r="E202" s="1513" t="s">
        <v>835</v>
      </c>
      <c r="F202" s="250" t="s">
        <v>384</v>
      </c>
      <c r="G202" s="241"/>
      <c r="H202" s="492">
        <v>1781557</v>
      </c>
      <c r="I202" s="462"/>
      <c r="N202"/>
      <c r="O202"/>
      <c r="P202"/>
    </row>
    <row r="203" spans="1:16">
      <c r="A203" s="236">
        <v>102</v>
      </c>
      <c r="B203" s="236"/>
      <c r="C203" s="234" t="s">
        <v>2</v>
      </c>
      <c r="D203" s="231"/>
      <c r="E203" s="1501"/>
      <c r="F203" s="235" t="s">
        <v>385</v>
      </c>
      <c r="G203" s="234"/>
      <c r="H203" s="234">
        <f>+H201-H202</f>
        <v>58815972</v>
      </c>
      <c r="I203" s="235"/>
      <c r="N203"/>
      <c r="O203"/>
      <c r="P203"/>
    </row>
    <row r="204" spans="1:16">
      <c r="A204" s="236"/>
      <c r="B204" s="236"/>
      <c r="C204" s="243"/>
      <c r="E204" s="1501"/>
      <c r="F204" s="255"/>
      <c r="G204" s="243"/>
      <c r="H204" s="243"/>
      <c r="I204" s="244"/>
      <c r="N204"/>
      <c r="O204"/>
      <c r="P204"/>
    </row>
    <row r="205" spans="1:16">
      <c r="A205" s="236">
        <v>103</v>
      </c>
      <c r="B205" s="243" t="s">
        <v>386</v>
      </c>
      <c r="E205" s="294" t="s">
        <v>387</v>
      </c>
      <c r="F205" s="244" t="s">
        <v>388</v>
      </c>
      <c r="G205" s="243"/>
      <c r="H205" s="511">
        <v>0</v>
      </c>
      <c r="I205" s="985"/>
      <c r="N205"/>
      <c r="O205"/>
      <c r="P205"/>
    </row>
    <row r="206" spans="1:16">
      <c r="A206" s="236"/>
      <c r="B206" s="236"/>
      <c r="C206" s="247"/>
      <c r="E206" s="294"/>
      <c r="F206" s="244"/>
      <c r="G206" s="243"/>
      <c r="H206" s="243"/>
      <c r="I206" s="244"/>
      <c r="N206"/>
      <c r="O206"/>
      <c r="P206"/>
    </row>
    <row r="207" spans="1:16">
      <c r="A207" s="236"/>
      <c r="B207" s="247" t="s">
        <v>389</v>
      </c>
      <c r="E207" s="294"/>
      <c r="F207" s="244"/>
      <c r="G207" s="243"/>
      <c r="H207" s="243"/>
      <c r="I207" s="244"/>
      <c r="N207"/>
      <c r="O207"/>
      <c r="P207"/>
    </row>
    <row r="208" spans="1:16">
      <c r="A208" s="236">
        <v>104</v>
      </c>
      <c r="B208" s="236"/>
      <c r="C208" s="243" t="s">
        <v>390</v>
      </c>
      <c r="D208" s="243"/>
      <c r="E208" s="513"/>
      <c r="F208" s="244" t="s">
        <v>391</v>
      </c>
      <c r="G208" s="243"/>
      <c r="H208" s="424">
        <v>1335242524.1938462</v>
      </c>
      <c r="I208" s="977"/>
      <c r="N208"/>
      <c r="O208"/>
      <c r="P208"/>
    </row>
    <row r="209" spans="1:16">
      <c r="A209" s="228">
        <v>105</v>
      </c>
      <c r="B209" s="228"/>
      <c r="C209" s="244" t="s">
        <v>392</v>
      </c>
      <c r="D209" s="244"/>
      <c r="E209" s="294" t="s">
        <v>192</v>
      </c>
      <c r="F209" s="311" t="str">
        <f>"(Line "&amp;A221&amp;")"</f>
        <v>(Line 114)</v>
      </c>
      <c r="G209" s="243"/>
      <c r="H209" s="244">
        <f>-H221</f>
        <v>0</v>
      </c>
      <c r="I209" s="244"/>
      <c r="N209"/>
      <c r="O209"/>
      <c r="P209"/>
    </row>
    <row r="210" spans="1:16">
      <c r="A210" s="236">
        <v>106</v>
      </c>
      <c r="B210" s="228"/>
      <c r="C210" s="235" t="s">
        <v>393</v>
      </c>
      <c r="D210" s="235"/>
      <c r="E210" s="294" t="s">
        <v>192</v>
      </c>
      <c r="F210" s="235" t="s">
        <v>394</v>
      </c>
      <c r="G210" s="234"/>
      <c r="H210" s="446">
        <v>0</v>
      </c>
      <c r="I210" s="235"/>
      <c r="N210"/>
      <c r="O210"/>
      <c r="P210"/>
    </row>
    <row r="211" spans="1:16">
      <c r="A211" s="1038" t="s">
        <v>1177</v>
      </c>
      <c r="B211" s="1038"/>
      <c r="C211" s="1091" t="s">
        <v>1178</v>
      </c>
      <c r="D211" s="1091"/>
      <c r="E211" s="1092" t="s">
        <v>192</v>
      </c>
      <c r="F211" s="1091" t="s">
        <v>1179</v>
      </c>
      <c r="G211" s="241"/>
      <c r="H211" s="512">
        <v>0</v>
      </c>
      <c r="I211" s="235"/>
      <c r="N211"/>
      <c r="O211"/>
      <c r="P211"/>
    </row>
    <row r="212" spans="1:16">
      <c r="A212" s="236">
        <v>107</v>
      </c>
      <c r="B212" s="228"/>
      <c r="C212" s="235" t="s">
        <v>389</v>
      </c>
      <c r="D212" s="235"/>
      <c r="E212" s="513" t="s">
        <v>1217</v>
      </c>
      <c r="F212" s="234" t="s">
        <v>1180</v>
      </c>
      <c r="G212" s="253"/>
      <c r="H212" s="243">
        <f>SUM(H208:H211)</f>
        <v>1335242524.1938462</v>
      </c>
      <c r="I212" s="244"/>
      <c r="N212"/>
      <c r="O212"/>
      <c r="P212"/>
    </row>
    <row r="213" spans="1:16">
      <c r="A213" s="236"/>
      <c r="B213" s="236"/>
      <c r="C213" s="247"/>
      <c r="E213" s="294"/>
      <c r="F213" s="243"/>
      <c r="G213" s="232"/>
      <c r="H213" s="243"/>
      <c r="I213" s="244"/>
      <c r="N213"/>
      <c r="O213"/>
      <c r="P213"/>
    </row>
    <row r="214" spans="1:16">
      <c r="A214" s="236"/>
      <c r="B214" s="247" t="s">
        <v>3</v>
      </c>
      <c r="E214" s="294"/>
      <c r="F214" s="243"/>
      <c r="G214" s="232"/>
      <c r="H214" s="243"/>
      <c r="I214" s="244"/>
      <c r="N214"/>
      <c r="O214"/>
      <c r="P214"/>
    </row>
    <row r="215" spans="1:16">
      <c r="A215" s="236">
        <v>108</v>
      </c>
      <c r="B215" s="236"/>
      <c r="C215" s="247" t="s">
        <v>395</v>
      </c>
      <c r="E215" s="513"/>
      <c r="F215" s="247" t="s">
        <v>396</v>
      </c>
      <c r="G215" s="232"/>
      <c r="H215" s="435">
        <v>1360378012.9061537</v>
      </c>
      <c r="I215" s="244"/>
      <c r="N215"/>
      <c r="O215"/>
      <c r="P215"/>
    </row>
    <row r="216" spans="1:16">
      <c r="A216" s="228">
        <v>109</v>
      </c>
      <c r="B216" s="236"/>
      <c r="C216" s="247" t="s">
        <v>397</v>
      </c>
      <c r="E216" s="294" t="str">
        <f>+E210</f>
        <v>enter negative</v>
      </c>
      <c r="F216" s="259" t="s">
        <v>398</v>
      </c>
      <c r="G216" s="232"/>
      <c r="H216" s="435">
        <v>-3693784.3984615402</v>
      </c>
      <c r="I216" s="244"/>
      <c r="N216"/>
      <c r="O216"/>
      <c r="P216"/>
    </row>
    <row r="217" spans="1:16">
      <c r="A217" s="228">
        <v>110</v>
      </c>
      <c r="B217" s="236"/>
      <c r="C217" s="247" t="s">
        <v>399</v>
      </c>
      <c r="E217" s="1501" t="s">
        <v>400</v>
      </c>
      <c r="F217" s="265" t="s">
        <v>401</v>
      </c>
      <c r="G217" s="232"/>
      <c r="H217" s="435">
        <v>0</v>
      </c>
      <c r="I217" s="244"/>
      <c r="N217"/>
      <c r="O217"/>
      <c r="P217"/>
    </row>
    <row r="218" spans="1:16">
      <c r="A218" s="228">
        <v>111</v>
      </c>
      <c r="B218" s="228"/>
      <c r="C218" s="259" t="s">
        <v>402</v>
      </c>
      <c r="D218" s="255"/>
      <c r="E218" s="294" t="str">
        <f>IF(H218&gt;0,"enter positive","enter negative")</f>
        <v>enter positive</v>
      </c>
      <c r="F218" s="1225" t="str">
        <f>"Attachment 1B - ADIT EOY, Line "&amp;'1B - ADIT EOY'!B22&amp;""</f>
        <v>Attachment 1B - ADIT EOY, Line 7</v>
      </c>
      <c r="G218" s="255"/>
      <c r="H218" s="1241">
        <f>-'1B - ADIT EOY'!E22</f>
        <v>1038322</v>
      </c>
      <c r="I218" s="244"/>
      <c r="J218" s="1185"/>
      <c r="N218"/>
      <c r="O218"/>
      <c r="P218"/>
    </row>
    <row r="219" spans="1:16">
      <c r="A219" s="228">
        <v>112</v>
      </c>
      <c r="B219" s="228"/>
      <c r="C219" s="221" t="s">
        <v>403</v>
      </c>
      <c r="D219" s="510" t="s">
        <v>835</v>
      </c>
      <c r="E219" s="1092" t="s">
        <v>192</v>
      </c>
      <c r="F219" s="250" t="str">
        <f>+F202</f>
        <v>Attachment 8</v>
      </c>
      <c r="G219" s="232"/>
      <c r="H219" s="435">
        <v>-19516859.059999995</v>
      </c>
      <c r="I219" s="244"/>
      <c r="N219"/>
      <c r="O219"/>
      <c r="P219"/>
    </row>
    <row r="220" spans="1:16">
      <c r="A220" s="228">
        <v>113</v>
      </c>
      <c r="B220" s="228"/>
      <c r="C220" s="257" t="s">
        <v>404</v>
      </c>
      <c r="D220" s="256"/>
      <c r="E220" s="513" t="s">
        <v>1041</v>
      </c>
      <c r="F220" s="235" t="str">
        <f>"(Sum Lines "&amp;A215&amp;" to "&amp;A219&amp;")"</f>
        <v>(Sum Lines 108 to 112)</v>
      </c>
      <c r="G220" s="256"/>
      <c r="H220" s="258">
        <f>SUM(H215:H219)</f>
        <v>1338205691.4476922</v>
      </c>
      <c r="I220" s="235"/>
      <c r="N220"/>
      <c r="O220"/>
      <c r="P220"/>
    </row>
    <row r="221" spans="1:16">
      <c r="A221" s="236">
        <v>114</v>
      </c>
      <c r="B221" s="236"/>
      <c r="C221" s="247" t="s">
        <v>405</v>
      </c>
      <c r="E221" s="513" t="s">
        <v>1175</v>
      </c>
      <c r="F221" s="259" t="s">
        <v>406</v>
      </c>
      <c r="G221" s="232"/>
      <c r="H221" s="435">
        <v>0</v>
      </c>
      <c r="I221" s="244"/>
      <c r="N221"/>
      <c r="O221"/>
      <c r="P221"/>
    </row>
    <row r="222" spans="1:16">
      <c r="A222" s="236">
        <v>115</v>
      </c>
      <c r="B222" s="236"/>
      <c r="C222" s="247" t="s">
        <v>389</v>
      </c>
      <c r="E222" s="1501"/>
      <c r="F222" s="241" t="str">
        <f>"(Line "&amp;A212&amp;")"</f>
        <v>(Line 107)</v>
      </c>
      <c r="G222" s="232"/>
      <c r="H222" s="234">
        <f>H212</f>
        <v>1335242524.1938462</v>
      </c>
      <c r="I222" s="235"/>
      <c r="N222"/>
      <c r="O222"/>
      <c r="P222"/>
    </row>
    <row r="223" spans="1:16">
      <c r="A223" s="236">
        <v>116</v>
      </c>
      <c r="B223" s="236"/>
      <c r="C223" s="257" t="s">
        <v>407</v>
      </c>
      <c r="D223" s="260"/>
      <c r="E223" s="436"/>
      <c r="F223" s="234" t="str">
        <f>"(Sum Lines "&amp;A220&amp;" to "&amp;A222&amp;")"</f>
        <v>(Sum Lines 113 to 115)</v>
      </c>
      <c r="G223" s="263"/>
      <c r="H223" s="263">
        <f>H222+H221+H220</f>
        <v>2673448215.6415386</v>
      </c>
      <c r="I223" s="235"/>
      <c r="N223"/>
      <c r="O223"/>
      <c r="P223"/>
    </row>
    <row r="224" spans="1:16">
      <c r="A224" s="236"/>
      <c r="B224" s="236"/>
      <c r="C224" s="247"/>
      <c r="E224" s="1501"/>
      <c r="G224" s="243"/>
      <c r="H224" s="294"/>
      <c r="I224" s="264"/>
      <c r="N224"/>
      <c r="O224"/>
      <c r="P224"/>
    </row>
    <row r="225" spans="1:16">
      <c r="A225" s="228">
        <v>117</v>
      </c>
      <c r="B225" s="236"/>
      <c r="C225" s="266" t="s">
        <v>408</v>
      </c>
      <c r="D225" s="265" t="s">
        <v>404</v>
      </c>
      <c r="E225" s="1094" t="s">
        <v>1181</v>
      </c>
      <c r="F225" s="1236" t="str">
        <f>"(Line "&amp;A220&amp;" / "&amp;A223&amp;")"</f>
        <v>(Line 113 / 116)</v>
      </c>
      <c r="G225" s="1236"/>
      <c r="H225" s="1093">
        <v>0.5</v>
      </c>
      <c r="I225" s="986"/>
      <c r="N225"/>
      <c r="O225"/>
      <c r="P225"/>
    </row>
    <row r="226" spans="1:16">
      <c r="A226" s="228">
        <v>118</v>
      </c>
      <c r="B226" s="236"/>
      <c r="C226" s="266" t="s">
        <v>409</v>
      </c>
      <c r="D226" s="247" t="s">
        <v>405</v>
      </c>
      <c r="E226" s="1094" t="s">
        <v>1181</v>
      </c>
      <c r="F226" s="1236" t="str">
        <f>"(Line "&amp;A221&amp;" / "&amp;A223&amp;")"</f>
        <v>(Line 114 / 116)</v>
      </c>
      <c r="G226" s="1236"/>
      <c r="H226" s="1093">
        <v>0</v>
      </c>
      <c r="I226" s="986"/>
      <c r="N226"/>
      <c r="O226"/>
      <c r="P226"/>
    </row>
    <row r="227" spans="1:16">
      <c r="A227" s="228">
        <v>119</v>
      </c>
      <c r="B227" s="236"/>
      <c r="C227" s="266" t="s">
        <v>410</v>
      </c>
      <c r="D227" s="247" t="s">
        <v>389</v>
      </c>
      <c r="E227" s="1094" t="s">
        <v>1181</v>
      </c>
      <c r="F227" s="1236" t="str">
        <f>"(Line "&amp;A222&amp;" / "&amp;A223&amp;")"</f>
        <v>(Line 115 / 116)</v>
      </c>
      <c r="G227" s="1236"/>
      <c r="H227" s="1093">
        <v>0.5</v>
      </c>
      <c r="I227" s="986"/>
      <c r="N227"/>
      <c r="O227"/>
      <c r="P227"/>
    </row>
    <row r="228" spans="1:16">
      <c r="A228" s="228"/>
      <c r="B228" s="236"/>
      <c r="C228" s="246"/>
      <c r="E228" s="1501"/>
      <c r="F228" s="243"/>
      <c r="G228" s="243"/>
      <c r="H228" s="910"/>
      <c r="I228" s="987"/>
      <c r="N228"/>
      <c r="O228"/>
      <c r="P228"/>
    </row>
    <row r="229" spans="1:16">
      <c r="A229" s="228">
        <v>120</v>
      </c>
      <c r="B229" s="236"/>
      <c r="C229" s="246" t="s">
        <v>411</v>
      </c>
      <c r="D229" s="265" t="s">
        <v>404</v>
      </c>
      <c r="E229" s="1245"/>
      <c r="F229" s="234" t="str">
        <f>"(Line "&amp;A203&amp;" / "&amp;A220&amp;")"</f>
        <v>(Line 102 / 113)</v>
      </c>
      <c r="G229" s="243"/>
      <c r="H229" s="270">
        <f>IF(H220&gt;0,H203/H220,0)</f>
        <v>4.3951368893351474E-2</v>
      </c>
      <c r="I229" s="267"/>
      <c r="N229"/>
      <c r="O229"/>
      <c r="P229"/>
    </row>
    <row r="230" spans="1:16">
      <c r="A230" s="228">
        <v>121</v>
      </c>
      <c r="B230" s="236"/>
      <c r="C230" s="246" t="s">
        <v>412</v>
      </c>
      <c r="D230" s="247" t="s">
        <v>405</v>
      </c>
      <c r="E230" s="1501"/>
      <c r="F230" s="234" t="str">
        <f>"(Line "&amp;A205&amp;" / "&amp;A221&amp;")"</f>
        <v>(Line 103 / 114)</v>
      </c>
      <c r="G230" s="243"/>
      <c r="H230" s="270">
        <f>IF(H221&gt;0,H205/H221,0)</f>
        <v>0</v>
      </c>
      <c r="I230" s="267"/>
      <c r="N230"/>
      <c r="O230"/>
      <c r="P230"/>
    </row>
    <row r="231" spans="1:16">
      <c r="A231" s="228">
        <v>122</v>
      </c>
      <c r="B231" s="236"/>
      <c r="C231" s="246" t="s">
        <v>413</v>
      </c>
      <c r="D231" s="247" t="s">
        <v>389</v>
      </c>
      <c r="E231" s="513" t="str">
        <f>"(Note "&amp;B$339&amp;")"</f>
        <v>(Note J)</v>
      </c>
      <c r="F231" s="244" t="s">
        <v>414</v>
      </c>
      <c r="G231" s="243"/>
      <c r="H231" s="514">
        <v>0.105</v>
      </c>
      <c r="I231" s="267"/>
      <c r="N231"/>
      <c r="O231"/>
      <c r="P231"/>
    </row>
    <row r="232" spans="1:16">
      <c r="A232" s="228"/>
      <c r="B232" s="236"/>
      <c r="C232" s="246"/>
      <c r="E232" s="1501"/>
      <c r="F232" s="243"/>
      <c r="G232" s="243"/>
      <c r="H232" s="232"/>
      <c r="I232" s="255"/>
      <c r="N232"/>
      <c r="O232"/>
      <c r="P232"/>
    </row>
    <row r="233" spans="1:16">
      <c r="A233" s="228">
        <v>123</v>
      </c>
      <c r="B233" s="236"/>
      <c r="C233" s="266" t="s">
        <v>415</v>
      </c>
      <c r="D233" s="265" t="s">
        <v>416</v>
      </c>
      <c r="E233" s="1501"/>
      <c r="F233" s="234" t="str">
        <f>"(Line "&amp;A225&amp;" * "&amp;A229&amp;")"</f>
        <v>(Line 117 * 120)</v>
      </c>
      <c r="G233" s="269"/>
      <c r="H233" s="270">
        <f>H229*H225</f>
        <v>2.1975684446675737E-2</v>
      </c>
      <c r="I233" s="267"/>
      <c r="N233"/>
      <c r="O233"/>
      <c r="P233"/>
    </row>
    <row r="234" spans="1:16">
      <c r="A234" s="228">
        <v>124</v>
      </c>
      <c r="B234" s="236"/>
      <c r="C234" s="266" t="s">
        <v>417</v>
      </c>
      <c r="D234" s="247" t="s">
        <v>405</v>
      </c>
      <c r="E234" s="1501"/>
      <c r="F234" s="234" t="str">
        <f>"(Line "&amp;A226&amp;" * "&amp;A230&amp;")"</f>
        <v>(Line 118 * 121)</v>
      </c>
      <c r="G234" s="271"/>
      <c r="H234" s="270">
        <f>H230*H226</f>
        <v>0</v>
      </c>
      <c r="I234" s="267"/>
      <c r="N234"/>
      <c r="O234"/>
      <c r="P234"/>
    </row>
    <row r="235" spans="1:16">
      <c r="A235" s="228">
        <v>125</v>
      </c>
      <c r="B235" s="306"/>
      <c r="C235" s="272" t="s">
        <v>418</v>
      </c>
      <c r="D235" s="273" t="s">
        <v>389</v>
      </c>
      <c r="E235" s="445"/>
      <c r="F235" s="241" t="str">
        <f>"(Line "&amp;A227&amp;" * "&amp;A231&amp;")"</f>
        <v>(Line 119 * 122)</v>
      </c>
      <c r="G235" s="274"/>
      <c r="H235" s="275">
        <f>H231*H227</f>
        <v>5.2499999999999998E-2</v>
      </c>
      <c r="I235" s="988"/>
      <c r="N235"/>
      <c r="O235"/>
      <c r="P235"/>
    </row>
    <row r="236" spans="1:16" s="312" customFormat="1">
      <c r="A236" s="236">
        <v>126</v>
      </c>
      <c r="B236" s="453" t="s">
        <v>419</v>
      </c>
      <c r="C236" s="453"/>
      <c r="D236" s="231"/>
      <c r="E236" s="1501"/>
      <c r="F236" s="234" t="str">
        <f>"(Sum Lines "&amp;A233&amp;" to "&amp;A235&amp;")"</f>
        <v>(Sum Lines 123 to 125)</v>
      </c>
      <c r="G236" s="515"/>
      <c r="H236" s="270">
        <f>SUM(H233:H235)</f>
        <v>7.4475684446675738E-2</v>
      </c>
      <c r="I236" s="267"/>
      <c r="J236" s="516"/>
      <c r="K236"/>
      <c r="L236"/>
      <c r="M236"/>
      <c r="N236"/>
      <c r="O236"/>
      <c r="P236"/>
    </row>
    <row r="237" spans="1:16" s="312" customFormat="1">
      <c r="A237" s="236"/>
      <c r="B237" s="236"/>
      <c r="C237" s="453"/>
      <c r="D237" s="231"/>
      <c r="E237" s="1501"/>
      <c r="F237" s="234"/>
      <c r="G237" s="515"/>
      <c r="H237" s="270"/>
      <c r="I237" s="267"/>
      <c r="K237"/>
      <c r="L237"/>
      <c r="M237"/>
      <c r="N237"/>
      <c r="O237"/>
      <c r="P237"/>
    </row>
    <row r="238" spans="1:16" ht="16" thickBot="1">
      <c r="A238" s="236">
        <v>127</v>
      </c>
      <c r="B238" s="517" t="s">
        <v>420</v>
      </c>
      <c r="C238" s="283"/>
      <c r="D238" s="430"/>
      <c r="E238" s="495"/>
      <c r="F238" s="429" t="str">
        <f>"(Line "&amp;A127&amp;" * "&amp;A236&amp;")"</f>
        <v>(Line 59 * 126)</v>
      </c>
      <c r="G238" s="518"/>
      <c r="H238" s="429">
        <f>+H127*H236</f>
        <v>86318231.456435829</v>
      </c>
      <c r="I238" s="235"/>
      <c r="N238"/>
      <c r="O238"/>
      <c r="P238"/>
    </row>
    <row r="239" spans="1:16" ht="16" thickTop="1">
      <c r="A239" s="236"/>
      <c r="B239" s="236"/>
      <c r="C239" s="247"/>
      <c r="E239" s="1501"/>
      <c r="F239" s="243"/>
      <c r="G239" s="243"/>
      <c r="H239" s="270"/>
      <c r="I239" s="267"/>
      <c r="N239"/>
      <c r="O239"/>
      <c r="P239"/>
    </row>
    <row r="240" spans="1:16">
      <c r="A240" s="484" t="s">
        <v>421</v>
      </c>
      <c r="B240" s="485"/>
      <c r="C240" s="486"/>
      <c r="D240" s="290"/>
      <c r="E240" s="1512"/>
      <c r="F240" s="225"/>
      <c r="G240" s="225"/>
      <c r="H240" s="292"/>
      <c r="I240" s="420"/>
      <c r="N240"/>
      <c r="O240"/>
      <c r="P240"/>
    </row>
    <row r="241" spans="1:16">
      <c r="A241" s="229"/>
      <c r="B241" s="236"/>
      <c r="C241" s="259"/>
      <c r="D241" s="255"/>
      <c r="E241" s="294"/>
      <c r="F241" s="232"/>
      <c r="G241" s="232"/>
      <c r="H241" s="432"/>
      <c r="I241" s="978"/>
      <c r="N241"/>
      <c r="O241"/>
      <c r="P241"/>
    </row>
    <row r="242" spans="1:16">
      <c r="A242" s="236" t="s">
        <v>86</v>
      </c>
      <c r="B242" s="519" t="s">
        <v>87</v>
      </c>
      <c r="E242" s="294"/>
      <c r="F242" s="243"/>
      <c r="G242" s="296"/>
      <c r="H242" s="232"/>
      <c r="I242" s="255"/>
      <c r="N242"/>
      <c r="O242"/>
      <c r="P242"/>
    </row>
    <row r="243" spans="1:16">
      <c r="A243" s="236">
        <v>128</v>
      </c>
      <c r="B243" s="236"/>
      <c r="C243" s="232" t="s">
        <v>186</v>
      </c>
      <c r="E243" s="513" t="str">
        <f>"(Note "&amp;B337&amp;")"</f>
        <v>(Note I)</v>
      </c>
      <c r="F243" s="232"/>
      <c r="G243" s="297"/>
      <c r="H243" s="520">
        <v>0.21</v>
      </c>
      <c r="I243" s="298"/>
      <c r="N243"/>
      <c r="O243"/>
      <c r="P243"/>
    </row>
    <row r="244" spans="1:16">
      <c r="A244" s="236">
        <v>129</v>
      </c>
      <c r="B244" s="236"/>
      <c r="C244" s="297" t="s">
        <v>187</v>
      </c>
      <c r="D244" s="299"/>
      <c r="E244" s="513" t="str">
        <f>"(Note "&amp;B$337&amp;")"</f>
        <v>(Note I)</v>
      </c>
      <c r="F244" s="232"/>
      <c r="G244" s="297"/>
      <c r="H244" s="520">
        <f>'5 - Cost Support 1'!F65</f>
        <v>0.09</v>
      </c>
      <c r="I244" s="298"/>
      <c r="N244"/>
      <c r="O244"/>
      <c r="P244"/>
    </row>
    <row r="245" spans="1:16">
      <c r="A245" s="236">
        <v>130</v>
      </c>
      <c r="B245" s="236"/>
      <c r="C245" s="297" t="s">
        <v>481</v>
      </c>
      <c r="D245" s="297" t="s">
        <v>1777</v>
      </c>
      <c r="E245" s="1501"/>
      <c r="F245" s="232"/>
      <c r="G245" s="297"/>
      <c r="H245" s="520">
        <v>0</v>
      </c>
      <c r="I245" s="298"/>
      <c r="N245"/>
      <c r="O245"/>
      <c r="P245"/>
    </row>
    <row r="246" spans="1:16">
      <c r="A246" s="236">
        <v>131</v>
      </c>
      <c r="B246" s="236"/>
      <c r="C246" s="297" t="s">
        <v>188</v>
      </c>
      <c r="D246" s="300" t="s">
        <v>1778</v>
      </c>
      <c r="E246" s="1501"/>
      <c r="F246" s="232"/>
      <c r="G246" s="297"/>
      <c r="H246" s="302">
        <f>IF(H243&gt;0,1-(((1-H244)*(1-H243))/(1-H244*H243*H245)),0)</f>
        <v>0.28109999999999991</v>
      </c>
      <c r="I246" s="302"/>
      <c r="N246"/>
      <c r="O246"/>
      <c r="P246"/>
    </row>
    <row r="247" spans="1:16">
      <c r="A247" s="228" t="s">
        <v>1219</v>
      </c>
      <c r="B247" s="236"/>
      <c r="C247" s="297" t="s">
        <v>190</v>
      </c>
      <c r="D247" s="299"/>
      <c r="E247" s="1501"/>
      <c r="F247" s="232"/>
      <c r="G247" s="297"/>
      <c r="H247" s="298">
        <f>+H246/(1-H246)</f>
        <v>0.39101404924189714</v>
      </c>
      <c r="I247" s="298"/>
      <c r="N247"/>
      <c r="O247"/>
      <c r="P247"/>
    </row>
    <row r="248" spans="1:16" s="1206" customFormat="1">
      <c r="A248" s="228" t="s">
        <v>1220</v>
      </c>
      <c r="B248" s="1208"/>
      <c r="C248" s="1211" t="s">
        <v>1221</v>
      </c>
      <c r="D248" s="1212" t="s">
        <v>1222</v>
      </c>
      <c r="E248" s="1501"/>
      <c r="F248" s="1207"/>
      <c r="G248" s="1209"/>
      <c r="H248" s="1213">
        <f>1*1/(1-H246)</f>
        <v>1.3910140492418972</v>
      </c>
      <c r="I248" s="1210"/>
      <c r="K248"/>
      <c r="L248"/>
      <c r="M248"/>
      <c r="N248" s="1205"/>
      <c r="O248" s="1205"/>
      <c r="P248" s="1205"/>
    </row>
    <row r="249" spans="1:16">
      <c r="A249" s="228"/>
      <c r="B249" s="236"/>
      <c r="E249" s="301"/>
      <c r="F249" s="300"/>
      <c r="G249" s="296"/>
      <c r="H249" s="302"/>
      <c r="I249" s="302"/>
      <c r="N249"/>
      <c r="O249"/>
      <c r="P249"/>
    </row>
    <row r="250" spans="1:16">
      <c r="A250" s="228"/>
      <c r="B250" s="519" t="s">
        <v>191</v>
      </c>
      <c r="C250" s="247"/>
      <c r="E250" s="513" t="str">
        <f>"(Note "&amp;B$354&amp;")"</f>
        <v>(Note U)</v>
      </c>
      <c r="F250" s="243"/>
      <c r="G250" s="296"/>
      <c r="H250" s="521"/>
      <c r="I250" s="303"/>
      <c r="N250"/>
      <c r="O250"/>
      <c r="P250"/>
    </row>
    <row r="251" spans="1:16">
      <c r="A251" s="228">
        <v>133</v>
      </c>
      <c r="B251" s="236"/>
      <c r="C251" s="1215" t="s">
        <v>1224</v>
      </c>
      <c r="E251" s="294" t="s">
        <v>192</v>
      </c>
      <c r="F251" s="1214" t="s">
        <v>1223</v>
      </c>
      <c r="G251" s="296"/>
      <c r="H251" s="1241">
        <f>-+'1B - ADIT EOY'!E313</f>
        <v>-120057.435416026</v>
      </c>
      <c r="I251" s="244"/>
      <c r="J251" s="1185"/>
      <c r="N251"/>
      <c r="O251"/>
      <c r="P251"/>
    </row>
    <row r="252" spans="1:16">
      <c r="A252" s="228">
        <v>134</v>
      </c>
      <c r="B252" s="236"/>
      <c r="C252" s="1232" t="s">
        <v>1221</v>
      </c>
      <c r="D252" s="1228"/>
      <c r="E252" s="445"/>
      <c r="F252" s="1229" t="str">
        <f>"(Line "&amp;A248&amp;")"</f>
        <v>(Line 132b)</v>
      </c>
      <c r="G252" s="1249"/>
      <c r="H252" s="1250">
        <f>+H248</f>
        <v>1.3910140492418972</v>
      </c>
      <c r="I252" s="303"/>
      <c r="N252"/>
      <c r="O252"/>
      <c r="P252"/>
    </row>
    <row r="253" spans="1:16">
      <c r="A253" s="228">
        <v>135</v>
      </c>
      <c r="B253" s="236"/>
      <c r="C253" s="522" t="s">
        <v>194</v>
      </c>
      <c r="D253" s="256"/>
      <c r="E253" s="513"/>
      <c r="F253" s="1225" t="str">
        <f>"(Line "&amp;A251&amp;" * "&amp;A252&amp;")"</f>
        <v>(Line 133 * 134)</v>
      </c>
      <c r="G253" s="309"/>
      <c r="H253" s="258">
        <f>+H251*H252</f>
        <v>-167001.57937964387</v>
      </c>
      <c r="I253" s="235"/>
      <c r="N253"/>
      <c r="O253"/>
      <c r="P253"/>
    </row>
    <row r="254" spans="1:16">
      <c r="A254" s="228"/>
      <c r="B254" s="236"/>
      <c r="C254" s="266"/>
      <c r="D254" s="311"/>
      <c r="E254" s="513"/>
      <c r="F254" s="1224"/>
      <c r="G254" s="307"/>
      <c r="H254" s="235"/>
      <c r="I254" s="235"/>
      <c r="N254"/>
      <c r="O254"/>
      <c r="P254"/>
    </row>
    <row r="255" spans="1:16" s="1217" customFormat="1">
      <c r="A255" s="228"/>
      <c r="B255" s="1227" t="s">
        <v>1033</v>
      </c>
      <c r="C255" s="1230"/>
      <c r="D255" s="1233"/>
      <c r="E255" s="1511"/>
      <c r="F255" s="1225"/>
      <c r="G255" s="1239"/>
      <c r="H255" s="1240"/>
      <c r="I255" s="1219"/>
      <c r="K255"/>
      <c r="L255"/>
      <c r="M255"/>
      <c r="N255" s="1216"/>
      <c r="O255" s="1216"/>
      <c r="P255" s="1216"/>
    </row>
    <row r="256" spans="1:16" s="1217" customFormat="1">
      <c r="A256" s="228" t="s">
        <v>1034</v>
      </c>
      <c r="B256" s="1227"/>
      <c r="C256" s="1230" t="s">
        <v>1225</v>
      </c>
      <c r="D256" s="1233"/>
      <c r="E256" s="513" t="str">
        <f>"(Note "&amp;B$353&amp;")"</f>
        <v>(Note T)</v>
      </c>
      <c r="F256" s="1225" t="str">
        <f>"Attachment 5, Line "&amp;'5 - Cost Support 1'!A250&amp;""</f>
        <v>Attachment 5, Line 136a</v>
      </c>
      <c r="G256" s="1239"/>
      <c r="H256" s="1241">
        <f>+'5 - Cost Support 1'!L250</f>
        <v>79424.702612104767</v>
      </c>
      <c r="I256" s="1219"/>
      <c r="J256" s="1185"/>
      <c r="K256"/>
      <c r="L256"/>
      <c r="M256"/>
      <c r="N256" s="1216"/>
      <c r="O256" s="1216"/>
      <c r="P256" s="1216"/>
    </row>
    <row r="257" spans="1:16" s="1217" customFormat="1">
      <c r="A257" s="228" t="s">
        <v>1035</v>
      </c>
      <c r="B257" s="1227"/>
      <c r="C257" s="1230" t="s">
        <v>1226</v>
      </c>
      <c r="D257" s="1233"/>
      <c r="E257" s="513" t="str">
        <f>"(Note "&amp;B$353&amp;")"</f>
        <v>(Note T)</v>
      </c>
      <c r="F257" s="1225" t="str">
        <f>"Attachment 5, Line "&amp;'5 - Cost Support 1'!A252&amp;""</f>
        <v>Attachment 5, Line 136b</v>
      </c>
      <c r="G257" s="1239"/>
      <c r="H257" s="1241">
        <f>+'5 - Cost Support 1'!L252</f>
        <v>-13268254.266331796</v>
      </c>
      <c r="I257" s="1219"/>
      <c r="J257" s="1185"/>
      <c r="K257"/>
      <c r="L257"/>
      <c r="M257"/>
      <c r="N257" s="1216"/>
      <c r="O257" s="1216"/>
      <c r="P257" s="1216"/>
    </row>
    <row r="258" spans="1:16" s="1217" customFormat="1">
      <c r="A258" s="228" t="s">
        <v>1036</v>
      </c>
      <c r="B258" s="1227"/>
      <c r="C258" s="1230" t="s">
        <v>1228</v>
      </c>
      <c r="D258" s="1233"/>
      <c r="E258" s="513" t="str">
        <f>"(Note "&amp;B$353&amp;")"</f>
        <v>(Note T)</v>
      </c>
      <c r="F258" s="1225" t="str">
        <f>"Attachment 5, Line "&amp;'5 - Cost Support 1'!A253&amp;""</f>
        <v>Attachment 5, Line 136c</v>
      </c>
      <c r="G258" s="1239"/>
      <c r="H258" s="1241">
        <f>+'5 - Cost Support 1'!L253</f>
        <v>0</v>
      </c>
      <c r="I258" s="1219"/>
      <c r="J258" s="1185"/>
      <c r="K258"/>
      <c r="L258"/>
      <c r="M258"/>
      <c r="N258" s="1216"/>
      <c r="O258" s="1216"/>
      <c r="P258" s="1216"/>
    </row>
    <row r="259" spans="1:16" s="1217" customFormat="1">
      <c r="A259" s="228" t="s">
        <v>1227</v>
      </c>
      <c r="B259" s="1227"/>
      <c r="C259" s="1231" t="s">
        <v>1230</v>
      </c>
      <c r="D259" s="1238"/>
      <c r="E259" s="480" t="str">
        <f>"(Note "&amp;B$353&amp;")"</f>
        <v>(Note T)</v>
      </c>
      <c r="F259" s="1229" t="str">
        <f>"Attachment 5, Line "&amp;'5 - Cost Support 1'!A254&amp;""</f>
        <v>Attachment 5, Line 136d</v>
      </c>
      <c r="G259" s="1242"/>
      <c r="H259" s="1243">
        <f>+'5 - Cost Support 1'!L254</f>
        <v>0</v>
      </c>
      <c r="I259" s="1219"/>
      <c r="J259" s="1185"/>
      <c r="K259"/>
      <c r="L259"/>
      <c r="M259"/>
      <c r="N259" s="1216"/>
      <c r="O259" s="1216"/>
      <c r="P259" s="1216"/>
    </row>
    <row r="260" spans="1:16" s="1217" customFormat="1">
      <c r="A260" s="228" t="s">
        <v>1229</v>
      </c>
      <c r="B260" s="1227"/>
      <c r="C260" s="1230" t="s">
        <v>1232</v>
      </c>
      <c r="D260" s="1233"/>
      <c r="E260" s="513"/>
      <c r="F260" s="1225" t="str">
        <f>"(Line "&amp;A256&amp;" + "&amp;A257&amp;" + "&amp;A258&amp;" + "&amp;A259&amp;")"</f>
        <v>(Line 136a + 136b + 136c + 136d)</v>
      </c>
      <c r="G260" s="1239"/>
      <c r="H260" s="1236">
        <f>H256+H257+H258+H259</f>
        <v>-13188829.563719692</v>
      </c>
      <c r="I260" s="1219"/>
      <c r="J260" s="1185"/>
      <c r="K260"/>
      <c r="L260"/>
      <c r="M260"/>
      <c r="N260" s="1216"/>
      <c r="O260" s="1216"/>
      <c r="P260" s="1216"/>
    </row>
    <row r="261" spans="1:16" s="1217" customFormat="1">
      <c r="A261" s="228" t="s">
        <v>1231</v>
      </c>
      <c r="B261" s="1226"/>
      <c r="C261" s="1232" t="s">
        <v>1221</v>
      </c>
      <c r="D261" s="1238"/>
      <c r="E261" s="1514"/>
      <c r="F261" s="1229" t="str">
        <f>"(Line "&amp;A248&amp;")"</f>
        <v>(Line 132b)</v>
      </c>
      <c r="G261" s="1242"/>
      <c r="H261" s="1244">
        <f>+H248</f>
        <v>1.3910140492418972</v>
      </c>
      <c r="I261" s="1219"/>
      <c r="J261" s="1185"/>
      <c r="K261"/>
      <c r="L261"/>
      <c r="M261"/>
      <c r="N261" s="1216"/>
      <c r="O261" s="1216"/>
      <c r="P261" s="1216"/>
    </row>
    <row r="262" spans="1:16" s="1217" customFormat="1">
      <c r="A262" s="228" t="s">
        <v>1233</v>
      </c>
      <c r="B262" s="1226"/>
      <c r="C262" s="1230" t="s">
        <v>1033</v>
      </c>
      <c r="D262" s="1233"/>
      <c r="E262" s="1511" t="s">
        <v>86</v>
      </c>
      <c r="F262" s="1225" t="str">
        <f>"(Line "&amp;A260&amp;" * "&amp;A261&amp;")"</f>
        <v>(Line 136e * 136f)</v>
      </c>
      <c r="G262" s="1239"/>
      <c r="H262" s="1237">
        <f>H260*H261</f>
        <v>-18345847.216190971</v>
      </c>
      <c r="I262" s="1219"/>
      <c r="J262" s="1185"/>
      <c r="K262"/>
      <c r="L262"/>
      <c r="M262"/>
      <c r="N262" s="1216"/>
      <c r="O262" s="1216"/>
      <c r="P262" s="1216"/>
    </row>
    <row r="263" spans="1:16" s="1217" customFormat="1">
      <c r="A263" s="228"/>
      <c r="B263" s="1220"/>
      <c r="C263" s="1221"/>
      <c r="D263" s="1223"/>
      <c r="E263" s="513"/>
      <c r="F263" s="1218"/>
      <c r="G263" s="1222"/>
      <c r="H263" s="1219"/>
      <c r="I263" s="1219"/>
      <c r="K263"/>
      <c r="L263"/>
      <c r="M263"/>
      <c r="N263" s="1216"/>
      <c r="O263" s="1216"/>
      <c r="P263" s="1216"/>
    </row>
    <row r="264" spans="1:16">
      <c r="A264" s="236">
        <v>137</v>
      </c>
      <c r="B264" s="168" t="s">
        <v>195</v>
      </c>
      <c r="C264" s="168"/>
      <c r="D264" s="232" t="s">
        <v>196</v>
      </c>
      <c r="E264" s="294"/>
      <c r="F264" s="234" t="str">
        <f>"(Line "&amp;A247&amp;" * "&amp;A238&amp;" * (1-("&amp;A233&amp;" / "&amp;A236&amp;")))"</f>
        <v>(Line 132a * 127 * (1-(123 / 126)))</v>
      </c>
      <c r="G264" s="232"/>
      <c r="H264" s="313">
        <f>+H247*(1-H233/H236)*H238</f>
        <v>23792479.067992732</v>
      </c>
      <c r="I264" s="313"/>
      <c r="J264" s="222"/>
      <c r="N264"/>
      <c r="O264"/>
      <c r="P264"/>
    </row>
    <row r="265" spans="1:16">
      <c r="A265" s="236"/>
      <c r="B265" s="236"/>
      <c r="C265" s="266"/>
      <c r="D265" s="311"/>
      <c r="E265" s="1501"/>
      <c r="F265" s="307"/>
      <c r="G265" s="307"/>
      <c r="H265" s="315"/>
      <c r="I265" s="465"/>
      <c r="N265"/>
      <c r="O265"/>
      <c r="P265"/>
    </row>
    <row r="266" spans="1:16" ht="16" thickBot="1">
      <c r="A266" s="236">
        <v>138</v>
      </c>
      <c r="B266" s="517" t="s">
        <v>197</v>
      </c>
      <c r="C266" s="517"/>
      <c r="D266" s="430"/>
      <c r="E266" s="438"/>
      <c r="F266" s="451" t="str">
        <f>"(Line "&amp;A253&amp;" + "&amp;A262&amp;" +"&amp;A264&amp;")"</f>
        <v>(Line 135 + 136g +137)</v>
      </c>
      <c r="G266" s="523"/>
      <c r="H266" s="1494">
        <f>+H264+H262+H253</f>
        <v>5279630.2724221162</v>
      </c>
      <c r="I266" s="974"/>
      <c r="N266"/>
      <c r="O266"/>
      <c r="P266"/>
    </row>
    <row r="267" spans="1:16" ht="16" thickTop="1">
      <c r="A267" s="236"/>
      <c r="B267" s="236"/>
      <c r="C267" s="300"/>
      <c r="E267" s="1501"/>
      <c r="F267" s="319"/>
      <c r="G267" s="320"/>
      <c r="H267" s="321"/>
      <c r="I267" s="321"/>
      <c r="N267"/>
      <c r="O267"/>
      <c r="P267"/>
    </row>
    <row r="268" spans="1:16">
      <c r="A268" s="484" t="s">
        <v>422</v>
      </c>
      <c r="B268" s="485"/>
      <c r="C268" s="486"/>
      <c r="D268" s="290"/>
      <c r="E268" s="1509"/>
      <c r="F268" s="225"/>
      <c r="G268" s="225"/>
      <c r="H268" s="292"/>
      <c r="I268" s="420"/>
      <c r="N268"/>
      <c r="O268"/>
      <c r="P268"/>
    </row>
    <row r="269" spans="1:16">
      <c r="A269" s="220"/>
      <c r="B269" s="168"/>
      <c r="C269" s="168"/>
      <c r="D269" s="168"/>
      <c r="E269" s="1501"/>
      <c r="N269"/>
      <c r="O269"/>
      <c r="P269"/>
    </row>
    <row r="270" spans="1:16">
      <c r="A270" s="220"/>
      <c r="B270" s="168" t="s">
        <v>423</v>
      </c>
      <c r="C270" s="461"/>
      <c r="D270" s="461"/>
      <c r="E270" s="1501"/>
      <c r="N270"/>
      <c r="O270"/>
      <c r="P270"/>
    </row>
    <row r="271" spans="1:16">
      <c r="A271" s="220">
        <v>139</v>
      </c>
      <c r="B271" s="168"/>
      <c r="C271" s="461" t="s">
        <v>424</v>
      </c>
      <c r="D271" s="461"/>
      <c r="E271" s="1501"/>
      <c r="F271" s="234" t="str">
        <f>"(Line "&amp;A80&amp;")"</f>
        <v>(Line 39)</v>
      </c>
      <c r="H271" s="437">
        <f>+H80</f>
        <v>1475925125.4980826</v>
      </c>
      <c r="I271" s="439"/>
      <c r="N271"/>
      <c r="O271"/>
      <c r="P271"/>
    </row>
    <row r="272" spans="1:16">
      <c r="A272" s="236">
        <v>140</v>
      </c>
      <c r="B272" s="168"/>
      <c r="C272" s="461" t="s">
        <v>425</v>
      </c>
      <c r="D272" s="461"/>
      <c r="E272" s="1501"/>
      <c r="F272" s="241" t="str">
        <f>"(Line "&amp;A125&amp;")"</f>
        <v>(Line 58)</v>
      </c>
      <c r="H272" s="437">
        <f>+H125</f>
        <v>-316912864.00971317</v>
      </c>
      <c r="I272" s="439"/>
      <c r="N272"/>
      <c r="O272"/>
      <c r="P272"/>
    </row>
    <row r="273" spans="1:17">
      <c r="A273" s="236">
        <v>141</v>
      </c>
      <c r="B273" s="236"/>
      <c r="C273" s="434" t="s">
        <v>339</v>
      </c>
      <c r="D273" s="256"/>
      <c r="E273" s="426"/>
      <c r="F273" s="234" t="str">
        <f>"(Line "&amp;A127&amp;")"</f>
        <v>(Line 59)</v>
      </c>
      <c r="G273" s="260"/>
      <c r="H273" s="476">
        <f>+H127</f>
        <v>1159012261.4883695</v>
      </c>
      <c r="I273" s="538"/>
      <c r="N273"/>
      <c r="O273"/>
      <c r="P273"/>
    </row>
    <row r="274" spans="1:17">
      <c r="A274" s="236"/>
      <c r="B274" s="236"/>
      <c r="C274" s="265"/>
      <c r="D274" s="311"/>
      <c r="E274" s="294"/>
      <c r="F274" s="232"/>
      <c r="G274" s="232"/>
      <c r="H274" s="437"/>
      <c r="I274" s="439"/>
      <c r="N274"/>
      <c r="O274"/>
      <c r="P274"/>
    </row>
    <row r="275" spans="1:17">
      <c r="A275" s="236">
        <v>142</v>
      </c>
      <c r="C275" s="265" t="s">
        <v>340</v>
      </c>
      <c r="D275" s="231"/>
      <c r="E275" s="1501"/>
      <c r="F275" s="234" t="str">
        <f>"(Line "&amp;A167&amp;")"</f>
        <v>(Line 85)</v>
      </c>
      <c r="H275" s="437">
        <f>+H167</f>
        <v>35457088.173571624</v>
      </c>
      <c r="I275" s="439"/>
      <c r="N275"/>
      <c r="O275"/>
      <c r="P275"/>
    </row>
    <row r="276" spans="1:17">
      <c r="A276" s="236">
        <v>143</v>
      </c>
      <c r="C276" s="266" t="s">
        <v>426</v>
      </c>
      <c r="D276" s="231"/>
      <c r="E276" s="1501"/>
      <c r="F276" s="234" t="str">
        <f>"(Line "&amp;A190&amp;")"</f>
        <v>(Line 97)</v>
      </c>
      <c r="H276" s="437">
        <f>+H190</f>
        <v>47395547.709626377</v>
      </c>
      <c r="I276" s="439"/>
      <c r="N276"/>
      <c r="O276"/>
      <c r="P276"/>
    </row>
    <row r="277" spans="1:17">
      <c r="A277" s="236">
        <v>144</v>
      </c>
      <c r="B277" s="236"/>
      <c r="C277" s="265" t="s">
        <v>378</v>
      </c>
      <c r="D277" s="311"/>
      <c r="E277" s="294"/>
      <c r="F277" s="234" t="str">
        <f>"(Line "&amp;A196&amp;")"</f>
        <v>(Line 99)</v>
      </c>
      <c r="G277" s="232"/>
      <c r="H277" s="437">
        <f>+H196</f>
        <v>1247237.2224480165</v>
      </c>
      <c r="I277" s="439"/>
      <c r="N277"/>
      <c r="O277"/>
      <c r="P277"/>
      <c r="Q277" s="461"/>
    </row>
    <row r="278" spans="1:17">
      <c r="A278" s="236">
        <v>145</v>
      </c>
      <c r="B278" s="236"/>
      <c r="C278" s="519" t="s">
        <v>427</v>
      </c>
      <c r="D278" s="311"/>
      <c r="E278" s="294"/>
      <c r="F278" s="234" t="str">
        <f>"(Line "&amp;A238&amp;")"</f>
        <v>(Line 127)</v>
      </c>
      <c r="G278" s="232"/>
      <c r="H278" s="437">
        <f>+H238</f>
        <v>86318231.456435829</v>
      </c>
      <c r="I278" s="439"/>
      <c r="N278"/>
      <c r="O278"/>
      <c r="P278"/>
    </row>
    <row r="279" spans="1:17">
      <c r="A279" s="236">
        <v>146</v>
      </c>
      <c r="B279" s="236"/>
      <c r="C279" s="519" t="s">
        <v>428</v>
      </c>
      <c r="D279" s="311"/>
      <c r="E279" s="294"/>
      <c r="F279" s="234" t="str">
        <f>"(Line "&amp;A266&amp;")"</f>
        <v>(Line 138)</v>
      </c>
      <c r="G279" s="232"/>
      <c r="H279" s="437">
        <f>+H266</f>
        <v>5279630.2724221162</v>
      </c>
      <c r="I279" s="439"/>
      <c r="N279"/>
      <c r="O279"/>
      <c r="P279"/>
    </row>
    <row r="280" spans="1:17" ht="16" thickBot="1">
      <c r="A280" s="236"/>
      <c r="B280" s="236"/>
      <c r="C280" s="519"/>
      <c r="D280" s="311"/>
      <c r="E280" s="294"/>
      <c r="F280" s="232"/>
      <c r="G280" s="232"/>
      <c r="H280" s="437"/>
      <c r="I280" s="439"/>
      <c r="N280"/>
      <c r="O280"/>
      <c r="P280"/>
    </row>
    <row r="281" spans="1:17" ht="18" thickBot="1">
      <c r="A281" s="524">
        <v>147</v>
      </c>
      <c r="B281" s="525"/>
      <c r="C281" s="526" t="s">
        <v>429</v>
      </c>
      <c r="D281" s="527"/>
      <c r="E281" s="528"/>
      <c r="F281" s="529" t="str">
        <f>"(Sum Lines "&amp;A275&amp;" to "&amp;A279&amp;")"</f>
        <v>(Sum Lines 142 to 146)</v>
      </c>
      <c r="G281" s="530"/>
      <c r="H281" s="531">
        <f>SUM(H279,H278,H277,H276,H275)</f>
        <v>175697734.83450398</v>
      </c>
      <c r="I281" s="538"/>
      <c r="J281" s="532"/>
      <c r="N281"/>
      <c r="O281"/>
      <c r="P281"/>
    </row>
    <row r="282" spans="1:17" ht="17.5">
      <c r="A282" s="533"/>
      <c r="B282" s="533"/>
      <c r="C282" s="534"/>
      <c r="D282" s="535"/>
      <c r="E282" s="1515"/>
      <c r="F282" s="234"/>
      <c r="G282" s="536"/>
      <c r="H282" s="537"/>
      <c r="I282" s="538"/>
      <c r="N282"/>
      <c r="O282"/>
      <c r="P282"/>
    </row>
    <row r="283" spans="1:17" ht="17.5">
      <c r="A283" s="533"/>
      <c r="B283" s="266" t="s">
        <v>94</v>
      </c>
      <c r="C283" s="534"/>
      <c r="D283" s="535"/>
      <c r="E283" s="1515"/>
      <c r="F283" s="234"/>
      <c r="G283" s="536"/>
      <c r="H283" s="537"/>
      <c r="I283" s="538"/>
      <c r="N283"/>
      <c r="O283"/>
      <c r="P283"/>
    </row>
    <row r="284" spans="1:17" ht="17.5">
      <c r="A284" s="314">
        <v>148</v>
      </c>
      <c r="B284" s="314"/>
      <c r="C284" s="265" t="s">
        <v>300</v>
      </c>
      <c r="D284" s="535"/>
      <c r="E284" s="1515"/>
      <c r="F284" s="234" t="str">
        <f>"(Line "&amp;A45&amp;")"</f>
        <v>(Line 19)</v>
      </c>
      <c r="G284" s="536"/>
      <c r="H284" s="538">
        <f>+H45</f>
        <v>1754695686.1443346</v>
      </c>
      <c r="I284" s="538"/>
      <c r="N284"/>
      <c r="O284"/>
      <c r="P284"/>
    </row>
    <row r="285" spans="1:17" ht="17.5">
      <c r="A285" s="314">
        <v>149</v>
      </c>
      <c r="B285" s="314"/>
      <c r="C285" s="539" t="s">
        <v>430</v>
      </c>
      <c r="D285" s="540"/>
      <c r="E285" s="480" t="str">
        <f>"(Note "&amp;B$342&amp;")"</f>
        <v>(Note M)</v>
      </c>
      <c r="F285" s="250" t="s">
        <v>322</v>
      </c>
      <c r="G285" s="536"/>
      <c r="H285" s="541">
        <f>+'5 - Cost Support 1'!G80</f>
        <v>0</v>
      </c>
      <c r="I285" s="538"/>
      <c r="N285"/>
      <c r="O285"/>
      <c r="P285"/>
    </row>
    <row r="286" spans="1:17" ht="17.5">
      <c r="A286" s="314">
        <v>150</v>
      </c>
      <c r="B286" s="314"/>
      <c r="C286" s="265" t="s">
        <v>431</v>
      </c>
      <c r="D286" s="535"/>
      <c r="E286" s="1515"/>
      <c r="F286" s="235" t="str">
        <f>"(Line "&amp;A284&amp;" - "&amp;A285&amp;")"</f>
        <v>(Line 148 - 149)</v>
      </c>
      <c r="G286" s="536"/>
      <c r="H286" s="538">
        <f>+H284-H285</f>
        <v>1754695686.1443346</v>
      </c>
      <c r="I286" s="538"/>
      <c r="N286"/>
      <c r="O286"/>
      <c r="P286"/>
    </row>
    <row r="287" spans="1:17" ht="17.5">
      <c r="A287" s="314">
        <v>151</v>
      </c>
      <c r="B287" s="314"/>
      <c r="C287" s="265" t="s">
        <v>432</v>
      </c>
      <c r="D287" s="535"/>
      <c r="E287" s="1515"/>
      <c r="F287" s="235" t="str">
        <f>"(Line "&amp;A286&amp;" / "&amp;A284&amp;")"</f>
        <v>(Line 150 / 148)</v>
      </c>
      <c r="G287" s="536"/>
      <c r="H287" s="542">
        <f>+H286/H284</f>
        <v>1</v>
      </c>
      <c r="I287" s="542"/>
      <c r="N287"/>
      <c r="O287"/>
      <c r="P287"/>
    </row>
    <row r="288" spans="1:17" ht="17.5">
      <c r="A288" s="314">
        <v>152</v>
      </c>
      <c r="B288" s="314"/>
      <c r="C288" s="539" t="s">
        <v>429</v>
      </c>
      <c r="D288" s="540"/>
      <c r="E288" s="543"/>
      <c r="F288" s="250" t="str">
        <f>"(Line "&amp;A281&amp;")"</f>
        <v>(Line 147)</v>
      </c>
      <c r="G288" s="536"/>
      <c r="H288" s="541">
        <f>+H281</f>
        <v>175697734.83450398</v>
      </c>
      <c r="I288" s="538"/>
      <c r="N288"/>
      <c r="O288"/>
      <c r="P288"/>
    </row>
    <row r="289" spans="1:16" ht="17.5">
      <c r="A289" s="314">
        <v>153</v>
      </c>
      <c r="B289" s="314"/>
      <c r="C289" s="265" t="s">
        <v>433</v>
      </c>
      <c r="D289" s="535"/>
      <c r="E289" s="1515"/>
      <c r="F289" s="235" t="str">
        <f>"(Line "&amp;A287&amp;" * "&amp;A288&amp;")"</f>
        <v>(Line 151 * 152)</v>
      </c>
      <c r="G289" s="536"/>
      <c r="H289" s="538">
        <f>+H288*H287</f>
        <v>175697734.83450398</v>
      </c>
      <c r="I289" s="538"/>
      <c r="N289"/>
      <c r="O289"/>
      <c r="P289"/>
    </row>
    <row r="290" spans="1:16">
      <c r="A290" s="455"/>
      <c r="B290" s="236"/>
      <c r="C290" s="265"/>
      <c r="D290" s="311"/>
      <c r="E290" s="294"/>
      <c r="F290" s="232"/>
      <c r="G290" s="232"/>
      <c r="H290" s="432"/>
      <c r="I290" s="978"/>
      <c r="N290"/>
      <c r="O290"/>
      <c r="P290"/>
    </row>
    <row r="291" spans="1:16">
      <c r="A291" s="455"/>
      <c r="B291" s="237" t="s">
        <v>434</v>
      </c>
      <c r="C291" s="265"/>
      <c r="D291" s="311"/>
      <c r="E291" s="294"/>
      <c r="F291" s="232"/>
      <c r="G291" s="232"/>
      <c r="H291" s="432"/>
      <c r="I291" s="978"/>
      <c r="N291"/>
      <c r="O291"/>
      <c r="P291"/>
    </row>
    <row r="292" spans="1:16">
      <c r="A292" s="228">
        <v>154</v>
      </c>
      <c r="B292" s="168"/>
      <c r="C292" s="237" t="s">
        <v>435</v>
      </c>
      <c r="D292" s="311"/>
      <c r="E292" s="294"/>
      <c r="F292" s="232" t="s">
        <v>436</v>
      </c>
      <c r="G292" s="232"/>
      <c r="H292" s="313">
        <f>+'3 - Revenue Credits'!G25</f>
        <v>4406382.4812927144</v>
      </c>
      <c r="I292" s="313"/>
      <c r="N292"/>
      <c r="O292"/>
      <c r="P292"/>
    </row>
    <row r="293" spans="1:16">
      <c r="A293" s="228">
        <v>155</v>
      </c>
      <c r="B293" s="168"/>
      <c r="C293" s="237" t="s">
        <v>437</v>
      </c>
      <c r="D293" s="311"/>
      <c r="E293" s="513" t="str">
        <f>"(Note "&amp;B$343&amp;")"</f>
        <v>(Note N)</v>
      </c>
      <c r="F293" s="232" t="s">
        <v>346</v>
      </c>
      <c r="G293" s="232"/>
      <c r="H293" s="544">
        <f>+'5 - Cost Support 1'!G167</f>
        <v>0</v>
      </c>
      <c r="I293" s="313"/>
      <c r="N293"/>
      <c r="O293"/>
      <c r="P293"/>
    </row>
    <row r="294" spans="1:16" ht="16" thickBot="1">
      <c r="A294" s="236"/>
      <c r="B294" s="236"/>
      <c r="C294" s="419"/>
      <c r="D294" s="419"/>
      <c r="E294" s="1501"/>
      <c r="F294" s="232"/>
      <c r="G294" s="232"/>
      <c r="H294" s="432"/>
      <c r="I294" s="978"/>
      <c r="N294"/>
      <c r="O294"/>
      <c r="P294"/>
    </row>
    <row r="295" spans="1:16" s="312" customFormat="1" ht="18" thickBot="1">
      <c r="A295" s="524">
        <v>156</v>
      </c>
      <c r="B295" s="545"/>
      <c r="C295" s="546" t="s">
        <v>438</v>
      </c>
      <c r="D295" s="547"/>
      <c r="E295" s="548"/>
      <c r="F295" s="529" t="str">
        <f>"(Line "&amp;A289&amp;" - "&amp;A292&amp;" + "&amp;A293&amp;")"</f>
        <v>(Line 153 - 154 + 155)</v>
      </c>
      <c r="G295" s="530"/>
      <c r="H295" s="531">
        <f>+H289-H292+H293</f>
        <v>171291352.35321125</v>
      </c>
      <c r="I295" s="538"/>
      <c r="K295"/>
      <c r="L295"/>
      <c r="M295"/>
      <c r="N295"/>
      <c r="O295"/>
      <c r="P295"/>
    </row>
    <row r="296" spans="1:16">
      <c r="A296" s="455"/>
      <c r="B296" s="236"/>
      <c r="C296" s="419"/>
      <c r="D296" s="419"/>
      <c r="E296" s="1501"/>
      <c r="F296" s="232"/>
      <c r="G296" s="232"/>
      <c r="H296" s="432"/>
      <c r="I296" s="978"/>
      <c r="N296"/>
      <c r="O296"/>
      <c r="P296"/>
    </row>
    <row r="297" spans="1:16">
      <c r="A297" s="228"/>
      <c r="B297" s="419" t="s">
        <v>439</v>
      </c>
      <c r="C297" s="221"/>
      <c r="D297" s="419"/>
      <c r="E297" s="1501"/>
      <c r="F297" s="232"/>
      <c r="G297" s="232"/>
      <c r="H297" s="432"/>
      <c r="I297" s="978"/>
      <c r="N297"/>
      <c r="O297"/>
      <c r="P297"/>
    </row>
    <row r="298" spans="1:16">
      <c r="A298" s="228">
        <v>157</v>
      </c>
      <c r="B298" s="228"/>
      <c r="C298" s="419" t="s">
        <v>438</v>
      </c>
      <c r="D298" s="419"/>
      <c r="E298" s="1501"/>
      <c r="F298" s="232" t="str">
        <f>"(Line "&amp;A295&amp;")"</f>
        <v>(Line 156)</v>
      </c>
      <c r="G298" s="232"/>
      <c r="H298" s="549">
        <f>+H295</f>
        <v>171291352.35321125</v>
      </c>
      <c r="I298" s="313"/>
      <c r="N298"/>
      <c r="O298"/>
      <c r="P298"/>
    </row>
    <row r="299" spans="1:16">
      <c r="A299" s="228">
        <v>158</v>
      </c>
      <c r="B299" s="228"/>
      <c r="C299" s="419" t="s">
        <v>440</v>
      </c>
      <c r="D299" s="419"/>
      <c r="E299" s="1501"/>
      <c r="F299" s="232" t="str">
        <f>"(Line "&amp;A45&amp;" - "&amp;A65&amp;")"</f>
        <v>(Line 19 - 30)</v>
      </c>
      <c r="G299" s="232"/>
      <c r="H299" s="549">
        <f>+H45-H65</f>
        <v>1448750506.5709615</v>
      </c>
      <c r="I299" s="313"/>
      <c r="N299"/>
      <c r="O299"/>
      <c r="P299"/>
    </row>
    <row r="300" spans="1:16">
      <c r="A300" s="228">
        <v>159</v>
      </c>
      <c r="B300" s="228"/>
      <c r="C300" s="419" t="s">
        <v>441</v>
      </c>
      <c r="D300" s="419"/>
      <c r="E300" s="1501"/>
      <c r="F300" s="232" t="str">
        <f>"(Line "&amp;A298&amp;" / "&amp;A299&amp;")"</f>
        <v>(Line 157 / 158)</v>
      </c>
      <c r="G300" s="232"/>
      <c r="H300" s="432">
        <f>+H298/H299</f>
        <v>0.11823385156816248</v>
      </c>
      <c r="I300" s="978"/>
      <c r="N300"/>
      <c r="O300"/>
      <c r="P300"/>
    </row>
    <row r="301" spans="1:16">
      <c r="A301" s="228">
        <v>160</v>
      </c>
      <c r="B301" s="228"/>
      <c r="C301" s="419" t="s">
        <v>442</v>
      </c>
      <c r="D301" s="419"/>
      <c r="E301" s="1501"/>
      <c r="F301" s="232" t="str">
        <f>"(Line "&amp;A298&amp;" - "&amp;A173&amp;") / "&amp;A299</f>
        <v>(Line 157 - 86) / 158</v>
      </c>
      <c r="G301" s="232"/>
      <c r="H301" s="432">
        <f>(H298-H173)/H299</f>
        <v>8.8191266254682085E-2</v>
      </c>
      <c r="I301" s="978"/>
      <c r="N301"/>
      <c r="O301"/>
      <c r="P301"/>
    </row>
    <row r="302" spans="1:16">
      <c r="A302" s="228">
        <v>161</v>
      </c>
      <c r="B302" s="228"/>
      <c r="C302" s="419" t="s">
        <v>443</v>
      </c>
      <c r="D302" s="419"/>
      <c r="E302" s="1501"/>
      <c r="F302" s="255" t="str">
        <f>"(Line "&amp;A298&amp;" - "&amp;A173&amp;" - "&amp;A238&amp;" - "&amp;A266&amp;") / "&amp;A299</f>
        <v>(Line 157 - 86 - 127 - 138) / 158</v>
      </c>
      <c r="G302" s="232"/>
      <c r="H302" s="432">
        <f>(H298-H173-H238-H266)/H299</f>
        <v>2.496584454583288E-2</v>
      </c>
      <c r="I302" s="978"/>
      <c r="N302"/>
      <c r="O302"/>
      <c r="P302"/>
    </row>
    <row r="303" spans="1:16">
      <c r="A303" s="228"/>
      <c r="B303" s="228"/>
      <c r="C303" s="419"/>
      <c r="D303" s="419"/>
      <c r="E303" s="1501"/>
      <c r="F303" s="232"/>
      <c r="G303" s="232"/>
      <c r="H303" s="432"/>
      <c r="I303" s="978"/>
      <c r="N303"/>
      <c r="O303"/>
      <c r="P303"/>
    </row>
    <row r="304" spans="1:16">
      <c r="A304" s="228"/>
      <c r="B304" s="228"/>
      <c r="C304" s="419"/>
      <c r="D304" s="419"/>
      <c r="E304" s="1501"/>
      <c r="F304" s="232"/>
      <c r="G304" s="232"/>
      <c r="H304" s="550"/>
      <c r="I304" s="989"/>
      <c r="N304"/>
      <c r="O304"/>
      <c r="P304"/>
    </row>
    <row r="305" spans="1:186">
      <c r="A305" s="228"/>
      <c r="B305" s="419" t="s">
        <v>444</v>
      </c>
      <c r="C305" s="419"/>
      <c r="D305" s="419"/>
      <c r="E305" s="1501"/>
      <c r="F305" s="232"/>
      <c r="G305" s="232"/>
      <c r="H305" s="432"/>
      <c r="I305" s="978"/>
      <c r="N305"/>
      <c r="O305"/>
      <c r="P305"/>
    </row>
    <row r="306" spans="1:186">
      <c r="A306" s="228">
        <v>162</v>
      </c>
      <c r="B306" s="228"/>
      <c r="C306" s="419" t="s">
        <v>445</v>
      </c>
      <c r="D306" s="419"/>
      <c r="E306" s="1501"/>
      <c r="F306" s="255" t="str">
        <f>"(Line "&amp;A295&amp;" - "&amp;A278&amp;" - "&amp;A279&amp;")"</f>
        <v>(Line 156 - 145 - 146)</v>
      </c>
      <c r="G306" s="232"/>
      <c r="H306" s="549">
        <f>+H295-H278-H279</f>
        <v>79693490.624353305</v>
      </c>
      <c r="I306" s="313"/>
      <c r="N306"/>
      <c r="O306"/>
      <c r="P306"/>
    </row>
    <row r="307" spans="1:186">
      <c r="A307" s="228">
        <v>163</v>
      </c>
      <c r="B307" s="228"/>
      <c r="C307" s="419" t="s">
        <v>446</v>
      </c>
      <c r="D307" s="419"/>
      <c r="E307" s="1501"/>
      <c r="F307" s="255" t="s">
        <v>447</v>
      </c>
      <c r="G307" s="232"/>
      <c r="H307" s="313">
        <f>+'4 - 100 Basis Pt ROE'!I9</f>
        <v>99658873.423727661</v>
      </c>
      <c r="I307" s="313"/>
      <c r="N307"/>
      <c r="O307"/>
      <c r="P307"/>
    </row>
    <row r="308" spans="1:186">
      <c r="A308" s="228">
        <v>164</v>
      </c>
      <c r="B308" s="228"/>
      <c r="C308" s="419" t="s">
        <v>448</v>
      </c>
      <c r="D308" s="419"/>
      <c r="E308" s="1501"/>
      <c r="F308" s="255" t="str">
        <f>"(Line "&amp;A306&amp;" + "&amp;A307&amp;")"</f>
        <v>(Line 162 + 163)</v>
      </c>
      <c r="G308" s="232"/>
      <c r="H308" s="549">
        <f>+H307+H306</f>
        <v>179352364.04808098</v>
      </c>
      <c r="I308" s="313"/>
      <c r="N308"/>
      <c r="O308"/>
      <c r="P308"/>
    </row>
    <row r="309" spans="1:186">
      <c r="A309" s="228">
        <v>165</v>
      </c>
      <c r="B309" s="228"/>
      <c r="C309" s="419" t="s">
        <v>440</v>
      </c>
      <c r="D309" s="419"/>
      <c r="E309" s="1501"/>
      <c r="F309" s="232" t="str">
        <f>"(Line "&amp;A45&amp;" - "&amp;A65&amp;")"</f>
        <v>(Line 19 - 30)</v>
      </c>
      <c r="G309" s="232"/>
      <c r="H309" s="549">
        <f>+H299</f>
        <v>1448750506.5709615</v>
      </c>
      <c r="I309" s="313"/>
      <c r="N309"/>
      <c r="O309"/>
      <c r="P309"/>
    </row>
    <row r="310" spans="1:186">
      <c r="A310" s="228">
        <v>166</v>
      </c>
      <c r="B310" s="228"/>
      <c r="C310" s="419" t="s">
        <v>449</v>
      </c>
      <c r="D310" s="419"/>
      <c r="E310" s="1501"/>
      <c r="F310" s="232" t="str">
        <f>"(Line "&amp;A308&amp;" / "&amp;A309&amp;")"</f>
        <v>(Line 164 / 165)</v>
      </c>
      <c r="G310" s="232"/>
      <c r="H310" s="432">
        <f>+H308/H309</f>
        <v>0.12379796468378049</v>
      </c>
      <c r="I310" s="978"/>
      <c r="N310"/>
      <c r="O310"/>
      <c r="P310"/>
    </row>
    <row r="311" spans="1:186">
      <c r="A311" s="228">
        <v>167</v>
      </c>
      <c r="B311" s="228"/>
      <c r="C311" s="419" t="s">
        <v>450</v>
      </c>
      <c r="D311" s="419"/>
      <c r="E311" s="1501"/>
      <c r="F311" s="232" t="str">
        <f>"(Line "&amp;A308&amp;" - "&amp;A173&amp;") / "&amp;A309</f>
        <v>(Line 164 - 86) / 165</v>
      </c>
      <c r="G311" s="232"/>
      <c r="H311" s="432">
        <f>(H308-H173)/H309</f>
        <v>9.3755379370300096E-2</v>
      </c>
      <c r="I311" s="978"/>
      <c r="N311"/>
      <c r="O311"/>
      <c r="P311"/>
    </row>
    <row r="312" spans="1:186">
      <c r="A312" s="228"/>
      <c r="B312" s="228"/>
      <c r="C312" s="419"/>
      <c r="D312" s="419"/>
      <c r="E312" s="551"/>
      <c r="F312" s="232"/>
      <c r="G312" s="232"/>
      <c r="H312" s="432"/>
      <c r="I312" s="978"/>
      <c r="N312"/>
      <c r="O312"/>
      <c r="P312"/>
    </row>
    <row r="313" spans="1:186">
      <c r="A313" s="228">
        <v>168</v>
      </c>
      <c r="B313" s="228"/>
      <c r="C313" s="419" t="s">
        <v>438</v>
      </c>
      <c r="D313" s="419"/>
      <c r="E313" s="1501"/>
      <c r="F313" s="232" t="str">
        <f>"(Line "&amp;A295&amp;")"</f>
        <v>(Line 156)</v>
      </c>
      <c r="G313" s="232"/>
      <c r="H313" s="549">
        <f>+H295</f>
        <v>171291352.35321125</v>
      </c>
      <c r="I313" s="313"/>
      <c r="J313" s="552"/>
      <c r="N313"/>
      <c r="O313"/>
      <c r="P313"/>
    </row>
    <row r="314" spans="1:186">
      <c r="A314" s="228">
        <v>169</v>
      </c>
      <c r="B314" s="228"/>
      <c r="C314" s="419" t="s">
        <v>451</v>
      </c>
      <c r="D314" s="419"/>
      <c r="E314" s="294"/>
      <c r="F314" s="254" t="s">
        <v>792</v>
      </c>
      <c r="G314" s="1224"/>
      <c r="H314" s="313">
        <f>+'6A-Project True-up'!K46</f>
        <v>4243520.2271186691</v>
      </c>
      <c r="I314" s="313"/>
      <c r="J314" s="552"/>
      <c r="N314"/>
      <c r="O314"/>
      <c r="P314"/>
    </row>
    <row r="315" spans="1:186">
      <c r="A315" s="228">
        <v>170</v>
      </c>
      <c r="B315" s="228"/>
      <c r="C315" s="419" t="s">
        <v>452</v>
      </c>
      <c r="D315" s="419"/>
      <c r="E315" s="294"/>
      <c r="F315" s="254" t="s">
        <v>909</v>
      </c>
      <c r="G315" s="1224"/>
      <c r="H315" s="313">
        <f>+'7 - Cap Add WS'!AX63-'7 - Cap Add WS'!AY62</f>
        <v>293035.17687468231</v>
      </c>
      <c r="I315" s="313"/>
      <c r="J315" s="221"/>
      <c r="N315"/>
      <c r="O315"/>
      <c r="P315"/>
    </row>
    <row r="316" spans="1:186">
      <c r="A316" s="228">
        <v>171</v>
      </c>
      <c r="B316" s="228"/>
      <c r="C316" s="311" t="s">
        <v>453</v>
      </c>
      <c r="D316" s="553"/>
      <c r="E316" s="513"/>
      <c r="F316" s="1233" t="s">
        <v>454</v>
      </c>
      <c r="G316" s="1224"/>
      <c r="H316" s="554">
        <f>+'5 - Cost Support 1'!G176</f>
        <v>0</v>
      </c>
      <c r="I316" s="554"/>
      <c r="J316" s="221"/>
      <c r="N316"/>
      <c r="O316"/>
      <c r="P316"/>
      <c r="GD316" s="168">
        <v>171</v>
      </c>
    </row>
    <row r="317" spans="1:186">
      <c r="A317" s="228">
        <v>172</v>
      </c>
      <c r="B317" s="228"/>
      <c r="C317" s="419" t="s">
        <v>455</v>
      </c>
      <c r="D317" s="553"/>
      <c r="E317" s="1501"/>
      <c r="F317" s="1224" t="str">
        <f>"(Line "&amp;A313&amp;" + "&amp;A314&amp;" + "&amp;170&amp;" + "&amp;A316&amp;")"</f>
        <v>(Line 168 + 169 + 170 + 171)</v>
      </c>
      <c r="G317" s="1224"/>
      <c r="H317" s="549">
        <f>SUM(H313:H316)</f>
        <v>175827907.75720459</v>
      </c>
      <c r="I317" s="313"/>
      <c r="J317" s="552"/>
      <c r="N317"/>
      <c r="O317"/>
      <c r="P317"/>
    </row>
    <row r="318" spans="1:186">
      <c r="A318" s="228"/>
      <c r="B318" s="236"/>
      <c r="C318" s="419"/>
      <c r="D318" s="419"/>
      <c r="E318" s="1501"/>
      <c r="F318" s="1224"/>
      <c r="G318" s="1224"/>
      <c r="H318" s="555"/>
      <c r="I318" s="845"/>
      <c r="J318" s="221"/>
      <c r="N318"/>
      <c r="O318"/>
      <c r="P318"/>
    </row>
    <row r="319" spans="1:186">
      <c r="A319" s="228"/>
      <c r="B319" s="237" t="s">
        <v>129</v>
      </c>
      <c r="C319" s="419"/>
      <c r="D319" s="419"/>
      <c r="E319" s="1501"/>
      <c r="F319" s="1224"/>
      <c r="G319" s="1224"/>
      <c r="H319" s="432"/>
      <c r="I319" s="978"/>
      <c r="N319"/>
      <c r="O319"/>
      <c r="P319"/>
    </row>
    <row r="320" spans="1:186">
      <c r="A320" s="228">
        <v>173</v>
      </c>
      <c r="B320" s="236"/>
      <c r="C320" s="232" t="s">
        <v>456</v>
      </c>
      <c r="D320" s="556"/>
      <c r="E320" s="513" t="str">
        <f>"(Note "&amp;B$341&amp;")"</f>
        <v>(Note L)</v>
      </c>
      <c r="F320" s="1191" t="s">
        <v>346</v>
      </c>
      <c r="G320" s="1191"/>
      <c r="H320" s="1495">
        <f>+'5 - Cost Support 1'!G184</f>
        <v>2634.5</v>
      </c>
      <c r="I320" s="990"/>
      <c r="J320" s="221"/>
      <c r="N320"/>
      <c r="O320"/>
      <c r="P320"/>
    </row>
    <row r="321" spans="1:16">
      <c r="A321" s="228">
        <v>174</v>
      </c>
      <c r="B321" s="236"/>
      <c r="C321" s="232" t="s">
        <v>457</v>
      </c>
      <c r="D321" s="557"/>
      <c r="E321" s="558"/>
      <c r="F321" s="1225" t="str">
        <f>"(Line "&amp;A317&amp;" / "&amp;A320&amp;")"</f>
        <v>(Line 172 / 173)</v>
      </c>
      <c r="G321" s="1486"/>
      <c r="H321" s="1496">
        <f>+H317/H320</f>
        <v>66740.522967244106</v>
      </c>
      <c r="I321" s="991"/>
      <c r="N321"/>
      <c r="O321"/>
      <c r="P321"/>
    </row>
    <row r="322" spans="1:16" ht="16" thickBot="1">
      <c r="A322" s="236"/>
      <c r="B322" s="236"/>
      <c r="C322" s="556"/>
      <c r="D322" s="556"/>
      <c r="E322" s="561"/>
      <c r="F322" s="559"/>
      <c r="G322" s="559"/>
      <c r="H322" s="560"/>
      <c r="I322" s="991"/>
      <c r="N322"/>
      <c r="O322"/>
      <c r="P322"/>
    </row>
    <row r="323" spans="1:16" s="461" customFormat="1" ht="18" thickBot="1">
      <c r="A323" s="524">
        <v>175</v>
      </c>
      <c r="B323" s="525"/>
      <c r="C323" s="546" t="s">
        <v>458</v>
      </c>
      <c r="D323" s="525"/>
      <c r="E323" s="525"/>
      <c r="F323" s="525" t="s">
        <v>851</v>
      </c>
      <c r="G323" s="525"/>
      <c r="H323" s="562">
        <f>+H321</f>
        <v>66740.522967244106</v>
      </c>
      <c r="I323" s="992"/>
      <c r="K323"/>
      <c r="L323"/>
      <c r="M323"/>
      <c r="N323"/>
      <c r="O323"/>
      <c r="P323"/>
    </row>
    <row r="324" spans="1:16" s="461" customFormat="1">
      <c r="A324" s="563"/>
      <c r="B324" s="304"/>
      <c r="C324" s="564"/>
      <c r="D324" s="564"/>
      <c r="E324" s="565"/>
      <c r="F324" s="559"/>
      <c r="G324" s="559"/>
      <c r="H324" s="566"/>
      <c r="I324" s="993"/>
      <c r="K324"/>
      <c r="L324"/>
      <c r="M324"/>
      <c r="N324"/>
      <c r="O324"/>
      <c r="P324"/>
    </row>
    <row r="325" spans="1:16" s="461" customFormat="1" ht="18">
      <c r="A325" s="567"/>
      <c r="B325" s="310" t="s">
        <v>278</v>
      </c>
      <c r="C325" s="564"/>
      <c r="D325" s="564"/>
      <c r="E325" s="565"/>
      <c r="F325" s="559"/>
      <c r="G325" s="559"/>
      <c r="H325" s="566"/>
      <c r="I325" s="993"/>
      <c r="K325"/>
      <c r="L325"/>
      <c r="M325"/>
      <c r="N325"/>
      <c r="O325"/>
      <c r="P325"/>
    </row>
    <row r="326" spans="1:16" s="461" customFormat="1">
      <c r="A326" s="568"/>
      <c r="B326" s="1501" t="s">
        <v>9</v>
      </c>
      <c r="C326" s="1246" t="s">
        <v>459</v>
      </c>
      <c r="D326" s="1246"/>
      <c r="E326" s="1503"/>
      <c r="F326" s="1504"/>
      <c r="G326" s="1486"/>
      <c r="H326" s="1487"/>
      <c r="I326" s="993"/>
      <c r="K326"/>
      <c r="L326"/>
      <c r="M326"/>
      <c r="N326"/>
      <c r="O326"/>
      <c r="P326"/>
    </row>
    <row r="327" spans="1:16" s="461" customFormat="1">
      <c r="A327" s="569"/>
      <c r="B327" s="1501" t="s">
        <v>10</v>
      </c>
      <c r="C327" s="227" t="s">
        <v>460</v>
      </c>
      <c r="D327" s="1246"/>
      <c r="E327" s="1503"/>
      <c r="F327" s="1504"/>
      <c r="G327" s="1486"/>
      <c r="H327" s="1487"/>
      <c r="I327" s="993"/>
      <c r="K327"/>
      <c r="L327"/>
      <c r="M327"/>
      <c r="N327"/>
      <c r="O327"/>
      <c r="P327"/>
    </row>
    <row r="328" spans="1:16" s="461" customFormat="1">
      <c r="A328" s="569"/>
      <c r="B328" s="1501"/>
      <c r="C328" s="227" t="s">
        <v>461</v>
      </c>
      <c r="D328" s="1246"/>
      <c r="E328" s="1503"/>
      <c r="F328" s="1504"/>
      <c r="G328" s="1486"/>
      <c r="H328" s="570"/>
      <c r="I328" s="976"/>
      <c r="K328"/>
      <c r="L328"/>
      <c r="M328"/>
      <c r="N328"/>
      <c r="O328"/>
      <c r="P328"/>
    </row>
    <row r="329" spans="1:16" s="461" customFormat="1">
      <c r="A329" s="569"/>
      <c r="B329" s="1501"/>
      <c r="C329" s="227" t="s">
        <v>906</v>
      </c>
      <c r="D329" s="1246"/>
      <c r="E329" s="1503"/>
      <c r="F329" s="1504"/>
      <c r="G329" s="1486"/>
      <c r="H329" s="1487"/>
      <c r="I329" s="993"/>
      <c r="K329"/>
      <c r="L329"/>
      <c r="M329"/>
      <c r="N329"/>
      <c r="O329"/>
      <c r="P329"/>
    </row>
    <row r="330" spans="1:16" s="461" customFormat="1">
      <c r="A330" s="569"/>
      <c r="B330" s="1501"/>
      <c r="C330" s="227" t="s">
        <v>462</v>
      </c>
      <c r="D330" s="1246"/>
      <c r="E330" s="1503"/>
      <c r="F330" s="1504"/>
      <c r="G330" s="1486"/>
      <c r="H330" s="1487"/>
      <c r="I330" s="993"/>
      <c r="K330"/>
      <c r="L330"/>
      <c r="M330"/>
      <c r="N330"/>
      <c r="O330"/>
      <c r="P330"/>
    </row>
    <row r="331" spans="1:16" s="461" customFormat="1">
      <c r="A331" s="569"/>
      <c r="B331" s="1501"/>
      <c r="C331" s="227" t="s">
        <v>463</v>
      </c>
      <c r="D331" s="1246"/>
      <c r="E331" s="1503"/>
      <c r="F331" s="1504"/>
      <c r="G331" s="1486"/>
      <c r="H331" s="1487"/>
      <c r="I331" s="993"/>
      <c r="K331"/>
      <c r="L331"/>
      <c r="M331"/>
      <c r="N331"/>
      <c r="O331"/>
      <c r="P331"/>
    </row>
    <row r="332" spans="1:16" s="461" customFormat="1">
      <c r="A332" s="569"/>
      <c r="B332" s="1501" t="s">
        <v>11</v>
      </c>
      <c r="C332" s="227" t="s">
        <v>464</v>
      </c>
      <c r="D332" s="1246"/>
      <c r="E332" s="1503"/>
      <c r="F332" s="1504"/>
      <c r="G332" s="1486"/>
      <c r="H332" s="1487"/>
      <c r="I332" s="993"/>
      <c r="K332"/>
      <c r="L332"/>
      <c r="M332"/>
      <c r="N332"/>
      <c r="O332"/>
      <c r="P332"/>
    </row>
    <row r="333" spans="1:16" s="461" customFormat="1">
      <c r="A333" s="569"/>
      <c r="B333" s="1501" t="s">
        <v>14</v>
      </c>
      <c r="C333" s="1246" t="s">
        <v>465</v>
      </c>
      <c r="D333" s="1246"/>
      <c r="E333" s="1503"/>
      <c r="F333" s="1504"/>
      <c r="G333" s="1486"/>
      <c r="H333" s="1487"/>
      <c r="I333" s="993"/>
      <c r="K333"/>
      <c r="L333"/>
      <c r="M333"/>
      <c r="N333"/>
      <c r="O333"/>
      <c r="P333"/>
    </row>
    <row r="334" spans="1:16" s="461" customFormat="1">
      <c r="A334" s="569"/>
      <c r="B334" s="1501" t="s">
        <v>138</v>
      </c>
      <c r="C334" s="1246" t="s">
        <v>466</v>
      </c>
      <c r="D334" s="1246"/>
      <c r="E334" s="1503"/>
      <c r="F334" s="1504"/>
      <c r="G334" s="1486"/>
      <c r="H334" s="1487"/>
      <c r="I334" s="993"/>
      <c r="K334"/>
      <c r="L334"/>
      <c r="M334"/>
      <c r="N334"/>
      <c r="O334"/>
      <c r="P334"/>
    </row>
    <row r="335" spans="1:16" s="461" customFormat="1">
      <c r="A335" s="569"/>
      <c r="B335" s="1501" t="s">
        <v>139</v>
      </c>
      <c r="C335" s="1246" t="s">
        <v>467</v>
      </c>
      <c r="D335" s="1246"/>
      <c r="E335" s="1503"/>
      <c r="F335" s="1504"/>
      <c r="G335" s="1486"/>
      <c r="H335" s="1487"/>
      <c r="I335" s="993"/>
      <c r="K335"/>
      <c r="L335"/>
      <c r="M335"/>
      <c r="N335"/>
      <c r="O335"/>
      <c r="P335"/>
    </row>
    <row r="336" spans="1:16" s="461" customFormat="1">
      <c r="A336" s="569"/>
      <c r="B336" s="1501" t="s">
        <v>140</v>
      </c>
      <c r="C336" s="1246" t="s">
        <v>468</v>
      </c>
      <c r="D336" s="1246"/>
      <c r="E336" s="1503"/>
      <c r="F336" s="1504"/>
      <c r="G336" s="1486"/>
      <c r="H336" s="1487"/>
      <c r="I336" s="993"/>
      <c r="K336"/>
      <c r="L336"/>
      <c r="M336"/>
      <c r="N336"/>
      <c r="O336"/>
      <c r="P336"/>
    </row>
    <row r="337" spans="1:16" s="461" customFormat="1" ht="15.75" customHeight="1">
      <c r="A337" s="569"/>
      <c r="B337" s="1501" t="s">
        <v>469</v>
      </c>
      <c r="C337" s="1726" t="s">
        <v>1504</v>
      </c>
      <c r="D337" s="1726"/>
      <c r="E337" s="1726"/>
      <c r="F337" s="1726"/>
      <c r="G337" s="1486"/>
      <c r="H337" s="1487"/>
      <c r="I337" s="993"/>
      <c r="K337"/>
      <c r="L337"/>
      <c r="M337"/>
      <c r="N337"/>
      <c r="O337"/>
      <c r="P337"/>
    </row>
    <row r="338" spans="1:16" s="461" customFormat="1">
      <c r="A338" s="569"/>
      <c r="B338" s="1501"/>
      <c r="C338" s="1726"/>
      <c r="D338" s="1726"/>
      <c r="E338" s="1726"/>
      <c r="F338" s="1726"/>
      <c r="G338" s="1486"/>
      <c r="H338" s="1487"/>
      <c r="I338" s="993"/>
      <c r="K338"/>
      <c r="L338"/>
      <c r="M338"/>
      <c r="N338"/>
      <c r="O338"/>
      <c r="P338"/>
    </row>
    <row r="339" spans="1:16" s="461" customFormat="1" ht="15.75" customHeight="1">
      <c r="A339" s="569"/>
      <c r="B339" s="1502" t="s">
        <v>470</v>
      </c>
      <c r="C339" s="1728" t="s">
        <v>17</v>
      </c>
      <c r="D339" s="1729"/>
      <c r="E339" s="1729"/>
      <c r="F339" s="1729"/>
      <c r="G339" s="1486"/>
      <c r="H339" s="1487"/>
      <c r="I339" s="993"/>
      <c r="K339"/>
      <c r="L339"/>
      <c r="M339"/>
      <c r="N339"/>
      <c r="O339"/>
      <c r="P339"/>
    </row>
    <row r="340" spans="1:16" s="461" customFormat="1">
      <c r="A340" s="569"/>
      <c r="B340" s="1501" t="s">
        <v>471</v>
      </c>
      <c r="C340" s="1246" t="s">
        <v>472</v>
      </c>
      <c r="D340" s="1246"/>
      <c r="E340" s="1503"/>
      <c r="F340" s="1504"/>
      <c r="G340" s="1486"/>
      <c r="H340" s="1487"/>
      <c r="I340" s="993"/>
      <c r="K340"/>
      <c r="L340"/>
      <c r="M340"/>
      <c r="N340"/>
      <c r="O340"/>
      <c r="P340"/>
    </row>
    <row r="341" spans="1:16">
      <c r="A341" s="571"/>
      <c r="B341" s="1501" t="s">
        <v>473</v>
      </c>
      <c r="C341" s="1246" t="s">
        <v>474</v>
      </c>
      <c r="D341" s="1246"/>
      <c r="E341" s="1503"/>
      <c r="F341" s="1504"/>
      <c r="G341" s="1486"/>
      <c r="H341" s="1487"/>
      <c r="I341" s="993"/>
      <c r="N341"/>
      <c r="O341"/>
      <c r="P341"/>
    </row>
    <row r="342" spans="1:16">
      <c r="A342" s="571"/>
      <c r="B342" s="1501" t="s">
        <v>475</v>
      </c>
      <c r="C342" s="1246" t="s">
        <v>476</v>
      </c>
      <c r="D342" s="1246"/>
      <c r="E342" s="1503"/>
      <c r="F342" s="1504"/>
      <c r="G342" s="1486"/>
      <c r="H342" s="1487"/>
      <c r="I342" s="993"/>
      <c r="N342"/>
      <c r="O342"/>
      <c r="P342"/>
    </row>
    <row r="343" spans="1:16">
      <c r="A343" s="571"/>
      <c r="B343" s="1501" t="s">
        <v>477</v>
      </c>
      <c r="C343" s="1505" t="s">
        <v>478</v>
      </c>
      <c r="D343" s="1246"/>
      <c r="E343" s="1503"/>
      <c r="F343" s="1504"/>
      <c r="G343" s="1486"/>
      <c r="H343" s="1487"/>
      <c r="I343" s="993"/>
      <c r="N343"/>
      <c r="O343"/>
      <c r="P343"/>
    </row>
    <row r="344" spans="1:16">
      <c r="A344" s="571"/>
      <c r="B344" s="1501"/>
      <c r="C344" s="1505" t="s">
        <v>479</v>
      </c>
      <c r="D344" s="1246"/>
      <c r="E344" s="1503"/>
      <c r="F344" s="1504"/>
      <c r="G344" s="1486"/>
      <c r="H344" s="1487"/>
      <c r="I344" s="993"/>
      <c r="N344"/>
      <c r="O344"/>
      <c r="P344"/>
    </row>
    <row r="345" spans="1:16">
      <c r="A345" s="571"/>
      <c r="B345" s="1501"/>
      <c r="C345" s="1505" t="str">
        <f>"  Interest on the Network Credits as booked each year is added to the revenue requirement to make the Transmisision Owner whole on Line "&amp;A293&amp;"."</f>
        <v xml:space="preserve">  Interest on the Network Credits as booked each year is added to the revenue requirement to make the Transmisision Owner whole on Line 155.</v>
      </c>
      <c r="D345" s="1246"/>
      <c r="E345" s="1503"/>
      <c r="F345" s="1504"/>
      <c r="G345" s="1486"/>
      <c r="H345" s="1487"/>
      <c r="I345" s="993"/>
      <c r="N345"/>
      <c r="O345"/>
      <c r="P345"/>
    </row>
    <row r="346" spans="1:16">
      <c r="A346" s="571"/>
      <c r="B346" s="1501" t="s">
        <v>480</v>
      </c>
      <c r="C346" s="1505"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46" s="1246"/>
      <c r="E346" s="1503"/>
      <c r="F346" s="1504"/>
      <c r="G346" s="1486"/>
      <c r="H346" s="1487"/>
      <c r="I346" s="993"/>
      <c r="N346"/>
      <c r="O346"/>
      <c r="P346"/>
    </row>
    <row r="347" spans="1:16" s="461" customFormat="1">
      <c r="A347" s="572"/>
      <c r="B347" s="1501"/>
      <c r="C347" s="1505" t="str">
        <f>"  If they are booked to Acct 565, they are included in on line "&amp;A137&amp;""</f>
        <v xml:space="preserve">  If they are booked to Acct 565, they are included in on line 64</v>
      </c>
      <c r="D347" s="1246"/>
      <c r="E347" s="1503"/>
      <c r="F347" s="1504"/>
      <c r="G347" s="573"/>
      <c r="H347" s="573"/>
      <c r="I347" s="994"/>
      <c r="K347"/>
      <c r="L347"/>
      <c r="M347"/>
      <c r="N347"/>
      <c r="O347"/>
      <c r="P347"/>
    </row>
    <row r="348" spans="1:16" ht="17.5">
      <c r="A348" s="88"/>
      <c r="B348" s="1501" t="s">
        <v>481</v>
      </c>
      <c r="C348" s="1505" t="s">
        <v>482</v>
      </c>
      <c r="D348" s="1506"/>
      <c r="E348" s="1506"/>
      <c r="F348" s="1506"/>
      <c r="G348" s="1486"/>
      <c r="H348" s="1487"/>
      <c r="I348" s="993"/>
      <c r="N348"/>
      <c r="O348"/>
      <c r="P348"/>
    </row>
    <row r="349" spans="1:16">
      <c r="A349" s="314"/>
      <c r="B349" s="1501" t="s">
        <v>483</v>
      </c>
      <c r="C349" s="1628" t="s">
        <v>1623</v>
      </c>
      <c r="D349" s="1246"/>
      <c r="E349" s="1503"/>
      <c r="F349" s="1504"/>
      <c r="G349" s="1486"/>
      <c r="H349" s="1487"/>
      <c r="I349" s="993"/>
      <c r="N349"/>
      <c r="O349"/>
      <c r="P349"/>
    </row>
    <row r="350" spans="1:16">
      <c r="A350" s="314"/>
      <c r="B350" s="1501" t="s">
        <v>484</v>
      </c>
      <c r="C350" s="1246" t="s">
        <v>485</v>
      </c>
      <c r="D350" s="1246"/>
      <c r="E350" s="1503"/>
      <c r="F350" s="1504"/>
      <c r="G350" s="1486"/>
      <c r="H350" s="1487"/>
      <c r="I350" s="993"/>
      <c r="N350"/>
      <c r="O350"/>
      <c r="P350"/>
    </row>
    <row r="351" spans="1:16">
      <c r="A351" s="314"/>
      <c r="B351" s="1507"/>
      <c r="C351" s="1246" t="s">
        <v>486</v>
      </c>
      <c r="D351" s="1246"/>
      <c r="E351" s="1503"/>
      <c r="F351" s="1504"/>
      <c r="G351" s="1486"/>
      <c r="H351" s="1487"/>
      <c r="I351" s="993"/>
      <c r="N351"/>
      <c r="O351"/>
      <c r="P351"/>
    </row>
    <row r="352" spans="1:16" s="1246" customFormat="1">
      <c r="A352" s="1247"/>
      <c r="B352" s="1501" t="s">
        <v>487</v>
      </c>
      <c r="C352" s="1246" t="s">
        <v>488</v>
      </c>
      <c r="E352" s="1503"/>
      <c r="F352" s="1504"/>
      <c r="G352" s="1486"/>
      <c r="H352" s="1487"/>
      <c r="I352" s="993"/>
      <c r="K352"/>
      <c r="L352"/>
      <c r="M352"/>
      <c r="N352" s="1245"/>
      <c r="O352" s="1245"/>
      <c r="P352" s="1245"/>
    </row>
    <row r="353" spans="1:16">
      <c r="A353" s="314"/>
      <c r="B353" s="1501" t="s">
        <v>188</v>
      </c>
      <c r="C353" s="1246" t="s">
        <v>1234</v>
      </c>
      <c r="D353" s="1246"/>
      <c r="E353" s="1503"/>
      <c r="F353" s="1504"/>
      <c r="G353" s="1486"/>
      <c r="H353" s="1487"/>
      <c r="I353" s="993"/>
      <c r="N353"/>
      <c r="O353"/>
      <c r="P353"/>
    </row>
    <row r="354" spans="1:16" s="1246" customFormat="1" ht="15.75" customHeight="1">
      <c r="A354" s="1247"/>
      <c r="B354" s="1501" t="s">
        <v>905</v>
      </c>
      <c r="C354" s="1726" t="s">
        <v>1741</v>
      </c>
      <c r="D354" s="1726"/>
      <c r="E354" s="1726"/>
      <c r="F354" s="1726"/>
      <c r="G354" s="1486"/>
      <c r="H354" s="1487"/>
      <c r="I354" s="993"/>
      <c r="K354"/>
      <c r="L354"/>
      <c r="M354"/>
      <c r="N354" s="1245"/>
      <c r="O354" s="1245"/>
      <c r="P354" s="1245"/>
    </row>
    <row r="355" spans="1:16" ht="15.75" customHeight="1">
      <c r="A355" s="314"/>
      <c r="B355" s="1501"/>
      <c r="C355" s="1726"/>
      <c r="D355" s="1726"/>
      <c r="E355" s="1726"/>
      <c r="F355" s="1726"/>
      <c r="G355" s="1486"/>
      <c r="H355" s="1487"/>
      <c r="I355" s="993"/>
      <c r="N355"/>
      <c r="O355"/>
      <c r="P355"/>
    </row>
    <row r="356" spans="1:16" s="1246" customFormat="1">
      <c r="A356" s="1247"/>
      <c r="B356" s="1502" t="s">
        <v>1042</v>
      </c>
      <c r="C356" s="1725" t="s">
        <v>1235</v>
      </c>
      <c r="D356" s="1725"/>
      <c r="E356" s="1725"/>
      <c r="F356" s="1725"/>
      <c r="G356" s="1486"/>
      <c r="H356" s="1487"/>
      <c r="I356" s="993"/>
      <c r="K356"/>
      <c r="L356"/>
      <c r="M356"/>
      <c r="N356" s="1245"/>
      <c r="O356" s="1245"/>
      <c r="P356" s="1245"/>
    </row>
    <row r="357" spans="1:16" s="1246" customFormat="1">
      <c r="A357" s="1247"/>
      <c r="B357" s="1502"/>
      <c r="C357" s="1725"/>
      <c r="D357" s="1725"/>
      <c r="E357" s="1725"/>
      <c r="F357" s="1725"/>
      <c r="G357" s="1486"/>
      <c r="H357" s="1487"/>
      <c r="I357" s="993"/>
      <c r="K357"/>
      <c r="L357"/>
      <c r="M357"/>
      <c r="N357" s="1245"/>
      <c r="O357" s="1245"/>
      <c r="P357" s="1245"/>
    </row>
    <row r="358" spans="1:16" s="1246" customFormat="1">
      <c r="A358" s="1247"/>
      <c r="B358" s="1502"/>
      <c r="C358" s="1725"/>
      <c r="D358" s="1725"/>
      <c r="E358" s="1725"/>
      <c r="F358" s="1725"/>
      <c r="G358" s="1486"/>
      <c r="H358" s="1487"/>
      <c r="I358" s="993"/>
      <c r="K358"/>
      <c r="L358"/>
      <c r="M358"/>
      <c r="N358" s="1245"/>
      <c r="O358" s="1245"/>
      <c r="P358" s="1245"/>
    </row>
    <row r="359" spans="1:16" s="1246" customFormat="1">
      <c r="A359" s="1247"/>
      <c r="B359" s="1502"/>
      <c r="C359" s="1725"/>
      <c r="D359" s="1725"/>
      <c r="E359" s="1725"/>
      <c r="F359" s="1725"/>
      <c r="G359" s="1486"/>
      <c r="H359" s="1487"/>
      <c r="I359" s="993"/>
      <c r="K359"/>
      <c r="L359"/>
      <c r="M359"/>
      <c r="N359" s="1245"/>
      <c r="O359" s="1245"/>
      <c r="P359" s="1245"/>
    </row>
    <row r="360" spans="1:16" s="1246" customFormat="1">
      <c r="A360" s="1247"/>
      <c r="B360" s="1502"/>
      <c r="C360" s="1725"/>
      <c r="D360" s="1725"/>
      <c r="E360" s="1725"/>
      <c r="F360" s="1725"/>
      <c r="G360" s="1486"/>
      <c r="H360" s="1487"/>
      <c r="I360" s="993"/>
      <c r="K360"/>
      <c r="L360"/>
      <c r="M360"/>
      <c r="N360" s="1245"/>
      <c r="O360" s="1245"/>
      <c r="P360" s="1245"/>
    </row>
    <row r="361" spans="1:16" s="1246" customFormat="1">
      <c r="A361" s="1247"/>
      <c r="B361" s="1502"/>
      <c r="C361" s="1725"/>
      <c r="D361" s="1725"/>
      <c r="E361" s="1725"/>
      <c r="F361" s="1725"/>
      <c r="G361" s="1486"/>
      <c r="H361" s="1487"/>
      <c r="I361" s="993"/>
      <c r="K361"/>
      <c r="L361"/>
      <c r="M361"/>
      <c r="N361" s="1245"/>
      <c r="O361" s="1245"/>
      <c r="P361" s="1245"/>
    </row>
    <row r="362" spans="1:16" s="1246" customFormat="1">
      <c r="A362" s="1247"/>
      <c r="B362" s="1502"/>
      <c r="C362" s="1725"/>
      <c r="D362" s="1725"/>
      <c r="E362" s="1725"/>
      <c r="F362" s="1725"/>
      <c r="G362" s="1486"/>
      <c r="H362" s="1487"/>
      <c r="I362" s="993"/>
      <c r="K362"/>
      <c r="L362"/>
      <c r="M362"/>
      <c r="N362" s="1245"/>
      <c r="O362" s="1245"/>
      <c r="P362" s="1245"/>
    </row>
    <row r="363" spans="1:16" s="1246" customFormat="1">
      <c r="A363" s="1247"/>
      <c r="B363" s="1502"/>
      <c r="C363" s="1725"/>
      <c r="D363" s="1725"/>
      <c r="E363" s="1725"/>
      <c r="F363" s="1725"/>
      <c r="G363" s="1486"/>
      <c r="H363" s="1487"/>
      <c r="I363" s="993"/>
      <c r="K363"/>
      <c r="L363"/>
      <c r="M363"/>
      <c r="N363" s="1245"/>
      <c r="O363" s="1245"/>
      <c r="P363" s="1245"/>
    </row>
    <row r="364" spans="1:16" s="1246" customFormat="1">
      <c r="A364" s="1247"/>
      <c r="B364" s="1502"/>
      <c r="C364" s="1725"/>
      <c r="D364" s="1725"/>
      <c r="E364" s="1725"/>
      <c r="F364" s="1725"/>
      <c r="G364" s="1486"/>
      <c r="H364" s="1487"/>
      <c r="I364" s="993"/>
      <c r="K364"/>
      <c r="L364"/>
      <c r="M364"/>
      <c r="N364" s="1245"/>
      <c r="O364" s="1245"/>
      <c r="P364" s="1245"/>
    </row>
    <row r="365" spans="1:16" ht="15.75" customHeight="1">
      <c r="A365" s="314"/>
      <c r="B365" s="1502"/>
      <c r="C365" s="1725"/>
      <c r="D365" s="1725"/>
      <c r="E365" s="1725"/>
      <c r="F365" s="1725"/>
      <c r="G365" s="1486"/>
      <c r="H365" s="1487"/>
      <c r="I365" s="993"/>
      <c r="N365"/>
      <c r="O365"/>
      <c r="P365"/>
    </row>
    <row r="366" spans="1:16" s="1246" customFormat="1" ht="15.75" customHeight="1">
      <c r="A366" s="1247"/>
      <c r="B366" s="1502" t="s">
        <v>1043</v>
      </c>
      <c r="C366" s="1726" t="s">
        <v>1236</v>
      </c>
      <c r="D366" s="1726"/>
      <c r="E366" s="1726"/>
      <c r="F366" s="1726"/>
      <c r="G366" s="1486"/>
      <c r="H366" s="1487"/>
      <c r="I366" s="993"/>
      <c r="K366"/>
      <c r="L366"/>
      <c r="M366"/>
      <c r="N366" s="1245"/>
      <c r="O366" s="1245"/>
      <c r="P366" s="1245"/>
    </row>
    <row r="367" spans="1:16" s="1246" customFormat="1">
      <c r="A367" s="1247"/>
      <c r="B367" s="1502"/>
      <c r="C367" s="1726"/>
      <c r="D367" s="1726"/>
      <c r="E367" s="1726"/>
      <c r="F367" s="1726"/>
      <c r="G367" s="1486"/>
      <c r="H367" s="1487"/>
      <c r="I367" s="993"/>
      <c r="K367"/>
      <c r="L367"/>
      <c r="M367"/>
      <c r="N367" s="1245"/>
      <c r="O367" s="1245"/>
      <c r="P367" s="1245"/>
    </row>
    <row r="368" spans="1:16" s="1246" customFormat="1">
      <c r="A368" s="1247"/>
      <c r="B368" s="1502"/>
      <c r="C368" s="1726"/>
      <c r="D368" s="1726"/>
      <c r="E368" s="1726"/>
      <c r="F368" s="1726"/>
      <c r="G368" s="1486"/>
      <c r="H368" s="1487"/>
      <c r="I368" s="993"/>
      <c r="K368"/>
      <c r="L368"/>
      <c r="M368"/>
      <c r="N368" s="1245"/>
      <c r="O368" s="1245"/>
      <c r="P368" s="1245"/>
    </row>
    <row r="369" spans="1:9">
      <c r="A369" s="314"/>
      <c r="B369" s="1502"/>
      <c r="C369" s="1726"/>
      <c r="D369" s="1726"/>
      <c r="E369" s="1726"/>
      <c r="F369" s="1726"/>
      <c r="G369" s="1486"/>
      <c r="H369" s="1487"/>
      <c r="I369" s="993"/>
    </row>
    <row r="370" spans="1:9" ht="34.5" customHeight="1">
      <c r="A370" s="314"/>
      <c r="B370" s="1502" t="s">
        <v>1044</v>
      </c>
      <c r="C370" s="1727" t="s">
        <v>1597</v>
      </c>
      <c r="D370" s="1727"/>
      <c r="E370" s="1727"/>
      <c r="F370" s="1727"/>
      <c r="G370" s="1486"/>
      <c r="H370" s="1487"/>
      <c r="I370" s="993"/>
    </row>
    <row r="371" spans="1:9" ht="33" customHeight="1">
      <c r="A371" s="314"/>
      <c r="B371" s="1502" t="s">
        <v>1182</v>
      </c>
      <c r="C371" s="1727" t="s">
        <v>1598</v>
      </c>
      <c r="D371" s="1727"/>
      <c r="E371" s="1727"/>
      <c r="F371" s="1727"/>
      <c r="G371" s="1486"/>
      <c r="H371" s="1487"/>
      <c r="I371" s="993"/>
    </row>
    <row r="372" spans="1:9" ht="33.75" customHeight="1">
      <c r="A372" s="314"/>
      <c r="B372" s="1502" t="s">
        <v>1237</v>
      </c>
      <c r="C372" s="1727" t="s">
        <v>1599</v>
      </c>
      <c r="D372" s="1727"/>
      <c r="E372" s="1727"/>
      <c r="F372" s="1727"/>
      <c r="G372" s="1486"/>
      <c r="H372" s="1487"/>
      <c r="I372" s="993"/>
    </row>
    <row r="373" spans="1:9" ht="15.75" customHeight="1">
      <c r="A373" s="237"/>
      <c r="B373" s="1502" t="s">
        <v>1238</v>
      </c>
      <c r="C373" s="1725" t="s">
        <v>1600</v>
      </c>
      <c r="D373" s="1725"/>
      <c r="E373" s="1725"/>
      <c r="F373" s="1725"/>
      <c r="G373" s="1224"/>
      <c r="H373" s="295"/>
      <c r="I373" s="995"/>
    </row>
    <row r="374" spans="1:9">
      <c r="A374" s="574" t="s">
        <v>489</v>
      </c>
      <c r="B374" s="575"/>
      <c r="C374" s="225"/>
      <c r="D374" s="290"/>
      <c r="E374" s="576"/>
      <c r="F374" s="290"/>
      <c r="G374" s="290"/>
      <c r="H374" s="225"/>
    </row>
    <row r="375" spans="1:9">
      <c r="A375" s="237"/>
      <c r="B375" s="1226"/>
      <c r="C375" s="1246"/>
      <c r="D375" s="1246"/>
      <c r="E375" s="1305"/>
      <c r="F375" s="1246"/>
      <c r="G375" s="1246"/>
      <c r="H375" s="1246"/>
    </row>
    <row r="376" spans="1:9">
      <c r="B376" s="1224"/>
      <c r="C376" s="1224"/>
      <c r="D376" s="1224"/>
      <c r="E376" s="1305"/>
      <c r="F376" s="1246"/>
      <c r="G376" s="1246"/>
      <c r="H376" s="577"/>
      <c r="I376" s="947"/>
    </row>
    <row r="377" spans="1:9">
      <c r="B377" s="1224"/>
      <c r="C377" s="1224"/>
      <c r="D377" s="1224"/>
      <c r="E377" s="1305"/>
      <c r="F377" s="1246"/>
      <c r="G377" s="1246"/>
      <c r="H377" s="578"/>
      <c r="I377" s="996"/>
    </row>
    <row r="378" spans="1:9">
      <c r="H378" s="579"/>
      <c r="I378" s="997"/>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3:F373"/>
    <mergeCell ref="C337:F338"/>
    <mergeCell ref="C370:F370"/>
    <mergeCell ref="C372:F372"/>
    <mergeCell ref="C371:F371"/>
    <mergeCell ref="C339:F339"/>
    <mergeCell ref="C354:F355"/>
    <mergeCell ref="C356:F365"/>
    <mergeCell ref="C366:F369"/>
  </mergeCells>
  <pageMargins left="0.5" right="0.5" top="0.5" bottom="0.5" header="0.5" footer="0.5"/>
  <pageSetup scale="37" fitToHeight="3" orientation="portrait" r:id="rId2"/>
  <rowBreaks count="3" manualBreakCount="3">
    <brk id="118" max="7" man="1"/>
    <brk id="238" max="7" man="1"/>
    <brk id="32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view="pageBreakPreview" zoomScale="60" zoomScaleNormal="75" workbookViewId="0">
      <selection activeCell="L128" sqref="L128"/>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75" t="s">
        <v>1547</v>
      </c>
      <c r="B1" s="1775"/>
      <c r="C1" s="1775"/>
      <c r="D1" s="1775"/>
      <c r="E1" s="1775"/>
      <c r="F1" s="1775"/>
      <c r="G1" s="1775"/>
      <c r="H1" s="1776"/>
      <c r="I1" s="1776"/>
    </row>
    <row r="2" spans="1:9" ht="18">
      <c r="A2" s="1"/>
      <c r="B2" s="9"/>
      <c r="C2" s="9"/>
      <c r="D2" s="9"/>
      <c r="E2" s="9"/>
      <c r="F2" s="9"/>
      <c r="G2" s="9"/>
    </row>
    <row r="3" spans="1:9" ht="18">
      <c r="A3" s="1779" t="s">
        <v>178</v>
      </c>
      <c r="B3" s="1779"/>
      <c r="C3" s="1779"/>
      <c r="D3" s="1779"/>
      <c r="E3" s="1779"/>
      <c r="F3" s="1779"/>
      <c r="G3" s="1779"/>
      <c r="H3" s="1776"/>
      <c r="I3" s="1776"/>
    </row>
    <row r="5" spans="1:9" s="168" customFormat="1" ht="15.5">
      <c r="B5" s="1"/>
    </row>
    <row r="6" spans="1:9" s="168" customFormat="1" ht="15.5"/>
    <row r="7" spans="1:9" s="168" customFormat="1" ht="15.5"/>
    <row r="8" spans="1:9" s="168" customFormat="1" ht="15.5">
      <c r="C8" s="168" t="s">
        <v>179</v>
      </c>
    </row>
    <row r="9" spans="1:9" s="168" customFormat="1" ht="15.5">
      <c r="A9" s="220" t="s">
        <v>9</v>
      </c>
      <c r="B9" s="220"/>
      <c r="D9" s="168" t="s">
        <v>180</v>
      </c>
      <c r="G9" s="221" t="s">
        <v>181</v>
      </c>
      <c r="I9" s="222">
        <f>+I56+I84</f>
        <v>99658873.423727661</v>
      </c>
    </row>
    <row r="10" spans="1:9" s="168" customFormat="1" ht="15.5">
      <c r="A10" s="220"/>
      <c r="B10" s="220"/>
    </row>
    <row r="11" spans="1:9" s="168" customFormat="1" ht="15.5">
      <c r="A11" s="220" t="s">
        <v>10</v>
      </c>
      <c r="B11" s="220"/>
      <c r="D11" s="168" t="s">
        <v>852</v>
      </c>
      <c r="I11" s="223">
        <v>0.01</v>
      </c>
    </row>
    <row r="12" spans="1:9" s="168" customFormat="1" ht="15.5">
      <c r="A12" s="220"/>
      <c r="B12" s="220"/>
      <c r="I12" s="223"/>
    </row>
    <row r="13" spans="1:9" s="221" customFormat="1" ht="15.5">
      <c r="A13" s="220"/>
      <c r="B13" s="220"/>
      <c r="C13" s="168"/>
      <c r="D13" s="168"/>
      <c r="E13" s="168"/>
      <c r="F13" s="168"/>
      <c r="G13" s="168"/>
      <c r="H13" s="168"/>
    </row>
    <row r="14" spans="1:9" s="221" customFormat="1" ht="15.5">
      <c r="A14" s="224" t="s">
        <v>182</v>
      </c>
      <c r="B14" s="225"/>
      <c r="C14" s="225"/>
      <c r="D14" s="225"/>
      <c r="E14" s="225"/>
      <c r="F14" s="225"/>
      <c r="G14" s="225"/>
      <c r="H14" s="225"/>
      <c r="I14" s="225"/>
    </row>
    <row r="15" spans="1:9" s="168" customFormat="1" ht="15.5">
      <c r="I15" s="226"/>
    </row>
    <row r="16" spans="1:9" s="168" customFormat="1" ht="15.5">
      <c r="A16" s="220">
        <v>59</v>
      </c>
      <c r="C16" s="227" t="s">
        <v>339</v>
      </c>
      <c r="D16" s="227"/>
      <c r="F16" s="227"/>
      <c r="G16" s="246" t="s">
        <v>826</v>
      </c>
      <c r="H16" s="227"/>
      <c r="I16" s="222">
        <f>+'ATT H-1A'!H127</f>
        <v>1159012261.4883695</v>
      </c>
    </row>
    <row r="17" spans="1:9" s="168" customFormat="1" ht="15.5">
      <c r="G17" s="227"/>
      <c r="I17" s="226"/>
    </row>
    <row r="18" spans="1:9" s="168" customFormat="1" ht="15.5">
      <c r="G18" s="227"/>
    </row>
    <row r="19" spans="1:9" s="168" customFormat="1" ht="15.5">
      <c r="A19" s="228"/>
      <c r="B19" s="227"/>
      <c r="C19" s="249" t="s">
        <v>2</v>
      </c>
      <c r="D19" s="230"/>
      <c r="E19" s="231"/>
      <c r="F19" s="232"/>
      <c r="G19" s="233"/>
      <c r="H19" s="234"/>
    </row>
    <row r="20" spans="1:9" s="168" customFormat="1" ht="15.5">
      <c r="A20" s="228">
        <v>100</v>
      </c>
      <c r="B20" s="227"/>
      <c r="C20" s="227"/>
      <c r="D20" s="1225" t="s">
        <v>2</v>
      </c>
      <c r="E20" s="231"/>
      <c r="F20" s="232"/>
      <c r="G20" s="233" t="s">
        <v>382</v>
      </c>
      <c r="H20" s="234"/>
      <c r="I20" s="235">
        <f>+'ATT H-1A'!H201</f>
        <v>60597529</v>
      </c>
    </row>
    <row r="21" spans="1:9" s="168" customFormat="1" ht="15.5">
      <c r="A21" s="236">
        <v>101</v>
      </c>
      <c r="B21" s="227"/>
      <c r="C21" s="227"/>
      <c r="D21" s="237" t="s">
        <v>383</v>
      </c>
      <c r="E21" s="241" t="s">
        <v>835</v>
      </c>
      <c r="F21" s="239"/>
      <c r="G21" s="240" t="s">
        <v>384</v>
      </c>
      <c r="H21" s="241"/>
      <c r="I21" s="1188">
        <f>+'ATT H-1A'!H202</f>
        <v>1781557</v>
      </c>
    </row>
    <row r="22" spans="1:9" s="168" customFormat="1" ht="15.5">
      <c r="A22" s="236">
        <v>102</v>
      </c>
      <c r="B22" s="227"/>
      <c r="C22" s="227"/>
      <c r="D22" s="246" t="s">
        <v>2</v>
      </c>
      <c r="E22" s="231"/>
      <c r="F22" s="230"/>
      <c r="G22" s="233" t="s">
        <v>385</v>
      </c>
      <c r="H22" s="234"/>
      <c r="I22" s="235">
        <f>+I20-I21</f>
        <v>58815972</v>
      </c>
    </row>
    <row r="23" spans="1:9" s="168" customFormat="1" ht="15.5">
      <c r="A23" s="236"/>
      <c r="B23" s="227"/>
      <c r="C23" s="237"/>
      <c r="D23" s="237"/>
      <c r="E23" s="232"/>
      <c r="F23" s="243"/>
      <c r="G23" s="227"/>
      <c r="H23" s="243"/>
      <c r="I23" s="244"/>
    </row>
    <row r="24" spans="1:9" s="168" customFormat="1" ht="15.5">
      <c r="A24" s="236">
        <v>103</v>
      </c>
      <c r="B24" s="227"/>
      <c r="C24" s="246" t="s">
        <v>386</v>
      </c>
      <c r="D24" s="245"/>
      <c r="F24" s="243" t="s">
        <v>387</v>
      </c>
      <c r="G24" s="246" t="s">
        <v>388</v>
      </c>
      <c r="H24" s="243"/>
      <c r="I24" s="235">
        <f>+'ATT H-1A'!H205</f>
        <v>0</v>
      </c>
    </row>
    <row r="25" spans="1:9" s="168" customFormat="1" ht="15.5">
      <c r="A25" s="236"/>
      <c r="B25" s="227"/>
      <c r="C25" s="237"/>
      <c r="D25" s="237"/>
      <c r="E25" s="232"/>
      <c r="F25" s="247"/>
      <c r="G25" s="246"/>
      <c r="H25" s="243"/>
      <c r="I25" s="244"/>
    </row>
    <row r="26" spans="1:9" s="168" customFormat="1" ht="15.5">
      <c r="A26" s="236"/>
      <c r="B26" s="227"/>
      <c r="C26" s="237" t="s">
        <v>389</v>
      </c>
      <c r="D26" s="248"/>
      <c r="E26" s="232"/>
      <c r="F26" s="232"/>
      <c r="G26" s="246"/>
      <c r="H26" s="243"/>
      <c r="I26" s="244"/>
    </row>
    <row r="27" spans="1:9" s="168" customFormat="1" ht="15.5">
      <c r="A27" s="236">
        <v>104</v>
      </c>
      <c r="B27" s="227"/>
      <c r="C27" s="227"/>
      <c r="D27" s="246" t="s">
        <v>390</v>
      </c>
      <c r="E27" s="243"/>
      <c r="F27" s="243"/>
      <c r="G27" s="246" t="s">
        <v>391</v>
      </c>
      <c r="H27" s="243"/>
      <c r="I27" s="235">
        <f>+'ATT H-1A'!H208</f>
        <v>1335242524.1938462</v>
      </c>
    </row>
    <row r="28" spans="1:9" s="168" customFormat="1" ht="15.5">
      <c r="A28" s="228">
        <v>105</v>
      </c>
      <c r="B28" s="227"/>
      <c r="C28" s="227"/>
      <c r="D28" s="249" t="s">
        <v>392</v>
      </c>
      <c r="F28" s="244" t="s">
        <v>192</v>
      </c>
      <c r="G28" s="249" t="s">
        <v>836</v>
      </c>
      <c r="H28" s="243"/>
      <c r="I28" s="244">
        <f>-I39</f>
        <v>0</v>
      </c>
    </row>
    <row r="29" spans="1:9" s="168" customFormat="1" ht="15.5">
      <c r="A29" s="236">
        <v>106</v>
      </c>
      <c r="B29" s="227"/>
      <c r="C29" s="227"/>
      <c r="D29" s="249" t="s">
        <v>393</v>
      </c>
      <c r="F29" s="250" t="s">
        <v>192</v>
      </c>
      <c r="G29" s="251" t="s">
        <v>394</v>
      </c>
      <c r="H29" s="241"/>
      <c r="I29" s="250">
        <f>+'ATT H-1A'!H210</f>
        <v>0</v>
      </c>
    </row>
    <row r="30" spans="1:9" s="168" customFormat="1" ht="15.5">
      <c r="A30" s="236">
        <v>107</v>
      </c>
      <c r="B30" s="227"/>
      <c r="C30" s="227"/>
      <c r="D30" s="249" t="s">
        <v>389</v>
      </c>
      <c r="F30" s="235"/>
      <c r="G30" s="584" t="s">
        <v>837</v>
      </c>
      <c r="H30" s="253"/>
      <c r="I30" s="244">
        <f>SUM(I27:I29)</f>
        <v>1335242524.1938462</v>
      </c>
    </row>
    <row r="31" spans="1:9" s="168" customFormat="1" ht="15.5">
      <c r="A31" s="236"/>
      <c r="B31" s="227"/>
      <c r="C31" s="237"/>
      <c r="D31" s="237"/>
      <c r="F31" s="232"/>
      <c r="G31" s="246"/>
      <c r="H31" s="232"/>
      <c r="I31" s="244"/>
    </row>
    <row r="32" spans="1:9" s="168" customFormat="1" ht="15.5">
      <c r="A32" s="236"/>
      <c r="B32" s="227"/>
      <c r="C32" s="237" t="s">
        <v>3</v>
      </c>
      <c r="D32" s="248"/>
      <c r="F32" s="232"/>
      <c r="G32" s="246"/>
      <c r="H32" s="232"/>
      <c r="I32" s="244"/>
    </row>
    <row r="33" spans="1:9" s="168" customFormat="1" ht="15.5">
      <c r="A33" s="236">
        <v>108</v>
      </c>
      <c r="B33" s="227"/>
      <c r="C33" s="227"/>
      <c r="D33" s="237" t="s">
        <v>395</v>
      </c>
      <c r="F33" s="232"/>
      <c r="G33" s="237" t="s">
        <v>396</v>
      </c>
      <c r="H33" s="232"/>
      <c r="I33" s="235">
        <f>+'ATT H-1A'!H215</f>
        <v>1360378012.9061537</v>
      </c>
    </row>
    <row r="34" spans="1:9" s="168" customFormat="1" ht="15.5">
      <c r="A34" s="228">
        <v>109</v>
      </c>
      <c r="B34" s="227"/>
      <c r="C34" s="227"/>
      <c r="D34" s="237" t="s">
        <v>397</v>
      </c>
      <c r="F34" s="243" t="s">
        <v>192</v>
      </c>
      <c r="G34" s="246" t="s">
        <v>398</v>
      </c>
      <c r="H34" s="232"/>
      <c r="I34" s="235">
        <f>+'ATT H-1A'!H216</f>
        <v>-3693784.3984615402</v>
      </c>
    </row>
    <row r="35" spans="1:9" s="168" customFormat="1" ht="15.5">
      <c r="A35" s="228">
        <v>110</v>
      </c>
      <c r="B35" s="254"/>
      <c r="C35" s="254"/>
      <c r="D35" s="229" t="s">
        <v>399</v>
      </c>
      <c r="F35" s="255" t="s">
        <v>400</v>
      </c>
      <c r="G35" s="229" t="s">
        <v>401</v>
      </c>
      <c r="H35" s="255"/>
      <c r="I35" s="235">
        <f>+'ATT H-1A'!H217</f>
        <v>0</v>
      </c>
    </row>
    <row r="36" spans="1:9" s="168" customFormat="1" ht="15.5">
      <c r="A36" s="228">
        <v>111</v>
      </c>
      <c r="B36" s="254"/>
      <c r="C36" s="254"/>
      <c r="D36" s="229" t="s">
        <v>402</v>
      </c>
      <c r="F36" s="244" t="s">
        <v>192</v>
      </c>
      <c r="G36" s="227" t="s">
        <v>1218</v>
      </c>
      <c r="H36" s="255"/>
      <c r="I36" s="235">
        <f>+'ATT H-1A'!H218</f>
        <v>1038322</v>
      </c>
    </row>
    <row r="37" spans="1:9" s="168" customFormat="1" ht="15.5">
      <c r="A37" s="228">
        <v>112</v>
      </c>
      <c r="B37" s="254"/>
      <c r="C37" s="254"/>
      <c r="D37" s="229" t="s">
        <v>403</v>
      </c>
      <c r="F37" s="244" t="s">
        <v>192</v>
      </c>
      <c r="G37" s="249" t="s">
        <v>384</v>
      </c>
      <c r="H37" s="255"/>
      <c r="I37" s="235">
        <f>+'ATT H-1A'!H219</f>
        <v>-19516859.059999995</v>
      </c>
    </row>
    <row r="38" spans="1:9" s="168" customFormat="1" ht="15.5">
      <c r="A38" s="228">
        <v>113</v>
      </c>
      <c r="B38" s="254"/>
      <c r="C38" s="254"/>
      <c r="D38" s="229" t="s">
        <v>404</v>
      </c>
      <c r="E38" s="256"/>
      <c r="F38" s="257"/>
      <c r="G38" s="585" t="s">
        <v>838</v>
      </c>
      <c r="H38" s="256"/>
      <c r="I38" s="258">
        <f>SUM(I33:I37)</f>
        <v>1338205691.4476922</v>
      </c>
    </row>
    <row r="39" spans="1:9" s="168" customFormat="1" ht="15.5">
      <c r="A39" s="228">
        <v>114</v>
      </c>
      <c r="B39" s="254"/>
      <c r="C39" s="254"/>
      <c r="D39" s="229" t="s">
        <v>405</v>
      </c>
      <c r="E39" s="255"/>
      <c r="F39" s="259"/>
      <c r="G39" s="229" t="s">
        <v>406</v>
      </c>
      <c r="H39" s="255"/>
      <c r="I39" s="235">
        <f>+'ATT H-1A'!H221</f>
        <v>0</v>
      </c>
    </row>
    <row r="40" spans="1:9" s="168" customFormat="1" ht="15.5">
      <c r="A40" s="236">
        <v>115</v>
      </c>
      <c r="B40" s="227"/>
      <c r="C40" s="227"/>
      <c r="D40" s="237" t="s">
        <v>389</v>
      </c>
      <c r="E40" s="232"/>
      <c r="F40" s="247"/>
      <c r="G40" s="246" t="s">
        <v>839</v>
      </c>
      <c r="H40" s="232"/>
      <c r="I40" s="235">
        <f>I30</f>
        <v>1335242524.1938462</v>
      </c>
    </row>
    <row r="41" spans="1:9" s="168" customFormat="1" ht="15.5">
      <c r="A41" s="236">
        <v>116</v>
      </c>
      <c r="B41" s="227"/>
      <c r="C41" s="227"/>
      <c r="D41" s="237" t="s">
        <v>407</v>
      </c>
      <c r="E41" s="260"/>
      <c r="F41" s="261"/>
      <c r="G41" s="586" t="s">
        <v>840</v>
      </c>
      <c r="H41" s="263"/>
      <c r="I41" s="258">
        <f>I40+I39+I38</f>
        <v>2673448215.6415386</v>
      </c>
    </row>
    <row r="42" spans="1:9" s="168" customFormat="1" ht="15.5">
      <c r="A42" s="236"/>
      <c r="B42" s="227"/>
      <c r="C42" s="227"/>
      <c r="D42" s="237"/>
      <c r="E42" s="232"/>
      <c r="F42" s="247"/>
      <c r="G42" s="227"/>
      <c r="H42" s="243"/>
      <c r="I42" s="264"/>
    </row>
    <row r="43" spans="1:9" s="168" customFormat="1" ht="15.5">
      <c r="A43" s="228">
        <v>117</v>
      </c>
      <c r="B43" s="227"/>
      <c r="C43" s="227"/>
      <c r="D43" s="237" t="s">
        <v>408</v>
      </c>
      <c r="E43" s="265"/>
      <c r="F43" s="266" t="s">
        <v>404</v>
      </c>
      <c r="G43" s="246" t="s">
        <v>1624</v>
      </c>
      <c r="H43" s="1236"/>
      <c r="I43" s="1093">
        <v>0.5</v>
      </c>
    </row>
    <row r="44" spans="1:9" s="168" customFormat="1" ht="15.5">
      <c r="A44" s="228">
        <v>118</v>
      </c>
      <c r="B44" s="227"/>
      <c r="C44" s="227"/>
      <c r="D44" s="237" t="s">
        <v>409</v>
      </c>
      <c r="E44" s="247"/>
      <c r="F44" s="266" t="s">
        <v>405</v>
      </c>
      <c r="G44" s="246" t="s">
        <v>1625</v>
      </c>
      <c r="H44" s="1236"/>
      <c r="I44" s="1093">
        <v>0</v>
      </c>
    </row>
    <row r="45" spans="1:9" s="168" customFormat="1" ht="15.5">
      <c r="A45" s="228">
        <v>119</v>
      </c>
      <c r="B45" s="227"/>
      <c r="C45" s="227"/>
      <c r="D45" s="237" t="s">
        <v>410</v>
      </c>
      <c r="E45" s="247"/>
      <c r="F45" s="266" t="s">
        <v>389</v>
      </c>
      <c r="G45" s="246" t="s">
        <v>1626</v>
      </c>
      <c r="H45" s="1236"/>
      <c r="I45" s="1093">
        <v>0.5</v>
      </c>
    </row>
    <row r="46" spans="1:9" s="168" customFormat="1" ht="15.5">
      <c r="A46" s="228"/>
      <c r="B46" s="227"/>
      <c r="C46" s="227"/>
      <c r="D46" s="237"/>
      <c r="E46" s="232"/>
      <c r="F46" s="246"/>
      <c r="G46" s="227"/>
      <c r="H46" s="243"/>
      <c r="I46" s="264"/>
    </row>
    <row r="47" spans="1:9" s="168" customFormat="1" ht="15.5">
      <c r="A47" s="228">
        <v>120</v>
      </c>
      <c r="B47" s="227"/>
      <c r="C47" s="227"/>
      <c r="D47" s="246" t="s">
        <v>411</v>
      </c>
      <c r="E47" s="265"/>
      <c r="F47" s="246" t="s">
        <v>404</v>
      </c>
      <c r="G47" s="246" t="s">
        <v>841</v>
      </c>
      <c r="H47" s="243"/>
      <c r="I47" s="267">
        <f>IF(I38&gt;0,I22/I38,0)</f>
        <v>4.3951368893351474E-2</v>
      </c>
    </row>
    <row r="48" spans="1:9" s="168" customFormat="1" ht="15.5">
      <c r="A48" s="228">
        <v>121</v>
      </c>
      <c r="B48" s="227"/>
      <c r="C48" s="227"/>
      <c r="D48" s="246" t="s">
        <v>412</v>
      </c>
      <c r="E48" s="247"/>
      <c r="F48" s="246" t="s">
        <v>405</v>
      </c>
      <c r="G48" s="246" t="s">
        <v>842</v>
      </c>
      <c r="H48" s="243"/>
      <c r="I48" s="267">
        <f>IF(I39&gt;0,I24/I39,0)</f>
        <v>0</v>
      </c>
    </row>
    <row r="49" spans="1:9" s="168" customFormat="1" ht="15.5">
      <c r="A49" s="228">
        <v>122</v>
      </c>
      <c r="B49" s="227"/>
      <c r="C49" s="227"/>
      <c r="D49" s="246" t="s">
        <v>413</v>
      </c>
      <c r="E49" s="247" t="s">
        <v>183</v>
      </c>
      <c r="F49" s="246" t="s">
        <v>389</v>
      </c>
      <c r="G49" s="227" t="s">
        <v>184</v>
      </c>
      <c r="H49" s="243"/>
      <c r="I49" s="268">
        <f>+'ATT H-1A'!H231+0.01</f>
        <v>0.11499999999999999</v>
      </c>
    </row>
    <row r="50" spans="1:9" s="168" customFormat="1" ht="15.5">
      <c r="A50" s="228"/>
      <c r="B50" s="227"/>
      <c r="C50" s="227"/>
      <c r="D50" s="237"/>
      <c r="E50" s="232"/>
      <c r="F50" s="246"/>
      <c r="G50" s="227"/>
      <c r="H50" s="243"/>
      <c r="I50" s="232"/>
    </row>
    <row r="51" spans="1:9" s="168" customFormat="1" ht="15.5">
      <c r="A51" s="228">
        <v>123</v>
      </c>
      <c r="B51" s="227"/>
      <c r="C51" s="227"/>
      <c r="D51" s="237" t="s">
        <v>415</v>
      </c>
      <c r="E51" s="265"/>
      <c r="F51" s="266" t="s">
        <v>416</v>
      </c>
      <c r="G51" s="246" t="s">
        <v>843</v>
      </c>
      <c r="H51" s="269"/>
      <c r="I51" s="270">
        <f>I47*I43</f>
        <v>2.1975684446675737E-2</v>
      </c>
    </row>
    <row r="52" spans="1:9" s="168" customFormat="1" ht="15.5">
      <c r="A52" s="228">
        <v>124</v>
      </c>
      <c r="B52" s="227"/>
      <c r="C52" s="227"/>
      <c r="D52" s="237" t="s">
        <v>417</v>
      </c>
      <c r="E52" s="247"/>
      <c r="F52" s="266" t="s">
        <v>405</v>
      </c>
      <c r="G52" s="246" t="s">
        <v>844</v>
      </c>
      <c r="H52" s="271"/>
      <c r="I52" s="270">
        <f>I48*I44</f>
        <v>0</v>
      </c>
    </row>
    <row r="53" spans="1:9" s="168" customFormat="1" ht="15.5">
      <c r="A53" s="228">
        <v>125</v>
      </c>
      <c r="B53" s="227"/>
      <c r="C53" s="227"/>
      <c r="D53" s="272" t="s">
        <v>418</v>
      </c>
      <c r="E53" s="273"/>
      <c r="F53" s="272" t="s">
        <v>389</v>
      </c>
      <c r="G53" s="240" t="s">
        <v>845</v>
      </c>
      <c r="H53" s="274"/>
      <c r="I53" s="275">
        <f>I49*I45</f>
        <v>5.7499999999999996E-2</v>
      </c>
    </row>
    <row r="54" spans="1:9" s="168" customFormat="1" ht="15.5">
      <c r="A54" s="236">
        <v>126</v>
      </c>
      <c r="B54" s="227"/>
      <c r="C54" s="227" t="s">
        <v>419</v>
      </c>
      <c r="D54" s="227"/>
      <c r="E54" s="276"/>
      <c r="F54" s="277"/>
      <c r="G54" s="587" t="s">
        <v>846</v>
      </c>
      <c r="H54" s="279"/>
      <c r="I54" s="280">
        <f>SUM(I51:I53)</f>
        <v>7.9475684446675729E-2</v>
      </c>
    </row>
    <row r="55" spans="1:9" s="168" customFormat="1" ht="15.5">
      <c r="A55" s="281"/>
      <c r="B55" s="227"/>
      <c r="C55" s="227"/>
      <c r="D55" s="227"/>
      <c r="E55" s="276"/>
      <c r="F55" s="277"/>
      <c r="G55" s="278"/>
      <c r="H55" s="279"/>
      <c r="I55" s="280"/>
    </row>
    <row r="56" spans="1:9" s="168" customFormat="1" ht="16" thickBot="1">
      <c r="A56" s="236">
        <v>127</v>
      </c>
      <c r="B56" s="227"/>
      <c r="C56" s="227" t="s">
        <v>420</v>
      </c>
      <c r="D56" s="227"/>
      <c r="E56" s="282"/>
      <c r="F56" s="283"/>
      <c r="G56" s="284" t="s">
        <v>847</v>
      </c>
      <c r="H56" s="285"/>
      <c r="I56" s="286">
        <f>+I54*I16</f>
        <v>92113292.763877675</v>
      </c>
    </row>
    <row r="57" spans="1:9" s="168" customFormat="1" ht="16" thickTop="1">
      <c r="A57" s="236"/>
      <c r="B57" s="236"/>
      <c r="C57" s="236"/>
      <c r="D57" s="247"/>
      <c r="E57" s="232"/>
      <c r="F57" s="220"/>
      <c r="G57" s="243"/>
      <c r="H57" s="243"/>
      <c r="I57" s="270"/>
    </row>
    <row r="58" spans="1:9" s="168" customFormat="1" ht="15.5">
      <c r="A58" s="287" t="s">
        <v>185</v>
      </c>
      <c r="B58" s="287"/>
      <c r="C58" s="288"/>
      <c r="D58" s="289"/>
      <c r="E58" s="290"/>
      <c r="F58" s="291"/>
      <c r="G58" s="225"/>
      <c r="H58" s="225"/>
      <c r="I58" s="292"/>
    </row>
    <row r="59" spans="1:9" s="168" customFormat="1" ht="15.5">
      <c r="A59" s="229"/>
      <c r="B59" s="229"/>
      <c r="C59" s="236"/>
      <c r="D59" s="293"/>
      <c r="E59" s="255"/>
      <c r="F59" s="294"/>
      <c r="G59" s="232"/>
      <c r="H59" s="232"/>
      <c r="I59" s="295"/>
    </row>
    <row r="60" spans="1:9" s="168" customFormat="1" ht="15.5">
      <c r="A60" s="1226" t="s">
        <v>86</v>
      </c>
      <c r="B60" s="1226"/>
      <c r="C60" s="519" t="s">
        <v>87</v>
      </c>
      <c r="D60" s="1224"/>
      <c r="E60" s="1224"/>
      <c r="F60" s="294"/>
      <c r="G60" s="1187"/>
      <c r="H60" s="296"/>
      <c r="I60" s="1224"/>
    </row>
    <row r="61" spans="1:9" s="168" customFormat="1" ht="15.5">
      <c r="A61" s="228">
        <f>'ATT H-1A'!A243</f>
        <v>128</v>
      </c>
      <c r="B61" s="1305"/>
      <c r="C61" s="1226"/>
      <c r="D61" s="1224" t="s">
        <v>186</v>
      </c>
      <c r="E61" s="1224"/>
      <c r="F61" s="513" t="s">
        <v>1742</v>
      </c>
      <c r="G61" s="1236"/>
      <c r="H61" s="1211"/>
      <c r="I61" s="1490">
        <f>+'ATT H-1A'!H243</f>
        <v>0.21</v>
      </c>
    </row>
    <row r="62" spans="1:9" s="168" customFormat="1" ht="15.5">
      <c r="A62" s="228">
        <f>'ATT H-1A'!A244</f>
        <v>129</v>
      </c>
      <c r="B62" s="1305"/>
      <c r="C62" s="1226"/>
      <c r="D62" s="1211" t="s">
        <v>187</v>
      </c>
      <c r="E62" s="1212"/>
      <c r="F62" s="513" t="s">
        <v>1742</v>
      </c>
      <c r="G62" s="1236"/>
      <c r="H62" s="1211"/>
      <c r="I62" s="1490">
        <f>+'ATT H-1A'!H244</f>
        <v>0.09</v>
      </c>
    </row>
    <row r="63" spans="1:9" s="168" customFormat="1" ht="15.5">
      <c r="A63" s="228">
        <f>'ATT H-1A'!A245</f>
        <v>130</v>
      </c>
      <c r="B63" s="1305"/>
      <c r="C63" s="1226"/>
      <c r="D63" s="1211" t="s">
        <v>481</v>
      </c>
      <c r="E63" s="1209" t="s">
        <v>1777</v>
      </c>
      <c r="F63" s="1305"/>
      <c r="G63" s="1236"/>
      <c r="H63" s="1211"/>
      <c r="I63" s="1490">
        <f>+'ATT H-1A'!H245</f>
        <v>0</v>
      </c>
    </row>
    <row r="64" spans="1:9" s="168" customFormat="1" ht="15.5">
      <c r="A64" s="228">
        <f>'ATT H-1A'!A246</f>
        <v>131</v>
      </c>
      <c r="B64" s="1305"/>
      <c r="C64" s="1226"/>
      <c r="D64" s="1211" t="s">
        <v>188</v>
      </c>
      <c r="E64" s="300" t="s">
        <v>189</v>
      </c>
      <c r="F64" s="1305"/>
      <c r="G64" s="1246"/>
      <c r="H64" s="1211"/>
      <c r="I64" s="1490">
        <f>+'ATT H-1A'!H246</f>
        <v>0.28109999999999991</v>
      </c>
    </row>
    <row r="65" spans="1:9" s="168" customFormat="1" ht="15.5">
      <c r="A65" s="228" t="str">
        <f>'ATT H-1A'!A247</f>
        <v>132a</v>
      </c>
      <c r="B65" s="1305"/>
      <c r="C65" s="1226"/>
      <c r="D65" s="1211" t="s">
        <v>190</v>
      </c>
      <c r="E65" s="1212"/>
      <c r="F65" s="1305"/>
      <c r="G65" s="1224"/>
      <c r="H65" s="1211"/>
      <c r="I65" s="1490">
        <f>+'ATT H-1A'!H247</f>
        <v>0.39101404924189714</v>
      </c>
    </row>
    <row r="66" spans="1:9" s="1246" customFormat="1" ht="15.5">
      <c r="A66" s="228" t="str">
        <f>'ATT H-1A'!A248</f>
        <v>132b</v>
      </c>
      <c r="B66" s="1305"/>
      <c r="D66" s="1246" t="s">
        <v>1221</v>
      </c>
      <c r="E66" s="1248" t="s">
        <v>1222</v>
      </c>
      <c r="F66" s="1305"/>
      <c r="I66" s="1213">
        <f>1*1/(1-I64)</f>
        <v>1.3910140492418972</v>
      </c>
    </row>
    <row r="67" spans="1:9" s="168" customFormat="1" ht="15.5">
      <c r="A67" s="228"/>
      <c r="B67" s="1226"/>
      <c r="C67" s="1226"/>
      <c r="D67" s="1224"/>
      <c r="E67" s="1224"/>
      <c r="F67" s="301"/>
      <c r="G67" s="300"/>
      <c r="H67" s="296"/>
      <c r="I67" s="302"/>
    </row>
    <row r="68" spans="1:9" s="168" customFormat="1" ht="15.5">
      <c r="A68" s="228"/>
      <c r="B68" s="1226"/>
      <c r="C68" s="519" t="s">
        <v>191</v>
      </c>
      <c r="D68" s="247"/>
      <c r="E68" s="1224"/>
      <c r="F68" s="513" t="s">
        <v>1743</v>
      </c>
      <c r="G68" s="1187"/>
      <c r="H68" s="296"/>
      <c r="I68" s="303"/>
    </row>
    <row r="69" spans="1:9" s="168" customFormat="1" ht="15.5">
      <c r="A69" s="228">
        <f>'ATT H-1A'!A251</f>
        <v>133</v>
      </c>
      <c r="B69" s="1305"/>
      <c r="C69" s="1226"/>
      <c r="D69" s="1246" t="s">
        <v>1244</v>
      </c>
      <c r="E69" s="1224"/>
      <c r="F69" s="264" t="s">
        <v>192</v>
      </c>
      <c r="G69" s="227" t="s">
        <v>1239</v>
      </c>
      <c r="H69" s="296"/>
      <c r="I69" s="439">
        <f>+'ATT H-1A'!H251</f>
        <v>-120057.435416026</v>
      </c>
    </row>
    <row r="70" spans="1:9" s="168" customFormat="1" ht="15.5">
      <c r="A70" s="228">
        <f>'ATT H-1A'!A252</f>
        <v>134</v>
      </c>
      <c r="B70" s="1305"/>
      <c r="C70" s="1226"/>
      <c r="D70" s="1246" t="s">
        <v>1245</v>
      </c>
      <c r="E70" s="1228"/>
      <c r="F70" s="306"/>
      <c r="G70" s="1229" t="str">
        <f>"(Line "&amp;A66&amp;")"</f>
        <v>(Line 132b)</v>
      </c>
      <c r="H70" s="1249"/>
      <c r="I70" s="1213">
        <f>+I66</f>
        <v>1.3910140492418972</v>
      </c>
    </row>
    <row r="71" spans="1:9" s="168" customFormat="1" ht="15.5">
      <c r="A71" s="228">
        <f>'ATT H-1A'!A253</f>
        <v>135</v>
      </c>
      <c r="B71" s="1305"/>
      <c r="C71" s="1226"/>
      <c r="D71" s="522" t="s">
        <v>194</v>
      </c>
      <c r="E71" s="256"/>
      <c r="F71" s="308"/>
      <c r="G71" s="1225" t="str">
        <f>"(Line "&amp;A69&amp;" * "&amp;A70&amp;")"</f>
        <v>(Line 133 * 134)</v>
      </c>
      <c r="H71" s="1491"/>
      <c r="I71" s="1237">
        <f>+I69*I70</f>
        <v>-167001.57937964387</v>
      </c>
    </row>
    <row r="72" spans="1:9" s="168" customFormat="1" ht="15.5">
      <c r="A72" s="228"/>
      <c r="B72" s="1226"/>
      <c r="C72" s="1226"/>
      <c r="D72" s="310"/>
      <c r="E72" s="1233"/>
      <c r="F72" s="1234"/>
      <c r="G72" s="1235"/>
      <c r="H72" s="1239"/>
      <c r="I72" s="1240"/>
    </row>
    <row r="73" spans="1:9" s="168" customFormat="1" ht="15.5">
      <c r="A73" s="1185"/>
      <c r="B73" s="248"/>
      <c r="C73" s="227" t="s">
        <v>1033</v>
      </c>
      <c r="D73" s="310"/>
      <c r="E73" s="1233"/>
      <c r="F73" s="1234"/>
      <c r="G73" s="1235"/>
      <c r="H73" s="1239"/>
      <c r="I73" s="1240"/>
    </row>
    <row r="74" spans="1:9" s="1246" customFormat="1" ht="15.5">
      <c r="A74" s="228" t="str">
        <f>'ATT H-1A'!A256</f>
        <v>136a</v>
      </c>
      <c r="C74" s="227"/>
      <c r="D74" s="1230" t="s">
        <v>1225</v>
      </c>
      <c r="F74" s="513" t="s">
        <v>1744</v>
      </c>
      <c r="G74" s="1236" t="str">
        <f>'ATT H-1A'!F256</f>
        <v>Attachment 5, Line 136a</v>
      </c>
      <c r="H74" s="1239"/>
      <c r="I74" s="1197">
        <f>'ATT H-1A'!H256</f>
        <v>79424.702612104767</v>
      </c>
    </row>
    <row r="75" spans="1:9" s="1246" customFormat="1" ht="15.5">
      <c r="A75" s="228" t="str">
        <f>'ATT H-1A'!A257</f>
        <v>136b</v>
      </c>
      <c r="C75" s="227"/>
      <c r="D75" s="1230" t="s">
        <v>1226</v>
      </c>
      <c r="F75" s="513" t="s">
        <v>1744</v>
      </c>
      <c r="G75" s="1236" t="str">
        <f>'ATT H-1A'!F257</f>
        <v>Attachment 5, Line 136b</v>
      </c>
      <c r="H75" s="1239"/>
      <c r="I75" s="1197">
        <f>'ATT H-1A'!H257</f>
        <v>-13268254.266331796</v>
      </c>
    </row>
    <row r="76" spans="1:9" s="1246" customFormat="1" ht="15.5">
      <c r="A76" s="228" t="str">
        <f>'ATT H-1A'!A258</f>
        <v>136c</v>
      </c>
      <c r="C76" s="227"/>
      <c r="D76" s="1230" t="s">
        <v>1228</v>
      </c>
      <c r="F76" s="513" t="s">
        <v>1744</v>
      </c>
      <c r="G76" s="1236" t="str">
        <f>'ATT H-1A'!F258</f>
        <v>Attachment 5, Line 136c</v>
      </c>
      <c r="H76" s="1239"/>
      <c r="I76" s="1197">
        <f>'ATT H-1A'!H258</f>
        <v>0</v>
      </c>
    </row>
    <row r="77" spans="1:9" s="168" customFormat="1" ht="15.5">
      <c r="A77" s="228" t="str">
        <f>'ATT H-1A'!A259</f>
        <v>136d</v>
      </c>
      <c r="B77" s="1246"/>
      <c r="C77" s="227"/>
      <c r="D77" s="1231" t="s">
        <v>1230</v>
      </c>
      <c r="E77" s="479"/>
      <c r="F77" s="480" t="s">
        <v>1744</v>
      </c>
      <c r="G77" s="1091" t="str">
        <f>'ATT H-1A'!F259</f>
        <v>Attachment 5, Line 136d</v>
      </c>
      <c r="H77" s="1242"/>
      <c r="I77" s="1493">
        <f>'ATT H-1A'!H259</f>
        <v>0</v>
      </c>
    </row>
    <row r="78" spans="1:9" s="1246" customFormat="1" ht="15.5">
      <c r="A78" s="228" t="str">
        <f>'ATT H-1A'!A260</f>
        <v>136e</v>
      </c>
      <c r="C78" s="227"/>
      <c r="D78" s="1230" t="s">
        <v>1232</v>
      </c>
      <c r="F78" s="513"/>
      <c r="G78" s="1225" t="str">
        <f>"(Line "&amp;A74&amp;" + "&amp;A75&amp;" + "&amp;A76&amp;" + "&amp;A77&amp;")"</f>
        <v>(Line 136a + 136b + 136c + 136d)</v>
      </c>
      <c r="H78" s="1239"/>
      <c r="I78" s="244">
        <f>SUM(I74:I77)</f>
        <v>-13188829.563719692</v>
      </c>
    </row>
    <row r="79" spans="1:9" s="168" customFormat="1" ht="15.5">
      <c r="A79" s="228" t="str">
        <f>'ATT H-1A'!A261</f>
        <v>136f</v>
      </c>
      <c r="B79" s="1226"/>
      <c r="C79" s="1246"/>
      <c r="D79" s="1232" t="s">
        <v>1245</v>
      </c>
      <c r="E79" s="1238"/>
      <c r="F79" s="474"/>
      <c r="G79" s="1229" t="str">
        <f>"(Line "&amp;A66&amp;")"</f>
        <v>(Line 132b)</v>
      </c>
      <c r="H79" s="1242"/>
      <c r="I79" s="1213">
        <f>I66</f>
        <v>1.3910140492418972</v>
      </c>
    </row>
    <row r="80" spans="1:9" s="168" customFormat="1" ht="15.5">
      <c r="A80" s="228" t="str">
        <f>'ATT H-1A'!A262</f>
        <v>136g</v>
      </c>
      <c r="B80" s="1226"/>
      <c r="C80" s="1246"/>
      <c r="D80" s="1230" t="s">
        <v>1033</v>
      </c>
      <c r="E80" s="1233" t="s">
        <v>86</v>
      </c>
      <c r="F80" s="1246"/>
      <c r="G80" s="1225" t="str">
        <f>"(Line "&amp;A78&amp;" * "&amp;A79&amp;")"</f>
        <v>(Line 136e * 136f)</v>
      </c>
      <c r="H80" s="1239"/>
      <c r="I80" s="1237">
        <f>+I78*I79</f>
        <v>-18345847.216190971</v>
      </c>
    </row>
    <row r="81" spans="1:9" s="168" customFormat="1" ht="15.5">
      <c r="A81" s="1226"/>
      <c r="B81" s="1226"/>
      <c r="C81" s="1226"/>
      <c r="D81" s="1224"/>
      <c r="E81" s="1224"/>
      <c r="F81" s="301"/>
      <c r="G81" s="300"/>
      <c r="H81" s="296"/>
      <c r="I81" s="1488"/>
    </row>
    <row r="82" spans="1:9" s="168" customFormat="1" ht="15.5">
      <c r="A82" s="228">
        <f>'ATT H-1A'!A264</f>
        <v>137</v>
      </c>
      <c r="B82" s="1305"/>
      <c r="C82" s="1246" t="s">
        <v>195</v>
      </c>
      <c r="D82" s="1246"/>
      <c r="E82" s="1224" t="s">
        <v>196</v>
      </c>
      <c r="F82" s="294"/>
      <c r="G82" s="1225" t="str">
        <f>"(Line "&amp;A65&amp;" * "&amp;A56&amp;" * (1-("&amp;A51&amp;" / "&amp;A54&amp;")))"</f>
        <v>(Line 132a * 127 * (1-(123 / 126)))</v>
      </c>
      <c r="H82" s="1224"/>
      <c r="I82" s="1489">
        <f>+I65*(1-I51/I54)*I56</f>
        <v>26058429.45542061</v>
      </c>
    </row>
    <row r="83" spans="1:9" s="168" customFormat="1" ht="15.5">
      <c r="A83" s="1226"/>
      <c r="B83" s="1226"/>
      <c r="C83" s="1226"/>
      <c r="D83" s="1230"/>
      <c r="E83" s="1233"/>
      <c r="F83" s="1247"/>
      <c r="G83" s="1236"/>
      <c r="H83" s="1239"/>
      <c r="I83" s="1492"/>
    </row>
    <row r="84" spans="1:9" s="168" customFormat="1" ht="16" thickBot="1">
      <c r="A84" s="228">
        <f>'ATT H-1A'!A266</f>
        <v>138</v>
      </c>
      <c r="B84" s="1305"/>
      <c r="C84" s="517" t="s">
        <v>197</v>
      </c>
      <c r="D84" s="316"/>
      <c r="E84" s="282"/>
      <c r="F84" s="317"/>
      <c r="G84" s="451" t="str">
        <f>"(Line "&amp;A71&amp;" + "&amp;A80&amp;" +"&amp;A82&amp;")"</f>
        <v>(Line 135 + 136g +137)</v>
      </c>
      <c r="H84" s="318"/>
      <c r="I84" s="1494">
        <f>+I82+I71+I80</f>
        <v>7545580.6598499939</v>
      </c>
    </row>
    <row r="85" spans="1:9" s="168" customFormat="1" ht="16" thickTop="1">
      <c r="A85" s="236"/>
      <c r="B85" s="236"/>
      <c r="C85" s="236"/>
      <c r="D85" s="300"/>
      <c r="E85" s="232"/>
      <c r="F85" s="220"/>
      <c r="G85" s="319"/>
      <c r="H85" s="320"/>
      <c r="I85" s="321"/>
    </row>
    <row r="86" spans="1:9" s="168" customFormat="1" ht="15.5"/>
    <row r="313" spans="1:6" ht="15.5">
      <c r="C313" s="8"/>
    </row>
    <row r="315" spans="1:6">
      <c r="A315" s="45"/>
      <c r="B315" s="45"/>
      <c r="C315" s="45"/>
      <c r="D315" s="45"/>
      <c r="E315" s="45"/>
      <c r="F315" s="45"/>
    </row>
    <row r="316" spans="1:6">
      <c r="A316" s="45"/>
      <c r="B316" s="45"/>
      <c r="C316" s="45"/>
      <c r="D316" s="45"/>
      <c r="E316" s="45"/>
      <c r="F316" s="45"/>
    </row>
    <row r="317" spans="1:6">
      <c r="A317" s="45"/>
      <c r="B317" s="45"/>
      <c r="C317" s="45"/>
      <c r="D317" s="45"/>
      <c r="E317" s="45"/>
      <c r="F317" s="45"/>
    </row>
    <row r="318" spans="1:6">
      <c r="A318" s="45"/>
      <c r="B318" s="45"/>
      <c r="C318" s="45"/>
      <c r="D318" s="45"/>
      <c r="E318" s="45"/>
      <c r="F318" s="45"/>
    </row>
    <row r="319" spans="1:6">
      <c r="A319" s="45"/>
      <c r="B319" s="45"/>
      <c r="C319" s="45"/>
      <c r="D319" s="45"/>
      <c r="E319" s="45"/>
      <c r="F319" s="45"/>
    </row>
    <row r="320" spans="1:6">
      <c r="A320" s="45"/>
      <c r="B320" s="45"/>
      <c r="C320" s="45"/>
      <c r="D320" s="45"/>
      <c r="E320" s="45"/>
      <c r="F320" s="45"/>
    </row>
    <row r="321" spans="1:6">
      <c r="A321" s="45"/>
      <c r="B321" s="45"/>
      <c r="C321" s="45"/>
      <c r="D321" s="45"/>
      <c r="E321" s="45"/>
      <c r="F321" s="45"/>
    </row>
    <row r="322" spans="1:6">
      <c r="A322" s="45"/>
      <c r="B322" s="45"/>
      <c r="C322" s="45"/>
      <c r="D322" s="45"/>
      <c r="E322" s="45"/>
      <c r="F322" s="45"/>
    </row>
    <row r="323" spans="1:6">
      <c r="A323" s="45"/>
      <c r="B323" s="45"/>
      <c r="C323" s="45"/>
      <c r="D323" s="45"/>
      <c r="E323" s="45"/>
      <c r="F323" s="4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290"/>
  <sheetViews>
    <sheetView topLeftCell="A183" zoomScale="82" zoomScaleNormal="82" zoomScaleSheetLayoutView="35" workbookViewId="0">
      <selection activeCell="J209" sqref="J209"/>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6.81640625" customWidth="1"/>
    <col min="22" max="22" width="15.179687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17" ht="21" customHeight="1">
      <c r="A1" s="46"/>
      <c r="B1" s="47"/>
      <c r="D1" s="48"/>
      <c r="E1" s="49"/>
      <c r="F1" s="50"/>
      <c r="G1" s="51" t="s">
        <v>1547</v>
      </c>
      <c r="H1" s="43"/>
      <c r="I1" s="43"/>
      <c r="J1" s="43"/>
      <c r="K1" s="43"/>
      <c r="L1" s="43"/>
      <c r="M1" s="43"/>
      <c r="N1" s="43"/>
      <c r="O1" s="43"/>
      <c r="P1" s="43"/>
      <c r="Q1" s="43"/>
    </row>
    <row r="2" spans="1:17" ht="21" customHeight="1">
      <c r="A2" s="52"/>
      <c r="B2" s="47"/>
      <c r="D2" s="48"/>
      <c r="E2" s="49"/>
      <c r="F2" s="50"/>
      <c r="H2" s="43"/>
      <c r="I2" s="43"/>
      <c r="J2" s="43"/>
      <c r="K2" s="43"/>
      <c r="L2" s="43"/>
      <c r="M2" s="43"/>
      <c r="N2" s="43"/>
      <c r="O2" s="43"/>
      <c r="P2" s="43"/>
      <c r="Q2" s="53"/>
    </row>
    <row r="3" spans="1:17" ht="21" customHeight="1">
      <c r="A3" s="52"/>
      <c r="B3" s="47"/>
      <c r="D3" s="48"/>
      <c r="E3" s="49"/>
      <c r="F3" s="50"/>
      <c r="G3" s="54" t="s">
        <v>48</v>
      </c>
      <c r="H3" s="43"/>
      <c r="I3" s="43"/>
      <c r="J3" s="43"/>
      <c r="K3" s="43"/>
      <c r="L3" s="43"/>
      <c r="M3" s="43"/>
      <c r="N3" s="43"/>
      <c r="O3" s="43"/>
      <c r="P3" s="43"/>
      <c r="Q3" s="53"/>
    </row>
    <row r="4" spans="1:17" ht="20.5" thickBot="1">
      <c r="A4" s="55" t="s">
        <v>49</v>
      </c>
      <c r="B4" s="47"/>
      <c r="D4" s="48"/>
      <c r="E4" s="49"/>
      <c r="F4" s="50"/>
      <c r="G4" s="43"/>
      <c r="H4" s="43"/>
      <c r="I4" s="43"/>
      <c r="J4" s="43"/>
      <c r="K4" s="43"/>
      <c r="L4" s="43"/>
      <c r="M4" s="43"/>
      <c r="N4" s="43"/>
      <c r="O4" s="43"/>
      <c r="P4" s="43"/>
      <c r="Q4" s="43"/>
    </row>
    <row r="5" spans="1:17" ht="39" customHeight="1">
      <c r="A5" s="1787" t="s">
        <v>50</v>
      </c>
      <c r="B5" s="1788"/>
      <c r="C5" s="1788"/>
      <c r="D5" s="1788"/>
      <c r="E5" s="1788"/>
      <c r="F5" s="1789"/>
      <c r="G5" s="56" t="s">
        <v>51</v>
      </c>
      <c r="H5" s="57" t="s">
        <v>52</v>
      </c>
      <c r="I5" s="57" t="s">
        <v>53</v>
      </c>
      <c r="J5" s="1792" t="s">
        <v>18</v>
      </c>
      <c r="K5" s="1820"/>
      <c r="L5" s="1820"/>
      <c r="M5" s="1820"/>
      <c r="N5" s="1820"/>
      <c r="O5" s="1820"/>
      <c r="P5" s="1820"/>
      <c r="Q5" s="1821"/>
    </row>
    <row r="6" spans="1:17" ht="15.5">
      <c r="A6" s="58"/>
      <c r="B6" s="59" t="s">
        <v>54</v>
      </c>
      <c r="C6" s="48"/>
      <c r="D6" s="60"/>
      <c r="E6" s="61"/>
      <c r="F6" s="62"/>
      <c r="G6" s="21"/>
      <c r="H6" s="20"/>
      <c r="I6" s="20"/>
      <c r="J6" s="1848"/>
      <c r="K6" s="1833"/>
      <c r="L6" s="1833"/>
      <c r="M6" s="1833"/>
      <c r="N6" s="1833"/>
      <c r="O6" s="1833"/>
      <c r="P6" s="1833"/>
      <c r="Q6" s="1834"/>
    </row>
    <row r="7" spans="1:17" ht="15.5">
      <c r="A7" s="63">
        <v>10</v>
      </c>
      <c r="B7" s="60"/>
      <c r="C7" s="64" t="s">
        <v>146</v>
      </c>
      <c r="D7" s="48"/>
      <c r="E7" s="65" t="s">
        <v>814</v>
      </c>
      <c r="F7" s="71" t="s">
        <v>985</v>
      </c>
      <c r="G7" s="1031">
        <f>+'9 - Rate Base'!I23</f>
        <v>46137994.502524994</v>
      </c>
      <c r="H7" s="1179">
        <f>+G7</f>
        <v>46137994.502524994</v>
      </c>
      <c r="I7" s="68">
        <v>0</v>
      </c>
      <c r="J7" s="1849" t="s">
        <v>55</v>
      </c>
      <c r="K7" s="1850"/>
      <c r="L7" s="1850"/>
      <c r="M7" s="1850"/>
      <c r="N7" s="1850"/>
      <c r="O7" s="1850"/>
      <c r="P7" s="1850"/>
      <c r="Q7" s="1797"/>
    </row>
    <row r="8" spans="1:17" ht="15.5">
      <c r="A8" s="63">
        <v>11</v>
      </c>
      <c r="B8" s="60"/>
      <c r="C8" s="64" t="s">
        <v>291</v>
      </c>
      <c r="D8" s="48"/>
      <c r="E8" s="65" t="s">
        <v>814</v>
      </c>
      <c r="F8" s="71" t="s">
        <v>986</v>
      </c>
      <c r="G8" s="69">
        <v>0</v>
      </c>
      <c r="H8" s="68">
        <v>0</v>
      </c>
      <c r="I8" s="68">
        <v>0</v>
      </c>
      <c r="J8" s="1849"/>
      <c r="K8" s="1850"/>
      <c r="L8" s="1850"/>
      <c r="M8" s="1850"/>
      <c r="N8" s="1850"/>
      <c r="O8" s="1850"/>
      <c r="P8" s="1850"/>
      <c r="Q8" s="1797"/>
    </row>
    <row r="9" spans="1:17" ht="15.5">
      <c r="A9" s="63">
        <v>12</v>
      </c>
      <c r="B9" s="48"/>
      <c r="C9" s="64" t="s">
        <v>293</v>
      </c>
      <c r="D9" s="48"/>
      <c r="E9" s="65" t="s">
        <v>814</v>
      </c>
      <c r="F9" s="71" t="s">
        <v>987</v>
      </c>
      <c r="G9" s="69">
        <v>0</v>
      </c>
      <c r="H9" s="68">
        <v>0</v>
      </c>
      <c r="I9" s="68">
        <v>0</v>
      </c>
      <c r="J9" s="1849"/>
      <c r="K9" s="1850"/>
      <c r="L9" s="1850"/>
      <c r="M9" s="1850"/>
      <c r="N9" s="1850"/>
      <c r="O9" s="1850"/>
      <c r="P9" s="1850"/>
      <c r="Q9" s="1797"/>
    </row>
    <row r="10" spans="1:17" ht="15.5">
      <c r="A10" s="58"/>
      <c r="B10" s="59" t="s">
        <v>56</v>
      </c>
      <c r="C10" s="48"/>
      <c r="D10" s="48"/>
      <c r="E10" s="70"/>
      <c r="F10" s="71"/>
      <c r="G10" s="21"/>
      <c r="H10" s="20"/>
      <c r="I10" s="20"/>
      <c r="J10" s="72"/>
      <c r="K10" s="73"/>
      <c r="L10" s="73"/>
      <c r="M10" s="73"/>
      <c r="N10" s="73"/>
      <c r="O10" s="73"/>
      <c r="P10" s="73"/>
      <c r="Q10" s="74"/>
    </row>
    <row r="11" spans="1:17" ht="15.5">
      <c r="A11" s="63">
        <v>24</v>
      </c>
      <c r="B11" s="47"/>
      <c r="C11" s="64" t="s">
        <v>303</v>
      </c>
      <c r="D11" s="48"/>
      <c r="E11" s="65" t="s">
        <v>820</v>
      </c>
      <c r="F11" s="71" t="s">
        <v>988</v>
      </c>
      <c r="G11" s="69">
        <v>0</v>
      </c>
      <c r="H11" s="68">
        <v>0</v>
      </c>
      <c r="I11" s="68">
        <v>0</v>
      </c>
      <c r="J11" s="1849"/>
      <c r="K11" s="1850"/>
      <c r="L11" s="1850"/>
      <c r="M11" s="1850"/>
      <c r="N11" s="1850"/>
      <c r="O11" s="1850"/>
      <c r="P11" s="1850"/>
      <c r="Q11" s="1797"/>
    </row>
    <row r="12" spans="1:17" ht="15.5">
      <c r="A12" s="75"/>
      <c r="B12" s="76" t="s">
        <v>57</v>
      </c>
      <c r="C12" s="77"/>
      <c r="D12" s="78"/>
      <c r="E12" s="79"/>
      <c r="F12" s="80"/>
      <c r="G12" s="21"/>
      <c r="H12" s="20"/>
      <c r="I12" s="20"/>
      <c r="J12" s="72"/>
      <c r="K12" s="73"/>
      <c r="L12" s="73"/>
      <c r="M12" s="73"/>
      <c r="N12" s="73"/>
      <c r="O12" s="73"/>
      <c r="P12" s="73"/>
      <c r="Q12" s="74"/>
    </row>
    <row r="13" spans="1:17" ht="15.5">
      <c r="A13" s="63">
        <v>41</v>
      </c>
      <c r="B13" s="78"/>
      <c r="C13" s="64" t="s">
        <v>316</v>
      </c>
      <c r="D13" s="81"/>
      <c r="E13" s="65" t="s">
        <v>822</v>
      </c>
      <c r="F13" s="71" t="s">
        <v>983</v>
      </c>
      <c r="G13" s="82">
        <f>-'1B - ADIT EOY'!E283</f>
        <v>2391978.7880757456</v>
      </c>
      <c r="H13" s="67">
        <f>+G13</f>
        <v>2391978.7880757456</v>
      </c>
      <c r="I13" s="68">
        <v>0</v>
      </c>
      <c r="J13" s="1849" t="s">
        <v>55</v>
      </c>
      <c r="K13" s="1850"/>
      <c r="L13" s="1850"/>
      <c r="M13" s="1850"/>
      <c r="N13" s="1850"/>
      <c r="O13" s="1850"/>
      <c r="P13" s="1850"/>
      <c r="Q13" s="1797"/>
    </row>
    <row r="14" spans="1:17" ht="15.5">
      <c r="A14" s="63"/>
      <c r="B14" s="76" t="s">
        <v>58</v>
      </c>
      <c r="C14" s="83"/>
      <c r="D14" s="78"/>
      <c r="E14" s="84"/>
      <c r="F14" s="85"/>
      <c r="G14" s="21"/>
      <c r="H14" s="20"/>
      <c r="I14" s="20"/>
      <c r="J14" s="72"/>
      <c r="K14" s="73"/>
      <c r="L14" s="73"/>
      <c r="M14" s="73"/>
      <c r="N14" s="73"/>
      <c r="O14" s="73"/>
      <c r="P14" s="73"/>
      <c r="Q14" s="74"/>
    </row>
    <row r="15" spans="1:17" ht="15.75" customHeight="1">
      <c r="A15" s="75">
        <v>47</v>
      </c>
      <c r="B15" s="78"/>
      <c r="C15" s="83" t="s">
        <v>325</v>
      </c>
      <c r="D15" s="86"/>
      <c r="E15" s="84" t="s">
        <v>814</v>
      </c>
      <c r="F15" s="87" t="s">
        <v>989</v>
      </c>
      <c r="G15" s="66">
        <v>0</v>
      </c>
      <c r="H15" s="67">
        <v>0</v>
      </c>
      <c r="I15" s="68">
        <v>0</v>
      </c>
      <c r="J15" s="1849" t="s">
        <v>55</v>
      </c>
      <c r="K15" s="1850"/>
      <c r="L15" s="1850"/>
      <c r="M15" s="1850"/>
      <c r="N15" s="1850"/>
      <c r="O15" s="1850"/>
      <c r="P15" s="1850"/>
      <c r="Q15" s="1797"/>
    </row>
    <row r="16" spans="1:17" ht="15.5">
      <c r="A16" s="63"/>
      <c r="B16" s="59" t="s">
        <v>59</v>
      </c>
      <c r="C16" s="83"/>
      <c r="D16" s="86"/>
      <c r="E16" s="70"/>
      <c r="F16" s="87"/>
      <c r="G16" s="21"/>
      <c r="H16" s="20"/>
      <c r="I16" s="20"/>
      <c r="J16" s="72"/>
      <c r="K16" s="73"/>
      <c r="L16" s="73"/>
      <c r="M16" s="73"/>
      <c r="N16" s="73"/>
      <c r="O16" s="73"/>
      <c r="P16" s="73"/>
      <c r="Q16" s="74"/>
    </row>
    <row r="17" spans="1:17" ht="15.5">
      <c r="A17" s="63">
        <v>65</v>
      </c>
      <c r="B17" s="59"/>
      <c r="C17" s="64" t="s">
        <v>347</v>
      </c>
      <c r="D17" s="86"/>
      <c r="E17" s="65" t="s">
        <v>814</v>
      </c>
      <c r="F17" s="71" t="s">
        <v>348</v>
      </c>
      <c r="G17" s="18"/>
      <c r="H17" s="20"/>
      <c r="I17" s="20"/>
      <c r="J17" s="1162"/>
      <c r="K17" s="1163"/>
      <c r="L17" s="1163"/>
      <c r="M17" s="1163"/>
      <c r="N17" s="1163"/>
      <c r="O17" s="1163"/>
      <c r="P17" s="1163"/>
      <c r="Q17" s="74"/>
    </row>
    <row r="18" spans="1:17" ht="16" thickBot="1">
      <c r="A18" s="93">
        <v>67</v>
      </c>
      <c r="B18" s="119"/>
      <c r="C18" s="95" t="s">
        <v>349</v>
      </c>
      <c r="D18" s="96"/>
      <c r="E18" s="97" t="s">
        <v>814</v>
      </c>
      <c r="F18" s="1164" t="s">
        <v>292</v>
      </c>
      <c r="G18" s="98">
        <v>0</v>
      </c>
      <c r="H18" s="99">
        <v>0</v>
      </c>
      <c r="I18" s="99">
        <v>0</v>
      </c>
      <c r="J18" s="1851"/>
      <c r="K18" s="1852"/>
      <c r="L18" s="1852"/>
      <c r="M18" s="1852"/>
      <c r="N18" s="1852"/>
      <c r="O18" s="1852"/>
      <c r="P18" s="1852"/>
      <c r="Q18" s="1853"/>
    </row>
    <row r="19" spans="1:17">
      <c r="G19" s="43"/>
      <c r="H19" s="43"/>
      <c r="I19" s="43"/>
      <c r="J19" s="43"/>
      <c r="K19" s="43"/>
      <c r="L19" s="43"/>
      <c r="M19" s="43"/>
      <c r="N19" s="43"/>
      <c r="O19" s="43"/>
      <c r="P19" s="43"/>
      <c r="Q19" s="43"/>
    </row>
    <row r="20" spans="1:17">
      <c r="G20" s="43"/>
      <c r="H20" s="43"/>
      <c r="I20" s="43"/>
      <c r="J20" s="43"/>
      <c r="K20" s="43"/>
      <c r="L20" s="43"/>
      <c r="M20" s="43"/>
      <c r="N20" s="43"/>
      <c r="O20" s="43"/>
      <c r="P20" s="43"/>
      <c r="Q20" s="43"/>
    </row>
    <row r="21" spans="1:17" ht="20.5" thickBot="1">
      <c r="A21" s="55" t="s">
        <v>61</v>
      </c>
      <c r="G21" s="43"/>
      <c r="H21" s="43"/>
      <c r="I21" s="43"/>
      <c r="J21" s="43"/>
      <c r="K21" s="43"/>
      <c r="L21" s="43"/>
      <c r="M21" s="43"/>
      <c r="N21" s="43"/>
      <c r="O21" s="43"/>
      <c r="P21" s="43"/>
      <c r="Q21" s="43"/>
    </row>
    <row r="22" spans="1:17" ht="50.25" customHeight="1">
      <c r="A22" s="1787" t="s">
        <v>50</v>
      </c>
      <c r="B22" s="1788"/>
      <c r="C22" s="1788"/>
      <c r="D22" s="1788"/>
      <c r="E22" s="1788"/>
      <c r="F22" s="1789"/>
      <c r="G22" s="57" t="s">
        <v>51</v>
      </c>
      <c r="H22" s="57" t="s">
        <v>62</v>
      </c>
      <c r="I22" s="57" t="s">
        <v>63</v>
      </c>
      <c r="J22" s="1792" t="s">
        <v>18</v>
      </c>
      <c r="K22" s="1820"/>
      <c r="L22" s="1820"/>
      <c r="M22" s="1820"/>
      <c r="N22" s="1820"/>
      <c r="O22" s="1820"/>
      <c r="P22" s="1820"/>
      <c r="Q22" s="1821"/>
    </row>
    <row r="23" spans="1:17" ht="33.75" customHeight="1">
      <c r="A23" s="63">
        <v>28</v>
      </c>
      <c r="B23" s="88"/>
      <c r="C23" s="76" t="s">
        <v>307</v>
      </c>
      <c r="D23" s="100"/>
      <c r="E23" s="65" t="s">
        <v>67</v>
      </c>
      <c r="F23" s="109" t="s">
        <v>990</v>
      </c>
      <c r="G23" s="1183">
        <v>13262694</v>
      </c>
      <c r="H23" s="1179">
        <v>782029</v>
      </c>
      <c r="I23" s="1179">
        <f>+G23-H23</f>
        <v>12480665</v>
      </c>
      <c r="J23" s="1833" t="s">
        <v>64</v>
      </c>
      <c r="K23" s="1833"/>
      <c r="L23" s="1833"/>
      <c r="M23" s="1833"/>
      <c r="N23" s="1833"/>
      <c r="O23" s="1833"/>
      <c r="P23" s="1833"/>
      <c r="Q23" s="1834"/>
    </row>
    <row r="24" spans="1:17" ht="15.75" customHeight="1">
      <c r="A24" s="63"/>
      <c r="B24" s="59" t="s">
        <v>65</v>
      </c>
      <c r="C24" s="78"/>
      <c r="D24" s="86"/>
      <c r="E24" s="102"/>
      <c r="F24" s="80"/>
      <c r="G24" s="31"/>
      <c r="H24" s="31"/>
      <c r="I24" s="31"/>
      <c r="J24" s="1825"/>
      <c r="K24" s="1833"/>
      <c r="L24" s="1833"/>
      <c r="M24" s="1833"/>
      <c r="N24" s="1833"/>
      <c r="O24" s="1833"/>
      <c r="P24" s="1833"/>
      <c r="Q24" s="1834"/>
    </row>
    <row r="25" spans="1:17" ht="15.5">
      <c r="A25" s="63"/>
      <c r="B25" s="92"/>
      <c r="C25" s="64"/>
      <c r="D25" s="86"/>
      <c r="E25" s="65"/>
      <c r="F25" s="101"/>
      <c r="G25" s="20"/>
      <c r="H25" s="103"/>
      <c r="I25" s="20"/>
      <c r="J25" s="20">
        <v>1</v>
      </c>
      <c r="K25" s="20"/>
      <c r="L25" s="20"/>
      <c r="M25" s="20"/>
      <c r="N25" s="20"/>
      <c r="O25" s="20"/>
      <c r="P25" s="20"/>
      <c r="Q25" s="22"/>
    </row>
    <row r="26" spans="1:17" ht="15.5">
      <c r="A26" s="63"/>
      <c r="B26" s="92"/>
      <c r="C26" s="64"/>
      <c r="D26" s="86"/>
      <c r="E26" s="65"/>
      <c r="F26" s="101"/>
      <c r="G26" s="20"/>
      <c r="H26" s="40"/>
      <c r="I26" s="20"/>
      <c r="J26" s="20">
        <v>2</v>
      </c>
      <c r="K26" s="20"/>
      <c r="L26" s="20"/>
      <c r="M26" s="20"/>
      <c r="N26" s="20"/>
      <c r="O26" s="20"/>
      <c r="P26" s="20"/>
      <c r="Q26" s="22"/>
    </row>
    <row r="27" spans="1:17" ht="15.5">
      <c r="A27" s="63"/>
      <c r="B27" s="92"/>
      <c r="C27" s="64"/>
      <c r="D27" s="86"/>
      <c r="E27" s="65"/>
      <c r="F27" s="101"/>
      <c r="G27" s="20"/>
      <c r="H27" s="40"/>
      <c r="I27" s="20"/>
      <c r="J27" s="20">
        <v>3</v>
      </c>
      <c r="K27" s="20"/>
      <c r="L27" s="20"/>
      <c r="M27" s="20"/>
      <c r="N27" s="20"/>
      <c r="O27" s="20"/>
      <c r="P27" s="20"/>
      <c r="Q27" s="22"/>
    </row>
    <row r="28" spans="1:17" ht="15.5">
      <c r="A28" s="63"/>
      <c r="B28" s="92"/>
      <c r="C28" s="64"/>
      <c r="D28" s="86"/>
      <c r="E28" s="65"/>
      <c r="F28" s="101"/>
      <c r="G28" s="20"/>
      <c r="H28" s="40"/>
      <c r="I28" s="20"/>
      <c r="J28" s="20">
        <v>4</v>
      </c>
      <c r="K28" s="20"/>
      <c r="L28" s="20"/>
      <c r="M28" s="20"/>
      <c r="N28" s="20"/>
      <c r="O28" s="20"/>
      <c r="P28" s="20"/>
      <c r="Q28" s="22"/>
    </row>
    <row r="29" spans="1:17" ht="15" thickBot="1">
      <c r="A29" s="104"/>
      <c r="B29" s="105"/>
      <c r="C29" s="105"/>
      <c r="D29" s="106"/>
      <c r="E29" s="105"/>
      <c r="F29" s="107"/>
      <c r="G29" s="38"/>
      <c r="H29" s="108"/>
      <c r="I29" s="38"/>
      <c r="J29" s="38">
        <v>5</v>
      </c>
      <c r="K29" s="38"/>
      <c r="L29" s="38"/>
      <c r="M29" s="38"/>
      <c r="N29" s="38"/>
      <c r="O29" s="38"/>
      <c r="P29" s="38"/>
      <c r="Q29" s="39"/>
    </row>
    <row r="30" spans="1:17" ht="20">
      <c r="A30" s="55" t="s">
        <v>69</v>
      </c>
      <c r="G30" s="43"/>
      <c r="H30" s="43"/>
      <c r="I30" s="43"/>
      <c r="J30" s="43"/>
      <c r="K30" s="43"/>
      <c r="L30" s="43"/>
      <c r="M30" s="43"/>
      <c r="N30" s="43"/>
      <c r="O30" s="43"/>
      <c r="P30" s="43"/>
      <c r="Q30" s="43"/>
    </row>
    <row r="31" spans="1:17" ht="61.5" customHeight="1">
      <c r="A31" s="1787" t="s">
        <v>50</v>
      </c>
      <c r="B31" s="1788"/>
      <c r="C31" s="1788"/>
      <c r="D31" s="1788"/>
      <c r="E31" s="1788"/>
      <c r="F31" s="1789"/>
      <c r="G31" s="57" t="s">
        <v>51</v>
      </c>
      <c r="H31" s="57" t="s">
        <v>70</v>
      </c>
      <c r="I31" s="57" t="s">
        <v>71</v>
      </c>
      <c r="J31" s="1792" t="s">
        <v>18</v>
      </c>
      <c r="K31" s="1820"/>
      <c r="L31" s="1820"/>
      <c r="M31" s="1820"/>
      <c r="N31" s="1820"/>
      <c r="O31" s="1820"/>
      <c r="P31" s="1820"/>
      <c r="Q31" s="1821"/>
    </row>
    <row r="32" spans="1:17" ht="15.5">
      <c r="A32" s="58"/>
      <c r="B32" s="59" t="s">
        <v>54</v>
      </c>
      <c r="C32" s="77"/>
      <c r="D32" s="60"/>
      <c r="E32" s="61"/>
      <c r="F32" s="62"/>
      <c r="G32" s="20"/>
      <c r="H32" s="20"/>
      <c r="I32" s="20"/>
      <c r="J32" s="1825"/>
      <c r="K32" s="1833"/>
      <c r="L32" s="1833"/>
      <c r="M32" s="1833"/>
      <c r="N32" s="1833"/>
      <c r="O32" s="1833"/>
      <c r="P32" s="1833"/>
      <c r="Q32" s="1834"/>
    </row>
    <row r="33" spans="1:19" ht="15.75" customHeight="1">
      <c r="A33" s="63">
        <v>6</v>
      </c>
      <c r="B33" s="60"/>
      <c r="C33" s="64" t="s">
        <v>144</v>
      </c>
      <c r="D33" s="48"/>
      <c r="E33" s="65" t="s">
        <v>321</v>
      </c>
      <c r="F33" s="101" t="s">
        <v>984</v>
      </c>
      <c r="G33" s="1031">
        <f>+'9A - Gross Plant &amp; ARO'!C23</f>
        <v>4894815818.922617</v>
      </c>
      <c r="H33" s="23">
        <v>0</v>
      </c>
      <c r="I33" s="68">
        <v>0</v>
      </c>
      <c r="J33" s="1833"/>
      <c r="K33" s="1833"/>
      <c r="L33" s="1833"/>
      <c r="M33" s="1833"/>
      <c r="N33" s="1833"/>
      <c r="O33" s="1833"/>
      <c r="P33" s="1833"/>
      <c r="Q33" s="1834"/>
    </row>
    <row r="34" spans="1:19" ht="15.5">
      <c r="A34" s="58"/>
      <c r="B34" s="59" t="s">
        <v>56</v>
      </c>
      <c r="C34" s="77"/>
      <c r="D34" s="48"/>
      <c r="E34" s="70"/>
      <c r="F34" s="109"/>
      <c r="G34" s="1181"/>
      <c r="H34" s="20"/>
      <c r="I34" s="20"/>
      <c r="J34" s="1833"/>
      <c r="K34" s="1833"/>
      <c r="L34" s="1833"/>
      <c r="M34" s="1833"/>
      <c r="N34" s="1833"/>
      <c r="O34" s="1833"/>
      <c r="P34" s="1833"/>
      <c r="Q34" s="1834"/>
    </row>
    <row r="35" spans="1:19" ht="15.5">
      <c r="A35" s="63">
        <v>19</v>
      </c>
      <c r="B35" s="47"/>
      <c r="C35" s="64" t="s">
        <v>300</v>
      </c>
      <c r="D35" s="48"/>
      <c r="E35" s="65" t="s">
        <v>321</v>
      </c>
      <c r="F35" s="109" t="s">
        <v>991</v>
      </c>
      <c r="G35" s="1031">
        <f>+'9 - Rate Base'!C23</f>
        <v>1814406369.3380103</v>
      </c>
      <c r="H35" s="23">
        <v>0</v>
      </c>
      <c r="I35" s="23">
        <v>0</v>
      </c>
      <c r="J35" s="1833" t="s">
        <v>72</v>
      </c>
      <c r="K35" s="1833"/>
      <c r="L35" s="1833"/>
      <c r="M35" s="1833"/>
      <c r="N35" s="1833"/>
      <c r="O35" s="1833"/>
      <c r="P35" s="1833"/>
      <c r="Q35" s="1834"/>
    </row>
    <row r="36" spans="1:19" ht="15.5">
      <c r="A36" s="58">
        <v>24</v>
      </c>
      <c r="B36" s="60"/>
      <c r="C36" s="77" t="s">
        <v>303</v>
      </c>
      <c r="D36" s="60"/>
      <c r="E36" s="90" t="s">
        <v>820</v>
      </c>
      <c r="F36" s="113" t="s">
        <v>788</v>
      </c>
      <c r="G36" s="180">
        <v>0</v>
      </c>
      <c r="H36" s="23">
        <v>0</v>
      </c>
      <c r="I36" s="23">
        <v>0</v>
      </c>
      <c r="J36" s="1833"/>
      <c r="K36" s="1833"/>
      <c r="L36" s="1833"/>
      <c r="M36" s="1833"/>
      <c r="N36" s="1833"/>
      <c r="O36" s="1833"/>
      <c r="P36" s="1833"/>
      <c r="Q36" s="1834"/>
    </row>
    <row r="37" spans="1:19" ht="15.5">
      <c r="A37" s="63"/>
      <c r="B37" s="59" t="s">
        <v>73</v>
      </c>
      <c r="C37" s="76"/>
      <c r="D37" s="111"/>
      <c r="E37" s="112"/>
      <c r="F37" s="113"/>
      <c r="G37" s="31"/>
      <c r="H37" s="20"/>
      <c r="I37" s="20"/>
      <c r="J37" s="20"/>
      <c r="K37" s="20"/>
      <c r="L37" s="20"/>
      <c r="M37" s="20"/>
      <c r="N37" s="20"/>
      <c r="O37" s="20"/>
      <c r="P37" s="20"/>
      <c r="Q37" s="22"/>
    </row>
    <row r="38" spans="1:19" ht="16" thickBot="1">
      <c r="A38" s="93">
        <v>30</v>
      </c>
      <c r="B38" s="114"/>
      <c r="C38" s="95" t="s">
        <v>309</v>
      </c>
      <c r="D38" s="115"/>
      <c r="E38" s="97" t="s">
        <v>321</v>
      </c>
      <c r="F38" s="580" t="s">
        <v>992</v>
      </c>
      <c r="G38" s="1182">
        <f>+'9 - Rate Base'!F23</f>
        <v>328049634.69160604</v>
      </c>
      <c r="H38" s="117">
        <v>0</v>
      </c>
      <c r="I38" s="117">
        <v>0</v>
      </c>
      <c r="J38" s="1818" t="s">
        <v>72</v>
      </c>
      <c r="K38" s="1818"/>
      <c r="L38" s="1818"/>
      <c r="M38" s="1818"/>
      <c r="N38" s="1818"/>
      <c r="O38" s="1818"/>
      <c r="P38" s="1818"/>
      <c r="Q38" s="1819"/>
    </row>
    <row r="39" spans="1:19">
      <c r="G39" s="43"/>
      <c r="H39" s="43"/>
      <c r="I39" s="43"/>
      <c r="J39" s="43"/>
      <c r="K39" s="43"/>
      <c r="L39" s="43"/>
      <c r="M39" s="43"/>
      <c r="N39" s="43"/>
      <c r="O39" s="43"/>
      <c r="P39" s="43"/>
      <c r="Q39" s="43"/>
    </row>
    <row r="40" spans="1:19">
      <c r="G40" s="43"/>
      <c r="H40" s="43"/>
      <c r="I40" s="43"/>
      <c r="J40" s="43"/>
      <c r="K40" s="43"/>
      <c r="L40" s="43"/>
      <c r="M40" s="43"/>
      <c r="N40" s="43"/>
      <c r="O40" s="43"/>
      <c r="P40" s="43"/>
      <c r="Q40" s="43"/>
    </row>
    <row r="41" spans="1:19" ht="20.5" thickBot="1">
      <c r="A41" s="55" t="s">
        <v>74</v>
      </c>
      <c r="G41" s="43"/>
      <c r="H41" s="43"/>
      <c r="I41" s="43"/>
      <c r="J41" s="43"/>
      <c r="K41" s="43"/>
      <c r="L41" s="43"/>
      <c r="M41" s="43"/>
      <c r="N41" s="43"/>
      <c r="O41" s="43"/>
      <c r="P41" s="43"/>
      <c r="Q41" s="43"/>
      <c r="S41" s="963"/>
    </row>
    <row r="42" spans="1:19" ht="18">
      <c r="A42" s="1787" t="s">
        <v>50</v>
      </c>
      <c r="B42" s="1788"/>
      <c r="C42" s="1788"/>
      <c r="D42" s="1788"/>
      <c r="E42" s="1788"/>
      <c r="F42" s="1789"/>
      <c r="G42" s="57" t="s">
        <v>51</v>
      </c>
      <c r="H42" s="57" t="s">
        <v>75</v>
      </c>
      <c r="I42" s="57"/>
      <c r="J42" s="1792" t="s">
        <v>18</v>
      </c>
      <c r="K42" s="1820"/>
      <c r="L42" s="1820"/>
      <c r="M42" s="1820"/>
      <c r="N42" s="1820"/>
      <c r="O42" s="1820"/>
      <c r="P42" s="1820"/>
      <c r="Q42" s="1821"/>
    </row>
    <row r="43" spans="1:19" ht="15.5">
      <c r="A43" s="63"/>
      <c r="B43" s="59" t="s">
        <v>59</v>
      </c>
      <c r="C43" s="86"/>
      <c r="D43" s="86"/>
      <c r="E43" s="118"/>
      <c r="F43" s="87"/>
      <c r="G43" s="20"/>
      <c r="H43" s="20"/>
      <c r="I43" s="20"/>
      <c r="J43" s="1825"/>
      <c r="K43" s="1833"/>
      <c r="L43" s="1833"/>
      <c r="M43" s="1833"/>
      <c r="N43" s="1833"/>
      <c r="O43" s="1833"/>
      <c r="P43" s="1833"/>
      <c r="Q43" s="1834"/>
    </row>
    <row r="44" spans="1:19" ht="15.5">
      <c r="A44" s="93">
        <v>73</v>
      </c>
      <c r="B44" s="119"/>
      <c r="C44" s="95" t="s">
        <v>360</v>
      </c>
      <c r="D44" s="120"/>
      <c r="E44" s="97" t="s">
        <v>828</v>
      </c>
      <c r="F44" s="580" t="s">
        <v>361</v>
      </c>
      <c r="G44" s="1177">
        <f>224463+41871</f>
        <v>266334</v>
      </c>
      <c r="H44" s="1165">
        <f>+G44</f>
        <v>266334</v>
      </c>
      <c r="I44" s="117"/>
      <c r="J44" s="1818" t="s">
        <v>72</v>
      </c>
      <c r="K44" s="1818"/>
      <c r="L44" s="1818"/>
      <c r="M44" s="1818"/>
      <c r="N44" s="1818"/>
      <c r="O44" s="1818"/>
      <c r="P44" s="1818"/>
      <c r="Q44" s="1819"/>
    </row>
    <row r="45" spans="1:19">
      <c r="G45" s="43"/>
      <c r="H45" s="43"/>
      <c r="I45" s="43"/>
      <c r="J45" s="43"/>
      <c r="K45" s="43"/>
      <c r="L45" s="43"/>
      <c r="M45" s="43"/>
      <c r="N45" s="43"/>
      <c r="O45" s="43"/>
      <c r="P45" s="43"/>
      <c r="Q45" s="43"/>
    </row>
    <row r="46" spans="1:19">
      <c r="G46" s="43"/>
      <c r="H46" s="43"/>
      <c r="I46" s="43"/>
      <c r="J46" s="43"/>
      <c r="K46" s="43"/>
      <c r="L46" s="43"/>
      <c r="M46" s="43"/>
      <c r="N46" s="43"/>
      <c r="O46" s="43"/>
      <c r="P46" s="43"/>
      <c r="Q46" s="43"/>
    </row>
    <row r="47" spans="1:19" ht="20.5" thickBot="1">
      <c r="A47" s="55" t="s">
        <v>76</v>
      </c>
      <c r="G47" s="43"/>
      <c r="H47" s="43"/>
      <c r="I47" s="43"/>
      <c r="J47" s="43"/>
      <c r="K47" s="43"/>
      <c r="L47" s="43"/>
      <c r="M47" s="43"/>
      <c r="N47" s="43"/>
      <c r="O47" s="43"/>
      <c r="P47" s="43"/>
      <c r="Q47" s="43"/>
    </row>
    <row r="48" spans="1:19" ht="51" customHeight="1">
      <c r="A48" s="1787" t="s">
        <v>50</v>
      </c>
      <c r="B48" s="1788"/>
      <c r="C48" s="1788"/>
      <c r="D48" s="1788"/>
      <c r="E48" s="1788"/>
      <c r="F48" s="1789"/>
      <c r="G48" s="57" t="s">
        <v>51</v>
      </c>
      <c r="H48" s="57" t="s">
        <v>62</v>
      </c>
      <c r="I48" s="57" t="s">
        <v>63</v>
      </c>
      <c r="J48" s="1792" t="s">
        <v>18</v>
      </c>
      <c r="K48" s="1820"/>
      <c r="L48" s="1820"/>
      <c r="M48" s="1820"/>
      <c r="N48" s="1820"/>
      <c r="O48" s="1820"/>
      <c r="P48" s="1820"/>
      <c r="Q48" s="1821"/>
    </row>
    <row r="49" spans="1:17" ht="15.5">
      <c r="A49" s="63"/>
      <c r="B49" s="59" t="s">
        <v>59</v>
      </c>
      <c r="C49" s="86"/>
      <c r="D49" s="86"/>
      <c r="E49" s="118"/>
      <c r="F49" s="87"/>
      <c r="G49" s="20"/>
      <c r="H49" s="20"/>
      <c r="I49" s="20"/>
      <c r="J49" s="20"/>
      <c r="K49" s="20"/>
      <c r="L49" s="20"/>
      <c r="M49" s="20"/>
      <c r="N49" s="20"/>
      <c r="O49" s="20"/>
      <c r="P49" s="20"/>
      <c r="Q49" s="22"/>
    </row>
    <row r="50" spans="1:17" ht="15.5">
      <c r="A50" s="63">
        <v>70</v>
      </c>
      <c r="B50" s="88"/>
      <c r="C50" s="64" t="s">
        <v>355</v>
      </c>
      <c r="D50" s="111"/>
      <c r="E50" s="65" t="s">
        <v>827</v>
      </c>
      <c r="F50" s="101" t="s">
        <v>68</v>
      </c>
      <c r="G50" s="1031">
        <v>1551388</v>
      </c>
      <c r="H50" s="1166">
        <v>265541</v>
      </c>
      <c r="I50" s="1179">
        <f>+G50-H50</f>
        <v>1285847</v>
      </c>
      <c r="J50" s="121" t="s">
        <v>490</v>
      </c>
      <c r="K50" s="122"/>
      <c r="L50" s="122"/>
      <c r="M50" s="122"/>
      <c r="N50" s="122"/>
      <c r="O50" s="122"/>
      <c r="P50" s="122"/>
      <c r="Q50" s="123"/>
    </row>
    <row r="51" spans="1:17" ht="15.5">
      <c r="A51" s="63"/>
      <c r="B51" s="59" t="s">
        <v>65</v>
      </c>
      <c r="C51" s="83"/>
      <c r="D51" s="86"/>
      <c r="E51" s="112"/>
      <c r="F51" s="110"/>
      <c r="G51" s="40"/>
      <c r="H51" s="40"/>
      <c r="I51" s="40"/>
      <c r="J51" s="20"/>
      <c r="K51" s="20"/>
      <c r="L51" s="20"/>
      <c r="M51" s="20"/>
      <c r="N51" s="20"/>
      <c r="O51" s="20"/>
      <c r="P51" s="20"/>
      <c r="Q51" s="22"/>
    </row>
    <row r="52" spans="1:17" ht="16" thickBot="1">
      <c r="A52" s="93">
        <v>77</v>
      </c>
      <c r="B52" s="94"/>
      <c r="C52" s="95" t="s">
        <v>66</v>
      </c>
      <c r="D52" s="124"/>
      <c r="E52" s="97" t="s">
        <v>830</v>
      </c>
      <c r="F52" s="116" t="s">
        <v>68</v>
      </c>
      <c r="G52" s="1177">
        <v>1551388</v>
      </c>
      <c r="H52" s="1165">
        <v>265541</v>
      </c>
      <c r="I52" s="1180">
        <v>6560485.8399999999</v>
      </c>
      <c r="J52" s="1842" t="s">
        <v>490</v>
      </c>
      <c r="K52" s="1842"/>
      <c r="L52" s="1842"/>
      <c r="M52" s="1842"/>
      <c r="N52" s="1842"/>
      <c r="O52" s="1842"/>
      <c r="P52" s="1842"/>
      <c r="Q52" s="1843"/>
    </row>
    <row r="53" spans="1:17">
      <c r="G53" s="1010"/>
      <c r="H53" s="1010"/>
      <c r="I53" s="1010"/>
      <c r="J53" s="43"/>
      <c r="K53" s="43"/>
      <c r="L53" s="43"/>
      <c r="M53" s="43"/>
      <c r="N53" s="43"/>
      <c r="O53" s="43"/>
      <c r="P53" s="43"/>
      <c r="Q53" s="43"/>
    </row>
    <row r="54" spans="1:17">
      <c r="G54" s="43"/>
      <c r="H54" s="43"/>
      <c r="I54" s="43"/>
      <c r="J54" s="43"/>
      <c r="K54" s="43"/>
      <c r="L54" s="43"/>
      <c r="M54" s="43"/>
      <c r="N54" s="43"/>
      <c r="O54" s="43"/>
      <c r="P54" s="43"/>
      <c r="Q54" s="43"/>
    </row>
    <row r="55" spans="1:17" ht="20.5" thickBot="1">
      <c r="A55" s="55" t="s">
        <v>77</v>
      </c>
      <c r="G55" s="43"/>
      <c r="H55" s="43"/>
      <c r="I55" s="43"/>
      <c r="J55" s="43"/>
      <c r="K55" s="43"/>
      <c r="L55" s="43"/>
      <c r="M55" s="43"/>
      <c r="N55" s="43"/>
      <c r="O55" s="43"/>
      <c r="P55" s="43"/>
      <c r="Q55" s="43"/>
    </row>
    <row r="56" spans="1:17" ht="42" customHeight="1">
      <c r="A56" s="1787" t="s">
        <v>50</v>
      </c>
      <c r="B56" s="1788"/>
      <c r="C56" s="1788"/>
      <c r="D56" s="1788"/>
      <c r="E56" s="1788"/>
      <c r="F56" s="1789"/>
      <c r="G56" s="57" t="s">
        <v>51</v>
      </c>
      <c r="H56" s="57" t="s">
        <v>78</v>
      </c>
      <c r="I56" s="57" t="s">
        <v>79</v>
      </c>
      <c r="J56" s="1792" t="s">
        <v>18</v>
      </c>
      <c r="K56" s="1820"/>
      <c r="L56" s="1820"/>
      <c r="M56" s="1820"/>
      <c r="N56" s="1820"/>
      <c r="O56" s="1820"/>
      <c r="P56" s="1820"/>
      <c r="Q56" s="1821"/>
    </row>
    <row r="57" spans="1:17" ht="15.5">
      <c r="A57" s="63"/>
      <c r="B57" s="59" t="s">
        <v>65</v>
      </c>
      <c r="C57" s="78"/>
      <c r="D57" s="86"/>
      <c r="E57" s="102"/>
      <c r="F57" s="80"/>
      <c r="G57" s="20"/>
      <c r="H57" s="20"/>
      <c r="I57" s="20"/>
      <c r="J57" s="20"/>
      <c r="K57" s="20"/>
      <c r="L57" s="20"/>
      <c r="M57" s="20"/>
      <c r="N57" s="20"/>
      <c r="O57" s="20"/>
      <c r="P57" s="20"/>
      <c r="Q57" s="22"/>
    </row>
    <row r="58" spans="1:17" ht="16" thickBot="1">
      <c r="A58" s="125">
        <v>81</v>
      </c>
      <c r="B58" s="94"/>
      <c r="C58" s="126" t="s">
        <v>364</v>
      </c>
      <c r="D58" s="96"/>
      <c r="E58" s="127" t="s">
        <v>639</v>
      </c>
      <c r="F58" s="128" t="s">
        <v>357</v>
      </c>
      <c r="G58" s="1177">
        <v>458332</v>
      </c>
      <c r="H58" s="1178">
        <v>0</v>
      </c>
      <c r="I58" s="1165">
        <f>+G58</f>
        <v>458332</v>
      </c>
      <c r="J58" s="1840" t="s">
        <v>80</v>
      </c>
      <c r="K58" s="1840"/>
      <c r="L58" s="1840"/>
      <c r="M58" s="1840"/>
      <c r="N58" s="1840"/>
      <c r="O58" s="1840"/>
      <c r="P58" s="1840"/>
      <c r="Q58" s="1841"/>
    </row>
    <row r="59" spans="1:17" ht="15.5">
      <c r="A59" s="47"/>
      <c r="B59" s="92"/>
      <c r="C59" s="64"/>
      <c r="D59" s="86"/>
      <c r="E59" s="84"/>
      <c r="F59" s="64"/>
      <c r="G59" s="103"/>
      <c r="H59" s="103"/>
      <c r="I59" s="103"/>
      <c r="J59" s="129"/>
      <c r="K59" s="130"/>
      <c r="L59" s="130"/>
      <c r="M59" s="130"/>
      <c r="N59" s="130"/>
      <c r="O59" s="130"/>
      <c r="P59" s="130"/>
      <c r="Q59" s="130"/>
    </row>
    <row r="60" spans="1:17">
      <c r="G60" s="43"/>
      <c r="H60" s="43"/>
      <c r="I60" s="43"/>
      <c r="J60" s="43"/>
      <c r="K60" s="43"/>
      <c r="L60" s="43"/>
      <c r="M60" s="43"/>
      <c r="N60" s="43"/>
      <c r="O60" s="43"/>
      <c r="P60" s="43"/>
      <c r="Q60" s="43"/>
    </row>
    <row r="61" spans="1:17" ht="20.5" thickBot="1">
      <c r="A61" s="55" t="s">
        <v>1505</v>
      </c>
      <c r="G61" s="43"/>
      <c r="H61" s="43"/>
      <c r="I61" s="43"/>
      <c r="J61" s="43"/>
      <c r="K61" s="43"/>
      <c r="L61" s="43"/>
      <c r="M61" s="43"/>
      <c r="N61" s="43"/>
      <c r="O61" s="43"/>
      <c r="P61" s="43"/>
      <c r="Q61" s="43"/>
    </row>
    <row r="62" spans="1:17" ht="18">
      <c r="A62" s="1787" t="s">
        <v>50</v>
      </c>
      <c r="B62" s="1788"/>
      <c r="C62" s="1788"/>
      <c r="D62" s="1788"/>
      <c r="E62" s="1788"/>
      <c r="F62" s="1789"/>
      <c r="G62" s="57" t="s">
        <v>81</v>
      </c>
      <c r="H62" s="57" t="s">
        <v>82</v>
      </c>
      <c r="I62" s="57" t="s">
        <v>83</v>
      </c>
      <c r="J62" s="57" t="s">
        <v>84</v>
      </c>
      <c r="K62" s="57" t="s">
        <v>85</v>
      </c>
      <c r="L62" s="1792" t="s">
        <v>18</v>
      </c>
      <c r="M62" s="1820"/>
      <c r="N62" s="1820"/>
      <c r="O62" s="1820"/>
      <c r="P62" s="1820"/>
      <c r="Q62" s="1821"/>
    </row>
    <row r="63" spans="1:17" ht="15.5">
      <c r="A63" s="91" t="s">
        <v>86</v>
      </c>
      <c r="B63" s="131" t="s">
        <v>87</v>
      </c>
      <c r="C63" s="48"/>
      <c r="D63" s="48"/>
      <c r="E63" s="102"/>
      <c r="F63" s="132"/>
      <c r="G63" s="20"/>
      <c r="H63" s="20"/>
      <c r="I63" s="20"/>
      <c r="J63" s="20"/>
      <c r="K63" s="20"/>
      <c r="L63" s="20"/>
      <c r="M63" s="20"/>
      <c r="N63" s="20"/>
      <c r="O63" s="20"/>
      <c r="P63" s="20"/>
      <c r="Q63" s="22"/>
    </row>
    <row r="64" spans="1:17" ht="15.5">
      <c r="A64" s="91"/>
      <c r="B64" s="131"/>
      <c r="C64" s="48"/>
      <c r="D64" s="48"/>
      <c r="E64" s="102"/>
      <c r="F64" s="132"/>
      <c r="G64" s="145" t="s">
        <v>1593</v>
      </c>
      <c r="H64" s="1619" t="s">
        <v>1594</v>
      </c>
      <c r="I64" s="103"/>
      <c r="J64" s="103"/>
      <c r="K64" s="103"/>
      <c r="L64" s="1825" t="s">
        <v>88</v>
      </c>
      <c r="M64" s="1836"/>
      <c r="N64" s="1836"/>
      <c r="O64" s="1836"/>
      <c r="P64" s="1836"/>
      <c r="Q64" s="1837"/>
    </row>
    <row r="65" spans="1:20" ht="16.5" customHeight="1" thickBot="1">
      <c r="A65" s="125">
        <v>129</v>
      </c>
      <c r="B65" s="114"/>
      <c r="C65" s="126" t="s">
        <v>187</v>
      </c>
      <c r="D65" s="133"/>
      <c r="E65" s="127" t="s">
        <v>848</v>
      </c>
      <c r="F65" s="134">
        <f>+G65</f>
        <v>0.09</v>
      </c>
      <c r="G65" s="1620">
        <v>0.09</v>
      </c>
      <c r="H65" s="1621"/>
      <c r="I65" s="117"/>
      <c r="J65" s="117"/>
      <c r="K65" s="117"/>
      <c r="L65" s="1838" t="s">
        <v>1595</v>
      </c>
      <c r="M65" s="1838"/>
      <c r="N65" s="1838"/>
      <c r="O65" s="1838"/>
      <c r="P65" s="1838"/>
      <c r="Q65" s="1839"/>
      <c r="S65" s="180"/>
      <c r="T65" s="121"/>
    </row>
    <row r="66" spans="1:20">
      <c r="G66" s="43"/>
      <c r="H66" s="43"/>
      <c r="I66" s="43"/>
      <c r="J66" s="43"/>
      <c r="K66" s="43"/>
      <c r="L66" s="43"/>
      <c r="M66" s="43"/>
      <c r="N66" s="43"/>
      <c r="O66" s="43"/>
      <c r="P66" s="43"/>
      <c r="Q66" s="43"/>
    </row>
    <row r="67" spans="1:20">
      <c r="G67" s="43"/>
      <c r="H67" s="43"/>
      <c r="I67" s="43"/>
      <c r="J67" s="43"/>
      <c r="K67" s="43"/>
      <c r="L67" s="43"/>
      <c r="M67" s="43"/>
      <c r="N67" s="43"/>
      <c r="O67" s="43"/>
      <c r="P67" s="43"/>
      <c r="Q67" s="43"/>
    </row>
    <row r="68" spans="1:20" ht="20.5" thickBot="1">
      <c r="A68" s="55" t="s">
        <v>89</v>
      </c>
      <c r="G68" s="43"/>
      <c r="H68" s="43"/>
      <c r="I68" s="43"/>
      <c r="J68" s="43"/>
      <c r="K68" s="43"/>
      <c r="L68" s="43"/>
      <c r="M68" s="43"/>
      <c r="N68" s="43"/>
      <c r="O68" s="43"/>
      <c r="P68" s="43"/>
      <c r="Q68" s="43"/>
    </row>
    <row r="69" spans="1:20" ht="27">
      <c r="A69" s="1787" t="s">
        <v>50</v>
      </c>
      <c r="B69" s="1788"/>
      <c r="C69" s="1788"/>
      <c r="D69" s="1788"/>
      <c r="E69" s="1788"/>
      <c r="F69" s="1789"/>
      <c r="G69" s="57" t="s">
        <v>51</v>
      </c>
      <c r="H69" s="57" t="s">
        <v>90</v>
      </c>
      <c r="I69" s="57" t="s">
        <v>91</v>
      </c>
      <c r="J69" s="1792" t="s">
        <v>18</v>
      </c>
      <c r="K69" s="1820"/>
      <c r="L69" s="1820"/>
      <c r="M69" s="1820"/>
      <c r="N69" s="1820"/>
      <c r="O69" s="1820"/>
      <c r="P69" s="1820"/>
      <c r="Q69" s="1821"/>
    </row>
    <row r="70" spans="1:20" ht="15.5">
      <c r="A70" s="63"/>
      <c r="B70" s="59" t="s">
        <v>65</v>
      </c>
      <c r="C70" s="78"/>
      <c r="D70" s="86"/>
      <c r="E70" s="102"/>
      <c r="F70" s="80"/>
      <c r="G70" s="20"/>
      <c r="H70" s="20"/>
      <c r="I70" s="20"/>
      <c r="J70" s="20"/>
      <c r="K70" s="20"/>
      <c r="L70" s="20"/>
      <c r="M70" s="20"/>
      <c r="N70" s="20"/>
      <c r="O70" s="20"/>
      <c r="P70" s="20"/>
      <c r="Q70" s="22"/>
    </row>
    <row r="71" spans="1:20" ht="16" thickBot="1">
      <c r="A71" s="125">
        <v>78</v>
      </c>
      <c r="B71" s="94"/>
      <c r="C71" s="126" t="s">
        <v>364</v>
      </c>
      <c r="D71" s="135"/>
      <c r="E71" s="127" t="s">
        <v>637</v>
      </c>
      <c r="F71" s="128" t="s">
        <v>357</v>
      </c>
      <c r="G71" s="1177">
        <v>458332</v>
      </c>
      <c r="H71" s="1178">
        <v>0</v>
      </c>
      <c r="I71" s="1165">
        <f>+G71</f>
        <v>458332</v>
      </c>
      <c r="J71" s="1854" t="s">
        <v>80</v>
      </c>
      <c r="K71" s="1818"/>
      <c r="L71" s="1818"/>
      <c r="M71" s="1818"/>
      <c r="N71" s="1818"/>
      <c r="O71" s="1818"/>
      <c r="P71" s="1818"/>
      <c r="Q71" s="1819"/>
    </row>
    <row r="72" spans="1:20">
      <c r="G72" s="43"/>
      <c r="H72" s="43"/>
      <c r="I72" s="43"/>
      <c r="J72" s="43"/>
      <c r="K72" s="43"/>
      <c r="L72" s="43"/>
      <c r="M72" s="43"/>
      <c r="N72" s="43"/>
      <c r="O72" s="43"/>
      <c r="P72" s="43"/>
      <c r="Q72" s="43"/>
    </row>
    <row r="73" spans="1:20">
      <c r="G73" s="43"/>
      <c r="H73" s="43"/>
      <c r="I73" s="43"/>
      <c r="J73" s="43"/>
      <c r="K73" s="43"/>
      <c r="L73" s="43"/>
      <c r="M73" s="43"/>
      <c r="N73" s="43"/>
      <c r="O73" s="43"/>
      <c r="P73" s="43"/>
      <c r="Q73" s="43"/>
    </row>
    <row r="74" spans="1:20" ht="20.5" thickBot="1">
      <c r="A74" s="55" t="s">
        <v>92</v>
      </c>
      <c r="G74" s="43"/>
      <c r="H74" s="43"/>
      <c r="I74" s="43"/>
      <c r="J74" s="43"/>
      <c r="K74" s="43"/>
      <c r="L74" s="43"/>
      <c r="M74" s="43"/>
      <c r="N74" s="43"/>
      <c r="O74" s="43"/>
      <c r="P74" s="43"/>
      <c r="Q74" s="43"/>
    </row>
    <row r="75" spans="1:20" ht="27">
      <c r="A75" s="1787" t="s">
        <v>50</v>
      </c>
      <c r="B75" s="1788"/>
      <c r="C75" s="1788"/>
      <c r="D75" s="1788"/>
      <c r="E75" s="1788"/>
      <c r="F75" s="1788"/>
      <c r="G75" s="56" t="s">
        <v>430</v>
      </c>
      <c r="H75" s="1792" t="s">
        <v>93</v>
      </c>
      <c r="I75" s="1815"/>
      <c r="J75" s="1815"/>
      <c r="K75" s="1815"/>
      <c r="L75" s="1815"/>
      <c r="M75" s="1815"/>
      <c r="N75" s="1815"/>
      <c r="O75" s="1815"/>
      <c r="P75" s="1815"/>
      <c r="Q75" s="1816"/>
      <c r="R75" s="136"/>
    </row>
    <row r="76" spans="1:20" ht="18">
      <c r="A76" s="137"/>
      <c r="B76" s="138" t="s">
        <v>94</v>
      </c>
      <c r="C76" s="139"/>
      <c r="D76" s="140"/>
      <c r="E76" s="141"/>
      <c r="F76" s="142"/>
      <c r="G76" s="21"/>
      <c r="H76" s="20"/>
      <c r="I76" s="20"/>
      <c r="J76" s="20"/>
      <c r="K76" s="20"/>
      <c r="L76" s="20"/>
      <c r="M76" s="20"/>
      <c r="N76" s="20"/>
      <c r="O76" s="20"/>
      <c r="P76" s="20"/>
      <c r="Q76" s="22"/>
    </row>
    <row r="77" spans="1:20" ht="18">
      <c r="A77" s="63">
        <v>149</v>
      </c>
      <c r="B77" s="88"/>
      <c r="C77" s="64" t="s">
        <v>430</v>
      </c>
      <c r="D77" s="140"/>
      <c r="E77" s="65" t="s">
        <v>849</v>
      </c>
      <c r="F77" s="581" t="s">
        <v>322</v>
      </c>
      <c r="G77" s="143">
        <v>0</v>
      </c>
      <c r="H77" s="1825" t="s">
        <v>95</v>
      </c>
      <c r="I77" s="1833"/>
      <c r="J77" s="1833"/>
      <c r="K77" s="1833"/>
      <c r="L77" s="1833"/>
      <c r="M77" s="1833"/>
      <c r="N77" s="1833"/>
      <c r="O77" s="1833"/>
      <c r="P77" s="1833"/>
      <c r="Q77" s="1834"/>
    </row>
    <row r="78" spans="1:20" ht="18">
      <c r="A78" s="63"/>
      <c r="B78" s="88"/>
      <c r="C78" s="144"/>
      <c r="D78" s="140"/>
      <c r="E78" s="70"/>
      <c r="F78" s="111"/>
      <c r="G78" s="21"/>
      <c r="H78" s="20"/>
      <c r="I78" s="20"/>
      <c r="J78" s="20"/>
      <c r="K78" s="20"/>
      <c r="L78" s="20"/>
      <c r="M78" s="20"/>
      <c r="N78" s="20"/>
      <c r="O78" s="103"/>
      <c r="P78" s="20"/>
      <c r="Q78" s="22"/>
    </row>
    <row r="79" spans="1:20" ht="18">
      <c r="A79" s="63"/>
      <c r="B79" s="88"/>
      <c r="C79" s="144" t="s">
        <v>96</v>
      </c>
      <c r="D79" s="140"/>
      <c r="E79" s="70"/>
      <c r="F79" s="111"/>
      <c r="G79" s="145" t="s">
        <v>97</v>
      </c>
      <c r="H79" s="1825" t="s">
        <v>80</v>
      </c>
      <c r="I79" s="1833"/>
      <c r="J79" s="1833"/>
      <c r="K79" s="1833"/>
      <c r="L79" s="1833"/>
      <c r="M79" s="1833"/>
      <c r="N79" s="1833"/>
      <c r="O79" s="1833"/>
      <c r="P79" s="1833"/>
      <c r="Q79" s="1834"/>
    </row>
    <row r="80" spans="1:20" ht="18">
      <c r="A80" s="63"/>
      <c r="B80" s="88">
        <v>1</v>
      </c>
      <c r="C80" s="144" t="s">
        <v>98</v>
      </c>
      <c r="D80" s="140"/>
      <c r="E80" s="70"/>
      <c r="F80" s="111"/>
      <c r="G80" s="146"/>
      <c r="H80" s="1825"/>
      <c r="I80" s="1833"/>
      <c r="J80" s="1833"/>
      <c r="K80" s="1833"/>
      <c r="L80" s="1833"/>
      <c r="M80" s="1833"/>
      <c r="N80" s="1833"/>
      <c r="O80" s="1833"/>
      <c r="P80" s="1833"/>
      <c r="Q80" s="1834"/>
    </row>
    <row r="81" spans="1:40" ht="18">
      <c r="A81" s="63"/>
      <c r="B81" s="88"/>
      <c r="C81" s="144" t="s">
        <v>99</v>
      </c>
      <c r="D81" s="140"/>
      <c r="E81" s="70"/>
      <c r="F81" s="111"/>
      <c r="G81" s="146"/>
      <c r="H81" s="129"/>
      <c r="I81" s="130"/>
      <c r="J81" s="130"/>
      <c r="K81" s="130"/>
      <c r="L81" s="130"/>
      <c r="M81" s="130"/>
      <c r="N81" s="130"/>
      <c r="O81" s="130"/>
      <c r="P81" s="130"/>
      <c r="Q81" s="147"/>
    </row>
    <row r="82" spans="1:40" ht="18">
      <c r="A82" s="63"/>
      <c r="B82" s="88">
        <v>2</v>
      </c>
      <c r="C82" s="144" t="s">
        <v>100</v>
      </c>
      <c r="D82" s="140"/>
      <c r="E82" s="70"/>
      <c r="F82" s="111"/>
      <c r="G82" s="145" t="s">
        <v>101</v>
      </c>
      <c r="H82" s="1825"/>
      <c r="I82" s="1833"/>
      <c r="J82" s="1833"/>
      <c r="K82" s="1833"/>
      <c r="L82" s="1833"/>
      <c r="M82" s="1833"/>
      <c r="N82" s="1833"/>
      <c r="O82" s="1833"/>
      <c r="P82" s="1833"/>
      <c r="Q82" s="1834"/>
    </row>
    <row r="83" spans="1:40" ht="18">
      <c r="A83" s="63"/>
      <c r="B83" s="88"/>
      <c r="C83" s="144" t="s">
        <v>102</v>
      </c>
      <c r="D83" s="148" t="s">
        <v>103</v>
      </c>
      <c r="E83" s="70"/>
      <c r="F83" s="111"/>
      <c r="G83" s="145" t="s">
        <v>97</v>
      </c>
      <c r="H83" s="1825"/>
      <c r="I83" s="1833"/>
      <c r="J83" s="1833"/>
      <c r="K83" s="1833"/>
      <c r="L83" s="1833"/>
      <c r="M83" s="1833"/>
      <c r="N83" s="1833"/>
      <c r="O83" s="1833"/>
      <c r="P83" s="1833"/>
      <c r="Q83" s="1834"/>
    </row>
    <row r="84" spans="1:40" ht="15.5">
      <c r="A84" s="149"/>
      <c r="B84" s="150" t="s">
        <v>9</v>
      </c>
      <c r="C84" s="144" t="s">
        <v>104</v>
      </c>
      <c r="D84" s="151">
        <v>1000000</v>
      </c>
      <c r="E84" s="45"/>
      <c r="F84" s="45"/>
      <c r="G84" s="146"/>
      <c r="H84" s="1825"/>
      <c r="I84" s="1833"/>
      <c r="J84" s="1833"/>
      <c r="K84" s="1833"/>
      <c r="L84" s="1833"/>
      <c r="M84" s="1833"/>
      <c r="N84" s="1833"/>
      <c r="O84" s="1833"/>
      <c r="P84" s="1833"/>
      <c r="Q84" s="1834"/>
    </row>
    <row r="85" spans="1:40" ht="15.5">
      <c r="A85" s="149"/>
      <c r="B85" s="150" t="s">
        <v>10</v>
      </c>
      <c r="C85" s="144" t="s">
        <v>105</v>
      </c>
      <c r="D85" s="151">
        <v>500000</v>
      </c>
      <c r="E85" s="45"/>
      <c r="F85" s="45"/>
      <c r="G85" s="146"/>
      <c r="H85" s="1825"/>
      <c r="I85" s="1833"/>
      <c r="J85" s="1833"/>
      <c r="K85" s="1833"/>
      <c r="L85" s="1833"/>
      <c r="M85" s="1833"/>
      <c r="N85" s="1833"/>
      <c r="O85" s="1833"/>
      <c r="P85" s="1833"/>
      <c r="Q85" s="1834"/>
    </row>
    <row r="86" spans="1:40" ht="15.5">
      <c r="A86" s="149"/>
      <c r="B86" s="150" t="s">
        <v>11</v>
      </c>
      <c r="C86" s="144" t="s">
        <v>106</v>
      </c>
      <c r="D86" s="151">
        <v>400000</v>
      </c>
      <c r="E86" s="45"/>
      <c r="F86" s="45"/>
      <c r="G86" s="146"/>
      <c r="H86" s="1825"/>
      <c r="I86" s="1833"/>
      <c r="J86" s="1833"/>
      <c r="K86" s="1833"/>
      <c r="L86" s="1833"/>
      <c r="M86" s="1833"/>
      <c r="N86" s="1833"/>
      <c r="O86" s="1833"/>
      <c r="P86" s="1833"/>
      <c r="Q86" s="1834"/>
    </row>
    <row r="87" spans="1:40" ht="15.5">
      <c r="A87" s="149"/>
      <c r="B87" s="150" t="s">
        <v>14</v>
      </c>
      <c r="C87" s="144" t="s">
        <v>107</v>
      </c>
      <c r="D87" s="151">
        <v>444444.44444444444</v>
      </c>
      <c r="E87" s="45"/>
      <c r="F87" s="45"/>
      <c r="G87" s="146"/>
      <c r="H87" s="1825"/>
      <c r="I87" s="1833"/>
      <c r="J87" s="1833"/>
      <c r="K87" s="1833"/>
      <c r="L87" s="1833"/>
      <c r="M87" s="1833"/>
      <c r="N87" s="1833"/>
      <c r="O87" s="1833"/>
      <c r="P87" s="1833"/>
      <c r="Q87" s="1834"/>
    </row>
    <row r="88" spans="1:40" ht="15" thickBot="1">
      <c r="A88" s="104"/>
      <c r="B88" s="105"/>
      <c r="C88" s="105"/>
      <c r="D88" s="105"/>
      <c r="E88" s="105"/>
      <c r="F88" s="105"/>
      <c r="G88" s="33"/>
      <c r="H88" s="38"/>
      <c r="I88" s="38"/>
      <c r="J88" s="38"/>
      <c r="K88" s="152" t="s">
        <v>108</v>
      </c>
      <c r="L88" s="38"/>
      <c r="M88" s="38"/>
      <c r="N88" s="38"/>
      <c r="O88" s="38"/>
      <c r="P88" s="38"/>
      <c r="Q88" s="39"/>
    </row>
    <row r="89" spans="1:40">
      <c r="A89" s="153"/>
      <c r="B89" s="153"/>
      <c r="C89" s="153"/>
      <c r="D89" s="153"/>
      <c r="E89" s="153"/>
      <c r="F89" s="153"/>
      <c r="G89" s="20"/>
      <c r="H89" s="20"/>
      <c r="I89" s="20"/>
      <c r="J89" s="20"/>
      <c r="K89" s="154"/>
      <c r="L89" s="20"/>
      <c r="M89" s="20"/>
      <c r="N89" s="20"/>
      <c r="O89" s="20"/>
      <c r="P89" s="20"/>
      <c r="Q89" s="20"/>
    </row>
    <row r="90" spans="1:40">
      <c r="A90" s="153"/>
      <c r="B90" s="153"/>
      <c r="C90" s="153"/>
      <c r="D90" s="153"/>
      <c r="E90" s="153"/>
      <c r="F90" s="153"/>
      <c r="G90" s="20"/>
      <c r="H90" s="20"/>
      <c r="I90" s="20"/>
      <c r="J90" s="20"/>
      <c r="K90" s="154"/>
      <c r="L90" s="20"/>
      <c r="M90" s="20"/>
      <c r="N90" s="20"/>
      <c r="O90" s="20"/>
      <c r="P90" s="20"/>
      <c r="Q90" s="20"/>
    </row>
    <row r="91" spans="1:40" ht="15.5">
      <c r="A91" s="88"/>
      <c r="B91" s="88"/>
      <c r="C91" s="88"/>
      <c r="D91" s="88"/>
      <c r="E91" s="65"/>
      <c r="F91" s="88"/>
      <c r="G91" s="20"/>
      <c r="H91" s="20"/>
      <c r="I91" s="20"/>
      <c r="J91" s="20"/>
      <c r="K91" s="154"/>
      <c r="L91" s="20"/>
      <c r="M91" s="20"/>
      <c r="N91" s="20"/>
      <c r="O91" s="20"/>
      <c r="P91" s="20"/>
      <c r="Q91" s="20"/>
    </row>
    <row r="92" spans="1:40" s="5" customFormat="1" ht="20.5" thickBot="1">
      <c r="A92" s="1623" t="s">
        <v>111</v>
      </c>
      <c r="G92" s="1010"/>
      <c r="H92" s="1010"/>
      <c r="I92" s="1010"/>
      <c r="J92" s="1010"/>
      <c r="K92" s="1010"/>
      <c r="L92" s="1010"/>
      <c r="M92" s="1010"/>
      <c r="N92" s="1010"/>
      <c r="O92" s="1010"/>
      <c r="P92" s="1010"/>
      <c r="Q92" s="1010"/>
    </row>
    <row r="93" spans="1:40" s="5" customFormat="1" ht="18" customHeight="1">
      <c r="A93" s="1827" t="s">
        <v>50</v>
      </c>
      <c r="B93" s="1807"/>
      <c r="C93" s="1807"/>
      <c r="D93" s="1807"/>
      <c r="E93" s="1807"/>
      <c r="F93" s="1808"/>
      <c r="G93" s="1011"/>
      <c r="H93" s="1012"/>
      <c r="I93" s="1013"/>
      <c r="J93" s="1013"/>
      <c r="K93" s="1013"/>
      <c r="L93" s="1013"/>
      <c r="M93" s="1013"/>
      <c r="N93" s="1013"/>
      <c r="O93" s="1013"/>
      <c r="P93" s="1013"/>
      <c r="Q93" s="1013"/>
      <c r="R93" s="1014"/>
      <c r="S93" s="1014"/>
      <c r="T93" s="1014"/>
      <c r="U93" s="1015"/>
      <c r="V93" s="1016" t="s">
        <v>112</v>
      </c>
      <c r="W93" s="1014"/>
      <c r="X93" s="1014"/>
      <c r="Y93" s="1014"/>
      <c r="Z93" s="1014"/>
      <c r="AA93" s="1014"/>
      <c r="AB93" s="1014"/>
      <c r="AC93" s="1014"/>
      <c r="AD93" s="1014"/>
      <c r="AE93" s="1014"/>
      <c r="AF93" s="1014"/>
      <c r="AG93" s="1014"/>
      <c r="AH93" s="1014"/>
      <c r="AI93" s="1014"/>
      <c r="AJ93" s="1014"/>
      <c r="AK93" s="1014"/>
      <c r="AL93" s="1014"/>
      <c r="AM93" s="1014"/>
      <c r="AN93" s="1015"/>
    </row>
    <row r="94" spans="1:40" s="5" customFormat="1" ht="15.5">
      <c r="A94" s="156">
        <v>45</v>
      </c>
      <c r="B94" s="1017" t="s">
        <v>111</v>
      </c>
      <c r="C94" s="1018"/>
      <c r="D94" s="1017"/>
      <c r="E94" s="1019"/>
      <c r="F94" s="1020"/>
      <c r="G94" s="18"/>
      <c r="H94" s="1021"/>
      <c r="I94" s="1010"/>
      <c r="J94" s="1010"/>
      <c r="K94" s="1010"/>
      <c r="L94" s="1010"/>
      <c r="M94" s="1010"/>
      <c r="N94" s="1010"/>
      <c r="O94" s="1010"/>
      <c r="P94" s="1010"/>
      <c r="Q94" s="1010"/>
      <c r="U94" s="1022"/>
      <c r="V94" s="149"/>
      <c r="AN94" s="1022"/>
    </row>
    <row r="95" spans="1:40" s="5" customFormat="1" ht="26.5">
      <c r="A95" s="75"/>
      <c r="B95" s="1023"/>
      <c r="D95" s="1017"/>
      <c r="F95" s="1024"/>
      <c r="G95" s="1025" t="s">
        <v>524</v>
      </c>
      <c r="H95" s="967" t="s">
        <v>525</v>
      </c>
      <c r="I95" s="967" t="s">
        <v>526</v>
      </c>
      <c r="J95" s="967" t="s">
        <v>527</v>
      </c>
      <c r="K95" s="967" t="s">
        <v>171</v>
      </c>
      <c r="L95" s="967" t="s">
        <v>172</v>
      </c>
      <c r="M95" s="967" t="s">
        <v>173</v>
      </c>
      <c r="N95" s="967" t="s">
        <v>528</v>
      </c>
      <c r="O95" s="967" t="s">
        <v>529</v>
      </c>
      <c r="P95" s="967" t="s">
        <v>530</v>
      </c>
      <c r="Q95" s="967" t="s">
        <v>531</v>
      </c>
      <c r="R95" s="967" t="s">
        <v>532</v>
      </c>
      <c r="S95" s="1026" t="s">
        <v>1070</v>
      </c>
      <c r="T95" s="1026" t="s">
        <v>236</v>
      </c>
      <c r="U95" s="1026" t="s">
        <v>1046</v>
      </c>
      <c r="V95" s="149"/>
      <c r="AN95" s="1022"/>
    </row>
    <row r="96" spans="1:40" s="5" customFormat="1" ht="15.5">
      <c r="A96" s="75"/>
      <c r="B96" s="1023"/>
      <c r="C96" s="44" t="s">
        <v>113</v>
      </c>
      <c r="F96" s="160" t="s">
        <v>1071</v>
      </c>
      <c r="G96" s="1028">
        <v>876784.37999999977</v>
      </c>
      <c r="H96" s="1029">
        <v>1599174.0699999998</v>
      </c>
      <c r="I96" s="1029">
        <v>2356913.86</v>
      </c>
      <c r="J96" s="1029">
        <v>1073166.6799999997</v>
      </c>
      <c r="K96" s="1029">
        <v>1271876.0199999996</v>
      </c>
      <c r="L96" s="1029">
        <v>1217540.4799999967</v>
      </c>
      <c r="M96" s="1029">
        <v>898773.40999999666</v>
      </c>
      <c r="N96" s="1029">
        <v>653414.36999999546</v>
      </c>
      <c r="O96" s="1029">
        <v>1121626.7999999952</v>
      </c>
      <c r="P96" s="1029">
        <v>778318.12999999523</v>
      </c>
      <c r="Q96" s="1029">
        <v>1260962.2499999953</v>
      </c>
      <c r="R96" s="1029">
        <v>938115.7799999956</v>
      </c>
      <c r="S96" s="1029">
        <v>905008.91999999539</v>
      </c>
      <c r="T96" s="1030">
        <f>+'ATT H-1A'!H16</f>
        <v>0.13888944064369446</v>
      </c>
      <c r="U96" s="1027" t="s">
        <v>260</v>
      </c>
      <c r="V96" s="1142" t="s">
        <v>1557</v>
      </c>
      <c r="AN96" s="1022"/>
    </row>
    <row r="97" spans="1:40" s="5" customFormat="1" ht="15.5">
      <c r="A97" s="75"/>
      <c r="B97" s="1023"/>
      <c r="C97" s="344" t="s">
        <v>114</v>
      </c>
      <c r="D97" s="1031"/>
      <c r="F97" s="160"/>
      <c r="G97" s="1028">
        <v>52356362.829999998</v>
      </c>
      <c r="H97" s="1033">
        <v>53589536.329999998</v>
      </c>
      <c r="I97" s="1033">
        <v>52401353.829999998</v>
      </c>
      <c r="J97" s="1033">
        <v>51039955.829999998</v>
      </c>
      <c r="K97" s="1033">
        <v>49794034.829999998</v>
      </c>
      <c r="L97" s="1033">
        <v>48548113.829999998</v>
      </c>
      <c r="M97" s="1033">
        <v>47302192.829999998</v>
      </c>
      <c r="N97" s="1033">
        <v>46056271.829999998</v>
      </c>
      <c r="O97" s="1033">
        <v>44810350.829999998</v>
      </c>
      <c r="P97" s="1033">
        <v>43565214.32</v>
      </c>
      <c r="Q97" s="1033">
        <v>42319293.32</v>
      </c>
      <c r="R97" s="1033">
        <v>41073372.32</v>
      </c>
      <c r="S97" s="1033">
        <v>39827905.420000002</v>
      </c>
      <c r="T97" s="1030">
        <f>+T96</f>
        <v>0.13888944064369446</v>
      </c>
      <c r="U97" s="1027" t="s">
        <v>260</v>
      </c>
      <c r="V97" s="1032" t="s">
        <v>115</v>
      </c>
      <c r="AN97" s="1022"/>
    </row>
    <row r="98" spans="1:40" s="5" customFormat="1" ht="16" thickBot="1">
      <c r="A98" s="1034"/>
      <c r="B98" s="1035"/>
      <c r="C98" s="189" t="s">
        <v>1072</v>
      </c>
      <c r="D98" s="1035"/>
      <c r="E98" s="124"/>
      <c r="F98" s="1035"/>
      <c r="G98" s="1144">
        <f t="shared" ref="G98:S98" si="0">SUMPRODUCT(G96:G96,$T96:$T96)+G97*$T$97</f>
        <v>7393522.0397003442</v>
      </c>
      <c r="H98" s="1145">
        <f t="shared" si="0"/>
        <v>7665129.1173028434</v>
      </c>
      <c r="I98" s="1145">
        <f t="shared" si="0"/>
        <v>7605345.1700817877</v>
      </c>
      <c r="J98" s="1145">
        <f t="shared" si="0"/>
        <v>7237962.4356102217</v>
      </c>
      <c r="K98" s="1145">
        <f t="shared" si="0"/>
        <v>7092515.7939172676</v>
      </c>
      <c r="L98" s="1145">
        <f t="shared" si="0"/>
        <v>6911923.8903833618</v>
      </c>
      <c r="M98" s="1145">
        <f t="shared" si="0"/>
        <v>6694605.2395591997</v>
      </c>
      <c r="N98" s="1145">
        <f t="shared" si="0"/>
        <v>6487482.1889604935</v>
      </c>
      <c r="O98" s="1145">
        <f t="shared" si="0"/>
        <v>6379466.6806893861</v>
      </c>
      <c r="P98" s="1145">
        <f t="shared" si="0"/>
        <v>6158848.4181460142</v>
      </c>
      <c r="Q98" s="1145">
        <f t="shared" si="0"/>
        <v>6052837.319226549</v>
      </c>
      <c r="R98" s="1145">
        <f t="shared" si="0"/>
        <v>5834952.082818225</v>
      </c>
      <c r="S98" s="1145">
        <f t="shared" si="0"/>
        <v>5657371.6884701205</v>
      </c>
      <c r="T98" s="106"/>
      <c r="U98" s="1036"/>
      <c r="V98" s="1037" t="s">
        <v>1073</v>
      </c>
      <c r="W98" s="106"/>
      <c r="X98" s="106"/>
      <c r="Y98" s="106"/>
      <c r="Z98" s="106"/>
      <c r="AA98" s="106"/>
      <c r="AB98" s="106"/>
      <c r="AC98" s="106"/>
      <c r="AD98" s="106"/>
      <c r="AE98" s="106"/>
      <c r="AF98" s="106"/>
      <c r="AG98" s="106"/>
      <c r="AH98" s="106"/>
      <c r="AI98" s="106"/>
      <c r="AJ98" s="106"/>
      <c r="AK98" s="106"/>
      <c r="AL98" s="106"/>
      <c r="AM98" s="106"/>
      <c r="AN98" s="1036"/>
    </row>
    <row r="99" spans="1:40">
      <c r="A99" s="153"/>
      <c r="B99" s="153"/>
      <c r="C99" s="153"/>
      <c r="D99" s="153"/>
      <c r="E99" s="153"/>
      <c r="F99" s="153"/>
      <c r="G99" s="20"/>
      <c r="H99" s="20"/>
      <c r="I99" s="20"/>
      <c r="J99" s="20"/>
      <c r="K99" s="154"/>
      <c r="L99" s="20"/>
      <c r="M99" s="20"/>
      <c r="N99" s="20"/>
      <c r="O99" s="20"/>
      <c r="P99" s="20"/>
      <c r="Q99" s="20"/>
    </row>
    <row r="100" spans="1:40">
      <c r="A100" s="153"/>
      <c r="B100" s="153"/>
      <c r="H100" s="20"/>
      <c r="I100" s="20"/>
      <c r="J100" s="20"/>
      <c r="K100" s="154"/>
      <c r="L100" s="20"/>
      <c r="M100" s="20"/>
      <c r="N100" s="20"/>
      <c r="O100" s="20"/>
      <c r="P100" s="20"/>
      <c r="Q100" s="20"/>
    </row>
    <row r="101" spans="1:40">
      <c r="A101" s="153"/>
      <c r="B101" s="153"/>
      <c r="C101" s="153"/>
      <c r="D101" s="153"/>
      <c r="E101" s="153"/>
      <c r="F101" s="153"/>
      <c r="G101" s="20"/>
      <c r="H101" s="20"/>
      <c r="I101" s="20"/>
      <c r="J101" s="20"/>
      <c r="K101" s="154"/>
      <c r="L101" s="20"/>
      <c r="M101" s="20"/>
      <c r="N101" s="20"/>
      <c r="O101" s="20"/>
      <c r="P101" s="20"/>
      <c r="Q101" s="20"/>
    </row>
    <row r="102" spans="1:40" s="5" customFormat="1" ht="20.5" thickBot="1">
      <c r="A102" s="1623" t="s">
        <v>1037</v>
      </c>
      <c r="G102" s="1010"/>
      <c r="H102" s="1010"/>
      <c r="I102" s="1010"/>
      <c r="J102" s="1010"/>
      <c r="K102" s="1010"/>
      <c r="L102" s="1010"/>
      <c r="M102" s="1010"/>
      <c r="N102" s="1010"/>
      <c r="O102" s="1010"/>
      <c r="P102" s="1010"/>
      <c r="Q102" s="1010"/>
    </row>
    <row r="103" spans="1:40" s="5" customFormat="1" ht="18">
      <c r="A103" s="1827" t="s">
        <v>1074</v>
      </c>
      <c r="B103" s="1807"/>
      <c r="C103" s="1807"/>
      <c r="D103" s="1807"/>
      <c r="E103" s="1807"/>
      <c r="F103" s="1808"/>
      <c r="G103" s="18"/>
      <c r="H103" s="1021"/>
      <c r="I103" s="1010"/>
      <c r="J103" s="1010"/>
      <c r="K103" s="1010"/>
      <c r="L103" s="1010"/>
      <c r="M103" s="1010"/>
      <c r="N103" s="1010"/>
      <c r="O103" s="1010"/>
      <c r="P103" s="1010"/>
      <c r="Q103" s="1010"/>
      <c r="U103" s="1022"/>
      <c r="V103" s="1014"/>
      <c r="W103" s="1014"/>
      <c r="X103" s="1014"/>
      <c r="Y103" s="1039"/>
      <c r="Z103" s="1039"/>
      <c r="AA103" s="1039"/>
      <c r="AB103" s="1039"/>
      <c r="AC103" s="1039"/>
      <c r="AD103" s="1039"/>
      <c r="AE103" s="1039"/>
      <c r="AF103" s="1039"/>
      <c r="AG103" s="1039"/>
      <c r="AH103" s="1040"/>
    </row>
    <row r="104" spans="1:40" s="5" customFormat="1" ht="18">
      <c r="A104" s="156">
        <v>44</v>
      </c>
      <c r="B104" s="1017" t="s">
        <v>1037</v>
      </c>
      <c r="C104" s="1041"/>
      <c r="D104" s="1041"/>
      <c r="E104" s="1041"/>
      <c r="F104" s="1041"/>
      <c r="G104" s="18"/>
      <c r="H104" s="1021"/>
      <c r="I104" s="1010"/>
      <c r="J104" s="1010"/>
      <c r="K104" s="1010"/>
      <c r="L104" s="1010"/>
      <c r="M104" s="1010"/>
      <c r="N104" s="1010"/>
      <c r="O104" s="1010"/>
      <c r="P104" s="1010"/>
      <c r="Q104" s="1010"/>
      <c r="U104" s="1022"/>
      <c r="Y104" s="1010"/>
      <c r="Z104" s="1010"/>
      <c r="AA104" s="1010"/>
      <c r="AB104" s="1010"/>
      <c r="AC104" s="1010"/>
      <c r="AD104" s="1010"/>
      <c r="AE104" s="1010"/>
      <c r="AF104" s="1010"/>
      <c r="AG104" s="1010"/>
      <c r="AH104" s="32"/>
    </row>
    <row r="105" spans="1:40" s="5" customFormat="1" ht="75" customHeight="1">
      <c r="A105" s="149"/>
      <c r="C105" s="1828" t="s">
        <v>1075</v>
      </c>
      <c r="D105" s="1828"/>
      <c r="E105" s="1828"/>
      <c r="F105" s="1829"/>
      <c r="G105" s="1042" t="s">
        <v>524</v>
      </c>
      <c r="H105" s="1043" t="s">
        <v>525</v>
      </c>
      <c r="I105" s="1043" t="s">
        <v>526</v>
      </c>
      <c r="J105" s="1043" t="s">
        <v>527</v>
      </c>
      <c r="K105" s="1043" t="s">
        <v>171</v>
      </c>
      <c r="L105" s="1043" t="s">
        <v>172</v>
      </c>
      <c r="M105" s="1043" t="s">
        <v>173</v>
      </c>
      <c r="N105" s="1043" t="s">
        <v>528</v>
      </c>
      <c r="O105" s="1043" t="s">
        <v>529</v>
      </c>
      <c r="P105" s="1043" t="s">
        <v>530</v>
      </c>
      <c r="Q105" s="1043" t="s">
        <v>531</v>
      </c>
      <c r="R105" s="1043" t="s">
        <v>532</v>
      </c>
      <c r="S105" s="1044" t="s">
        <v>1070</v>
      </c>
      <c r="T105" s="1045" t="s">
        <v>1076</v>
      </c>
      <c r="U105" s="1022"/>
      <c r="V105" s="1046" t="s">
        <v>741</v>
      </c>
      <c r="W105" s="1047" t="s">
        <v>958</v>
      </c>
      <c r="X105" s="1047" t="s">
        <v>1077</v>
      </c>
      <c r="Y105" s="1048" t="s">
        <v>742</v>
      </c>
      <c r="Z105" s="1047" t="s">
        <v>959</v>
      </c>
      <c r="AA105" s="1047" t="s">
        <v>1077</v>
      </c>
      <c r="AB105" s="1049" t="s">
        <v>1078</v>
      </c>
      <c r="AC105" s="1047" t="s">
        <v>743</v>
      </c>
      <c r="AD105" s="1050"/>
      <c r="AE105" s="1050"/>
      <c r="AF105" s="1051"/>
      <c r="AG105" s="1051"/>
      <c r="AH105" s="1052"/>
    </row>
    <row r="106" spans="1:40" s="5" customFormat="1">
      <c r="A106" s="149"/>
      <c r="C106" s="1053" t="s">
        <v>1079</v>
      </c>
      <c r="G106" s="1068">
        <v>-3663624.05</v>
      </c>
      <c r="H106" s="1068">
        <v>-3690119.3999999994</v>
      </c>
      <c r="I106" s="1068">
        <v>-3740352.3999999994</v>
      </c>
      <c r="J106" s="1068">
        <v>-3706107.0399999991</v>
      </c>
      <c r="K106" s="1068">
        <v>-3838960.7599999993</v>
      </c>
      <c r="L106" s="1068">
        <v>-3600460.7599999993</v>
      </c>
      <c r="M106" s="1068">
        <v>-3554960.9299999992</v>
      </c>
      <c r="N106" s="1068">
        <v>-3517029.0199999991</v>
      </c>
      <c r="O106" s="1068">
        <v>-3694223.8599999989</v>
      </c>
      <c r="P106" s="1068">
        <v>-4265679.9299999988</v>
      </c>
      <c r="Q106" s="1068">
        <v>-4435679.8599999994</v>
      </c>
      <c r="R106" s="1068">
        <v>-4435679.8599999994</v>
      </c>
      <c r="S106" s="1068">
        <v>-4423351.99</v>
      </c>
      <c r="T106" s="1069">
        <f>SUM(G106:S106)/13</f>
        <v>-3889709.9892307688</v>
      </c>
      <c r="U106" s="1022"/>
      <c r="V106" s="1054">
        <f>+T106</f>
        <v>-3889709.9892307688</v>
      </c>
      <c r="W106" s="1055">
        <f>+'ATT H-1A'!$H$37</f>
        <v>0.37965921295357374</v>
      </c>
      <c r="X106" s="1056">
        <f>+V106*W106</f>
        <v>-1476764.2331290075</v>
      </c>
      <c r="Y106" s="1054"/>
      <c r="Z106" s="1055">
        <f>+'ATT H-1A'!$H$16</f>
        <v>0.13888944064369446</v>
      </c>
      <c r="AA106" s="1057">
        <f t="shared" ref="AA106:AA119" si="1">+Z106*Y106</f>
        <v>0</v>
      </c>
      <c r="AC106" s="1057">
        <f>X106+AA106+AB106</f>
        <v>-1476764.2331290075</v>
      </c>
      <c r="AF106" s="1010"/>
      <c r="AG106" s="1010"/>
      <c r="AH106" s="32"/>
    </row>
    <row r="107" spans="1:40" s="5" customFormat="1">
      <c r="A107" s="149"/>
      <c r="C107" s="1053" t="s">
        <v>1080</v>
      </c>
      <c r="G107" s="1068">
        <v>-627126.37000000011</v>
      </c>
      <c r="H107" s="1068">
        <v>-615631.02000000014</v>
      </c>
      <c r="I107" s="1068">
        <v>-480398.02000000014</v>
      </c>
      <c r="J107" s="1068">
        <v>-480398.02000000014</v>
      </c>
      <c r="K107" s="1068">
        <v>-447544.30000000016</v>
      </c>
      <c r="L107" s="1068">
        <v>-436044.30000000016</v>
      </c>
      <c r="M107" s="1068">
        <v>-427953.00000000017</v>
      </c>
      <c r="N107" s="1068">
        <v>-415884.91000000015</v>
      </c>
      <c r="O107" s="1068">
        <v>-408295.00000000017</v>
      </c>
      <c r="P107" s="1068">
        <v>-393295.00000000017</v>
      </c>
      <c r="Q107" s="1068">
        <v>-393295.00000000017</v>
      </c>
      <c r="R107" s="1068">
        <v>-393295.00000000017</v>
      </c>
      <c r="S107" s="1068">
        <v>-393295.00000000017</v>
      </c>
      <c r="T107" s="1070">
        <f>SUM(G107:S107)/13</f>
        <v>-454804.22615384625</v>
      </c>
      <c r="U107" s="1058"/>
      <c r="V107" s="1054"/>
      <c r="W107" s="1055">
        <f>+'ATT H-1A'!$H$37</f>
        <v>0.37965921295357374</v>
      </c>
      <c r="X107" s="1056">
        <f>+V107*W107</f>
        <v>0</v>
      </c>
      <c r="Y107" s="1054">
        <f>+T107</f>
        <v>-454804.22615384625</v>
      </c>
      <c r="Z107" s="1055">
        <f>+'ATT H-1A'!$H$16</f>
        <v>0.13888944064369446</v>
      </c>
      <c r="AA107" s="1057">
        <f t="shared" si="1"/>
        <v>-63167.504572896018</v>
      </c>
      <c r="AC107" s="1057">
        <f t="shared" ref="AC107:AC119" si="2">X107+AA107+AB107</f>
        <v>-63167.504572896018</v>
      </c>
      <c r="AF107" s="1010"/>
      <c r="AG107" s="1010"/>
      <c r="AH107" s="32"/>
    </row>
    <row r="108" spans="1:40" s="5" customFormat="1">
      <c r="A108" s="149"/>
      <c r="C108" s="1053" t="s">
        <v>1081</v>
      </c>
      <c r="D108" s="1053"/>
      <c r="G108" s="1068">
        <v>317563.83</v>
      </c>
      <c r="H108" s="1068">
        <v>340811.32</v>
      </c>
      <c r="I108" s="1068">
        <v>334092.02</v>
      </c>
      <c r="J108" s="1068">
        <v>333597.46000000002</v>
      </c>
      <c r="K108" s="1068">
        <v>332525.37</v>
      </c>
      <c r="L108" s="1068">
        <v>332030.81</v>
      </c>
      <c r="M108" s="1068">
        <v>331021.03999999998</v>
      </c>
      <c r="N108" s="1068">
        <v>329926.03999999998</v>
      </c>
      <c r="O108" s="1068">
        <v>329431.48</v>
      </c>
      <c r="P108" s="1068">
        <v>328344.07999999996</v>
      </c>
      <c r="Q108" s="1068">
        <v>324959.09999999998</v>
      </c>
      <c r="R108" s="1068">
        <v>323793.39999999997</v>
      </c>
      <c r="S108" s="1068">
        <v>323259.49</v>
      </c>
      <c r="T108" s="1070">
        <f t="shared" ref="T108:T123" si="3">SUM(G108:S108)/13</f>
        <v>329335.03384615388</v>
      </c>
      <c r="U108" s="1058"/>
      <c r="V108" s="1054"/>
      <c r="W108" s="1055">
        <f>+'ATT H-1A'!$H$37</f>
        <v>0.37965921295357374</v>
      </c>
      <c r="X108" s="1056">
        <f t="shared" ref="X108:X119" si="4">+V108*W108</f>
        <v>0</v>
      </c>
      <c r="Y108" s="1054">
        <f t="shared" ref="Y108:Y121" si="5">+T108</f>
        <v>329335.03384615388</v>
      </c>
      <c r="Z108" s="1055">
        <f>+'ATT H-1A'!$H$16</f>
        <v>0.13888944064369446</v>
      </c>
      <c r="AA108" s="1057">
        <f t="shared" si="1"/>
        <v>45741.158635264495</v>
      </c>
      <c r="AC108" s="1057">
        <f t="shared" si="2"/>
        <v>45741.158635264495</v>
      </c>
      <c r="AF108" s="1010"/>
      <c r="AG108" s="1010"/>
      <c r="AH108" s="32"/>
    </row>
    <row r="109" spans="1:40" s="5" customFormat="1">
      <c r="A109" s="149"/>
      <c r="C109" s="1053" t="s">
        <v>1082</v>
      </c>
      <c r="D109" s="1053"/>
      <c r="G109" s="1068">
        <v>1083710.26</v>
      </c>
      <c r="H109" s="1068">
        <v>1059744.07</v>
      </c>
      <c r="I109" s="1068">
        <v>1044236.1100000001</v>
      </c>
      <c r="J109" s="1068">
        <v>1043094.6700000002</v>
      </c>
      <c r="K109" s="1068">
        <v>1040620.3200000002</v>
      </c>
      <c r="L109" s="1068">
        <v>1039478.8800000002</v>
      </c>
      <c r="M109" s="1068">
        <v>1037148.3500000002</v>
      </c>
      <c r="N109" s="1068">
        <v>1034621.1300000002</v>
      </c>
      <c r="O109" s="1068">
        <v>885095.69000000029</v>
      </c>
      <c r="P109" s="1068">
        <v>882586.01000000024</v>
      </c>
      <c r="Q109" s="1068">
        <v>874773.5700000003</v>
      </c>
      <c r="R109" s="1068">
        <v>872083.17000000027</v>
      </c>
      <c r="S109" s="1068">
        <v>870850.92000000027</v>
      </c>
      <c r="T109" s="1070">
        <f t="shared" si="3"/>
        <v>982157.16538461542</v>
      </c>
      <c r="U109" s="1058"/>
      <c r="V109" s="1054"/>
      <c r="W109" s="1055">
        <f>+'ATT H-1A'!$H$37</f>
        <v>0.37965921295357374</v>
      </c>
      <c r="X109" s="1056">
        <f t="shared" si="4"/>
        <v>0</v>
      </c>
      <c r="Y109" s="1054">
        <f t="shared" si="5"/>
        <v>982157.16538461542</v>
      </c>
      <c r="Z109" s="1055">
        <f>+'ATT H-1A'!$H$16</f>
        <v>0.13888944064369446</v>
      </c>
      <c r="AA109" s="1057">
        <f t="shared" si="1"/>
        <v>136411.25932446576</v>
      </c>
      <c r="AC109" s="1057">
        <f t="shared" si="2"/>
        <v>136411.25932446576</v>
      </c>
      <c r="AF109" s="1010"/>
      <c r="AG109" s="1010"/>
      <c r="AH109" s="32"/>
    </row>
    <row r="110" spans="1:40" s="5" customFormat="1">
      <c r="A110" s="149"/>
      <c r="C110" s="1053" t="s">
        <v>1506</v>
      </c>
      <c r="D110" s="1053"/>
      <c r="G110" s="1068">
        <v>-17158184.370000001</v>
      </c>
      <c r="H110" s="1068">
        <v>-17067322.949999999</v>
      </c>
      <c r="I110" s="1068">
        <v>-16976461.529999997</v>
      </c>
      <c r="J110" s="1068">
        <v>-16887048.109999996</v>
      </c>
      <c r="K110" s="1068">
        <v>-16796669.359999996</v>
      </c>
      <c r="L110" s="1068">
        <v>-16706290.609999996</v>
      </c>
      <c r="M110" s="1068">
        <v>-16615911.859999996</v>
      </c>
      <c r="N110" s="1068">
        <v>-16525533.109999996</v>
      </c>
      <c r="O110" s="1068">
        <v>-16435154.359999996</v>
      </c>
      <c r="P110" s="1068">
        <v>-16344775.609999996</v>
      </c>
      <c r="Q110" s="1068">
        <v>-16254396.859999996</v>
      </c>
      <c r="R110" s="1068">
        <v>-16955079.539999995</v>
      </c>
      <c r="S110" s="1068">
        <v>-16864700.789999995</v>
      </c>
      <c r="T110" s="1070">
        <f t="shared" si="3"/>
        <v>-16737502.23538461</v>
      </c>
      <c r="U110" s="1058"/>
      <c r="V110" s="1054"/>
      <c r="W110" s="1055">
        <f>+'ATT H-1A'!$H$37</f>
        <v>0.37965921295357374</v>
      </c>
      <c r="X110" s="1056"/>
      <c r="Y110" s="1054">
        <f t="shared" si="5"/>
        <v>-16737502.23538461</v>
      </c>
      <c r="Z110" s="1055">
        <f>+'ATT H-1A'!$H$16</f>
        <v>0.13888944064369446</v>
      </c>
      <c r="AA110" s="1057">
        <f t="shared" si="1"/>
        <v>-2324662.3232451542</v>
      </c>
      <c r="AC110" s="1057">
        <f t="shared" si="2"/>
        <v>-2324662.3232451542</v>
      </c>
      <c r="AF110" s="1010"/>
      <c r="AG110" s="1010"/>
      <c r="AH110" s="32"/>
    </row>
    <row r="111" spans="1:40" s="5" customFormat="1">
      <c r="A111" s="149"/>
      <c r="C111" s="1053" t="s">
        <v>1083</v>
      </c>
      <c r="D111" s="1053"/>
      <c r="G111" s="1068">
        <v>-242513.68</v>
      </c>
      <c r="H111" s="1068">
        <v>-242513.68</v>
      </c>
      <c r="I111" s="1068">
        <v>-242513.68</v>
      </c>
      <c r="J111" s="1068">
        <v>-242513.68</v>
      </c>
      <c r="K111" s="1068">
        <v>-242513.68</v>
      </c>
      <c r="L111" s="1068">
        <v>-242513.68</v>
      </c>
      <c r="M111" s="1068">
        <v>-242513.68</v>
      </c>
      <c r="N111" s="1068">
        <v>-242513.68</v>
      </c>
      <c r="O111" s="1068">
        <v>-242513.68</v>
      </c>
      <c r="P111" s="1068">
        <v>-242513.68</v>
      </c>
      <c r="Q111" s="1068">
        <v>-242513.68</v>
      </c>
      <c r="R111" s="1068">
        <v>-242513.68</v>
      </c>
      <c r="S111" s="1068">
        <v>-242513.68</v>
      </c>
      <c r="T111" s="1070">
        <f t="shared" si="3"/>
        <v>-242513.68000000002</v>
      </c>
      <c r="U111" s="1058"/>
      <c r="V111" s="1054"/>
      <c r="W111" s="1055">
        <f>+'ATT H-1A'!$H$37</f>
        <v>0.37965921295357374</v>
      </c>
      <c r="X111" s="1056"/>
      <c r="Y111" s="1054">
        <f t="shared" si="5"/>
        <v>-242513.68000000002</v>
      </c>
      <c r="Z111" s="1055">
        <f>+'ATT H-1A'!$H$16</f>
        <v>0.13888944064369446</v>
      </c>
      <c r="AA111" s="1057">
        <f t="shared" si="1"/>
        <v>-33682.589363643914</v>
      </c>
      <c r="AC111" s="1057">
        <f t="shared" si="2"/>
        <v>-33682.589363643914</v>
      </c>
      <c r="AF111" s="1010"/>
      <c r="AG111" s="1010"/>
      <c r="AH111" s="32"/>
    </row>
    <row r="112" spans="1:40" s="5" customFormat="1">
      <c r="A112" s="149"/>
      <c r="C112" s="1053" t="s">
        <v>1089</v>
      </c>
      <c r="D112" s="1053"/>
      <c r="G112" s="1068">
        <v>-21183.410000000003</v>
      </c>
      <c r="H112" s="1068">
        <v>0</v>
      </c>
      <c r="I112" s="1068">
        <v>0</v>
      </c>
      <c r="J112" s="1068">
        <v>0</v>
      </c>
      <c r="K112" s="1068">
        <v>0</v>
      </c>
      <c r="L112" s="1068">
        <v>0</v>
      </c>
      <c r="M112" s="1068">
        <v>0</v>
      </c>
      <c r="N112" s="1068">
        <v>0</v>
      </c>
      <c r="O112" s="1068">
        <v>0</v>
      </c>
      <c r="P112" s="1068">
        <v>0</v>
      </c>
      <c r="Q112" s="1068">
        <v>0</v>
      </c>
      <c r="R112" s="1068">
        <v>0</v>
      </c>
      <c r="S112" s="1068">
        <v>0</v>
      </c>
      <c r="T112" s="1070">
        <f t="shared" si="3"/>
        <v>-1629.4930769230773</v>
      </c>
      <c r="U112" s="1058"/>
      <c r="V112" s="1054"/>
      <c r="W112" s="1055">
        <f>+'ATT H-1A'!$H$37</f>
        <v>0.37965921295357374</v>
      </c>
      <c r="X112" s="1056">
        <f t="shared" si="4"/>
        <v>0</v>
      </c>
      <c r="Y112" s="1054">
        <f t="shared" si="5"/>
        <v>-1629.4930769230773</v>
      </c>
      <c r="Z112" s="1055">
        <f>+'ATT H-1A'!$H$16</f>
        <v>0.13888944064369446</v>
      </c>
      <c r="AA112" s="1057">
        <f t="shared" si="1"/>
        <v>-226.31938198661879</v>
      </c>
      <c r="AC112" s="1057">
        <f t="shared" si="2"/>
        <v>-226.31938198661879</v>
      </c>
      <c r="AF112" s="1010"/>
      <c r="AG112" s="1010"/>
      <c r="AH112" s="32"/>
    </row>
    <row r="113" spans="1:34" s="5" customFormat="1">
      <c r="A113" s="149"/>
      <c r="C113" s="1053" t="s">
        <v>1093</v>
      </c>
      <c r="D113" s="1053"/>
      <c r="G113" s="1068">
        <v>-6752553.1600000001</v>
      </c>
      <c r="H113" s="1068">
        <v>-6475434.0300000003</v>
      </c>
      <c r="I113" s="1068">
        <v>-6395638.7700000005</v>
      </c>
      <c r="J113" s="1068">
        <v>-6368452.2000000002</v>
      </c>
      <c r="K113" s="1068">
        <v>-6415254.6100000003</v>
      </c>
      <c r="L113" s="1068">
        <v>-6378468.3799999999</v>
      </c>
      <c r="M113" s="1068">
        <v>-6623510.3899999997</v>
      </c>
      <c r="N113" s="1068">
        <v>-6603100.5699999994</v>
      </c>
      <c r="O113" s="1068">
        <v>-6211299.1299999999</v>
      </c>
      <c r="P113" s="1068">
        <v>-6220669.9299999997</v>
      </c>
      <c r="Q113" s="1068">
        <v>-6211613.0899999999</v>
      </c>
      <c r="R113" s="1068">
        <v>-6115442.1200000001</v>
      </c>
      <c r="S113" s="1068">
        <v>-6092450.8200000003</v>
      </c>
      <c r="T113" s="1070">
        <f t="shared" si="3"/>
        <v>-6374145.1692307703</v>
      </c>
      <c r="U113" s="1058"/>
      <c r="V113" s="1054"/>
      <c r="W113" s="1055">
        <f>+'ATT H-1A'!$H$37</f>
        <v>0.37965921295357374</v>
      </c>
      <c r="X113" s="1056">
        <f t="shared" si="4"/>
        <v>0</v>
      </c>
      <c r="Y113" s="1054">
        <f t="shared" si="5"/>
        <v>-6374145.1692307703</v>
      </c>
      <c r="Z113" s="1055">
        <f>+'ATT H-1A'!$H$16</f>
        <v>0.13888944064369446</v>
      </c>
      <c r="AA113" s="1057">
        <f t="shared" si="1"/>
        <v>-885301.45713616884</v>
      </c>
      <c r="AC113" s="1057">
        <f t="shared" si="2"/>
        <v>-885301.45713616884</v>
      </c>
      <c r="AF113" s="1010"/>
      <c r="AG113" s="1010"/>
      <c r="AH113" s="32"/>
    </row>
    <row r="114" spans="1:34" s="5" customFormat="1">
      <c r="A114" s="149"/>
      <c r="C114" s="1053" t="s">
        <v>1094</v>
      </c>
      <c r="D114" s="1053"/>
      <c r="G114" s="1068">
        <v>-972120.84000000008</v>
      </c>
      <c r="H114" s="1068">
        <v>-1041443.7500000001</v>
      </c>
      <c r="I114" s="1068">
        <v>-1006870.0100000001</v>
      </c>
      <c r="J114" s="1068">
        <v>-995090.58000000007</v>
      </c>
      <c r="K114" s="1068">
        <v>-1015369.17</v>
      </c>
      <c r="L114" s="1068">
        <v>-999430.4</v>
      </c>
      <c r="M114" s="1068">
        <v>-1105602.3900000001</v>
      </c>
      <c r="N114" s="1068">
        <v>-1096759.2100000002</v>
      </c>
      <c r="O114" s="1068">
        <v>-1106661.6500000001</v>
      </c>
      <c r="P114" s="1068">
        <v>-1110721.8500000001</v>
      </c>
      <c r="Q114" s="1068">
        <v>-1106797.6900000002</v>
      </c>
      <c r="R114" s="1068">
        <v>-1065128.6600000001</v>
      </c>
      <c r="S114" s="1068">
        <v>-1055166.9600000002</v>
      </c>
      <c r="T114" s="1070">
        <f t="shared" si="3"/>
        <v>-1052089.4738461538</v>
      </c>
      <c r="U114" s="1058"/>
      <c r="V114" s="1054"/>
      <c r="W114" s="1055">
        <f>+'ATT H-1A'!$H$37</f>
        <v>0.37965921295357374</v>
      </c>
      <c r="X114" s="1056">
        <f t="shared" si="4"/>
        <v>0</v>
      </c>
      <c r="Y114" s="1054">
        <f t="shared" si="5"/>
        <v>-1052089.4738461538</v>
      </c>
      <c r="Z114" s="1055">
        <f>+'ATT H-1A'!$H$16</f>
        <v>0.13888944064369446</v>
      </c>
      <c r="AA114" s="1057">
        <f t="shared" si="1"/>
        <v>-146124.11852961112</v>
      </c>
      <c r="AC114" s="1057">
        <f t="shared" si="2"/>
        <v>-146124.11852961112</v>
      </c>
      <c r="AF114" s="1010"/>
      <c r="AG114" s="1010"/>
      <c r="AH114" s="32"/>
    </row>
    <row r="115" spans="1:34" s="5" customFormat="1">
      <c r="A115" s="149"/>
      <c r="C115" s="1053" t="s">
        <v>1084</v>
      </c>
      <c r="D115" s="1053"/>
      <c r="G115" s="1068">
        <v>-355308.39999999997</v>
      </c>
      <c r="H115" s="1068">
        <v>-370108.76999999984</v>
      </c>
      <c r="I115" s="1068">
        <v>-393665.48999999987</v>
      </c>
      <c r="J115" s="1068">
        <v>-408018.84999999986</v>
      </c>
      <c r="K115" s="1068">
        <v>-273054.81999999989</v>
      </c>
      <c r="L115" s="1068">
        <v>-283707.46999999991</v>
      </c>
      <c r="M115" s="1068">
        <v>-297923.83999999991</v>
      </c>
      <c r="N115" s="1068">
        <v>-347309.08999999997</v>
      </c>
      <c r="O115" s="1068">
        <v>-353925.51</v>
      </c>
      <c r="P115" s="1068">
        <v>-358728.86</v>
      </c>
      <c r="Q115" s="1068">
        <v>-371660.67999999993</v>
      </c>
      <c r="R115" s="1068">
        <v>-379453.33999999997</v>
      </c>
      <c r="S115" s="1068">
        <v>-410658.78999999992</v>
      </c>
      <c r="T115" s="1070">
        <f t="shared" si="3"/>
        <v>-354117.22384615376</v>
      </c>
      <c r="U115" s="1058"/>
      <c r="V115" s="1054"/>
      <c r="W115" s="1055">
        <f>+'ATT H-1A'!$H$37</f>
        <v>0.37965921295357374</v>
      </c>
      <c r="X115" s="1056">
        <f t="shared" si="4"/>
        <v>0</v>
      </c>
      <c r="Y115" s="1054">
        <f t="shared" si="5"/>
        <v>-354117.22384615376</v>
      </c>
      <c r="Z115" s="1055">
        <f>+'ATT H-1A'!$H$16</f>
        <v>0.13888944064369446</v>
      </c>
      <c r="AA115" s="1057">
        <f t="shared" si="1"/>
        <v>-49183.143142290239</v>
      </c>
      <c r="AC115" s="1057">
        <f t="shared" si="2"/>
        <v>-49183.143142290239</v>
      </c>
      <c r="AF115" s="1010"/>
      <c r="AG115" s="1010"/>
      <c r="AH115" s="32"/>
    </row>
    <row r="116" spans="1:34" s="5" customFormat="1">
      <c r="A116" s="149"/>
      <c r="C116" s="1053" t="s">
        <v>1260</v>
      </c>
      <c r="D116" s="1053"/>
      <c r="G116" s="1068">
        <v>-474011.53</v>
      </c>
      <c r="H116" s="1068">
        <v>-439474.28</v>
      </c>
      <c r="I116" s="1068">
        <v>-390908.77</v>
      </c>
      <c r="J116" s="1068">
        <v>-357767.01</v>
      </c>
      <c r="K116" s="1068">
        <v>-318092.24</v>
      </c>
      <c r="L116" s="1068">
        <v>-278346.82</v>
      </c>
      <c r="M116" s="1068">
        <v>-238601.41</v>
      </c>
      <c r="N116" s="1068">
        <v>-198849.36</v>
      </c>
      <c r="O116" s="1068">
        <v>-161064.44</v>
      </c>
      <c r="P116" s="1068">
        <v>-123009.01</v>
      </c>
      <c r="Q116" s="1068">
        <v>-85072.82</v>
      </c>
      <c r="R116" s="1068">
        <v>-47798.12</v>
      </c>
      <c r="S116" s="1068">
        <v>-10328.410000000003</v>
      </c>
      <c r="T116" s="1070">
        <f t="shared" si="3"/>
        <v>-240255.70923076922</v>
      </c>
      <c r="U116" s="1058"/>
      <c r="V116" s="1054"/>
      <c r="W116" s="1055">
        <f>+'ATT H-1A'!$H$37</f>
        <v>0.37965921295357374</v>
      </c>
      <c r="X116" s="1056">
        <f t="shared" si="4"/>
        <v>0</v>
      </c>
      <c r="Y116" s="1054">
        <f t="shared" si="5"/>
        <v>-240255.70923076922</v>
      </c>
      <c r="Z116" s="1055">
        <f>+'ATT H-1A'!$H$16</f>
        <v>0.13888944064369446</v>
      </c>
      <c r="AA116" s="1057">
        <f t="shared" si="1"/>
        <v>-33368.98106651564</v>
      </c>
      <c r="AC116" s="1057">
        <f t="shared" si="2"/>
        <v>-33368.98106651564</v>
      </c>
      <c r="AF116" s="1010"/>
      <c r="AG116" s="1010"/>
      <c r="AH116" s="32"/>
    </row>
    <row r="117" spans="1:34" s="5" customFormat="1">
      <c r="A117" s="149"/>
      <c r="C117" s="1053" t="s">
        <v>1085</v>
      </c>
      <c r="D117" s="1053"/>
      <c r="G117" s="1068">
        <v>-6944680.4799999986</v>
      </c>
      <c r="H117" s="1068">
        <v>-7401707.6999999983</v>
      </c>
      <c r="I117" s="1068">
        <v>-931152.65</v>
      </c>
      <c r="J117" s="1068">
        <v>-1324842.5999999999</v>
      </c>
      <c r="K117" s="1068">
        <v>-1753899.72</v>
      </c>
      <c r="L117" s="1068">
        <v>-2153572.91</v>
      </c>
      <c r="M117" s="1068">
        <v>-3510491.9000000004</v>
      </c>
      <c r="N117" s="1068">
        <v>-4074613.14</v>
      </c>
      <c r="O117" s="1068">
        <v>-4592845.2700000005</v>
      </c>
      <c r="P117" s="1068">
        <v>-4956443.57</v>
      </c>
      <c r="Q117" s="1068">
        <v>-5479190.2599999998</v>
      </c>
      <c r="R117" s="1068">
        <v>-6275508.3200000003</v>
      </c>
      <c r="S117" s="1068">
        <v>-8316357.9900000012</v>
      </c>
      <c r="T117" s="1070">
        <f t="shared" si="3"/>
        <v>-4439638.9623076925</v>
      </c>
      <c r="U117" s="1058"/>
      <c r="V117" s="1054"/>
      <c r="W117" s="1055">
        <f>+'ATT H-1A'!$H$37</f>
        <v>0.37965921295357374</v>
      </c>
      <c r="X117" s="1056">
        <f t="shared" si="4"/>
        <v>0</v>
      </c>
      <c r="Y117" s="1054">
        <f t="shared" si="5"/>
        <v>-4439638.9623076925</v>
      </c>
      <c r="Z117" s="1055">
        <f>+'ATT H-1A'!$H$16</f>
        <v>0.13888944064369446</v>
      </c>
      <c r="AA117" s="1057">
        <f t="shared" si="1"/>
        <v>-616618.97213486757</v>
      </c>
      <c r="AC117" s="1057">
        <f t="shared" si="2"/>
        <v>-616618.97213486757</v>
      </c>
      <c r="AF117" s="1010"/>
      <c r="AG117" s="1010"/>
      <c r="AH117" s="32"/>
    </row>
    <row r="118" spans="1:34" s="5" customFormat="1">
      <c r="A118" s="149"/>
      <c r="C118" s="1053" t="s">
        <v>1086</v>
      </c>
      <c r="D118" s="1053"/>
      <c r="G118" s="1068">
        <v>-2717454.9299999997</v>
      </c>
      <c r="H118" s="1068">
        <v>-2602066.34</v>
      </c>
      <c r="I118" s="1068">
        <v>-2595782.1799999997</v>
      </c>
      <c r="J118" s="1068">
        <v>-2395380.7099999995</v>
      </c>
      <c r="K118" s="1068">
        <v>-2440043.7899999996</v>
      </c>
      <c r="L118" s="1068">
        <v>-2305997.9399999995</v>
      </c>
      <c r="M118" s="1068">
        <v>-4110826.0899999994</v>
      </c>
      <c r="N118" s="1068">
        <v>-2673759.54</v>
      </c>
      <c r="O118" s="1068">
        <v>-2730138.62</v>
      </c>
      <c r="P118" s="1068">
        <v>-2679169.4</v>
      </c>
      <c r="Q118" s="1068">
        <v>-2645582.16</v>
      </c>
      <c r="R118" s="1068">
        <v>-2790319.89</v>
      </c>
      <c r="S118" s="1068">
        <v>-3362680.67</v>
      </c>
      <c r="T118" s="1070">
        <f t="shared" si="3"/>
        <v>-2773015.5584615385</v>
      </c>
      <c r="U118" s="1058"/>
      <c r="V118" s="1054"/>
      <c r="W118" s="1055">
        <f>+'ATT H-1A'!$H$37</f>
        <v>0.37965921295357374</v>
      </c>
      <c r="X118" s="1056">
        <f t="shared" si="4"/>
        <v>0</v>
      </c>
      <c r="Y118" s="1054">
        <f t="shared" si="5"/>
        <v>-2773015.5584615385</v>
      </c>
      <c r="Z118" s="1055">
        <f>+'ATT H-1A'!$H$16</f>
        <v>0.13888944064369446</v>
      </c>
      <c r="AA118" s="1057">
        <f t="shared" si="1"/>
        <v>-385142.57981098513</v>
      </c>
      <c r="AC118" s="1057">
        <f t="shared" si="2"/>
        <v>-385142.57981098513</v>
      </c>
      <c r="AF118" s="1010"/>
      <c r="AG118" s="1010"/>
      <c r="AH118" s="32"/>
    </row>
    <row r="119" spans="1:34" s="5" customFormat="1">
      <c r="A119" s="149"/>
      <c r="C119" s="1053" t="s">
        <v>1088</v>
      </c>
      <c r="D119" s="1053"/>
      <c r="G119" s="1068">
        <v>-162942.44</v>
      </c>
      <c r="H119" s="1068">
        <v>-162942.44</v>
      </c>
      <c r="I119" s="1068">
        <v>-162942.44</v>
      </c>
      <c r="J119" s="1068">
        <v>-162942.44</v>
      </c>
      <c r="K119" s="1068">
        <v>-162942.44</v>
      </c>
      <c r="L119" s="1068">
        <v>-162942.44</v>
      </c>
      <c r="M119" s="1068">
        <v>-162942.44</v>
      </c>
      <c r="N119" s="1068">
        <v>-162942.44</v>
      </c>
      <c r="O119" s="1068">
        <v>-162942.44</v>
      </c>
      <c r="P119" s="1068">
        <v>-162942.44</v>
      </c>
      <c r="Q119" s="1068">
        <v>-162942.44</v>
      </c>
      <c r="R119" s="1068">
        <v>-162942.44</v>
      </c>
      <c r="S119" s="1068">
        <v>-162942.44</v>
      </c>
      <c r="T119" s="1070">
        <f t="shared" si="3"/>
        <v>-162942.43999999997</v>
      </c>
      <c r="U119" s="1058"/>
      <c r="V119" s="1054"/>
      <c r="W119" s="1055">
        <f>+'ATT H-1A'!$H$37</f>
        <v>0.37965921295357374</v>
      </c>
      <c r="X119" s="1056">
        <f t="shared" si="4"/>
        <v>0</v>
      </c>
      <c r="Y119" s="1054">
        <f t="shared" si="5"/>
        <v>-162942.43999999997</v>
      </c>
      <c r="Z119" s="1055">
        <f>+'ATT H-1A'!$H$16</f>
        <v>0.13888944064369446</v>
      </c>
      <c r="AA119" s="1057">
        <f t="shared" si="1"/>
        <v>-22630.984348718743</v>
      </c>
      <c r="AC119" s="1057">
        <f t="shared" si="2"/>
        <v>-22630.984348718743</v>
      </c>
      <c r="AF119" s="1010"/>
      <c r="AG119" s="1010"/>
      <c r="AH119" s="32"/>
    </row>
    <row r="120" spans="1:34" s="5" customFormat="1">
      <c r="A120" s="149"/>
      <c r="C120" s="1053" t="s">
        <v>1259</v>
      </c>
      <c r="D120" s="1053"/>
      <c r="G120" s="1068">
        <v>-81888.94</v>
      </c>
      <c r="H120" s="1068">
        <v>-58277.83</v>
      </c>
      <c r="I120" s="1068">
        <v>-59666.720000000001</v>
      </c>
      <c r="J120" s="1068">
        <v>-51055.61</v>
      </c>
      <c r="K120" s="1068">
        <v>-52444.5</v>
      </c>
      <c r="L120" s="1068">
        <v>-53833.39</v>
      </c>
      <c r="M120" s="1068">
        <v>-55222.28</v>
      </c>
      <c r="N120" s="1068">
        <v>-56611.17</v>
      </c>
      <c r="O120" s="1068">
        <v>-58000.06</v>
      </c>
      <c r="P120" s="1068">
        <v>-8000.0599999999977</v>
      </c>
      <c r="Q120" s="1068">
        <v>-8000.0599999999977</v>
      </c>
      <c r="R120" s="1068">
        <v>-8000.0599999999977</v>
      </c>
      <c r="S120" s="1068">
        <v>-8000.0599999999977</v>
      </c>
      <c r="T120" s="1070">
        <f t="shared" si="3"/>
        <v>-43000.05692307694</v>
      </c>
      <c r="U120" s="1058"/>
      <c r="V120" s="1054"/>
      <c r="W120" s="1055">
        <f>+'ATT H-1A'!$H$37</f>
        <v>0.37965921295357374</v>
      </c>
      <c r="X120" s="1056">
        <f t="shared" ref="X120:X121" si="6">+V120*W120</f>
        <v>0</v>
      </c>
      <c r="Y120" s="1054">
        <f t="shared" si="5"/>
        <v>-43000.05692307694</v>
      </c>
      <c r="Z120" s="1055">
        <f>+'ATT H-1A'!$H$16</f>
        <v>0.13888944064369446</v>
      </c>
      <c r="AA120" s="1057">
        <f t="shared" ref="AA120:AA121" si="7">+Z120*Y120</f>
        <v>-5972.2538536931779</v>
      </c>
      <c r="AC120" s="1057">
        <f t="shared" ref="AC120:AC121" si="8">X120+AA120+AB120</f>
        <v>-5972.2538536931779</v>
      </c>
      <c r="AF120" s="1010"/>
      <c r="AG120" s="1010"/>
      <c r="AH120" s="32"/>
    </row>
    <row r="121" spans="1:34" s="5" customFormat="1">
      <c r="A121" s="149"/>
      <c r="C121" s="1053" t="s">
        <v>1786</v>
      </c>
      <c r="D121" s="1053"/>
      <c r="G121" s="1068">
        <v>-38894.839999999997</v>
      </c>
      <c r="H121" s="1068">
        <v>-38583.919999999998</v>
      </c>
      <c r="I121" s="1068">
        <v>-37402.639999999999</v>
      </c>
      <c r="J121" s="1068">
        <v>-34535.159999999996</v>
      </c>
      <c r="K121" s="1068">
        <v>-36666.78</v>
      </c>
      <c r="L121" s="1068">
        <v>-37653.549999999996</v>
      </c>
      <c r="M121" s="1068">
        <v>-41873.39</v>
      </c>
      <c r="N121" s="1068">
        <v>-44862.53</v>
      </c>
      <c r="O121" s="1068">
        <v>-49775.83</v>
      </c>
      <c r="P121" s="1068">
        <v>-52369.25</v>
      </c>
      <c r="Q121" s="1068">
        <v>-56277.98</v>
      </c>
      <c r="R121" s="1068">
        <v>-64485.23</v>
      </c>
      <c r="S121" s="1068">
        <v>-71553.17</v>
      </c>
      <c r="T121" s="1070">
        <f t="shared" si="3"/>
        <v>-46533.405384615384</v>
      </c>
      <c r="U121" s="1058"/>
      <c r="V121" s="1054"/>
      <c r="W121" s="1055">
        <f>+'ATT H-1A'!$H$37</f>
        <v>0.37965921295357374</v>
      </c>
      <c r="X121" s="1056">
        <f t="shared" si="6"/>
        <v>0</v>
      </c>
      <c r="Y121" s="1054">
        <f t="shared" si="5"/>
        <v>-46533.405384615384</v>
      </c>
      <c r="Z121" s="1055">
        <f>+'ATT H-1A'!$H$16</f>
        <v>0.13888944064369446</v>
      </c>
      <c r="AA121" s="1057">
        <f t="shared" si="7"/>
        <v>-6462.998645115511</v>
      </c>
      <c r="AC121" s="1057">
        <f t="shared" si="8"/>
        <v>-6462.998645115511</v>
      </c>
      <c r="AF121" s="1010"/>
      <c r="AG121" s="1010"/>
      <c r="AH121" s="32"/>
    </row>
    <row r="122" spans="1:34" s="5" customFormat="1">
      <c r="A122" s="149"/>
      <c r="C122" s="1053"/>
      <c r="G122" s="1060"/>
      <c r="H122" s="1060"/>
      <c r="I122" s="1060"/>
      <c r="J122" s="1060"/>
      <c r="K122" s="1060"/>
      <c r="L122" s="1060"/>
      <c r="M122" s="1060"/>
      <c r="N122" s="1060"/>
      <c r="O122" s="1060"/>
      <c r="P122" s="1060"/>
      <c r="Q122" s="1060"/>
      <c r="R122" s="1060"/>
      <c r="S122" s="1060"/>
      <c r="T122" s="1071"/>
      <c r="U122" s="1058"/>
      <c r="V122" s="1054"/>
      <c r="W122" s="1059"/>
      <c r="X122" s="1056"/>
      <c r="Y122" s="1054"/>
      <c r="Z122" s="1055"/>
      <c r="AA122" s="1057"/>
      <c r="AC122" s="1057"/>
      <c r="AF122" s="1010"/>
      <c r="AG122" s="1010"/>
      <c r="AH122" s="32"/>
    </row>
    <row r="123" spans="1:34" s="5" customFormat="1" ht="15" thickBot="1">
      <c r="A123" s="149"/>
      <c r="C123" s="653" t="s">
        <v>1090</v>
      </c>
      <c r="G123" s="1061">
        <f t="shared" ref="G123:S123" si="9">SUM(G106:G122)</f>
        <v>-38811213.350000001</v>
      </c>
      <c r="H123" s="1061">
        <f t="shared" si="9"/>
        <v>-38805070.719999999</v>
      </c>
      <c r="I123" s="1061">
        <f t="shared" si="9"/>
        <v>-32035427.169999994</v>
      </c>
      <c r="J123" s="1061">
        <f t="shared" si="9"/>
        <v>-32037459.879999999</v>
      </c>
      <c r="K123" s="1061">
        <f t="shared" si="9"/>
        <v>-32420310.479999997</v>
      </c>
      <c r="L123" s="1061">
        <f t="shared" si="9"/>
        <v>-32267752.959999993</v>
      </c>
      <c r="M123" s="1061">
        <f t="shared" si="9"/>
        <v>-35620164.209999993</v>
      </c>
      <c r="N123" s="1061">
        <f t="shared" si="9"/>
        <v>-34595220.599999994</v>
      </c>
      <c r="O123" s="1061">
        <f t="shared" si="9"/>
        <v>-34992312.679999992</v>
      </c>
      <c r="P123" s="1061">
        <f t="shared" si="9"/>
        <v>-35707388.5</v>
      </c>
      <c r="Q123" s="1061">
        <f t="shared" si="9"/>
        <v>-36253289.909999989</v>
      </c>
      <c r="R123" s="1061">
        <f t="shared" si="9"/>
        <v>-37739769.68999999</v>
      </c>
      <c r="S123" s="1061">
        <f t="shared" si="9"/>
        <v>-40219890.359999999</v>
      </c>
      <c r="T123" s="1072">
        <f t="shared" si="3"/>
        <v>-35500405.423846141</v>
      </c>
      <c r="U123" s="1058"/>
      <c r="V123" s="1062">
        <f>SUM(V106:V122)</f>
        <v>-3889709.9892307688</v>
      </c>
      <c r="W123" s="813"/>
      <c r="X123" s="1062">
        <f>SUM(X106:X122)</f>
        <v>-1476764.2331290075</v>
      </c>
      <c r="Y123" s="1062">
        <f>SUM(Y106:Y122)</f>
        <v>-31610695.434615377</v>
      </c>
      <c r="Z123" s="1063"/>
      <c r="AA123" s="1062">
        <f>SUM(AA106:AA122)</f>
        <v>-4390391.8072719183</v>
      </c>
      <c r="AB123" s="1062">
        <f>SUM(AB106:AB122)</f>
        <v>0</v>
      </c>
      <c r="AC123" s="1062">
        <f>SUM(AC106:AC122)</f>
        <v>-5867156.040400926</v>
      </c>
      <c r="AD123" s="1053" t="s">
        <v>1760</v>
      </c>
      <c r="AF123" s="1010"/>
      <c r="AG123" s="1010"/>
      <c r="AH123" s="32"/>
    </row>
    <row r="124" spans="1:34" s="5" customFormat="1" ht="15" thickTop="1">
      <c r="A124" s="149"/>
      <c r="C124" s="653"/>
      <c r="G124" s="1064"/>
      <c r="H124" s="1064"/>
      <c r="I124" s="1064"/>
      <c r="J124" s="1064"/>
      <c r="K124" s="1064"/>
      <c r="L124" s="1064"/>
      <c r="M124" s="1064"/>
      <c r="N124" s="1064"/>
      <c r="O124" s="1064"/>
      <c r="P124" s="1064"/>
      <c r="Q124" s="1064"/>
      <c r="R124" s="1064"/>
      <c r="S124" s="1064"/>
      <c r="T124" s="1065"/>
      <c r="U124" s="1066"/>
      <c r="V124" s="1065"/>
      <c r="W124" s="813"/>
      <c r="X124" s="1065"/>
      <c r="Y124" s="1065"/>
      <c r="Z124" s="1063"/>
      <c r="AA124" s="1065"/>
      <c r="AB124" s="1065"/>
      <c r="AC124" s="1065"/>
      <c r="AD124" s="1053"/>
      <c r="AF124" s="1010"/>
      <c r="AG124" s="1010"/>
      <c r="AH124" s="32"/>
    </row>
    <row r="125" spans="1:34" s="5" customFormat="1" ht="15" customHeight="1">
      <c r="A125" s="149"/>
      <c r="C125" s="1830" t="s">
        <v>1091</v>
      </c>
      <c r="D125" s="1830"/>
      <c r="E125" s="1830"/>
      <c r="F125" s="1830"/>
      <c r="G125" s="1830"/>
      <c r="H125" s="1830"/>
      <c r="I125" s="1830"/>
      <c r="J125" s="1830"/>
      <c r="K125" s="1830"/>
      <c r="L125" s="1830"/>
      <c r="M125" s="1830"/>
      <c r="N125" s="1830"/>
      <c r="O125" s="1830"/>
      <c r="P125" s="1830"/>
      <c r="Q125" s="1830"/>
      <c r="R125" s="1830"/>
      <c r="S125" s="1830"/>
      <c r="T125" s="1830"/>
      <c r="U125" s="1066"/>
      <c r="V125" s="1147"/>
      <c r="W125" s="813"/>
      <c r="X125" s="1065"/>
      <c r="Y125" s="1065"/>
      <c r="Z125" s="1063"/>
      <c r="AA125" s="1065"/>
      <c r="AB125" s="1065"/>
      <c r="AC125" s="1065"/>
      <c r="AD125" s="1053"/>
      <c r="AF125" s="1010"/>
      <c r="AG125" s="1010"/>
      <c r="AH125" s="32"/>
    </row>
    <row r="126" spans="1:34" s="5" customFormat="1">
      <c r="A126" s="149"/>
      <c r="C126" s="1830"/>
      <c r="D126" s="1830"/>
      <c r="E126" s="1830"/>
      <c r="F126" s="1830"/>
      <c r="G126" s="1830"/>
      <c r="H126" s="1830"/>
      <c r="I126" s="1830"/>
      <c r="J126" s="1830"/>
      <c r="K126" s="1830"/>
      <c r="L126" s="1830"/>
      <c r="M126" s="1830"/>
      <c r="N126" s="1830"/>
      <c r="O126" s="1830"/>
      <c r="P126" s="1830"/>
      <c r="Q126" s="1830"/>
      <c r="R126" s="1830"/>
      <c r="S126" s="1830"/>
      <c r="T126" s="1830"/>
      <c r="U126" s="1066"/>
      <c r="V126" s="1065"/>
      <c r="W126" s="813"/>
      <c r="X126" s="1065"/>
      <c r="Y126" s="1065"/>
      <c r="Z126" s="1063"/>
      <c r="AA126" s="1065"/>
      <c r="AB126" s="1065"/>
      <c r="AC126" s="1065"/>
      <c r="AD126" s="1053"/>
      <c r="AF126" s="1010"/>
      <c r="AG126" s="1010"/>
      <c r="AH126" s="32"/>
    </row>
    <row r="127" spans="1:34" s="5" customFormat="1">
      <c r="A127" s="149"/>
      <c r="C127" s="1830"/>
      <c r="D127" s="1830"/>
      <c r="E127" s="1830"/>
      <c r="F127" s="1830"/>
      <c r="G127" s="1830"/>
      <c r="H127" s="1830"/>
      <c r="I127" s="1830"/>
      <c r="J127" s="1830"/>
      <c r="K127" s="1830"/>
      <c r="L127" s="1830"/>
      <c r="M127" s="1830"/>
      <c r="N127" s="1830"/>
      <c r="O127" s="1830"/>
      <c r="P127" s="1830"/>
      <c r="Q127" s="1830"/>
      <c r="R127" s="1830"/>
      <c r="S127" s="1830"/>
      <c r="T127" s="1830"/>
      <c r="U127" s="1066"/>
      <c r="V127" s="1065"/>
      <c r="W127" s="813"/>
      <c r="X127" s="1065"/>
      <c r="Y127" s="1065"/>
      <c r="Z127" s="1063"/>
      <c r="AA127" s="1065"/>
      <c r="AB127" s="1065"/>
      <c r="AC127" s="1065"/>
      <c r="AD127" s="1053"/>
      <c r="AF127" s="1010"/>
      <c r="AG127" s="1010"/>
      <c r="AH127" s="32"/>
    </row>
    <row r="128" spans="1:34" s="5" customFormat="1" ht="15" thickBot="1">
      <c r="A128" s="155"/>
      <c r="B128" s="106"/>
      <c r="C128" s="1067"/>
      <c r="D128" s="1067"/>
      <c r="E128" s="1067"/>
      <c r="F128" s="1067"/>
      <c r="G128" s="1067"/>
      <c r="H128" s="1067"/>
      <c r="I128" s="1067"/>
      <c r="J128" s="1067"/>
      <c r="K128" s="1067"/>
      <c r="L128" s="1067"/>
      <c r="M128" s="1067"/>
      <c r="N128" s="1067"/>
      <c r="O128" s="1067"/>
      <c r="P128" s="1067"/>
      <c r="Q128" s="1067"/>
      <c r="R128" s="1067"/>
      <c r="S128" s="1067"/>
      <c r="T128" s="1067"/>
      <c r="U128" s="1067"/>
      <c r="V128" s="1067"/>
      <c r="W128" s="106"/>
      <c r="X128" s="106"/>
      <c r="Y128" s="106"/>
      <c r="Z128" s="106"/>
      <c r="AA128" s="106"/>
      <c r="AB128" s="106"/>
      <c r="AC128" s="106"/>
      <c r="AD128" s="108"/>
      <c r="AE128" s="108"/>
      <c r="AF128" s="108"/>
      <c r="AG128" s="108"/>
      <c r="AH128" s="930"/>
    </row>
    <row r="129" spans="1:17">
      <c r="A129" s="153"/>
      <c r="B129" s="153"/>
      <c r="C129" s="153"/>
      <c r="D129" s="153"/>
      <c r="E129" s="153"/>
      <c r="F129" s="153"/>
      <c r="G129" s="20"/>
      <c r="H129" s="20"/>
      <c r="I129" s="20"/>
      <c r="J129" s="20"/>
      <c r="K129" s="154"/>
      <c r="L129" s="20"/>
      <c r="M129" s="20"/>
      <c r="N129" s="20"/>
      <c r="O129" s="20"/>
      <c r="P129" s="20"/>
      <c r="Q129" s="20"/>
    </row>
    <row r="130" spans="1:17" ht="15" thickBot="1">
      <c r="A130" s="153"/>
      <c r="B130" s="153"/>
      <c r="C130" s="153"/>
      <c r="D130" s="153"/>
      <c r="E130" s="153"/>
      <c r="F130" s="153"/>
      <c r="G130" s="20"/>
      <c r="H130" s="20"/>
      <c r="I130" s="20"/>
      <c r="J130" s="20"/>
      <c r="K130" s="154"/>
      <c r="L130" s="20"/>
      <c r="M130" s="20"/>
      <c r="N130" s="20"/>
      <c r="O130" s="20"/>
      <c r="P130" s="20"/>
      <c r="Q130" s="20"/>
    </row>
    <row r="131" spans="1:17" ht="18">
      <c r="A131" s="1831" t="s">
        <v>1188</v>
      </c>
      <c r="B131" s="1832"/>
      <c r="C131" s="1832"/>
      <c r="D131" s="1832"/>
      <c r="E131" s="1832"/>
      <c r="F131" s="1832"/>
      <c r="G131" s="1156"/>
      <c r="H131" s="1157" t="s">
        <v>236</v>
      </c>
      <c r="I131" s="1157" t="s">
        <v>1046</v>
      </c>
      <c r="J131" s="1251" t="s">
        <v>1247</v>
      </c>
      <c r="K131" s="154"/>
      <c r="L131" s="20"/>
      <c r="M131" s="20"/>
      <c r="N131" s="20"/>
      <c r="O131" s="20"/>
      <c r="P131" s="20"/>
      <c r="Q131" s="20"/>
    </row>
    <row r="132" spans="1:17" ht="15.5">
      <c r="A132" s="945"/>
      <c r="C132" t="s">
        <v>1188</v>
      </c>
      <c r="D132" s="1127"/>
      <c r="E132" s="1128"/>
      <c r="F132" s="1128"/>
      <c r="J132" s="1130"/>
      <c r="K132" s="154"/>
      <c r="L132" s="20"/>
      <c r="M132" s="20"/>
      <c r="N132" s="20"/>
      <c r="O132" s="20"/>
      <c r="P132" s="20"/>
      <c r="Q132" s="20"/>
    </row>
    <row r="133" spans="1:17" ht="15.5">
      <c r="A133" s="945"/>
      <c r="D133" s="1127"/>
      <c r="E133" s="1128"/>
      <c r="F133" s="1128"/>
      <c r="G133" s="1129"/>
      <c r="H133" s="1159">
        <f>+'ATT H-1A'!H16</f>
        <v>0.13888944064369446</v>
      </c>
      <c r="I133" t="s">
        <v>1197</v>
      </c>
      <c r="J133" s="1130"/>
      <c r="K133" s="154"/>
      <c r="L133" s="20"/>
      <c r="M133" s="20"/>
      <c r="N133" s="20"/>
      <c r="O133" s="20"/>
      <c r="P133" s="20"/>
      <c r="Q133" s="20"/>
    </row>
    <row r="134" spans="1:17" ht="15.5">
      <c r="A134" s="945"/>
      <c r="C134" t="s">
        <v>1787</v>
      </c>
      <c r="D134" s="1127" t="s">
        <v>1788</v>
      </c>
      <c r="E134" s="1128"/>
      <c r="F134" s="1128"/>
      <c r="G134" s="1129">
        <v>444706.95</v>
      </c>
      <c r="H134" s="1158">
        <v>1</v>
      </c>
      <c r="I134" t="s">
        <v>1078</v>
      </c>
      <c r="J134" s="1130"/>
      <c r="K134" s="154"/>
      <c r="L134" s="20"/>
      <c r="M134" s="20"/>
      <c r="N134" s="20"/>
      <c r="O134" s="20"/>
      <c r="P134" s="20"/>
      <c r="Q134" s="20"/>
    </row>
    <row r="135" spans="1:17" ht="15.5">
      <c r="A135" s="945"/>
      <c r="G135" s="1131"/>
      <c r="H135" s="1159">
        <f>+'ATT H-1A'!H37</f>
        <v>0.37965921295357374</v>
      </c>
      <c r="I135" t="s">
        <v>548</v>
      </c>
      <c r="J135" s="1130"/>
      <c r="K135" s="154"/>
      <c r="L135" s="20"/>
      <c r="M135" s="20"/>
      <c r="N135" s="20"/>
      <c r="O135" s="20"/>
      <c r="P135" s="20"/>
      <c r="Q135" s="20"/>
    </row>
    <row r="136" spans="1:17" ht="15.5">
      <c r="A136" s="945"/>
      <c r="D136" s="1127"/>
      <c r="E136" s="1128"/>
      <c r="F136" s="1128"/>
      <c r="G136" s="1129">
        <f>SUM(G133:G135)</f>
        <v>444706.95</v>
      </c>
      <c r="H136" s="1128"/>
      <c r="J136" s="1130"/>
      <c r="K136" s="154"/>
      <c r="L136" s="20"/>
      <c r="M136" s="20"/>
      <c r="N136" s="20"/>
      <c r="O136" s="20"/>
      <c r="P136" s="20"/>
      <c r="Q136" s="20"/>
    </row>
    <row r="137" spans="1:17" ht="15.5">
      <c r="A137" s="945"/>
      <c r="C137" s="201"/>
      <c r="D137" s="1127"/>
      <c r="E137" s="1137"/>
      <c r="F137" s="1128"/>
      <c r="G137" s="1133"/>
      <c r="H137" s="1128"/>
      <c r="J137" s="1130"/>
      <c r="K137" s="154"/>
      <c r="L137" s="20"/>
      <c r="M137" s="20"/>
      <c r="N137" s="20"/>
      <c r="O137" s="20"/>
      <c r="P137" s="20"/>
      <c r="Q137" s="20"/>
    </row>
    <row r="138" spans="1:17" ht="15.5">
      <c r="A138" s="945"/>
      <c r="C138" s="201"/>
      <c r="D138" s="1127"/>
      <c r="E138" s="1137"/>
      <c r="F138" s="1128"/>
      <c r="G138" s="1132"/>
      <c r="J138" s="1130"/>
      <c r="K138" s="154"/>
      <c r="L138" s="20"/>
      <c r="M138" s="20"/>
      <c r="N138" s="20"/>
      <c r="O138" s="20"/>
      <c r="P138" s="20"/>
      <c r="Q138" s="20"/>
    </row>
    <row r="139" spans="1:17" ht="15.5">
      <c r="A139" s="945"/>
      <c r="C139" s="201"/>
      <c r="D139" s="1127"/>
      <c r="E139" s="1137"/>
      <c r="F139" s="1128"/>
      <c r="G139" s="1134"/>
      <c r="H139" s="1128"/>
      <c r="J139" s="1130"/>
      <c r="K139" s="154"/>
      <c r="L139" s="20"/>
      <c r="M139" s="20"/>
      <c r="N139" s="20"/>
      <c r="O139" s="20"/>
      <c r="P139" s="20"/>
      <c r="Q139" s="20"/>
    </row>
    <row r="140" spans="1:17" ht="16" thickBot="1">
      <c r="A140" s="104"/>
      <c r="B140" s="105"/>
      <c r="C140" s="105"/>
      <c r="D140" s="1135"/>
      <c r="E140" s="1136"/>
      <c r="F140" s="1136"/>
      <c r="G140" s="1702">
        <f>SUMPRODUCT(G133:G135,H133:H135)</f>
        <v>444706.95</v>
      </c>
      <c r="H140" s="1136" t="s">
        <v>1189</v>
      </c>
      <c r="I140" s="105"/>
      <c r="J140" s="107"/>
      <c r="K140" s="154"/>
      <c r="L140" s="20"/>
      <c r="M140" s="20"/>
      <c r="N140" s="20"/>
      <c r="O140" s="20"/>
      <c r="P140" s="20"/>
      <c r="Q140" s="20"/>
    </row>
    <row r="141" spans="1:17">
      <c r="A141" s="153"/>
      <c r="B141" s="153"/>
      <c r="C141" s="153"/>
      <c r="D141" s="153"/>
      <c r="E141" s="153"/>
      <c r="F141" s="153"/>
      <c r="G141" s="20"/>
      <c r="H141" s="20"/>
      <c r="I141" s="20"/>
      <c r="J141" s="20"/>
      <c r="K141" s="154"/>
      <c r="L141" s="20"/>
      <c r="M141" s="20"/>
      <c r="N141" s="20"/>
      <c r="O141" s="20"/>
      <c r="P141" s="20"/>
      <c r="Q141" s="20"/>
    </row>
    <row r="142" spans="1:17">
      <c r="A142" s="153"/>
      <c r="B142" s="153"/>
      <c r="C142" s="153"/>
      <c r="D142" s="153"/>
      <c r="E142" s="153"/>
      <c r="F142" s="153"/>
      <c r="G142" s="20"/>
      <c r="H142" s="20"/>
      <c r="I142" s="20"/>
      <c r="J142" s="20"/>
      <c r="K142" s="154"/>
      <c r="L142" s="20"/>
      <c r="M142" s="20"/>
      <c r="N142" s="20"/>
      <c r="O142" s="20"/>
      <c r="P142" s="20"/>
      <c r="Q142" s="20"/>
    </row>
    <row r="143" spans="1:17" ht="18.75" customHeight="1">
      <c r="A143" s="153"/>
      <c r="B143" s="153"/>
      <c r="C143" s="153"/>
      <c r="D143" s="153"/>
      <c r="E143" s="153"/>
      <c r="F143" s="153"/>
      <c r="G143" s="1703"/>
      <c r="H143" s="20"/>
      <c r="I143" s="20"/>
      <c r="J143" s="20"/>
      <c r="K143" s="154"/>
      <c r="L143" s="20"/>
      <c r="M143" s="20"/>
      <c r="N143" s="20"/>
      <c r="O143" s="20"/>
      <c r="P143" s="20"/>
      <c r="Q143" s="20"/>
    </row>
    <row r="144" spans="1:17" ht="20.5" thickBot="1">
      <c r="A144" s="55" t="s">
        <v>116</v>
      </c>
      <c r="G144" s="43"/>
      <c r="H144" s="43"/>
      <c r="I144" s="43"/>
      <c r="J144" s="43"/>
      <c r="K144" s="43"/>
      <c r="L144" s="43"/>
      <c r="M144" s="43"/>
      <c r="N144" s="43"/>
      <c r="O144" s="43"/>
      <c r="P144" s="43"/>
      <c r="Q144" s="43"/>
    </row>
    <row r="145" spans="1:18" ht="27">
      <c r="A145" s="1787" t="s">
        <v>50</v>
      </c>
      <c r="B145" s="1788"/>
      <c r="C145" s="1788"/>
      <c r="D145" s="1788"/>
      <c r="E145" s="1788"/>
      <c r="F145" s="1789"/>
      <c r="G145" s="57" t="s">
        <v>334</v>
      </c>
      <c r="H145" s="1792" t="s">
        <v>117</v>
      </c>
      <c r="I145" s="1792"/>
      <c r="J145" s="1792"/>
      <c r="K145" s="1792"/>
      <c r="L145" s="1792"/>
      <c r="M145" s="1792"/>
      <c r="N145" s="1792"/>
      <c r="O145" s="1792"/>
      <c r="P145" s="1792"/>
      <c r="Q145" s="1835"/>
    </row>
    <row r="146" spans="1:18" ht="15.5">
      <c r="A146" s="162"/>
      <c r="B146" s="76" t="s">
        <v>118</v>
      </c>
      <c r="C146" s="157"/>
      <c r="D146" s="158"/>
      <c r="E146" s="112"/>
      <c r="F146" s="132"/>
      <c r="G146" s="103" t="s">
        <v>97</v>
      </c>
      <c r="H146" s="20"/>
      <c r="I146" s="20"/>
      <c r="J146" s="20"/>
      <c r="K146" s="20"/>
      <c r="L146" s="20"/>
      <c r="M146" s="20"/>
      <c r="N146" s="20"/>
      <c r="O146" s="20"/>
      <c r="P146" s="20"/>
      <c r="Q146" s="22"/>
    </row>
    <row r="147" spans="1:18" ht="15.5">
      <c r="A147" s="63">
        <v>55</v>
      </c>
      <c r="B147" s="88"/>
      <c r="C147" s="64" t="s">
        <v>334</v>
      </c>
      <c r="D147" s="88"/>
      <c r="E147" s="65" t="s">
        <v>825</v>
      </c>
      <c r="F147" s="101" t="s">
        <v>335</v>
      </c>
      <c r="G147" s="103">
        <v>0</v>
      </c>
      <c r="H147" s="1825" t="s">
        <v>119</v>
      </c>
      <c r="I147" s="1825"/>
      <c r="J147" s="1825"/>
      <c r="K147" s="1825"/>
      <c r="L147" s="1825"/>
      <c r="M147" s="1825"/>
      <c r="N147" s="1825"/>
      <c r="O147" s="1825"/>
      <c r="P147" s="1825"/>
      <c r="Q147" s="1826"/>
    </row>
    <row r="148" spans="1:18" ht="15.5">
      <c r="A148" s="63"/>
      <c r="B148" s="88"/>
      <c r="C148" s="64"/>
      <c r="D148" s="88"/>
      <c r="E148" s="65"/>
      <c r="F148" s="101"/>
      <c r="G148" s="20"/>
      <c r="H148" s="20"/>
      <c r="I148" s="20"/>
      <c r="J148" s="20"/>
      <c r="K148" s="20"/>
      <c r="L148" s="20"/>
      <c r="M148" s="20"/>
      <c r="N148" s="20"/>
      <c r="O148" s="103"/>
      <c r="P148" s="20"/>
      <c r="Q148" s="22"/>
    </row>
    <row r="149" spans="1:18" ht="15.5">
      <c r="A149" s="63"/>
      <c r="B149" s="88"/>
      <c r="C149" s="64"/>
      <c r="D149" s="88"/>
      <c r="E149" s="65"/>
      <c r="F149" s="101"/>
      <c r="H149" s="1825" t="s">
        <v>80</v>
      </c>
      <c r="I149" s="1825"/>
      <c r="J149" s="1825"/>
      <c r="K149" s="1825"/>
      <c r="L149" s="1825"/>
      <c r="M149" s="1825"/>
      <c r="N149" s="1825"/>
      <c r="O149" s="1825"/>
      <c r="P149" s="1825"/>
      <c r="Q149" s="1826"/>
    </row>
    <row r="150" spans="1:18" ht="15.5">
      <c r="A150" s="63"/>
      <c r="B150" s="88"/>
      <c r="C150" s="64"/>
      <c r="D150" s="88"/>
      <c r="E150" s="65"/>
      <c r="F150" s="101"/>
      <c r="G150" s="103"/>
      <c r="H150" s="1825"/>
      <c r="I150" s="1825"/>
      <c r="J150" s="1825"/>
      <c r="K150" s="1825"/>
      <c r="L150" s="1825"/>
      <c r="M150" s="1825"/>
      <c r="N150" s="1825"/>
      <c r="O150" s="1825"/>
      <c r="P150" s="1825"/>
      <c r="Q150" s="1826"/>
    </row>
    <row r="151" spans="1:18" ht="15.5">
      <c r="A151" s="63"/>
      <c r="B151" s="88"/>
      <c r="C151" s="64"/>
      <c r="D151" s="88"/>
      <c r="E151" s="65"/>
      <c r="F151" s="101"/>
      <c r="G151" s="103"/>
      <c r="H151" s="1825"/>
      <c r="I151" s="1825"/>
      <c r="J151" s="1825"/>
      <c r="K151" s="1825"/>
      <c r="L151" s="1825"/>
      <c r="M151" s="1825"/>
      <c r="N151" s="1825"/>
      <c r="O151" s="1825"/>
      <c r="P151" s="1825"/>
      <c r="Q151" s="1826"/>
    </row>
    <row r="152" spans="1:18" ht="15.5">
      <c r="A152" s="63">
        <v>56</v>
      </c>
      <c r="B152" s="88"/>
      <c r="C152" s="958" t="s">
        <v>1196</v>
      </c>
      <c r="D152" s="88"/>
      <c r="E152" s="65" t="s">
        <v>825</v>
      </c>
      <c r="F152" s="101" t="s">
        <v>335</v>
      </c>
      <c r="G152" s="103">
        <v>0</v>
      </c>
      <c r="H152" s="1825"/>
      <c r="I152" s="1825"/>
      <c r="J152" s="1825"/>
      <c r="K152" s="1825"/>
      <c r="L152" s="1825"/>
      <c r="M152" s="1825"/>
      <c r="N152" s="1825"/>
      <c r="O152" s="1825"/>
      <c r="P152" s="1825"/>
      <c r="Q152" s="1826"/>
    </row>
    <row r="153" spans="1:18" ht="15.5">
      <c r="A153" s="63"/>
      <c r="B153" s="88"/>
      <c r="C153" s="88"/>
      <c r="D153" s="88"/>
      <c r="E153" s="65"/>
      <c r="F153" s="163"/>
      <c r="G153" s="103"/>
      <c r="H153" s="1825"/>
      <c r="I153" s="1825"/>
      <c r="J153" s="1825"/>
      <c r="K153" s="1825"/>
      <c r="L153" s="1825"/>
      <c r="M153" s="1825"/>
      <c r="N153" s="1825"/>
      <c r="O153" s="1825"/>
      <c r="P153" s="1825"/>
      <c r="Q153" s="1826"/>
    </row>
    <row r="154" spans="1:18" ht="15.5">
      <c r="A154" s="63"/>
      <c r="B154" s="88"/>
      <c r="C154" s="88"/>
      <c r="D154" s="88"/>
      <c r="E154" s="65"/>
      <c r="F154" s="163"/>
      <c r="G154" s="103"/>
      <c r="H154" s="1825" t="s">
        <v>80</v>
      </c>
      <c r="I154" s="1825"/>
      <c r="J154" s="1825"/>
      <c r="K154" s="1825"/>
      <c r="L154" s="1825"/>
      <c r="M154" s="1825"/>
      <c r="N154" s="1825"/>
      <c r="O154" s="1825"/>
      <c r="P154" s="1825"/>
      <c r="Q154" s="1826"/>
    </row>
    <row r="155" spans="1:18" ht="15.5">
      <c r="A155" s="63"/>
      <c r="B155" s="88"/>
      <c r="C155" s="88"/>
      <c r="D155" s="88"/>
      <c r="E155" s="65"/>
      <c r="F155" s="163"/>
      <c r="G155" s="103"/>
      <c r="H155" s="1825"/>
      <c r="I155" s="1825"/>
      <c r="J155" s="1825"/>
      <c r="K155" s="1825"/>
      <c r="L155" s="1825"/>
      <c r="M155" s="1825"/>
      <c r="N155" s="1825"/>
      <c r="O155" s="1825"/>
      <c r="P155" s="1825"/>
      <c r="Q155" s="1826"/>
    </row>
    <row r="156" spans="1:18" ht="16" thickBot="1">
      <c r="A156" s="93"/>
      <c r="B156" s="119"/>
      <c r="C156" s="119"/>
      <c r="D156" s="119"/>
      <c r="E156" s="97"/>
      <c r="F156" s="161"/>
      <c r="G156" s="38"/>
      <c r="H156" s="38"/>
      <c r="I156" s="38"/>
      <c r="J156" s="38"/>
      <c r="K156" s="152" t="s">
        <v>108</v>
      </c>
      <c r="L156" s="38"/>
      <c r="M156" s="38"/>
      <c r="N156" s="38"/>
      <c r="O156" s="38"/>
      <c r="P156" s="38"/>
      <c r="Q156" s="39"/>
    </row>
    <row r="157" spans="1:18" ht="15.5">
      <c r="A157" s="88"/>
      <c r="B157" s="88"/>
      <c r="C157" s="88"/>
      <c r="D157" s="88"/>
      <c r="E157" s="65"/>
      <c r="F157" s="88"/>
      <c r="G157" s="20"/>
      <c r="H157" s="20"/>
      <c r="I157" s="20"/>
      <c r="J157" s="20"/>
      <c r="K157" s="154"/>
      <c r="L157" s="20"/>
      <c r="M157" s="20"/>
      <c r="N157" s="20"/>
      <c r="O157" s="20"/>
      <c r="P157" s="20"/>
      <c r="Q157" s="20"/>
    </row>
    <row r="158" spans="1:18" ht="20.5" thickBot="1">
      <c r="A158" s="164" t="s">
        <v>120</v>
      </c>
      <c r="B158" s="88"/>
      <c r="C158" s="88"/>
      <c r="D158" s="88"/>
      <c r="E158" s="65"/>
      <c r="F158" s="88"/>
      <c r="G158" s="20"/>
      <c r="H158" s="20"/>
      <c r="I158" s="20"/>
      <c r="J158" s="20"/>
      <c r="K158" s="154"/>
      <c r="L158" s="20"/>
      <c r="M158" s="20"/>
      <c r="N158" s="20"/>
      <c r="O158" s="20"/>
      <c r="P158" s="20"/>
      <c r="Q158" s="20"/>
    </row>
    <row r="159" spans="1:18" ht="18">
      <c r="A159" s="1787" t="s">
        <v>50</v>
      </c>
      <c r="B159" s="1788"/>
      <c r="C159" s="1788"/>
      <c r="D159" s="1788"/>
      <c r="E159" s="1788"/>
      <c r="F159" s="1789"/>
      <c r="G159" s="165" t="s">
        <v>121</v>
      </c>
      <c r="H159" s="15" t="s">
        <v>122</v>
      </c>
      <c r="I159" s="15" t="s">
        <v>123</v>
      </c>
      <c r="J159" s="15" t="s">
        <v>124</v>
      </c>
      <c r="K159" s="166"/>
      <c r="L159" s="15"/>
      <c r="M159" s="15"/>
      <c r="N159" s="15"/>
      <c r="O159" s="15"/>
      <c r="P159" s="15"/>
      <c r="Q159" s="16"/>
    </row>
    <row r="160" spans="1:18" ht="15.5">
      <c r="A160" s="63">
        <v>61</v>
      </c>
      <c r="B160" s="88"/>
      <c r="C160" s="64" t="s">
        <v>341</v>
      </c>
      <c r="D160" s="88"/>
      <c r="E160" s="88"/>
      <c r="F160" s="582" t="s">
        <v>322</v>
      </c>
      <c r="G160" s="167">
        <v>0</v>
      </c>
      <c r="H160" s="20"/>
      <c r="I160" s="20"/>
      <c r="J160" s="20"/>
      <c r="K160" s="154"/>
      <c r="L160" s="20"/>
      <c r="M160" s="20"/>
      <c r="N160" s="20"/>
      <c r="O160" s="20"/>
      <c r="P160" s="20"/>
      <c r="Q160" s="22"/>
      <c r="R160" s="168"/>
    </row>
    <row r="161" spans="1:18" ht="16" thickBot="1">
      <c r="A161" s="93">
        <v>62</v>
      </c>
      <c r="B161" s="119"/>
      <c r="C161" s="95" t="s">
        <v>342</v>
      </c>
      <c r="D161" s="119"/>
      <c r="E161" s="119"/>
      <c r="F161" s="583" t="s">
        <v>322</v>
      </c>
      <c r="G161" s="169">
        <v>0</v>
      </c>
      <c r="H161" s="38">
        <v>5</v>
      </c>
      <c r="I161" s="170">
        <v>0</v>
      </c>
      <c r="J161" s="170">
        <v>0</v>
      </c>
      <c r="K161" s="152"/>
      <c r="L161" s="38"/>
      <c r="M161" s="38"/>
      <c r="N161" s="38"/>
      <c r="O161" s="38"/>
      <c r="P161" s="38"/>
      <c r="Q161" s="39"/>
      <c r="R161" s="168"/>
    </row>
    <row r="162" spans="1:18" ht="15.5">
      <c r="A162" s="88"/>
      <c r="B162" s="88"/>
      <c r="C162" s="88"/>
      <c r="D162" s="88"/>
      <c r="E162" s="65"/>
      <c r="F162" s="88"/>
      <c r="G162" s="20"/>
      <c r="H162" s="20"/>
      <c r="I162" s="20"/>
      <c r="J162" s="20"/>
      <c r="K162" s="154"/>
      <c r="L162" s="20"/>
      <c r="M162" s="20"/>
      <c r="N162" s="20"/>
      <c r="O162" s="20"/>
      <c r="P162" s="20"/>
      <c r="Q162" s="20"/>
    </row>
    <row r="163" spans="1:18" ht="15.5">
      <c r="A163" s="88"/>
      <c r="B163" s="88"/>
      <c r="C163" s="88"/>
      <c r="D163" s="88"/>
      <c r="E163" s="65"/>
      <c r="F163" s="88"/>
      <c r="G163" s="20"/>
      <c r="H163" s="20"/>
      <c r="I163" s="20"/>
      <c r="J163" s="20"/>
      <c r="K163" s="154"/>
      <c r="L163" s="20"/>
      <c r="M163" s="20"/>
      <c r="N163" s="20"/>
      <c r="O163" s="20"/>
      <c r="P163" s="20"/>
      <c r="Q163" s="20"/>
    </row>
    <row r="164" spans="1:18" ht="20.5" thickBot="1">
      <c r="A164" s="55" t="s">
        <v>125</v>
      </c>
      <c r="G164" s="43"/>
      <c r="H164" s="43"/>
      <c r="I164" s="43"/>
      <c r="J164" s="43"/>
      <c r="K164" s="43"/>
      <c r="L164" s="43"/>
      <c r="M164" s="43"/>
      <c r="N164" s="43"/>
      <c r="O164" s="43"/>
      <c r="P164" s="43"/>
      <c r="Q164" s="43"/>
    </row>
    <row r="165" spans="1:18" ht="27">
      <c r="A165" s="1787" t="s">
        <v>50</v>
      </c>
      <c r="B165" s="1788"/>
      <c r="C165" s="1788"/>
      <c r="D165" s="1788"/>
      <c r="E165" s="1788"/>
      <c r="F165" s="1789"/>
      <c r="G165" s="57" t="s">
        <v>437</v>
      </c>
      <c r="H165" s="1792" t="s">
        <v>126</v>
      </c>
      <c r="I165" s="1815"/>
      <c r="J165" s="1815"/>
      <c r="K165" s="1815"/>
      <c r="L165" s="1815"/>
      <c r="M165" s="1815"/>
      <c r="N165" s="1815"/>
      <c r="O165" s="1815"/>
      <c r="P165" s="1815"/>
      <c r="Q165" s="1816"/>
    </row>
    <row r="166" spans="1:18" ht="15.5">
      <c r="A166" s="63"/>
      <c r="B166" s="76" t="s">
        <v>434</v>
      </c>
      <c r="C166" s="88"/>
      <c r="D166" s="88"/>
      <c r="E166" s="88"/>
      <c r="F166" s="163"/>
      <c r="G166" s="20"/>
      <c r="H166" s="20"/>
      <c r="I166" s="20"/>
      <c r="J166" s="20"/>
      <c r="K166" s="20"/>
      <c r="L166" s="20"/>
      <c r="M166" s="20"/>
      <c r="N166" s="20"/>
      <c r="O166" s="20"/>
      <c r="P166" s="20"/>
      <c r="Q166" s="22"/>
    </row>
    <row r="167" spans="1:18" ht="15.5">
      <c r="A167" s="63">
        <v>155</v>
      </c>
      <c r="B167" s="88"/>
      <c r="C167" s="64" t="s">
        <v>437</v>
      </c>
      <c r="D167" s="88"/>
      <c r="E167" s="65" t="s">
        <v>825</v>
      </c>
      <c r="F167" s="101" t="s">
        <v>346</v>
      </c>
      <c r="G167" s="159">
        <v>0</v>
      </c>
      <c r="H167" s="1825" t="s">
        <v>119</v>
      </c>
      <c r="I167" s="1833"/>
      <c r="J167" s="1833"/>
      <c r="K167" s="1833"/>
      <c r="L167" s="1833"/>
      <c r="M167" s="1833"/>
      <c r="N167" s="1833"/>
      <c r="O167" s="1833"/>
      <c r="P167" s="1833"/>
      <c r="Q167" s="1834"/>
      <c r="R167" s="44"/>
    </row>
    <row r="168" spans="1:18" ht="15.5">
      <c r="A168" s="63"/>
      <c r="B168" s="88"/>
      <c r="C168" s="88"/>
      <c r="D168" s="88"/>
      <c r="E168" s="65"/>
      <c r="F168" s="163"/>
      <c r="G168" s="20"/>
      <c r="H168" s="20"/>
      <c r="I168" s="20"/>
      <c r="J168" s="20"/>
      <c r="K168" s="20"/>
      <c r="L168" s="20"/>
      <c r="M168" s="20"/>
      <c r="N168" s="20"/>
      <c r="O168" s="103"/>
      <c r="P168" s="20"/>
      <c r="Q168" s="22"/>
    </row>
    <row r="169" spans="1:18" ht="15.5">
      <c r="A169" s="63"/>
      <c r="B169" s="88"/>
      <c r="C169" s="88"/>
      <c r="D169" s="88"/>
      <c r="E169" s="65"/>
      <c r="F169" s="163"/>
      <c r="G169" s="103" t="s">
        <v>97</v>
      </c>
      <c r="H169" s="1825" t="s">
        <v>80</v>
      </c>
      <c r="I169" s="1833"/>
      <c r="J169" s="1833"/>
      <c r="K169" s="1833"/>
      <c r="L169" s="1833"/>
      <c r="M169" s="1833"/>
      <c r="N169" s="1833"/>
      <c r="O169" s="1833"/>
      <c r="P169" s="1833"/>
      <c r="Q169" s="1834"/>
    </row>
    <row r="170" spans="1:18" ht="15.5">
      <c r="A170" s="63"/>
      <c r="B170" s="88"/>
      <c r="C170" s="88"/>
      <c r="D170" s="88"/>
      <c r="E170" s="65"/>
      <c r="F170" s="163"/>
      <c r="G170" s="103"/>
      <c r="H170" s="1825"/>
      <c r="I170" s="1833"/>
      <c r="J170" s="1833"/>
      <c r="K170" s="1833"/>
      <c r="L170" s="1833"/>
      <c r="M170" s="1833"/>
      <c r="N170" s="1833"/>
      <c r="O170" s="1833"/>
      <c r="P170" s="1833"/>
      <c r="Q170" s="1834"/>
    </row>
    <row r="171" spans="1:18" ht="16" thickBot="1">
      <c r="A171" s="93"/>
      <c r="B171" s="119"/>
      <c r="C171" s="119"/>
      <c r="D171" s="119"/>
      <c r="E171" s="97"/>
      <c r="F171" s="161"/>
      <c r="G171" s="38"/>
      <c r="H171" s="38"/>
      <c r="I171" s="38"/>
      <c r="J171" s="38"/>
      <c r="K171" s="152" t="s">
        <v>108</v>
      </c>
      <c r="L171" s="38"/>
      <c r="M171" s="38"/>
      <c r="N171" s="38"/>
      <c r="O171" s="38"/>
      <c r="P171" s="38"/>
      <c r="Q171" s="39"/>
    </row>
    <row r="172" spans="1:18" ht="15.5">
      <c r="A172" s="88"/>
      <c r="B172" s="88"/>
      <c r="C172" s="88"/>
      <c r="D172" s="88"/>
      <c r="E172" s="65"/>
      <c r="F172" s="88"/>
      <c r="G172" s="20"/>
      <c r="H172" s="20"/>
      <c r="I172" s="20"/>
      <c r="J172" s="20"/>
      <c r="K172" s="154"/>
      <c r="L172" s="20"/>
      <c r="M172" s="20"/>
      <c r="N172" s="20"/>
      <c r="O172" s="20"/>
      <c r="P172" s="20"/>
      <c r="Q172" s="20"/>
    </row>
    <row r="173" spans="1:18" ht="20.5" thickBot="1">
      <c r="A173" s="55" t="s">
        <v>453</v>
      </c>
      <c r="G173" s="43"/>
      <c r="H173" s="43"/>
      <c r="I173" s="43"/>
      <c r="J173" s="43"/>
      <c r="K173" s="43"/>
      <c r="L173" s="43"/>
      <c r="M173" s="43"/>
      <c r="N173" s="43"/>
      <c r="O173" s="43"/>
      <c r="P173" s="43"/>
      <c r="Q173" s="43"/>
    </row>
    <row r="174" spans="1:18" ht="18">
      <c r="A174" s="1787" t="s">
        <v>50</v>
      </c>
      <c r="B174" s="1788"/>
      <c r="C174" s="1788"/>
      <c r="D174" s="1788"/>
      <c r="E174" s="1788"/>
      <c r="F174" s="1789"/>
      <c r="G174" s="57" t="s">
        <v>109</v>
      </c>
      <c r="H174" s="1792" t="s">
        <v>127</v>
      </c>
      <c r="I174" s="1815"/>
      <c r="J174" s="1815"/>
      <c r="K174" s="1815"/>
      <c r="L174" s="1815"/>
      <c r="M174" s="1815"/>
      <c r="N174" s="1815"/>
      <c r="O174" s="1815"/>
      <c r="P174" s="1815"/>
      <c r="Q174" s="1816"/>
    </row>
    <row r="175" spans="1:18" ht="15.5">
      <c r="A175" s="63"/>
      <c r="B175" s="89" t="s">
        <v>438</v>
      </c>
      <c r="C175" s="78"/>
      <c r="D175" s="78"/>
      <c r="E175" s="61"/>
      <c r="F175" s="80"/>
      <c r="G175" s="20"/>
      <c r="H175" s="20"/>
      <c r="I175" s="20"/>
      <c r="J175" s="20"/>
      <c r="K175" s="20"/>
      <c r="L175" s="20"/>
      <c r="M175" s="20"/>
      <c r="N175" s="20"/>
      <c r="O175" s="20"/>
      <c r="P175" s="20"/>
      <c r="Q175" s="22"/>
    </row>
    <row r="176" spans="1:18" ht="16" thickBot="1">
      <c r="A176" s="93">
        <v>171</v>
      </c>
      <c r="B176" s="114"/>
      <c r="C176" s="95" t="s">
        <v>453</v>
      </c>
      <c r="D176" s="96"/>
      <c r="E176" s="119"/>
      <c r="F176" s="119"/>
      <c r="G176" s="171">
        <v>0</v>
      </c>
      <c r="H176" s="1817"/>
      <c r="I176" s="1818"/>
      <c r="J176" s="1818"/>
      <c r="K176" s="1818"/>
      <c r="L176" s="1818"/>
      <c r="M176" s="1818"/>
      <c r="N176" s="1818"/>
      <c r="O176" s="1818"/>
      <c r="P176" s="1818"/>
      <c r="Q176" s="1819"/>
    </row>
    <row r="177" spans="1:17" ht="15.5">
      <c r="A177" s="88"/>
      <c r="B177" s="88"/>
      <c r="C177" s="88"/>
      <c r="D177" s="88"/>
      <c r="E177" s="65"/>
      <c r="F177" s="88"/>
      <c r="G177" s="20"/>
      <c r="H177" s="20"/>
      <c r="I177" s="20"/>
      <c r="J177" s="20"/>
      <c r="K177" s="154"/>
      <c r="L177" s="20"/>
      <c r="M177" s="20"/>
      <c r="N177" s="20"/>
      <c r="O177" s="20"/>
      <c r="P177" s="20"/>
      <c r="Q177" s="20"/>
    </row>
    <row r="178" spans="1:17" ht="15.5">
      <c r="A178" s="88"/>
      <c r="B178" s="88"/>
      <c r="C178" s="88"/>
      <c r="D178" s="88"/>
      <c r="E178" s="65"/>
      <c r="F178" s="88"/>
      <c r="G178" s="20"/>
      <c r="H178" s="20"/>
      <c r="I178" s="20"/>
      <c r="J178" s="20"/>
      <c r="K178" s="154"/>
      <c r="L178" s="20"/>
      <c r="M178" s="20"/>
      <c r="N178" s="20"/>
      <c r="O178" s="20"/>
      <c r="P178" s="20"/>
      <c r="Q178" s="20"/>
    </row>
    <row r="179" spans="1:17" ht="15.5">
      <c r="A179" s="88"/>
      <c r="B179" s="88"/>
      <c r="C179" s="88"/>
      <c r="D179" s="88"/>
      <c r="E179" s="65"/>
      <c r="F179" s="88"/>
      <c r="G179" s="20"/>
      <c r="H179" s="20"/>
      <c r="I179" s="20"/>
      <c r="J179" s="20"/>
      <c r="K179" s="154"/>
      <c r="L179" s="20"/>
      <c r="M179" s="20"/>
      <c r="N179" s="20"/>
      <c r="O179" s="20"/>
      <c r="P179" s="20"/>
      <c r="Q179" s="20"/>
    </row>
    <row r="180" spans="1:17">
      <c r="G180" s="43"/>
      <c r="H180" s="43"/>
      <c r="I180" s="43"/>
      <c r="J180" s="43"/>
      <c r="K180" s="43"/>
      <c r="L180" s="43"/>
      <c r="M180" s="43"/>
      <c r="N180" s="43"/>
      <c r="O180" s="43"/>
      <c r="P180" s="43"/>
      <c r="Q180" s="43"/>
    </row>
    <row r="181" spans="1:17" ht="20.5" thickBot="1">
      <c r="A181" s="55" t="s">
        <v>128</v>
      </c>
      <c r="G181" s="43"/>
      <c r="H181" s="43"/>
      <c r="I181" s="43"/>
      <c r="J181" s="43"/>
      <c r="K181" s="43"/>
      <c r="L181" s="43"/>
      <c r="M181" s="43"/>
      <c r="N181" s="43"/>
      <c r="O181" s="43"/>
      <c r="P181" s="43"/>
      <c r="Q181" s="43"/>
    </row>
    <row r="182" spans="1:17" ht="18">
      <c r="A182" s="1787" t="s">
        <v>50</v>
      </c>
      <c r="B182" s="1788"/>
      <c r="C182" s="1788"/>
      <c r="D182" s="1788"/>
      <c r="E182" s="1788"/>
      <c r="F182" s="1789"/>
      <c r="G182" s="57" t="s">
        <v>456</v>
      </c>
      <c r="H182" s="1792" t="s">
        <v>127</v>
      </c>
      <c r="I182" s="1815"/>
      <c r="J182" s="1815"/>
      <c r="K182" s="1815"/>
      <c r="L182" s="1815"/>
      <c r="M182" s="1815"/>
      <c r="N182" s="1815"/>
      <c r="O182" s="1815"/>
      <c r="P182" s="1815"/>
      <c r="Q182" s="1816"/>
    </row>
    <row r="183" spans="1:17" ht="15.5">
      <c r="A183" s="63"/>
      <c r="B183" s="89" t="s">
        <v>129</v>
      </c>
      <c r="C183" s="78"/>
      <c r="D183" s="78"/>
      <c r="E183" s="61"/>
      <c r="F183" s="80"/>
      <c r="G183" s="20"/>
      <c r="H183" s="20"/>
      <c r="I183" s="20"/>
      <c r="J183" s="20"/>
      <c r="K183" s="20"/>
      <c r="L183" s="20"/>
      <c r="M183" s="20"/>
      <c r="N183" s="20"/>
      <c r="O183" s="20"/>
      <c r="P183" s="20"/>
      <c r="Q183" s="22"/>
    </row>
    <row r="184" spans="1:17" ht="16" thickBot="1">
      <c r="A184" s="93">
        <v>173</v>
      </c>
      <c r="B184" s="114"/>
      <c r="C184" s="95" t="s">
        <v>456</v>
      </c>
      <c r="D184" s="96"/>
      <c r="E184" s="97" t="s">
        <v>850</v>
      </c>
      <c r="F184" s="116" t="s">
        <v>346</v>
      </c>
      <c r="G184" s="1176">
        <v>2634.5</v>
      </c>
      <c r="H184" s="1817" t="s">
        <v>72</v>
      </c>
      <c r="I184" s="1818"/>
      <c r="J184" s="1818"/>
      <c r="K184" s="1818"/>
      <c r="L184" s="1818"/>
      <c r="M184" s="1818"/>
      <c r="N184" s="1818"/>
      <c r="O184" s="1818"/>
      <c r="P184" s="1818"/>
      <c r="Q184" s="1819"/>
    </row>
    <row r="185" spans="1:17">
      <c r="G185" s="43"/>
      <c r="H185" s="43"/>
      <c r="I185" s="43"/>
      <c r="J185" s="43"/>
      <c r="K185" s="43"/>
      <c r="L185" s="43"/>
      <c r="M185" s="43"/>
      <c r="N185" s="43"/>
      <c r="O185" s="43"/>
      <c r="P185" s="43"/>
      <c r="Q185" s="43"/>
    </row>
    <row r="186" spans="1:17">
      <c r="G186" s="43"/>
      <c r="H186" s="43"/>
      <c r="I186" s="43"/>
      <c r="J186" s="43"/>
      <c r="K186" s="43"/>
      <c r="L186" s="43"/>
      <c r="M186" s="43"/>
      <c r="N186" s="43"/>
      <c r="O186" s="43"/>
      <c r="P186" s="43"/>
      <c r="Q186" s="43"/>
    </row>
    <row r="187" spans="1:17" ht="20.5" thickBot="1">
      <c r="A187" s="55" t="s">
        <v>130</v>
      </c>
      <c r="G187" s="43"/>
      <c r="H187" s="43"/>
      <c r="I187" s="43"/>
      <c r="J187" s="43"/>
      <c r="K187" s="43"/>
      <c r="L187" s="43"/>
      <c r="M187" s="43"/>
      <c r="N187" s="43"/>
      <c r="O187" s="43"/>
      <c r="P187" s="43"/>
      <c r="Q187" s="43"/>
    </row>
    <row r="188" spans="1:17" ht="18">
      <c r="A188" s="172"/>
      <c r="B188" s="173"/>
      <c r="C188" s="174" t="s">
        <v>131</v>
      </c>
      <c r="D188" s="174" t="s">
        <v>132</v>
      </c>
      <c r="E188" s="174" t="s">
        <v>133</v>
      </c>
      <c r="F188" s="174" t="s">
        <v>134</v>
      </c>
      <c r="G188" s="1809" t="s">
        <v>135</v>
      </c>
      <c r="H188" s="1810"/>
      <c r="I188" s="1811" t="s">
        <v>136</v>
      </c>
      <c r="J188" s="1810"/>
      <c r="K188" s="1811" t="s">
        <v>137</v>
      </c>
      <c r="L188" s="1810"/>
      <c r="M188" s="175"/>
      <c r="N188" s="175"/>
      <c r="O188" s="175"/>
      <c r="P188" s="175"/>
      <c r="Q188" s="176"/>
    </row>
    <row r="189" spans="1:17" ht="15.5">
      <c r="A189" s="63"/>
      <c r="B189" s="76"/>
      <c r="C189" s="957" t="s">
        <v>1596</v>
      </c>
      <c r="D189" s="88"/>
      <c r="E189" s="177"/>
      <c r="F189" s="177"/>
      <c r="G189" s="1822">
        <v>0</v>
      </c>
      <c r="H189" s="1823"/>
      <c r="I189" s="1824">
        <v>0</v>
      </c>
      <c r="J189" s="1823"/>
      <c r="K189" s="1824">
        <v>0</v>
      </c>
      <c r="L189" s="1823"/>
      <c r="M189" s="178"/>
      <c r="N189" s="178"/>
      <c r="O189" s="178"/>
      <c r="P189" s="178"/>
      <c r="Q189" s="179"/>
    </row>
    <row r="190" spans="1:17" ht="15.5">
      <c r="A190" s="63"/>
      <c r="B190" s="88"/>
      <c r="C190" s="88"/>
      <c r="D190" s="88"/>
      <c r="E190" s="177"/>
      <c r="F190" s="177"/>
      <c r="G190" s="1844"/>
      <c r="H190" s="1845"/>
      <c r="I190" s="1846"/>
      <c r="J190" s="1845"/>
      <c r="K190" s="1846"/>
      <c r="L190" s="1847"/>
      <c r="M190" s="180"/>
      <c r="N190" s="180"/>
      <c r="O190" s="180"/>
      <c r="P190" s="180"/>
      <c r="Q190" s="181"/>
    </row>
    <row r="191" spans="1:17" ht="15.5">
      <c r="A191" s="63"/>
      <c r="B191" s="88"/>
      <c r="C191" s="88"/>
      <c r="D191" s="88"/>
      <c r="E191" s="177"/>
      <c r="F191" s="177"/>
      <c r="G191" s="182"/>
      <c r="H191" s="183"/>
      <c r="I191" s="184"/>
      <c r="J191" s="185"/>
      <c r="K191" s="184"/>
      <c r="L191" s="185"/>
      <c r="M191" s="180"/>
      <c r="N191" s="180"/>
      <c r="O191" s="180"/>
      <c r="P191" s="180"/>
      <c r="Q191" s="181"/>
    </row>
    <row r="192" spans="1:17" ht="16" thickBot="1">
      <c r="A192" s="93"/>
      <c r="B192" s="119"/>
      <c r="C192" s="119" t="s">
        <v>44</v>
      </c>
      <c r="D192" s="119"/>
      <c r="E192" s="97"/>
      <c r="F192" s="119"/>
      <c r="G192" s="1812">
        <v>0</v>
      </c>
      <c r="H192" s="1813"/>
      <c r="I192" s="1814">
        <v>0</v>
      </c>
      <c r="J192" s="1813"/>
      <c r="K192" s="1814">
        <v>0</v>
      </c>
      <c r="L192" s="1813"/>
      <c r="M192" s="186"/>
      <c r="N192" s="186"/>
      <c r="O192" s="186"/>
      <c r="P192" s="186"/>
      <c r="Q192" s="187"/>
    </row>
    <row r="193" spans="1:18" s="1245" customFormat="1" ht="15.5">
      <c r="A193" s="88"/>
      <c r="B193" s="88"/>
      <c r="C193" s="88"/>
      <c r="D193" s="88"/>
      <c r="E193" s="65"/>
      <c r="F193" s="88"/>
      <c r="G193" s="1523"/>
      <c r="H193" s="1522"/>
      <c r="I193" s="1523"/>
      <c r="J193" s="1522"/>
      <c r="K193" s="1523"/>
      <c r="L193" s="1522"/>
      <c r="M193" s="178"/>
      <c r="N193" s="178"/>
      <c r="O193" s="178"/>
      <c r="P193" s="178"/>
      <c r="Q193" s="178"/>
    </row>
    <row r="194" spans="1:18" ht="15" thickBot="1">
      <c r="G194" s="188"/>
      <c r="H194" s="188"/>
      <c r="I194" s="188"/>
      <c r="J194" s="188"/>
      <c r="K194" s="188"/>
      <c r="L194" s="188"/>
      <c r="M194" s="188"/>
      <c r="N194" s="188"/>
      <c r="O194" s="188"/>
      <c r="P194" s="188"/>
      <c r="Q194" s="188"/>
    </row>
    <row r="195" spans="1:18" ht="18.5" thickBot="1">
      <c r="A195" s="1784" t="s">
        <v>1012</v>
      </c>
      <c r="B195" s="1785"/>
      <c r="C195" s="1785"/>
      <c r="D195" s="1785"/>
      <c r="E195" s="1785"/>
      <c r="F195" s="1786"/>
      <c r="G195" s="941"/>
      <c r="H195" s="941"/>
      <c r="I195" s="941"/>
      <c r="J195" s="941"/>
      <c r="K195" s="942"/>
      <c r="L195" s="942"/>
      <c r="M195" s="942"/>
      <c r="N195" s="942"/>
      <c r="O195" s="942"/>
      <c r="P195" s="943"/>
    </row>
    <row r="196" spans="1:18" ht="26.25" customHeight="1">
      <c r="A196" s="1787"/>
      <c r="B196" s="1788"/>
      <c r="C196" s="1788" t="s">
        <v>1013</v>
      </c>
      <c r="D196" s="1788"/>
      <c r="E196" s="1788"/>
      <c r="F196" s="1789"/>
      <c r="G196" s="941" t="s">
        <v>1014</v>
      </c>
      <c r="H196" s="941" t="s">
        <v>1015</v>
      </c>
      <c r="I196" s="944" t="s">
        <v>1023</v>
      </c>
      <c r="J196" s="942"/>
      <c r="K196" s="942"/>
      <c r="L196" s="942"/>
      <c r="M196" s="942"/>
      <c r="N196" s="942"/>
      <c r="O196" s="942"/>
      <c r="P196" s="943"/>
    </row>
    <row r="197" spans="1:18" ht="15.5">
      <c r="A197" s="945"/>
      <c r="B197" s="153"/>
      <c r="C197" s="153"/>
      <c r="D197" s="1160"/>
      <c r="E197" s="153"/>
      <c r="F197" s="101"/>
      <c r="G197" s="28"/>
      <c r="H197" s="41"/>
      <c r="I197" s="20"/>
      <c r="J197" s="20"/>
      <c r="K197" s="20"/>
      <c r="L197" s="20"/>
      <c r="M197" s="20"/>
      <c r="N197" s="20"/>
      <c r="O197" s="20"/>
      <c r="P197" s="22"/>
    </row>
    <row r="198" spans="1:18" ht="15.75" customHeight="1">
      <c r="A198" s="63">
        <v>6</v>
      </c>
      <c r="B198" s="88"/>
      <c r="C198" s="64" t="s">
        <v>144</v>
      </c>
      <c r="D198" s="1160"/>
      <c r="E198" s="153"/>
      <c r="F198" s="101" t="s">
        <v>1016</v>
      </c>
      <c r="G198" s="30">
        <v>4570099396</v>
      </c>
      <c r="H198" s="924">
        <v>15364357.59</v>
      </c>
      <c r="I198" s="924">
        <f>+G198-H198</f>
        <v>4554735038.4099998</v>
      </c>
      <c r="J198" s="43" t="s">
        <v>1782</v>
      </c>
      <c r="K198" s="72"/>
      <c r="L198" s="72"/>
      <c r="M198" s="72"/>
      <c r="N198" s="72"/>
      <c r="O198" s="72"/>
      <c r="P198" s="946"/>
    </row>
    <row r="199" spans="1:18" ht="15.5">
      <c r="A199" s="63">
        <v>9</v>
      </c>
      <c r="B199" s="88"/>
      <c r="C199" s="64" t="s">
        <v>145</v>
      </c>
      <c r="D199" s="1160"/>
      <c r="E199" s="153"/>
      <c r="F199" s="101" t="s">
        <v>1017</v>
      </c>
      <c r="G199" s="30">
        <v>920250757</v>
      </c>
      <c r="H199" s="924">
        <v>0</v>
      </c>
      <c r="I199" s="924">
        <f t="shared" ref="I199:I203" si="10">+G199-H199</f>
        <v>920250757</v>
      </c>
      <c r="J199" s="43"/>
      <c r="K199" s="20"/>
      <c r="L199" s="20"/>
      <c r="M199" s="20"/>
      <c r="N199" s="20"/>
      <c r="O199" s="20"/>
      <c r="P199" s="22"/>
    </row>
    <row r="200" spans="1:18" ht="27" customHeight="1">
      <c r="A200" s="63">
        <v>10</v>
      </c>
      <c r="B200" s="192"/>
      <c r="C200" s="64" t="s">
        <v>146</v>
      </c>
      <c r="D200" s="1161"/>
      <c r="E200" s="192"/>
      <c r="F200" s="101" t="s">
        <v>1018</v>
      </c>
      <c r="G200" s="30">
        <v>32178614</v>
      </c>
      <c r="H200" s="924">
        <v>2551012.5299999998</v>
      </c>
      <c r="I200" s="924">
        <f t="shared" si="10"/>
        <v>29627601.469999999</v>
      </c>
      <c r="J200" s="1790" t="s">
        <v>1783</v>
      </c>
      <c r="K200" s="1790"/>
      <c r="L200" s="1790"/>
      <c r="M200" s="1790"/>
      <c r="N200" s="1790"/>
      <c r="O200" s="1790"/>
      <c r="P200" s="1791"/>
    </row>
    <row r="201" spans="1:18" ht="18">
      <c r="A201" s="63">
        <v>19</v>
      </c>
      <c r="B201" s="192"/>
      <c r="C201" s="64" t="s">
        <v>300</v>
      </c>
      <c r="D201" s="1161"/>
      <c r="E201" s="192"/>
      <c r="F201" s="101" t="s">
        <v>1019</v>
      </c>
      <c r="G201" s="30">
        <v>1668224393</v>
      </c>
      <c r="H201" s="924">
        <v>0</v>
      </c>
      <c r="I201" s="924">
        <f t="shared" si="10"/>
        <v>1668224393</v>
      </c>
      <c r="J201" s="20"/>
      <c r="K201" s="20"/>
      <c r="L201" s="20"/>
      <c r="M201" s="20"/>
      <c r="N201" s="20"/>
      <c r="O201" s="20"/>
      <c r="P201" s="22"/>
    </row>
    <row r="202" spans="1:18" ht="15.5">
      <c r="A202" s="63">
        <v>23</v>
      </c>
      <c r="B202" s="88"/>
      <c r="C202" s="64" t="s">
        <v>147</v>
      </c>
      <c r="D202" s="1160"/>
      <c r="E202" s="153"/>
      <c r="F202" s="101" t="s">
        <v>1020</v>
      </c>
      <c r="G202" s="1701">
        <f>213020321+69190952</f>
        <v>282211273</v>
      </c>
      <c r="H202" s="924">
        <v>15364357.59</v>
      </c>
      <c r="I202" s="924">
        <f t="shared" si="10"/>
        <v>266846915.41</v>
      </c>
      <c r="J202" s="43" t="s">
        <v>1782</v>
      </c>
      <c r="K202" s="20"/>
      <c r="L202" s="20"/>
      <c r="M202" s="20"/>
      <c r="N202" s="20"/>
      <c r="O202" s="20"/>
      <c r="P202" s="22"/>
    </row>
    <row r="203" spans="1:18" ht="16" thickBot="1">
      <c r="A203" s="93">
        <v>31</v>
      </c>
      <c r="B203" s="119"/>
      <c r="C203" s="95" t="s">
        <v>1021</v>
      </c>
      <c r="D203" s="105"/>
      <c r="E203" s="105"/>
      <c r="F203" s="116" t="s">
        <v>1022</v>
      </c>
      <c r="G203" s="928">
        <v>53563530</v>
      </c>
      <c r="H203" s="929"/>
      <c r="I203" s="929">
        <f t="shared" si="10"/>
        <v>53563530</v>
      </c>
      <c r="J203" s="38"/>
      <c r="K203" s="38"/>
      <c r="L203" s="38"/>
      <c r="M203" s="38"/>
      <c r="N203" s="38"/>
      <c r="O203" s="38"/>
      <c r="P203" s="39"/>
    </row>
    <row r="204" spans="1:18">
      <c r="G204" s="188"/>
      <c r="H204" s="188"/>
      <c r="I204" s="188"/>
      <c r="J204" s="188"/>
      <c r="K204" s="188"/>
      <c r="L204" s="188"/>
      <c r="M204" s="188"/>
      <c r="N204" s="188"/>
      <c r="O204" s="188"/>
      <c r="P204" s="188"/>
      <c r="Q204" s="188"/>
    </row>
    <row r="205" spans="1:18" ht="15" thickBot="1">
      <c r="G205" s="153"/>
      <c r="H205" s="153"/>
      <c r="I205" s="153"/>
      <c r="J205" s="153"/>
      <c r="K205" s="153"/>
      <c r="L205" s="153"/>
      <c r="M205" s="153"/>
      <c r="N205" s="153"/>
      <c r="O205" s="153"/>
      <c r="P205" s="153"/>
      <c r="Q205" s="153"/>
      <c r="R205" s="153"/>
    </row>
    <row r="206" spans="1:18" ht="18.5" thickBot="1">
      <c r="A206" s="1798" t="s">
        <v>1027</v>
      </c>
      <c r="B206" s="1799"/>
      <c r="C206" s="1799"/>
      <c r="D206" s="1799"/>
      <c r="E206" s="1799"/>
      <c r="F206" s="1800"/>
      <c r="G206" s="1809"/>
      <c r="H206" s="1810"/>
      <c r="I206" s="1811"/>
      <c r="J206" s="1810"/>
      <c r="K206" s="175"/>
      <c r="L206" s="175"/>
      <c r="M206" s="175"/>
      <c r="N206" s="175"/>
      <c r="O206" s="175"/>
      <c r="P206" s="175"/>
      <c r="Q206" s="176"/>
    </row>
    <row r="207" spans="1:18" ht="40">
      <c r="A207" s="1787" t="s">
        <v>50</v>
      </c>
      <c r="B207" s="1788"/>
      <c r="C207" s="1788"/>
      <c r="D207" s="1788"/>
      <c r="E207" s="1788"/>
      <c r="F207" s="1789"/>
      <c r="G207" s="948" t="s">
        <v>1028</v>
      </c>
      <c r="H207" s="948" t="s">
        <v>142</v>
      </c>
      <c r="I207" s="1708" t="s">
        <v>1807</v>
      </c>
      <c r="J207" s="948" t="s">
        <v>1029</v>
      </c>
      <c r="K207" s="948" t="s">
        <v>1030</v>
      </c>
      <c r="L207" s="948" t="s">
        <v>1031</v>
      </c>
      <c r="M207" s="944"/>
      <c r="N207" s="944"/>
      <c r="O207" s="944"/>
      <c r="P207" s="944"/>
      <c r="Q207" s="1710"/>
    </row>
    <row r="208" spans="1:18" ht="18">
      <c r="A208" s="951"/>
      <c r="B208" s="952"/>
      <c r="C208" s="952"/>
      <c r="D208" s="952"/>
      <c r="E208" s="952"/>
      <c r="F208" s="953"/>
      <c r="G208" s="954"/>
      <c r="H208" s="954"/>
      <c r="I208" s="954"/>
      <c r="J208" s="954"/>
      <c r="K208" s="955"/>
      <c r="L208" s="955"/>
      <c r="M208" s="955"/>
      <c r="N208" s="955"/>
      <c r="O208" s="955"/>
      <c r="P208" s="955"/>
      <c r="Q208" s="956"/>
    </row>
    <row r="209" spans="1:18" ht="33.75" customHeight="1">
      <c r="A209" s="58">
        <v>68</v>
      </c>
      <c r="B209" s="957"/>
      <c r="C209" s="958" t="s">
        <v>149</v>
      </c>
      <c r="D209" s="959"/>
      <c r="E209" s="960"/>
      <c r="F209" s="949" t="s">
        <v>1032</v>
      </c>
      <c r="G209" s="30">
        <f>+'11B - A&amp;G'!E24</f>
        <v>95550952</v>
      </c>
      <c r="H209" s="1175">
        <v>-21209.119999999995</v>
      </c>
      <c r="I209" s="1175">
        <f>51733+135985+7705+17494</f>
        <v>212917</v>
      </c>
      <c r="J209" s="1175">
        <v>180538.32</v>
      </c>
      <c r="K209" s="1622">
        <v>2881.3448700000004</v>
      </c>
      <c r="L209" s="1175">
        <f>+G209-H209-J209-K209-I209</f>
        <v>95175824.455130011</v>
      </c>
      <c r="M209" s="1709"/>
      <c r="N209" s="1709"/>
      <c r="O209" s="1709"/>
      <c r="P209" s="1709"/>
      <c r="Q209" s="74"/>
    </row>
    <row r="210" spans="1:18" ht="16" thickBot="1">
      <c r="A210" s="93">
        <v>60</v>
      </c>
      <c r="B210" s="119"/>
      <c r="C210" s="95" t="s">
        <v>148</v>
      </c>
      <c r="D210" s="105"/>
      <c r="E210" s="105"/>
      <c r="F210" s="116" t="s">
        <v>1024</v>
      </c>
      <c r="G210" s="928">
        <f>+'11A - O&amp;M'!E35</f>
        <v>22134005</v>
      </c>
      <c r="H210" s="928"/>
      <c r="I210" s="928"/>
      <c r="J210" s="928"/>
      <c r="K210" s="108"/>
      <c r="L210" s="929">
        <f>+G210-H210-J210-K210</f>
        <v>22134005</v>
      </c>
      <c r="M210" s="186"/>
      <c r="N210" s="186"/>
      <c r="O210" s="186"/>
      <c r="P210" s="186"/>
      <c r="Q210" s="187"/>
    </row>
    <row r="211" spans="1:18">
      <c r="G211" s="153"/>
      <c r="H211" s="19"/>
      <c r="I211" s="153"/>
      <c r="J211" s="153"/>
      <c r="K211" s="153"/>
      <c r="L211" s="153"/>
      <c r="M211" s="153"/>
      <c r="N211" s="153"/>
      <c r="O211" s="153"/>
      <c r="P211" s="153"/>
      <c r="Q211" s="153"/>
      <c r="R211" s="153"/>
    </row>
    <row r="212" spans="1:18">
      <c r="G212" s="153"/>
      <c r="H212" s="153"/>
      <c r="I212" s="153"/>
      <c r="J212" s="153"/>
      <c r="K212" s="153"/>
      <c r="L212" s="153"/>
      <c r="M212" s="153"/>
      <c r="N212" s="153"/>
      <c r="O212" s="153"/>
      <c r="P212" s="153"/>
      <c r="Q212" s="153"/>
      <c r="R212" s="153"/>
    </row>
    <row r="213" spans="1:18">
      <c r="G213" s="153"/>
      <c r="H213" s="1174"/>
      <c r="I213" s="153"/>
      <c r="J213" s="153"/>
      <c r="K213" s="153"/>
      <c r="L213" s="153"/>
      <c r="M213" s="153"/>
      <c r="N213" s="153"/>
      <c r="O213" s="153"/>
      <c r="P213" s="153"/>
      <c r="Q213" s="153"/>
      <c r="R213" s="153"/>
    </row>
    <row r="214" spans="1:18" ht="20.5" thickBot="1">
      <c r="A214" s="190" t="s">
        <v>1248</v>
      </c>
      <c r="B214" s="190"/>
      <c r="C214" s="190"/>
      <c r="D214" s="190"/>
      <c r="E214" s="190"/>
      <c r="F214" s="190"/>
      <c r="G214" s="920"/>
      <c r="H214" s="920"/>
      <c r="I214" s="920"/>
      <c r="J214" s="934"/>
      <c r="K214" s="934"/>
      <c r="L214" s="934"/>
      <c r="M214" s="934"/>
      <c r="N214" s="934"/>
      <c r="O214" s="934"/>
      <c r="P214" s="934"/>
      <c r="Q214" s="934"/>
      <c r="R214" s="153"/>
    </row>
    <row r="215" spans="1:18" ht="30.75" customHeight="1">
      <c r="A215" s="1807" t="s">
        <v>887</v>
      </c>
      <c r="B215" s="1807"/>
      <c r="C215" s="1807"/>
      <c r="D215" s="1807"/>
      <c r="E215" s="1807"/>
      <c r="F215" s="1808"/>
      <c r="G215" s="935" t="s">
        <v>1249</v>
      </c>
      <c r="H215" s="931" t="s">
        <v>142</v>
      </c>
      <c r="I215" s="931" t="s">
        <v>143</v>
      </c>
      <c r="J215" s="932"/>
      <c r="K215" s="932"/>
      <c r="L215" s="932"/>
      <c r="M215" s="932"/>
      <c r="N215" s="932"/>
      <c r="O215" s="932"/>
      <c r="P215" s="932"/>
      <c r="Q215" s="933"/>
    </row>
    <row r="216" spans="1:18" ht="18">
      <c r="A216" s="191"/>
      <c r="B216" s="192"/>
      <c r="C216" s="192"/>
      <c r="D216" s="192"/>
      <c r="E216" s="192"/>
      <c r="F216" s="193"/>
      <c r="G216" s="920"/>
      <c r="H216" s="920"/>
      <c r="I216" s="920"/>
      <c r="J216" s="195"/>
      <c r="K216" s="195"/>
      <c r="L216" s="195"/>
      <c r="M216" s="195"/>
      <c r="N216" s="195"/>
      <c r="O216" s="195"/>
      <c r="P216" s="195"/>
      <c r="Q216" s="196"/>
    </row>
    <row r="217" spans="1:18" ht="15.5">
      <c r="A217" s="63">
        <v>86</v>
      </c>
      <c r="B217" s="88"/>
      <c r="C217" s="64" t="s">
        <v>370</v>
      </c>
      <c r="D217" s="923"/>
      <c r="E217" s="70"/>
      <c r="F217" s="101"/>
      <c r="G217" s="30">
        <v>43524210.691606045</v>
      </c>
      <c r="H217" s="30">
        <v>0</v>
      </c>
      <c r="I217" s="924">
        <f>+G217-H217</f>
        <v>43524210.691606045</v>
      </c>
      <c r="J217" s="31"/>
      <c r="K217" s="31"/>
      <c r="L217" s="31"/>
      <c r="M217" s="31"/>
      <c r="N217" s="31"/>
      <c r="O217" s="31"/>
      <c r="P217" s="31"/>
      <c r="Q217" s="32"/>
    </row>
    <row r="218" spans="1:18" ht="15.5">
      <c r="A218" s="63">
        <v>87</v>
      </c>
      <c r="B218" s="88"/>
      <c r="C218" s="64" t="s">
        <v>888</v>
      </c>
      <c r="D218" s="925"/>
      <c r="E218" s="925"/>
      <c r="F218" s="101"/>
      <c r="G218" s="30">
        <v>11561510.847928105</v>
      </c>
      <c r="H218" s="30">
        <f>+'10 - Merger Costs'!C14</f>
        <v>23718.212</v>
      </c>
      <c r="I218" s="924">
        <f t="shared" ref="I218:I220" si="11">+G218-H218</f>
        <v>11537792.635928106</v>
      </c>
      <c r="J218" s="31"/>
      <c r="K218" s="31"/>
      <c r="L218" s="31"/>
      <c r="M218" s="31"/>
      <c r="N218" s="31"/>
      <c r="O218" s="31"/>
      <c r="P218" s="31"/>
      <c r="Q218" s="32"/>
    </row>
    <row r="219" spans="1:18" ht="15.5">
      <c r="A219" s="63">
        <v>88</v>
      </c>
      <c r="B219" s="88"/>
      <c r="C219" s="64" t="s">
        <v>371</v>
      </c>
      <c r="D219" s="925"/>
      <c r="E219" s="925"/>
      <c r="F219" s="101"/>
      <c r="G219" s="30">
        <v>16510393.032524996</v>
      </c>
      <c r="H219" s="30">
        <f>+'10 - Merger Costs'!C15</f>
        <v>174669.87000000034</v>
      </c>
      <c r="I219" s="924">
        <f t="shared" si="11"/>
        <v>16335723.162524994</v>
      </c>
      <c r="J219" s="31"/>
      <c r="K219" s="31"/>
      <c r="L219" s="31"/>
      <c r="M219" s="31"/>
      <c r="N219" s="31"/>
      <c r="O219" s="31"/>
      <c r="P219" s="31"/>
      <c r="Q219" s="32"/>
    </row>
    <row r="220" spans="1:18" ht="15.5">
      <c r="A220" s="63">
        <v>92</v>
      </c>
      <c r="B220" s="88"/>
      <c r="C220" s="64" t="s">
        <v>373</v>
      </c>
      <c r="D220" s="925"/>
      <c r="E220" s="925"/>
      <c r="F220" s="101"/>
      <c r="G220" s="30">
        <v>0</v>
      </c>
      <c r="H220" s="30">
        <v>0</v>
      </c>
      <c r="I220" s="924">
        <f t="shared" si="11"/>
        <v>0</v>
      </c>
      <c r="J220" s="31"/>
      <c r="K220" s="31"/>
      <c r="L220" s="31"/>
      <c r="M220" s="31"/>
      <c r="N220" s="31"/>
      <c r="O220" s="31"/>
      <c r="P220" s="31"/>
      <c r="Q220" s="32"/>
    </row>
    <row r="221" spans="1:18" ht="16" thickBot="1">
      <c r="A221" s="93">
        <v>93</v>
      </c>
      <c r="B221" s="119"/>
      <c r="C221" s="926" t="s">
        <v>374</v>
      </c>
      <c r="D221" s="927"/>
      <c r="E221" s="927"/>
      <c r="F221" s="116"/>
      <c r="G221" s="928">
        <v>0</v>
      </c>
      <c r="H221" s="928">
        <v>0</v>
      </c>
      <c r="I221" s="929">
        <f t="shared" ref="I221" si="12">G221-H221</f>
        <v>0</v>
      </c>
      <c r="J221" s="108"/>
      <c r="K221" s="108"/>
      <c r="L221" s="108"/>
      <c r="M221" s="108"/>
      <c r="N221" s="108"/>
      <c r="O221" s="108"/>
      <c r="P221" s="108"/>
      <c r="Q221" s="930"/>
    </row>
    <row r="222" spans="1:18" ht="15.5">
      <c r="A222" s="88"/>
      <c r="B222" s="88"/>
      <c r="C222" s="64"/>
      <c r="D222" s="153"/>
      <c r="E222" s="153"/>
      <c r="F222" s="64"/>
      <c r="G222" s="28"/>
      <c r="H222" s="28"/>
      <c r="I222" s="41"/>
      <c r="J222" s="20"/>
      <c r="K222" s="20"/>
      <c r="L222" s="20"/>
      <c r="M222" s="20"/>
      <c r="N222" s="20"/>
      <c r="O222" s="20"/>
      <c r="P222" s="20"/>
      <c r="Q222" s="20"/>
    </row>
    <row r="223" spans="1:18" ht="16" thickBot="1">
      <c r="A223" s="88"/>
      <c r="B223" s="88"/>
      <c r="C223" s="64"/>
      <c r="D223" s="153"/>
      <c r="E223" s="153"/>
      <c r="F223" s="64"/>
      <c r="G223" s="28"/>
      <c r="H223" s="28"/>
      <c r="I223" s="41"/>
      <c r="J223" s="20"/>
      <c r="K223" s="20"/>
      <c r="L223" s="20"/>
      <c r="M223" s="20"/>
      <c r="N223" s="20"/>
      <c r="O223" s="20"/>
      <c r="P223" s="20"/>
      <c r="Q223" s="20"/>
    </row>
    <row r="224" spans="1:18" ht="20.5" thickBot="1">
      <c r="A224" s="1801" t="s">
        <v>152</v>
      </c>
      <c r="B224" s="1802"/>
      <c r="C224" s="1802"/>
      <c r="D224" s="1802"/>
      <c r="E224" s="1802"/>
      <c r="F224" s="1803"/>
      <c r="G224" s="1804"/>
      <c r="H224" s="1805"/>
      <c r="I224" s="1806"/>
      <c r="J224" s="1805"/>
      <c r="K224" s="1806"/>
      <c r="L224" s="1805"/>
      <c r="M224" s="938"/>
      <c r="N224" s="938"/>
      <c r="O224" s="938"/>
      <c r="P224" s="938"/>
      <c r="Q224" s="939"/>
    </row>
    <row r="225" spans="1:18" ht="40">
      <c r="A225" s="1787" t="s">
        <v>50</v>
      </c>
      <c r="B225" s="1788"/>
      <c r="C225" s="1788"/>
      <c r="D225" s="1788"/>
      <c r="E225" s="1788"/>
      <c r="F225" s="1789"/>
      <c r="G225" s="57" t="s">
        <v>153</v>
      </c>
      <c r="H225" s="57" t="s">
        <v>154</v>
      </c>
      <c r="I225" s="57" t="s">
        <v>155</v>
      </c>
      <c r="J225" s="57" t="s">
        <v>156</v>
      </c>
      <c r="K225" s="1792" t="s">
        <v>157</v>
      </c>
      <c r="L225" s="1793"/>
      <c r="M225" s="1793"/>
      <c r="N225" s="1793"/>
      <c r="O225" s="1793"/>
      <c r="P225" s="1793"/>
      <c r="Q225" s="1794"/>
    </row>
    <row r="226" spans="1:18" s="5" customFormat="1" ht="10.5" customHeight="1">
      <c r="A226" s="191"/>
      <c r="B226" s="192"/>
      <c r="C226" s="192"/>
      <c r="D226" s="192"/>
      <c r="E226" s="192"/>
      <c r="F226" s="193"/>
      <c r="G226" s="194"/>
      <c r="H226" s="194"/>
      <c r="I226" s="194"/>
      <c r="J226" s="195"/>
      <c r="K226" s="195"/>
      <c r="L226" s="195"/>
      <c r="M226" s="195"/>
      <c r="N226" s="195"/>
      <c r="O226" s="195"/>
      <c r="P226" s="195"/>
      <c r="Q226" s="196"/>
    </row>
    <row r="227" spans="1:18" ht="120.75" customHeight="1">
      <c r="A227" s="63">
        <v>68</v>
      </c>
      <c r="B227" s="88"/>
      <c r="C227" s="64" t="s">
        <v>149</v>
      </c>
      <c r="D227" s="158"/>
      <c r="E227" s="112"/>
      <c r="F227" s="198" t="s">
        <v>158</v>
      </c>
      <c r="G227" s="28">
        <v>95550952</v>
      </c>
      <c r="H227" s="28">
        <v>11763379</v>
      </c>
      <c r="I227" s="924">
        <v>-473130.4</v>
      </c>
      <c r="J227" s="41">
        <v>381358.88950676564</v>
      </c>
      <c r="K227" s="1795" t="s">
        <v>1811</v>
      </c>
      <c r="L227" s="1796"/>
      <c r="M227" s="1796"/>
      <c r="N227" s="1796"/>
      <c r="O227" s="1796"/>
      <c r="P227" s="1796"/>
      <c r="Q227" s="1797"/>
      <c r="R227" s="44"/>
    </row>
    <row r="228" spans="1:18" ht="16" thickBot="1">
      <c r="A228" s="93"/>
      <c r="B228" s="119"/>
      <c r="C228" s="95"/>
      <c r="D228" s="105"/>
      <c r="E228" s="105"/>
      <c r="F228" s="116"/>
      <c r="G228" s="37"/>
      <c r="H228" s="37"/>
      <c r="I228" s="197"/>
      <c r="J228" s="38"/>
      <c r="K228" s="38"/>
      <c r="L228" s="38"/>
      <c r="M228" s="38"/>
      <c r="N228" s="38"/>
      <c r="O228" s="38"/>
      <c r="P228" s="38"/>
      <c r="Q228" s="39"/>
    </row>
    <row r="229" spans="1:18">
      <c r="G229" s="188"/>
      <c r="H229" s="188"/>
      <c r="I229" s="188"/>
      <c r="J229" s="188"/>
      <c r="K229" s="188"/>
      <c r="L229" s="188"/>
      <c r="M229" s="188"/>
      <c r="N229" s="188"/>
      <c r="O229" s="188"/>
      <c r="P229" s="188"/>
      <c r="Q229" s="188"/>
    </row>
    <row r="230" spans="1:18">
      <c r="G230" s="188"/>
      <c r="H230" s="188"/>
      <c r="I230" s="188"/>
      <c r="J230" s="199"/>
      <c r="K230" s="188"/>
      <c r="L230" s="188"/>
      <c r="M230" s="188"/>
      <c r="N230" s="188"/>
      <c r="O230" s="188"/>
      <c r="P230" s="188"/>
      <c r="Q230" s="188"/>
    </row>
    <row r="231" spans="1:18" ht="15" thickBot="1">
      <c r="G231" s="188"/>
      <c r="H231" s="188"/>
      <c r="I231" s="188"/>
      <c r="J231" s="199"/>
      <c r="K231" s="188"/>
      <c r="L231" s="188"/>
      <c r="M231" s="188"/>
      <c r="N231" s="188"/>
      <c r="O231" s="188"/>
      <c r="P231" s="188"/>
      <c r="Q231" s="188"/>
    </row>
    <row r="232" spans="1:18" ht="18.5" thickBot="1">
      <c r="A232" s="1798" t="s">
        <v>159</v>
      </c>
      <c r="B232" s="1799"/>
      <c r="C232" s="1799"/>
      <c r="D232" s="1799"/>
      <c r="E232" s="1799"/>
      <c r="F232" s="1800"/>
      <c r="G232" s="188"/>
      <c r="H232" s="188"/>
      <c r="I232" s="188"/>
      <c r="J232" s="188"/>
      <c r="K232" s="188"/>
      <c r="L232" s="188"/>
      <c r="M232" s="188"/>
      <c r="N232" s="188"/>
      <c r="O232" s="188"/>
      <c r="P232" s="188"/>
      <c r="Q232" s="188"/>
    </row>
    <row r="233" spans="1:18">
      <c r="G233" s="188"/>
      <c r="H233" s="188"/>
      <c r="I233" s="188"/>
      <c r="J233" s="188"/>
      <c r="K233" s="188"/>
      <c r="L233" s="188"/>
      <c r="M233" s="188"/>
      <c r="N233" s="188"/>
      <c r="O233" s="188"/>
      <c r="P233" s="188"/>
      <c r="Q233" s="188"/>
    </row>
    <row r="234" spans="1:18">
      <c r="A234" t="s">
        <v>160</v>
      </c>
      <c r="C234" s="200" t="s">
        <v>161</v>
      </c>
      <c r="E234" s="42">
        <f>+E242</f>
        <v>342240.09330000001</v>
      </c>
      <c r="G234" s="188"/>
      <c r="H234" s="188"/>
      <c r="I234" s="188"/>
      <c r="J234" s="188"/>
      <c r="K234" s="188"/>
      <c r="L234" s="188"/>
      <c r="M234" s="188"/>
      <c r="N234" s="188"/>
      <c r="O234" s="188"/>
      <c r="P234" s="188"/>
      <c r="Q234" s="188"/>
    </row>
    <row r="235" spans="1:18">
      <c r="G235" s="188"/>
      <c r="H235" s="188"/>
      <c r="I235" s="188"/>
      <c r="J235" s="188"/>
      <c r="K235" s="188"/>
      <c r="L235" s="188"/>
      <c r="M235" s="188"/>
      <c r="N235" s="188"/>
      <c r="O235" s="188"/>
      <c r="P235" s="188"/>
      <c r="Q235" s="188"/>
    </row>
    <row r="236" spans="1:18">
      <c r="D236" s="201" t="s">
        <v>162</v>
      </c>
      <c r="E236" s="202">
        <f>+'3 - Revenue Credits'!D33</f>
        <v>1217503</v>
      </c>
      <c r="G236" s="188"/>
      <c r="H236" s="188"/>
      <c r="I236" s="188"/>
      <c r="J236" s="188"/>
      <c r="K236" s="188"/>
      <c r="L236" s="188"/>
      <c r="M236" s="188"/>
      <c r="N236" s="188"/>
      <c r="O236" s="188"/>
      <c r="P236" s="188"/>
      <c r="Q236" s="188"/>
    </row>
    <row r="237" spans="1:18">
      <c r="D237" s="203" t="s">
        <v>163</v>
      </c>
      <c r="E237" s="204">
        <v>0.21</v>
      </c>
      <c r="G237" s="188"/>
      <c r="H237" s="188"/>
      <c r="I237" s="188"/>
      <c r="J237" s="188"/>
      <c r="K237" s="188"/>
      <c r="L237" s="188"/>
      <c r="M237" s="188"/>
      <c r="N237" s="188"/>
      <c r="O237" s="188"/>
      <c r="P237" s="188"/>
      <c r="Q237" s="188"/>
    </row>
    <row r="238" spans="1:18">
      <c r="D238" s="205" t="s">
        <v>164</v>
      </c>
      <c r="E238" s="206">
        <f>E236*E237</f>
        <v>255675.63</v>
      </c>
      <c r="G238" s="188"/>
      <c r="H238" s="188"/>
      <c r="I238" s="188"/>
      <c r="J238" s="188"/>
      <c r="K238" s="188"/>
      <c r="L238" s="188"/>
      <c r="M238" s="188"/>
      <c r="N238" s="188"/>
      <c r="O238" s="188"/>
      <c r="P238" s="188"/>
      <c r="Q238" s="188"/>
    </row>
    <row r="239" spans="1:18">
      <c r="D239" s="205" t="s">
        <v>165</v>
      </c>
      <c r="E239" s="206">
        <f>E236-E238</f>
        <v>961827.37</v>
      </c>
      <c r="G239" s="188"/>
      <c r="H239" s="188"/>
      <c r="I239" s="188"/>
      <c r="J239" s="188"/>
      <c r="K239" s="188"/>
      <c r="L239" s="188"/>
      <c r="M239" s="188"/>
      <c r="N239" s="188"/>
      <c r="O239" s="188"/>
      <c r="P239" s="188"/>
      <c r="Q239" s="188"/>
    </row>
    <row r="240" spans="1:18">
      <c r="D240" s="205" t="s">
        <v>166</v>
      </c>
      <c r="E240" s="207">
        <v>0.09</v>
      </c>
      <c r="G240" s="188"/>
      <c r="H240" s="188"/>
      <c r="I240" s="188"/>
      <c r="J240" s="188"/>
      <c r="K240" s="188"/>
      <c r="L240" s="188"/>
      <c r="M240" s="188"/>
      <c r="N240" s="188"/>
      <c r="O240" s="188"/>
      <c r="P240" s="188"/>
      <c r="Q240" s="188"/>
    </row>
    <row r="241" spans="1:19">
      <c r="D241" s="205" t="s">
        <v>167</v>
      </c>
      <c r="E241" s="206">
        <f>E239*E240</f>
        <v>86564.463300000003</v>
      </c>
      <c r="G241" s="188"/>
      <c r="H241" s="188"/>
      <c r="I241" s="188"/>
      <c r="J241" s="188"/>
      <c r="K241" s="188"/>
      <c r="L241" s="188"/>
      <c r="M241" s="188"/>
      <c r="N241" s="188"/>
      <c r="O241" s="188"/>
      <c r="P241" s="188"/>
      <c r="Q241" s="188"/>
    </row>
    <row r="242" spans="1:19" ht="15" thickBot="1">
      <c r="D242" s="205" t="s">
        <v>168</v>
      </c>
      <c r="E242" s="208">
        <f>E241+E238</f>
        <v>342240.09330000001</v>
      </c>
      <c r="G242" s="188"/>
      <c r="H242" s="188"/>
      <c r="I242" s="188"/>
      <c r="J242" s="188"/>
      <c r="K242" s="188"/>
      <c r="L242" s="188"/>
      <c r="M242" s="188"/>
      <c r="N242" s="188"/>
      <c r="O242" s="188"/>
      <c r="P242" s="188"/>
      <c r="Q242" s="188"/>
    </row>
    <row r="243" spans="1:19" ht="16" thickTop="1">
      <c r="D243" s="209"/>
      <c r="E243" s="210"/>
      <c r="F243" s="210"/>
      <c r="G243" s="210"/>
      <c r="H243" s="210"/>
    </row>
    <row r="244" spans="1:19" ht="16" thickBot="1">
      <c r="D244" s="209"/>
      <c r="E244" s="210"/>
      <c r="F244" s="210"/>
      <c r="G244" s="210"/>
      <c r="H244" s="210"/>
    </row>
    <row r="245" spans="1:19" s="1245" customFormat="1" ht="18.5" thickBot="1">
      <c r="A245" s="1264" t="s">
        <v>1261</v>
      </c>
      <c r="B245" s="1266"/>
      <c r="C245" s="1266"/>
      <c r="D245" s="1266"/>
      <c r="E245" s="1266"/>
      <c r="F245" s="1266"/>
      <c r="G245" s="1266"/>
      <c r="H245" s="1266"/>
      <c r="I245" s="1266"/>
      <c r="J245" s="1267"/>
      <c r="K245" s="1267"/>
      <c r="L245" s="1267"/>
      <c r="M245" s="1267"/>
      <c r="N245" s="1267"/>
      <c r="O245" s="1267"/>
      <c r="P245" s="1267"/>
      <c r="Q245" s="1268"/>
      <c r="R245" s="188"/>
      <c r="S245" s="188"/>
    </row>
    <row r="246" spans="1:19" s="915" customFormat="1" ht="14">
      <c r="A246" s="1306"/>
      <c r="B246" s="1269"/>
      <c r="C246" s="1270"/>
      <c r="D246" s="1269"/>
      <c r="E246" s="1271"/>
      <c r="F246" s="1271"/>
      <c r="G246" s="1272"/>
      <c r="H246" s="1273" t="s">
        <v>228</v>
      </c>
      <c r="I246" s="1272"/>
      <c r="J246" s="1274"/>
      <c r="K246" s="1272"/>
      <c r="L246" s="1275"/>
      <c r="M246" s="1269"/>
      <c r="N246" s="1269"/>
      <c r="O246" s="1269"/>
      <c r="P246" s="1269"/>
      <c r="Q246" s="1276"/>
    </row>
    <row r="247" spans="1:19" s="915" customFormat="1" ht="14">
      <c r="A247" s="1306"/>
      <c r="B247" s="1277"/>
      <c r="C247" s="1269"/>
      <c r="D247" s="1278"/>
      <c r="E247" s="1279"/>
      <c r="F247" s="1279"/>
      <c r="G247" s="1272"/>
      <c r="H247" s="1273" t="s">
        <v>41</v>
      </c>
      <c r="I247" s="1273"/>
      <c r="J247" s="1273" t="s">
        <v>1262</v>
      </c>
      <c r="K247" s="1272"/>
      <c r="L247" s="1280"/>
      <c r="M247" s="1280"/>
      <c r="N247" s="1280"/>
      <c r="O247" s="1280"/>
      <c r="P247" s="1280"/>
      <c r="Q247" s="1281"/>
    </row>
    <row r="248" spans="1:19" s="915" customFormat="1" ht="14">
      <c r="A248" s="1307" t="s">
        <v>573</v>
      </c>
      <c r="B248" s="1277"/>
      <c r="C248" s="1282" t="s">
        <v>1263</v>
      </c>
      <c r="D248" s="1278"/>
      <c r="E248" s="1279"/>
      <c r="F248" s="1283" t="s">
        <v>1264</v>
      </c>
      <c r="G248" s="1272"/>
      <c r="H248" s="1284" t="s">
        <v>1265</v>
      </c>
      <c r="I248" s="1273"/>
      <c r="J248" s="1284" t="s">
        <v>1745</v>
      </c>
      <c r="K248" s="1272"/>
      <c r="L248" s="1284" t="s">
        <v>1746</v>
      </c>
      <c r="M248" s="1280"/>
      <c r="N248" s="1280"/>
      <c r="O248" s="1280"/>
      <c r="P248" s="1280"/>
      <c r="Q248" s="1281"/>
    </row>
    <row r="249" spans="1:19" s="915" customFormat="1" ht="14">
      <c r="A249" s="1306"/>
      <c r="B249" s="1277"/>
      <c r="C249" s="1285"/>
      <c r="D249" s="1278"/>
      <c r="E249" s="1279"/>
      <c r="F249" s="1279"/>
      <c r="G249" s="1272"/>
      <c r="H249" s="1273"/>
      <c r="I249" s="1273"/>
      <c r="J249" s="1273"/>
      <c r="K249" s="1272"/>
      <c r="L249" s="1286"/>
      <c r="M249" s="1280"/>
      <c r="N249" s="1280"/>
      <c r="O249" s="1280"/>
      <c r="P249" s="1280"/>
      <c r="Q249" s="1281"/>
    </row>
    <row r="250" spans="1:19" s="915" customFormat="1" ht="15.5">
      <c r="A250" s="1306" t="str">
        <f>'ATT H-1A'!A256</f>
        <v>136a</v>
      </c>
      <c r="B250" s="1269"/>
      <c r="C250" s="227" t="s">
        <v>1225</v>
      </c>
      <c r="D250" s="1269"/>
      <c r="E250" s="1271"/>
      <c r="F250" s="1271" t="s">
        <v>1266</v>
      </c>
      <c r="G250" s="1272"/>
      <c r="H250" s="1287">
        <v>282549.63575988897</v>
      </c>
      <c r="I250" s="1288" t="s">
        <v>1044</v>
      </c>
      <c r="J250" s="1289">
        <f>'ATT H-1A'!H246</f>
        <v>0.28109999999999991</v>
      </c>
      <c r="K250" s="1290" t="s">
        <v>1267</v>
      </c>
      <c r="L250" s="1291">
        <f>H250*J250</f>
        <v>79424.702612104767</v>
      </c>
      <c r="M250" s="1292"/>
      <c r="N250" s="1280"/>
      <c r="O250" s="1292"/>
      <c r="P250" s="1280"/>
      <c r="Q250" s="1293"/>
    </row>
    <row r="251" spans="1:19" s="915" customFormat="1" ht="14">
      <c r="A251" s="1306"/>
      <c r="B251" s="1269"/>
      <c r="C251" s="1270" t="s">
        <v>1781</v>
      </c>
      <c r="D251" s="1269"/>
      <c r="E251" s="1271"/>
      <c r="F251" s="1271"/>
      <c r="G251" s="1272"/>
      <c r="H251" s="1272"/>
      <c r="I251" s="1272"/>
      <c r="J251" s="1272"/>
      <c r="K251" s="1272"/>
      <c r="L251" s="1291"/>
      <c r="M251" s="1280"/>
      <c r="N251" s="1280"/>
      <c r="O251" s="1280"/>
      <c r="P251" s="1280"/>
      <c r="Q251" s="1281"/>
    </row>
    <row r="252" spans="1:19" s="915" customFormat="1" ht="15.5">
      <c r="A252" s="1306" t="str">
        <f>'ATT H-1A'!A257</f>
        <v>136b</v>
      </c>
      <c r="B252" s="1269"/>
      <c r="C252" s="1699" t="s">
        <v>1226</v>
      </c>
      <c r="D252" s="1269"/>
      <c r="E252" s="1271"/>
      <c r="F252" s="1271" t="s">
        <v>1268</v>
      </c>
      <c r="G252" s="1272"/>
      <c r="H252" s="1272"/>
      <c r="I252" s="1272"/>
      <c r="J252" s="1272"/>
      <c r="K252" s="1272"/>
      <c r="L252" s="1294">
        <f>-'1E - EDIT Amortization'!O109</f>
        <v>-13268254.266331796</v>
      </c>
      <c r="M252" s="1295"/>
      <c r="N252" s="1280"/>
      <c r="O252" s="1295"/>
      <c r="P252" s="1280"/>
      <c r="Q252" s="1296"/>
    </row>
    <row r="253" spans="1:19" s="915" customFormat="1" ht="15.5">
      <c r="A253" s="1306" t="str">
        <f>'ATT H-1A'!A258</f>
        <v>136c</v>
      </c>
      <c r="B253" s="1269"/>
      <c r="C253" s="1699" t="s">
        <v>1228</v>
      </c>
      <c r="D253" s="1269"/>
      <c r="E253" s="1271"/>
      <c r="F253" s="1271" t="s">
        <v>1268</v>
      </c>
      <c r="G253" s="1272"/>
      <c r="H253" s="1272"/>
      <c r="I253" s="1272"/>
      <c r="J253" s="1272"/>
      <c r="K253" s="1272"/>
      <c r="L253" s="1294">
        <f>-'1E - EDIT Amortization'!O214</f>
        <v>0</v>
      </c>
      <c r="M253" s="1295"/>
      <c r="N253" s="1280"/>
      <c r="O253" s="1295"/>
      <c r="P253" s="1280"/>
      <c r="Q253" s="1296"/>
    </row>
    <row r="254" spans="1:19" s="915" customFormat="1" ht="14">
      <c r="A254" s="1306" t="str">
        <f>'ATT H-1A'!A259</f>
        <v>136d</v>
      </c>
      <c r="B254" s="1269"/>
      <c r="C254" s="1270" t="s">
        <v>1230</v>
      </c>
      <c r="D254" s="1269"/>
      <c r="E254" s="1271"/>
      <c r="F254" s="1271" t="s">
        <v>1269</v>
      </c>
      <c r="G254" s="1272"/>
      <c r="H254" s="1272"/>
      <c r="I254" s="1272"/>
      <c r="J254" s="1272"/>
      <c r="K254" s="1272"/>
      <c r="L254" s="1294">
        <v>0</v>
      </c>
      <c r="M254" s="1280"/>
      <c r="N254" s="1280"/>
      <c r="O254" s="1280"/>
      <c r="P254" s="1280"/>
      <c r="Q254" s="1281"/>
    </row>
    <row r="255" spans="1:19" s="915" customFormat="1" thickBot="1">
      <c r="A255" s="1306" t="str">
        <f>'ATT H-1A'!A260</f>
        <v>136e</v>
      </c>
      <c r="B255" s="1269"/>
      <c r="C255" s="1297" t="s">
        <v>1270</v>
      </c>
      <c r="D255" s="1269"/>
      <c r="E255" s="1271"/>
      <c r="F255" s="1271" t="s">
        <v>1271</v>
      </c>
      <c r="G255" s="1272"/>
      <c r="H255" s="1272"/>
      <c r="I255" s="1272"/>
      <c r="J255" s="1272"/>
      <c r="K255" s="1272"/>
      <c r="L255" s="1298">
        <f>SUM(L250:L254)</f>
        <v>-13188829.563719692</v>
      </c>
      <c r="M255" s="1280"/>
      <c r="N255" s="1280"/>
      <c r="O255" s="1280"/>
      <c r="P255" s="1280"/>
      <c r="Q255" s="1281"/>
    </row>
    <row r="256" spans="1:19" s="915" customFormat="1" thickTop="1">
      <c r="A256" s="1306"/>
      <c r="B256" s="1269"/>
      <c r="C256" s="1270"/>
      <c r="D256" s="1269"/>
      <c r="E256" s="1271"/>
      <c r="F256" s="1271"/>
      <c r="G256" s="1272"/>
      <c r="H256" s="1272"/>
      <c r="I256" s="1272"/>
      <c r="J256" s="1272"/>
      <c r="K256" s="1291"/>
      <c r="L256" s="1269"/>
      <c r="M256" s="1280"/>
      <c r="N256" s="1280"/>
      <c r="O256" s="1280"/>
      <c r="P256" s="1280"/>
      <c r="Q256" s="1281"/>
    </row>
    <row r="257" spans="1:17" s="915" customFormat="1" ht="14">
      <c r="A257" s="1308" t="s">
        <v>1272</v>
      </c>
      <c r="B257" s="1269"/>
      <c r="C257" s="1282" t="s">
        <v>1273</v>
      </c>
      <c r="D257" s="1285"/>
      <c r="E257" s="1285"/>
      <c r="F257" s="1271"/>
      <c r="G257" s="1272"/>
      <c r="H257" s="1272"/>
      <c r="I257" s="1274"/>
      <c r="J257" s="1272"/>
      <c r="K257" s="1275"/>
      <c r="L257" s="1269"/>
      <c r="M257" s="1280"/>
      <c r="N257" s="1280"/>
      <c r="O257" s="1280"/>
      <c r="P257" s="1280"/>
      <c r="Q257" s="1281"/>
    </row>
    <row r="258" spans="1:17" s="915" customFormat="1" ht="15" customHeight="1">
      <c r="A258" s="1309" t="s">
        <v>1274</v>
      </c>
      <c r="B258" s="1269"/>
      <c r="C258" s="1780" t="s">
        <v>1275</v>
      </c>
      <c r="D258" s="1780"/>
      <c r="E258" s="1780"/>
      <c r="F258" s="1780"/>
      <c r="G258" s="1272"/>
      <c r="H258" s="1272"/>
      <c r="I258" s="1274"/>
      <c r="J258" s="1272"/>
      <c r="K258" s="1275"/>
      <c r="L258" s="1269"/>
      <c r="M258" s="1269"/>
      <c r="N258" s="1269"/>
      <c r="O258" s="1269"/>
      <c r="P258" s="1269"/>
      <c r="Q258" s="1276"/>
    </row>
    <row r="259" spans="1:17" s="915" customFormat="1" ht="15" customHeight="1">
      <c r="A259" s="1309"/>
      <c r="B259" s="1269"/>
      <c r="C259" s="1780"/>
      <c r="D259" s="1780"/>
      <c r="E259" s="1780"/>
      <c r="F259" s="1780"/>
      <c r="G259" s="1272"/>
      <c r="H259" s="1272"/>
      <c r="I259" s="1274"/>
      <c r="J259" s="1272"/>
      <c r="K259" s="1275"/>
      <c r="L259" s="1269"/>
      <c r="M259" s="1269"/>
      <c r="N259" s="1269"/>
      <c r="O259" s="1269"/>
      <c r="P259" s="1269"/>
      <c r="Q259" s="1276"/>
    </row>
    <row r="260" spans="1:17" s="915" customFormat="1" ht="15" customHeight="1">
      <c r="A260" s="1309" t="s">
        <v>1276</v>
      </c>
      <c r="B260" s="1269"/>
      <c r="C260" s="1780" t="s">
        <v>1277</v>
      </c>
      <c r="D260" s="1780"/>
      <c r="E260" s="1780"/>
      <c r="F260" s="1780"/>
      <c r="G260" s="1272"/>
      <c r="H260" s="1272"/>
      <c r="I260" s="1274"/>
      <c r="J260" s="1272"/>
      <c r="K260" s="1275"/>
      <c r="L260" s="1269"/>
      <c r="M260" s="1269"/>
      <c r="N260" s="1269"/>
      <c r="O260" s="1269"/>
      <c r="P260" s="1269"/>
      <c r="Q260" s="1276"/>
    </row>
    <row r="261" spans="1:17" s="915" customFormat="1" ht="15" customHeight="1">
      <c r="A261" s="1309" t="s">
        <v>1278</v>
      </c>
      <c r="B261" s="1269"/>
      <c r="C261" s="1781" t="s">
        <v>1279</v>
      </c>
      <c r="D261" s="1781"/>
      <c r="E261" s="1781"/>
      <c r="F261" s="1781"/>
      <c r="G261" s="1272"/>
      <c r="H261" s="1272" t="s">
        <v>86</v>
      </c>
      <c r="I261" s="1274"/>
      <c r="J261" s="1272"/>
      <c r="K261" s="1275"/>
      <c r="L261" s="1269"/>
      <c r="M261" s="1269"/>
      <c r="N261" s="1269"/>
      <c r="O261" s="1269"/>
      <c r="P261" s="1269"/>
      <c r="Q261" s="1276"/>
    </row>
    <row r="262" spans="1:17" s="915" customFormat="1" ht="14">
      <c r="A262" s="1309"/>
      <c r="B262" s="1269"/>
      <c r="C262" s="1781"/>
      <c r="D262" s="1781"/>
      <c r="E262" s="1781"/>
      <c r="F262" s="1781"/>
      <c r="G262" s="1272"/>
      <c r="H262" s="1272"/>
      <c r="I262" s="1274"/>
      <c r="J262" s="1272"/>
      <c r="K262" s="1275"/>
      <c r="L262" s="1269"/>
      <c r="M262" s="1269"/>
      <c r="N262" s="1269"/>
      <c r="O262" s="1269"/>
      <c r="P262" s="1269"/>
      <c r="Q262" s="1276"/>
    </row>
    <row r="263" spans="1:17" s="915" customFormat="1" ht="15" customHeight="1">
      <c r="A263" s="1309" t="s">
        <v>1280</v>
      </c>
      <c r="B263" s="1269"/>
      <c r="C263" s="1782" t="s">
        <v>1281</v>
      </c>
      <c r="D263" s="1782"/>
      <c r="E263" s="1782"/>
      <c r="F263" s="1782"/>
      <c r="G263" s="1782"/>
      <c r="H263" s="1782"/>
      <c r="I263" s="1782"/>
      <c r="J263" s="1782"/>
      <c r="K263" s="1275"/>
      <c r="L263" s="1269"/>
      <c r="M263" s="1269"/>
      <c r="N263" s="1269"/>
      <c r="O263" s="1269"/>
      <c r="P263" s="1269"/>
      <c r="Q263" s="1276"/>
    </row>
    <row r="264" spans="1:17" s="915" customFormat="1" ht="14">
      <c r="A264" s="1309"/>
      <c r="B264" s="1269"/>
      <c r="C264" s="1782"/>
      <c r="D264" s="1782"/>
      <c r="E264" s="1782"/>
      <c r="F264" s="1782"/>
      <c r="G264" s="1782"/>
      <c r="H264" s="1782"/>
      <c r="I264" s="1782"/>
      <c r="J264" s="1782"/>
      <c r="K264" s="1275"/>
      <c r="L264" s="1269"/>
      <c r="M264" s="1269"/>
      <c r="N264" s="1269"/>
      <c r="O264" s="1269"/>
      <c r="P264" s="1269"/>
      <c r="Q264" s="1276"/>
    </row>
    <row r="265" spans="1:17" s="915" customFormat="1" ht="14">
      <c r="A265" s="1309"/>
      <c r="B265" s="1269"/>
      <c r="C265" s="1782"/>
      <c r="D265" s="1782"/>
      <c r="E265" s="1782"/>
      <c r="F265" s="1782"/>
      <c r="G265" s="1782"/>
      <c r="H265" s="1782"/>
      <c r="I265" s="1782"/>
      <c r="J265" s="1782"/>
      <c r="K265" s="1275"/>
      <c r="L265" s="1269"/>
      <c r="M265" s="1269"/>
      <c r="N265" s="1269"/>
      <c r="O265" s="1269"/>
      <c r="P265" s="1269"/>
      <c r="Q265" s="1276"/>
    </row>
    <row r="266" spans="1:17" s="915" customFormat="1" ht="14">
      <c r="A266" s="1309"/>
      <c r="B266" s="1269"/>
      <c r="C266" s="1782"/>
      <c r="D266" s="1782"/>
      <c r="E266" s="1782"/>
      <c r="F266" s="1782"/>
      <c r="G266" s="1782"/>
      <c r="H266" s="1782"/>
      <c r="I266" s="1782"/>
      <c r="J266" s="1782"/>
      <c r="K266" s="1275"/>
      <c r="L266" s="1269"/>
      <c r="M266" s="1269"/>
      <c r="N266" s="1269"/>
      <c r="O266" s="1269"/>
      <c r="P266" s="1269"/>
      <c r="Q266" s="1276"/>
    </row>
    <row r="267" spans="1:17" s="915" customFormat="1" ht="14">
      <c r="A267" s="1309"/>
      <c r="B267" s="1269"/>
      <c r="C267" s="1782"/>
      <c r="D267" s="1782"/>
      <c r="E267" s="1782"/>
      <c r="F267" s="1782"/>
      <c r="G267" s="1782"/>
      <c r="H267" s="1782"/>
      <c r="I267" s="1782"/>
      <c r="J267" s="1782"/>
      <c r="K267" s="1275"/>
      <c r="L267" s="1269"/>
      <c r="M267" s="1269"/>
      <c r="N267" s="1269"/>
      <c r="O267" s="1269"/>
      <c r="P267" s="1269"/>
      <c r="Q267" s="1276"/>
    </row>
    <row r="268" spans="1:17" s="915" customFormat="1" ht="15" customHeight="1">
      <c r="A268" s="1309" t="s">
        <v>1282</v>
      </c>
      <c r="B268" s="1269"/>
      <c r="C268" s="1782" t="s">
        <v>1283</v>
      </c>
      <c r="D268" s="1782"/>
      <c r="E268" s="1782"/>
      <c r="F268" s="1782"/>
      <c r="G268" s="1272"/>
      <c r="H268" s="1272"/>
      <c r="I268" s="1274"/>
      <c r="J268" s="1272"/>
      <c r="K268" s="1275"/>
      <c r="L268" s="1269"/>
      <c r="M268" s="1269"/>
      <c r="N268" s="1269"/>
      <c r="O268" s="1269"/>
      <c r="P268" s="1269"/>
      <c r="Q268" s="1276"/>
    </row>
    <row r="269" spans="1:17" s="915" customFormat="1" ht="14">
      <c r="A269" s="1309"/>
      <c r="B269" s="1269"/>
      <c r="C269" s="1782"/>
      <c r="D269" s="1782"/>
      <c r="E269" s="1782"/>
      <c r="F269" s="1782"/>
      <c r="G269" s="1272"/>
      <c r="H269" s="1272"/>
      <c r="I269" s="1274"/>
      <c r="J269" s="1272"/>
      <c r="K269" s="1275"/>
      <c r="L269" s="1269"/>
      <c r="M269" s="1269"/>
      <c r="N269" s="1269"/>
      <c r="O269" s="1269"/>
      <c r="P269" s="1269"/>
      <c r="Q269" s="1276"/>
    </row>
    <row r="270" spans="1:17" s="915" customFormat="1" ht="14">
      <c r="A270" s="1309"/>
      <c r="B270" s="1269"/>
      <c r="C270" s="1782"/>
      <c r="D270" s="1782"/>
      <c r="E270" s="1782"/>
      <c r="F270" s="1782"/>
      <c r="G270" s="1272"/>
      <c r="H270" s="1272"/>
      <c r="I270" s="1274"/>
      <c r="J270" s="1272"/>
      <c r="K270" s="1275"/>
      <c r="L270" s="1269"/>
      <c r="M270" s="1269"/>
      <c r="N270" s="1269"/>
      <c r="O270" s="1269"/>
      <c r="P270" s="1269"/>
      <c r="Q270" s="1276"/>
    </row>
    <row r="271" spans="1:17" s="915" customFormat="1" ht="14">
      <c r="A271" s="1309"/>
      <c r="B271" s="1269"/>
      <c r="C271" s="1782"/>
      <c r="D271" s="1782"/>
      <c r="E271" s="1782"/>
      <c r="F271" s="1782"/>
      <c r="G271" s="1272"/>
      <c r="H271" s="1272"/>
      <c r="I271" s="1274"/>
      <c r="J271" s="1272"/>
      <c r="K271" s="1275"/>
      <c r="L271" s="1269"/>
      <c r="M271" s="1269"/>
      <c r="N271" s="1269"/>
      <c r="O271" s="1269"/>
      <c r="P271" s="1269"/>
      <c r="Q271" s="1276"/>
    </row>
    <row r="272" spans="1:17" s="915" customFormat="1" ht="14">
      <c r="A272" s="1309"/>
      <c r="B272" s="1269"/>
      <c r="C272" s="1782"/>
      <c r="D272" s="1782"/>
      <c r="E272" s="1782"/>
      <c r="F272" s="1782"/>
      <c r="G272" s="1272"/>
      <c r="H272" s="1272"/>
      <c r="I272" s="1274"/>
      <c r="J272" s="1272"/>
      <c r="K272" s="1275"/>
      <c r="L272" s="1269"/>
      <c r="M272" s="1269"/>
      <c r="N272" s="1269"/>
      <c r="O272" s="1269"/>
      <c r="P272" s="1269"/>
      <c r="Q272" s="1276"/>
    </row>
    <row r="273" spans="1:17" s="915" customFormat="1" ht="14">
      <c r="A273" s="1309"/>
      <c r="B273" s="1269"/>
      <c r="C273" s="1782"/>
      <c r="D273" s="1782"/>
      <c r="E273" s="1782"/>
      <c r="F273" s="1782"/>
      <c r="G273" s="1272"/>
      <c r="H273" s="1272"/>
      <c r="I273" s="1274"/>
      <c r="J273" s="1272"/>
      <c r="K273" s="1275"/>
      <c r="L273" s="1269"/>
      <c r="M273" s="1269"/>
      <c r="N273" s="1269"/>
      <c r="O273" s="1269"/>
      <c r="P273" s="1269"/>
      <c r="Q273" s="1276"/>
    </row>
    <row r="274" spans="1:17" s="915" customFormat="1" ht="14">
      <c r="A274" s="1309"/>
      <c r="B274" s="1269"/>
      <c r="C274" s="1782"/>
      <c r="D274" s="1782"/>
      <c r="E274" s="1782"/>
      <c r="F274" s="1782"/>
      <c r="G274" s="1272"/>
      <c r="H274" s="1272"/>
      <c r="I274" s="1274"/>
      <c r="J274" s="1272"/>
      <c r="K274" s="1275"/>
      <c r="L274" s="1269"/>
      <c r="M274" s="1269"/>
      <c r="N274" s="1269"/>
      <c r="O274" s="1269"/>
      <c r="P274" s="1269"/>
      <c r="Q274" s="1276"/>
    </row>
    <row r="275" spans="1:17" s="915" customFormat="1" ht="15" customHeight="1">
      <c r="A275" s="1309" t="s">
        <v>1284</v>
      </c>
      <c r="B275" s="1269"/>
      <c r="C275" s="1782" t="s">
        <v>1285</v>
      </c>
      <c r="D275" s="1782"/>
      <c r="E275" s="1782"/>
      <c r="F275" s="1782"/>
      <c r="G275" s="1272"/>
      <c r="H275" s="1272"/>
      <c r="I275" s="1274"/>
      <c r="J275" s="1272"/>
      <c r="K275" s="1275"/>
      <c r="L275" s="1269"/>
      <c r="M275" s="1269"/>
      <c r="N275" s="1269"/>
      <c r="O275" s="1269"/>
      <c r="P275" s="1269"/>
      <c r="Q275" s="1276"/>
    </row>
    <row r="276" spans="1:17" s="915" customFormat="1" ht="14">
      <c r="A276" s="1309"/>
      <c r="B276" s="1269"/>
      <c r="C276" s="1782"/>
      <c r="D276" s="1782"/>
      <c r="E276" s="1782"/>
      <c r="F276" s="1782"/>
      <c r="G276" s="1272"/>
      <c r="H276" s="1272"/>
      <c r="I276" s="1274"/>
      <c r="J276" s="1272"/>
      <c r="K276" s="1275"/>
      <c r="L276" s="1269"/>
      <c r="M276" s="1269"/>
      <c r="N276" s="1269"/>
      <c r="O276" s="1269"/>
      <c r="P276" s="1269"/>
      <c r="Q276" s="1276"/>
    </row>
    <row r="277" spans="1:17" s="915" customFormat="1" thickBot="1">
      <c r="A277" s="1310"/>
      <c r="B277" s="1299"/>
      <c r="C277" s="1783"/>
      <c r="D277" s="1783"/>
      <c r="E277" s="1783"/>
      <c r="F277" s="1783"/>
      <c r="G277" s="1300"/>
      <c r="H277" s="1300"/>
      <c r="I277" s="1301"/>
      <c r="J277" s="1300"/>
      <c r="K277" s="1302"/>
      <c r="L277" s="1299"/>
      <c r="M277" s="1299"/>
      <c r="N277" s="1299"/>
      <c r="O277" s="1299"/>
      <c r="P277" s="1299"/>
      <c r="Q277" s="1303"/>
    </row>
    <row r="290" spans="3:3" ht="15.5">
      <c r="C290"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3">
    <mergeCell ref="H169:Q169"/>
    <mergeCell ref="H170:Q170"/>
    <mergeCell ref="G190:H190"/>
    <mergeCell ref="I190:J190"/>
    <mergeCell ref="K190:L190"/>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J35:Q35"/>
    <mergeCell ref="A31:F31"/>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C125:T127"/>
    <mergeCell ref="A131:F131"/>
    <mergeCell ref="H151:Q151"/>
    <mergeCell ref="H155:Q155"/>
    <mergeCell ref="H154:Q154"/>
    <mergeCell ref="H167:Q167"/>
    <mergeCell ref="H75:Q75"/>
    <mergeCell ref="H77:Q77"/>
    <mergeCell ref="H79:Q79"/>
    <mergeCell ref="A145:F145"/>
    <mergeCell ref="H145:Q145"/>
    <mergeCell ref="H147:Q147"/>
    <mergeCell ref="H149:Q149"/>
    <mergeCell ref="H150:Q150"/>
    <mergeCell ref="A93:F93"/>
    <mergeCell ref="H82:Q82"/>
    <mergeCell ref="H83:Q83"/>
    <mergeCell ref="H84:Q84"/>
    <mergeCell ref="H85:Q85"/>
    <mergeCell ref="H86:Q86"/>
    <mergeCell ref="H87:Q87"/>
    <mergeCell ref="H80:Q80"/>
    <mergeCell ref="G192:H192"/>
    <mergeCell ref="I192:J192"/>
    <mergeCell ref="K192:L192"/>
    <mergeCell ref="A174:F174"/>
    <mergeCell ref="H174:Q174"/>
    <mergeCell ref="H176:Q176"/>
    <mergeCell ref="A69:F69"/>
    <mergeCell ref="J69:Q69"/>
    <mergeCell ref="A159:F159"/>
    <mergeCell ref="A165:F165"/>
    <mergeCell ref="H165:Q165"/>
    <mergeCell ref="G189:H189"/>
    <mergeCell ref="I189:J189"/>
    <mergeCell ref="K189:L189"/>
    <mergeCell ref="A182:F182"/>
    <mergeCell ref="H182:Q182"/>
    <mergeCell ref="H184:Q184"/>
    <mergeCell ref="G188:H188"/>
    <mergeCell ref="I188:J188"/>
    <mergeCell ref="K188:L188"/>
    <mergeCell ref="H152:Q152"/>
    <mergeCell ref="H153:Q153"/>
    <mergeCell ref="A103:F103"/>
    <mergeCell ref="C105:F105"/>
    <mergeCell ref="C258:F259"/>
    <mergeCell ref="C260:F260"/>
    <mergeCell ref="C261:F262"/>
    <mergeCell ref="C263:F267"/>
    <mergeCell ref="G263:J267"/>
    <mergeCell ref="C268:F274"/>
    <mergeCell ref="C275:F276"/>
    <mergeCell ref="C277:F277"/>
    <mergeCell ref="A195:F195"/>
    <mergeCell ref="A196:F196"/>
    <mergeCell ref="J200:P200"/>
    <mergeCell ref="A225:F225"/>
    <mergeCell ref="K225:Q225"/>
    <mergeCell ref="K227:Q227"/>
    <mergeCell ref="A232:F232"/>
    <mergeCell ref="A224:F224"/>
    <mergeCell ref="G224:H224"/>
    <mergeCell ref="I224:J224"/>
    <mergeCell ref="K224:L224"/>
    <mergeCell ref="A215:F215"/>
    <mergeCell ref="A206:F206"/>
    <mergeCell ref="G206:H206"/>
    <mergeCell ref="I206:J206"/>
    <mergeCell ref="A207:F207"/>
  </mergeCells>
  <phoneticPr fontId="97" type="noConversion"/>
  <pageMargins left="0.25" right="0.25" top="0.75" bottom="0.75" header="0.5" footer="0.5"/>
  <pageSetup scale="16" fitToHeight="3" orientation="portrait" r:id="rId2"/>
  <rowBreaks count="1" manualBreakCount="1">
    <brk id="1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18"/>
  <sheetViews>
    <sheetView showGridLines="0" topLeftCell="A97" zoomScaleNormal="100" zoomScaleSheetLayoutView="99" workbookViewId="0">
      <selection activeCell="L128" sqref="L128"/>
    </sheetView>
  </sheetViews>
  <sheetFormatPr defaultColWidth="9.1796875" defaultRowHeight="12.5"/>
  <cols>
    <col min="1" max="1" width="37" style="588" customWidth="1"/>
    <col min="2" max="2" width="16" style="588" bestFit="1" customWidth="1"/>
    <col min="3" max="3" width="5.81640625" style="588" customWidth="1"/>
    <col min="4" max="4" width="16" style="588" bestFit="1" customWidth="1"/>
    <col min="5" max="5" width="6.54296875" style="588" customWidth="1"/>
    <col min="6" max="6" width="16" style="588" bestFit="1" customWidth="1"/>
    <col min="7" max="7" width="6" style="588" customWidth="1"/>
    <col min="8" max="8" width="8.7265625" style="588" bestFit="1" customWidth="1"/>
    <col min="9" max="9" width="5.81640625" style="588" customWidth="1"/>
    <col min="10" max="10" width="9.7265625" style="588" bestFit="1" customWidth="1"/>
    <col min="11" max="11" width="5.81640625" style="588" customWidth="1"/>
    <col min="12" max="12" width="10.1796875" style="588" customWidth="1"/>
    <col min="13" max="13" width="5.81640625" style="588" customWidth="1"/>
    <col min="14" max="14" width="15" style="588" bestFit="1" customWidth="1"/>
    <col min="15" max="15" width="5.453125" style="588" customWidth="1"/>
    <col min="16" max="16" width="16" style="588" bestFit="1" customWidth="1"/>
    <col min="17" max="16384" width="9.1796875" style="588"/>
  </cols>
  <sheetData>
    <row r="1" spans="1:17" ht="18">
      <c r="A1" s="1855" t="s">
        <v>1547</v>
      </c>
      <c r="B1" s="1856"/>
      <c r="C1" s="1856"/>
      <c r="D1" s="1856"/>
      <c r="E1" s="1856"/>
      <c r="F1" s="1856"/>
      <c r="G1" s="1856"/>
      <c r="H1" s="1856"/>
      <c r="I1" s="1090"/>
      <c r="J1" s="1090"/>
      <c r="K1" s="1090"/>
      <c r="L1" s="1090"/>
      <c r="M1" s="1090"/>
    </row>
    <row r="2" spans="1:17" ht="13">
      <c r="N2" s="589"/>
      <c r="O2" s="590"/>
      <c r="P2" s="591"/>
    </row>
    <row r="3" spans="1:17" ht="13">
      <c r="A3" s="592" t="s">
        <v>491</v>
      </c>
      <c r="N3" s="589"/>
      <c r="O3" s="590"/>
      <c r="P3" s="591"/>
    </row>
    <row r="4" spans="1:17" ht="13">
      <c r="A4" s="590"/>
      <c r="B4" s="590"/>
      <c r="C4" s="590"/>
      <c r="D4" s="590"/>
      <c r="E4" s="590"/>
      <c r="F4" s="590"/>
      <c r="G4" s="590"/>
      <c r="H4" s="590"/>
      <c r="I4" s="590"/>
      <c r="J4" s="590"/>
      <c r="K4" s="590"/>
      <c r="L4" s="590"/>
      <c r="M4" s="590"/>
      <c r="N4" s="590"/>
      <c r="O4" s="590"/>
      <c r="P4" s="591"/>
    </row>
    <row r="6" spans="1:17" ht="13">
      <c r="A6" s="591"/>
      <c r="B6" s="593" t="s">
        <v>492</v>
      </c>
      <c r="C6" s="593"/>
      <c r="D6" s="594" t="s">
        <v>493</v>
      </c>
      <c r="E6" s="594"/>
      <c r="F6" s="594"/>
      <c r="G6" s="594"/>
      <c r="H6" s="594"/>
      <c r="I6" s="594"/>
      <c r="J6" s="594"/>
      <c r="K6" s="594"/>
      <c r="L6" s="594"/>
      <c r="M6" s="594"/>
      <c r="N6" s="594"/>
      <c r="O6" s="594"/>
      <c r="P6" s="593"/>
    </row>
    <row r="7" spans="1:17" ht="13">
      <c r="A7" s="591"/>
      <c r="B7" s="593" t="s">
        <v>494</v>
      </c>
      <c r="C7" s="593"/>
      <c r="D7" s="594" t="s">
        <v>495</v>
      </c>
      <c r="E7" s="594"/>
      <c r="F7" s="594" t="s">
        <v>141</v>
      </c>
      <c r="G7" s="594"/>
      <c r="H7" s="593" t="s">
        <v>1067</v>
      </c>
      <c r="I7" s="1138"/>
      <c r="J7" s="593" t="s">
        <v>1068</v>
      </c>
      <c r="K7" s="1138"/>
      <c r="L7" s="593" t="s">
        <v>1069</v>
      </c>
      <c r="M7" s="593"/>
      <c r="N7" s="594" t="s">
        <v>496</v>
      </c>
      <c r="O7" s="594"/>
      <c r="P7" s="595" t="s">
        <v>44</v>
      </c>
    </row>
    <row r="8" spans="1:17">
      <c r="A8" s="591"/>
      <c r="B8" s="596"/>
      <c r="C8" s="596"/>
      <c r="D8" s="597"/>
      <c r="E8" s="597"/>
      <c r="F8" s="597"/>
      <c r="G8" s="597"/>
      <c r="H8" s="597"/>
      <c r="I8" s="597"/>
      <c r="J8" s="597"/>
      <c r="K8" s="597"/>
      <c r="L8" s="597"/>
      <c r="M8" s="597"/>
      <c r="N8" s="597"/>
      <c r="O8" s="597"/>
      <c r="P8" s="598"/>
    </row>
    <row r="9" spans="1:17" ht="14.5">
      <c r="A9" s="599" t="s">
        <v>497</v>
      </c>
      <c r="B9" s="600">
        <v>2038205.6899999992</v>
      </c>
      <c r="C9" s="601"/>
      <c r="D9" s="600">
        <v>1938277.47</v>
      </c>
      <c r="E9" s="602"/>
      <c r="F9" s="600">
        <v>3587812.23</v>
      </c>
      <c r="G9" s="600"/>
      <c r="H9" s="602">
        <v>0</v>
      </c>
      <c r="I9" s="602"/>
      <c r="J9" s="602">
        <v>0</v>
      </c>
      <c r="K9" s="602"/>
      <c r="L9" s="602">
        <v>0</v>
      </c>
      <c r="M9" s="602"/>
      <c r="N9" s="603">
        <v>4487.6700000000019</v>
      </c>
      <c r="O9" s="604"/>
      <c r="P9" s="604">
        <f>SUM(B9:N9)</f>
        <v>7568783.0599999987</v>
      </c>
      <c r="Q9" s="605"/>
    </row>
    <row r="10" spans="1:17" ht="14">
      <c r="A10" s="599"/>
      <c r="B10" s="604"/>
      <c r="C10" s="604"/>
      <c r="D10" s="606"/>
      <c r="E10" s="606"/>
      <c r="F10" s="606"/>
      <c r="G10" s="606"/>
      <c r="H10" s="606"/>
      <c r="I10" s="606"/>
      <c r="J10" s="606"/>
      <c r="K10" s="606"/>
      <c r="L10" s="606"/>
      <c r="M10" s="606"/>
      <c r="N10" s="607"/>
      <c r="O10" s="606"/>
      <c r="P10" s="604">
        <f t="shared" ref="P10:P31" si="0">SUM(B10:N10)</f>
        <v>0</v>
      </c>
      <c r="Q10" s="605"/>
    </row>
    <row r="11" spans="1:17" ht="14">
      <c r="A11" s="599" t="s">
        <v>1200</v>
      </c>
      <c r="B11" s="608">
        <v>9111711.5599999987</v>
      </c>
      <c r="C11" s="604"/>
      <c r="D11" s="608">
        <v>7429687.0899999999</v>
      </c>
      <c r="E11" s="606"/>
      <c r="F11" s="608">
        <v>17048294.220000003</v>
      </c>
      <c r="G11" s="608"/>
      <c r="H11" s="606">
        <v>0</v>
      </c>
      <c r="I11" s="606"/>
      <c r="J11" s="606">
        <v>0</v>
      </c>
      <c r="K11" s="606"/>
      <c r="L11" s="606">
        <v>0</v>
      </c>
      <c r="M11" s="606"/>
      <c r="N11" s="607">
        <v>8536253.4800000023</v>
      </c>
      <c r="O11" s="606"/>
      <c r="P11" s="604">
        <f t="shared" si="0"/>
        <v>42125946.350000009</v>
      </c>
      <c r="Q11" s="605"/>
    </row>
    <row r="12" spans="1:17" ht="14">
      <c r="A12" s="599"/>
      <c r="B12" s="606"/>
      <c r="C12" s="604"/>
      <c r="D12" s="606"/>
      <c r="E12" s="606"/>
      <c r="F12" s="606"/>
      <c r="G12" s="606"/>
      <c r="H12" s="606"/>
      <c r="I12" s="606"/>
      <c r="J12" s="606"/>
      <c r="K12" s="606"/>
      <c r="L12" s="606"/>
      <c r="M12" s="606"/>
      <c r="N12" s="607"/>
      <c r="O12" s="606"/>
      <c r="P12" s="604">
        <f t="shared" si="0"/>
        <v>0</v>
      </c>
      <c r="Q12" s="605"/>
    </row>
    <row r="13" spans="1:17" ht="14">
      <c r="A13" s="599" t="s">
        <v>1201</v>
      </c>
      <c r="B13" s="608">
        <v>6669096.790000001</v>
      </c>
      <c r="C13" s="604"/>
      <c r="D13" s="608">
        <v>5986599.0600000005</v>
      </c>
      <c r="E13" s="606"/>
      <c r="F13" s="608">
        <v>10832714.049999999</v>
      </c>
      <c r="G13" s="608"/>
      <c r="H13" s="606">
        <v>0</v>
      </c>
      <c r="I13" s="606"/>
      <c r="J13" s="606">
        <v>0</v>
      </c>
      <c r="K13" s="606"/>
      <c r="L13" s="606">
        <v>0</v>
      </c>
      <c r="M13" s="606"/>
      <c r="N13" s="607">
        <v>6024.48</v>
      </c>
      <c r="O13" s="606"/>
      <c r="P13" s="604">
        <f t="shared" si="0"/>
        <v>23494434.379999999</v>
      </c>
      <c r="Q13" s="605"/>
    </row>
    <row r="14" spans="1:17" ht="14">
      <c r="A14" s="599"/>
      <c r="B14" s="606"/>
      <c r="C14" s="604"/>
      <c r="D14" s="606"/>
      <c r="E14" s="606"/>
      <c r="F14" s="606"/>
      <c r="G14" s="606"/>
      <c r="H14" s="606"/>
      <c r="I14" s="606"/>
      <c r="J14" s="606"/>
      <c r="K14" s="606"/>
      <c r="L14" s="606"/>
      <c r="M14" s="606"/>
      <c r="N14" s="607"/>
      <c r="O14" s="606"/>
      <c r="P14" s="604">
        <f t="shared" si="0"/>
        <v>0</v>
      </c>
      <c r="Q14" s="605"/>
    </row>
    <row r="15" spans="1:17" ht="14">
      <c r="A15" s="599" t="s">
        <v>498</v>
      </c>
      <c r="B15" s="608">
        <v>2479793.5200000005</v>
      </c>
      <c r="C15" s="604"/>
      <c r="D15" s="608">
        <v>1735006.9100000004</v>
      </c>
      <c r="E15" s="606"/>
      <c r="F15" s="608">
        <v>3771913.75</v>
      </c>
      <c r="G15" s="608"/>
      <c r="H15" s="606">
        <v>0</v>
      </c>
      <c r="I15" s="606"/>
      <c r="J15" s="606">
        <v>0</v>
      </c>
      <c r="K15" s="606"/>
      <c r="L15" s="606">
        <v>0</v>
      </c>
      <c r="M15" s="606"/>
      <c r="N15" s="607">
        <v>0</v>
      </c>
      <c r="O15" s="606"/>
      <c r="P15" s="604">
        <f t="shared" si="0"/>
        <v>7986714.1800000006</v>
      </c>
      <c r="Q15" s="605"/>
    </row>
    <row r="16" spans="1:17" ht="14">
      <c r="A16" s="599"/>
      <c r="B16" s="606"/>
      <c r="C16" s="604"/>
      <c r="D16" s="606"/>
      <c r="E16" s="606"/>
      <c r="F16" s="606"/>
      <c r="G16" s="606"/>
      <c r="H16" s="606"/>
      <c r="I16" s="606"/>
      <c r="J16" s="606"/>
      <c r="K16" s="606"/>
      <c r="L16" s="606"/>
      <c r="M16" s="606"/>
      <c r="N16" s="607"/>
      <c r="O16" s="606"/>
      <c r="P16" s="604">
        <f t="shared" si="0"/>
        <v>0</v>
      </c>
      <c r="Q16" s="605"/>
    </row>
    <row r="17" spans="1:17" ht="14">
      <c r="A17" s="599" t="s">
        <v>499</v>
      </c>
      <c r="B17" s="608">
        <v>1312478.7400000002</v>
      </c>
      <c r="C17" s="604"/>
      <c r="D17" s="608">
        <v>1036746.6600000001</v>
      </c>
      <c r="E17" s="606"/>
      <c r="F17" s="608">
        <v>2040837.42</v>
      </c>
      <c r="G17" s="608"/>
      <c r="H17" s="606">
        <v>0</v>
      </c>
      <c r="I17" s="606"/>
      <c r="J17" s="606">
        <v>0</v>
      </c>
      <c r="K17" s="606"/>
      <c r="L17" s="606">
        <v>0</v>
      </c>
      <c r="M17" s="606"/>
      <c r="N17" s="607">
        <v>54520.62</v>
      </c>
      <c r="O17" s="606"/>
      <c r="P17" s="604">
        <f t="shared" si="0"/>
        <v>4444583.4400000004</v>
      </c>
      <c r="Q17" s="605"/>
    </row>
    <row r="18" spans="1:17" ht="14">
      <c r="A18" s="599"/>
      <c r="B18" s="606"/>
      <c r="C18" s="604"/>
      <c r="D18" s="606"/>
      <c r="E18" s="606"/>
      <c r="F18" s="606"/>
      <c r="G18" s="606"/>
      <c r="H18" s="606"/>
      <c r="I18" s="606"/>
      <c r="J18" s="606"/>
      <c r="K18" s="606"/>
      <c r="L18" s="606"/>
      <c r="M18" s="606"/>
      <c r="N18" s="607"/>
      <c r="O18" s="606"/>
      <c r="P18" s="604">
        <f t="shared" si="0"/>
        <v>0</v>
      </c>
      <c r="Q18" s="605"/>
    </row>
    <row r="19" spans="1:17" ht="14">
      <c r="A19" s="599" t="s">
        <v>500</v>
      </c>
      <c r="B19" s="608">
        <v>36193093.269999988</v>
      </c>
      <c r="C19" s="604"/>
      <c r="D19" s="608">
        <v>33375437.770000011</v>
      </c>
      <c r="E19" s="606"/>
      <c r="F19" s="608">
        <v>26420423.970000003</v>
      </c>
      <c r="G19" s="608"/>
      <c r="H19" s="606">
        <v>0</v>
      </c>
      <c r="I19" s="606"/>
      <c r="J19" s="606">
        <v>0</v>
      </c>
      <c r="K19" s="606"/>
      <c r="L19" s="606">
        <v>0</v>
      </c>
      <c r="M19" s="606"/>
      <c r="N19" s="607">
        <v>0</v>
      </c>
      <c r="O19" s="606"/>
      <c r="P19" s="604">
        <f t="shared" si="0"/>
        <v>95988955.00999999</v>
      </c>
      <c r="Q19" s="605"/>
    </row>
    <row r="20" spans="1:17" ht="14">
      <c r="A20" s="599"/>
      <c r="B20" s="606"/>
      <c r="C20" s="604"/>
      <c r="D20" s="606"/>
      <c r="E20" s="606"/>
      <c r="F20" s="606"/>
      <c r="G20" s="606"/>
      <c r="H20" s="606"/>
      <c r="I20" s="606"/>
      <c r="J20" s="606"/>
      <c r="K20" s="606"/>
      <c r="L20" s="606"/>
      <c r="M20" s="606"/>
      <c r="N20" s="607"/>
      <c r="O20" s="606"/>
      <c r="P20" s="604">
        <f t="shared" si="0"/>
        <v>0</v>
      </c>
      <c r="Q20" s="605"/>
    </row>
    <row r="21" spans="1:17" ht="14.5">
      <c r="A21" s="599" t="s">
        <v>501</v>
      </c>
      <c r="B21" s="600">
        <v>12442508.27</v>
      </c>
      <c r="C21" s="602"/>
      <c r="D21" s="600">
        <v>11917474.090000002</v>
      </c>
      <c r="E21" s="609"/>
      <c r="F21" s="600">
        <v>19572162.379999995</v>
      </c>
      <c r="G21" s="600"/>
      <c r="H21" s="609">
        <v>0</v>
      </c>
      <c r="I21" s="609"/>
      <c r="J21" s="609">
        <v>0</v>
      </c>
      <c r="K21" s="609"/>
      <c r="L21" s="609">
        <v>0</v>
      </c>
      <c r="M21" s="609"/>
      <c r="N21" s="603">
        <v>4075.059999999999</v>
      </c>
      <c r="O21" s="606"/>
      <c r="P21" s="604">
        <f t="shared" si="0"/>
        <v>43936219.799999997</v>
      </c>
      <c r="Q21" s="605"/>
    </row>
    <row r="22" spans="1:17" ht="14">
      <c r="A22" s="599"/>
      <c r="B22" s="606"/>
      <c r="C22" s="604"/>
      <c r="D22" s="606"/>
      <c r="E22" s="606"/>
      <c r="F22" s="606"/>
      <c r="G22" s="606"/>
      <c r="H22" s="606"/>
      <c r="I22" s="606"/>
      <c r="J22" s="606"/>
      <c r="K22" s="606"/>
      <c r="L22" s="606"/>
      <c r="M22" s="606"/>
      <c r="N22" s="607"/>
      <c r="O22" s="606"/>
      <c r="P22" s="604">
        <f t="shared" si="0"/>
        <v>0</v>
      </c>
      <c r="Q22" s="605"/>
    </row>
    <row r="23" spans="1:17" ht="14.5">
      <c r="A23" s="599" t="s">
        <v>1785</v>
      </c>
      <c r="B23" s="600">
        <v>3386930.8599999989</v>
      </c>
      <c r="C23" s="602"/>
      <c r="D23" s="600">
        <v>4107303.1999999993</v>
      </c>
      <c r="E23" s="609"/>
      <c r="F23" s="600">
        <v>5416256.0800000001</v>
      </c>
      <c r="G23" s="600"/>
      <c r="H23" s="609">
        <v>0</v>
      </c>
      <c r="I23" s="609"/>
      <c r="J23" s="609">
        <v>0</v>
      </c>
      <c r="K23" s="609"/>
      <c r="L23" s="609">
        <v>0</v>
      </c>
      <c r="M23" s="609"/>
      <c r="N23" s="603">
        <v>54858.7</v>
      </c>
      <c r="O23" s="606"/>
      <c r="P23" s="604">
        <f t="shared" si="0"/>
        <v>12965348.839999998</v>
      </c>
      <c r="Q23" s="605"/>
    </row>
    <row r="24" spans="1:17" ht="14.5">
      <c r="A24" s="599"/>
      <c r="B24" s="609"/>
      <c r="C24" s="602"/>
      <c r="D24" s="609"/>
      <c r="E24" s="609"/>
      <c r="F24" s="609"/>
      <c r="G24" s="609"/>
      <c r="H24" s="609"/>
      <c r="I24" s="609"/>
      <c r="J24" s="609"/>
      <c r="K24" s="609"/>
      <c r="L24" s="609"/>
      <c r="M24" s="609"/>
      <c r="N24" s="603"/>
      <c r="O24" s="606"/>
      <c r="P24" s="604">
        <f t="shared" si="0"/>
        <v>0</v>
      </c>
      <c r="Q24" s="605"/>
    </row>
    <row r="25" spans="1:17" ht="14.5">
      <c r="A25" s="599" t="s">
        <v>1202</v>
      </c>
      <c r="B25" s="600">
        <v>1677039.5099999998</v>
      </c>
      <c r="C25" s="602"/>
      <c r="D25" s="600">
        <v>1561418.0499999998</v>
      </c>
      <c r="E25" s="609"/>
      <c r="F25" s="600">
        <v>2867996.59</v>
      </c>
      <c r="G25" s="600"/>
      <c r="H25" s="609">
        <v>0</v>
      </c>
      <c r="I25" s="609"/>
      <c r="J25" s="609">
        <v>0</v>
      </c>
      <c r="K25" s="609"/>
      <c r="L25" s="609">
        <v>0</v>
      </c>
      <c r="M25" s="609"/>
      <c r="N25" s="603">
        <v>2997.6299999999992</v>
      </c>
      <c r="O25" s="606"/>
      <c r="P25" s="604">
        <f t="shared" si="0"/>
        <v>6109451.7799999993</v>
      </c>
      <c r="Q25" s="605"/>
    </row>
    <row r="26" spans="1:17" ht="14.5">
      <c r="A26" s="599"/>
      <c r="B26" s="609"/>
      <c r="C26" s="602"/>
      <c r="D26" s="609"/>
      <c r="E26" s="609"/>
      <c r="F26" s="609"/>
      <c r="G26" s="609"/>
      <c r="H26" s="609"/>
      <c r="I26" s="609"/>
      <c r="J26" s="609"/>
      <c r="K26" s="609"/>
      <c r="L26" s="609"/>
      <c r="M26" s="609"/>
      <c r="N26" s="603"/>
      <c r="O26" s="606"/>
      <c r="P26" s="604">
        <f t="shared" si="0"/>
        <v>0</v>
      </c>
      <c r="Q26" s="605"/>
    </row>
    <row r="27" spans="1:17" ht="14.5">
      <c r="A27" s="599" t="s">
        <v>1203</v>
      </c>
      <c r="B27" s="600">
        <v>7510383.3900000006</v>
      </c>
      <c r="C27" s="602"/>
      <c r="D27" s="600">
        <v>6654154.0800000001</v>
      </c>
      <c r="E27" s="609"/>
      <c r="F27" s="600">
        <v>10057483.6</v>
      </c>
      <c r="G27" s="600"/>
      <c r="H27" s="609">
        <v>0</v>
      </c>
      <c r="I27" s="609"/>
      <c r="J27" s="609">
        <v>0</v>
      </c>
      <c r="K27" s="609"/>
      <c r="L27" s="609">
        <v>0</v>
      </c>
      <c r="M27" s="609"/>
      <c r="N27" s="603">
        <v>2003.4499999999998</v>
      </c>
      <c r="O27" s="606"/>
      <c r="P27" s="604">
        <f t="shared" si="0"/>
        <v>24224024.52</v>
      </c>
      <c r="Q27" s="605"/>
    </row>
    <row r="28" spans="1:17" ht="14.5">
      <c r="A28" s="599"/>
      <c r="B28" s="609"/>
      <c r="C28" s="602"/>
      <c r="D28" s="609"/>
      <c r="E28" s="609"/>
      <c r="F28" s="609"/>
      <c r="G28" s="609"/>
      <c r="H28" s="609"/>
      <c r="I28" s="609"/>
      <c r="J28" s="609"/>
      <c r="K28" s="609"/>
      <c r="L28" s="609"/>
      <c r="M28" s="609"/>
      <c r="N28" s="603"/>
      <c r="O28" s="606"/>
      <c r="P28" s="604">
        <f t="shared" si="0"/>
        <v>0</v>
      </c>
      <c r="Q28" s="605"/>
    </row>
    <row r="29" spans="1:17" ht="14.5">
      <c r="A29" s="599" t="s">
        <v>1204</v>
      </c>
      <c r="B29" s="600">
        <v>31051003.279999997</v>
      </c>
      <c r="C29" s="602"/>
      <c r="D29" s="600">
        <v>26469193.57</v>
      </c>
      <c r="E29" s="609"/>
      <c r="F29" s="600">
        <v>42719818.580000028</v>
      </c>
      <c r="G29" s="600"/>
      <c r="H29" s="600">
        <v>25079.78</v>
      </c>
      <c r="I29" s="600"/>
      <c r="J29" s="600">
        <v>123596.63999999998</v>
      </c>
      <c r="K29" s="600"/>
      <c r="L29" s="600">
        <v>42921.280000000006</v>
      </c>
      <c r="M29" s="609"/>
      <c r="N29" s="603">
        <v>7302.38</v>
      </c>
      <c r="O29" s="606"/>
      <c r="P29" s="604">
        <f t="shared" si="0"/>
        <v>100438915.51000002</v>
      </c>
      <c r="Q29" s="605"/>
    </row>
    <row r="30" spans="1:17" ht="14.5">
      <c r="A30" s="599"/>
      <c r="B30" s="609"/>
      <c r="C30" s="602"/>
      <c r="D30" s="609"/>
      <c r="E30" s="609"/>
      <c r="F30" s="609"/>
      <c r="G30" s="609"/>
      <c r="H30" s="609"/>
      <c r="I30" s="609"/>
      <c r="J30" s="609"/>
      <c r="K30" s="609"/>
      <c r="L30" s="609"/>
      <c r="M30" s="609"/>
      <c r="N30" s="603"/>
      <c r="O30" s="606"/>
      <c r="P30" s="604">
        <f t="shared" si="0"/>
        <v>0</v>
      </c>
      <c r="Q30" s="605"/>
    </row>
    <row r="31" spans="1:17" ht="14.5">
      <c r="A31" s="599" t="s">
        <v>1205</v>
      </c>
      <c r="B31" s="600">
        <v>705472.90999999992</v>
      </c>
      <c r="C31" s="602"/>
      <c r="D31" s="600">
        <v>682680.09000000008</v>
      </c>
      <c r="E31" s="609"/>
      <c r="F31" s="600">
        <v>1493661.3</v>
      </c>
      <c r="G31" s="600"/>
      <c r="H31" s="609">
        <v>0</v>
      </c>
      <c r="I31" s="609"/>
      <c r="J31" s="609">
        <v>0</v>
      </c>
      <c r="K31" s="609"/>
      <c r="L31" s="609">
        <v>0</v>
      </c>
      <c r="M31" s="609"/>
      <c r="N31" s="603">
        <v>179.19</v>
      </c>
      <c r="O31" s="606"/>
      <c r="P31" s="604">
        <f t="shared" si="0"/>
        <v>2881993.4899999998</v>
      </c>
      <c r="Q31" s="605"/>
    </row>
    <row r="32" spans="1:17">
      <c r="A32" s="611"/>
      <c r="B32" s="612"/>
      <c r="C32" s="612"/>
      <c r="D32" s="612"/>
      <c r="E32" s="612"/>
      <c r="F32" s="612"/>
      <c r="G32" s="612"/>
      <c r="H32" s="612"/>
      <c r="I32" s="612"/>
      <c r="J32" s="612"/>
      <c r="K32" s="612"/>
      <c r="L32" s="612"/>
      <c r="M32" s="612"/>
      <c r="N32" s="613"/>
      <c r="O32" s="613"/>
      <c r="P32" s="612"/>
      <c r="Q32" s="614"/>
    </row>
    <row r="33" spans="1:17" ht="13.5" thickBot="1">
      <c r="A33" s="611" t="s">
        <v>44</v>
      </c>
      <c r="B33" s="615">
        <f>SUM(B9:B31)</f>
        <v>114577717.78999999</v>
      </c>
      <c r="C33" s="615">
        <f t="shared" ref="C33:P33" si="1">SUM(C9:C31)</f>
        <v>0</v>
      </c>
      <c r="D33" s="615">
        <f t="shared" si="1"/>
        <v>102893978.04000002</v>
      </c>
      <c r="E33" s="615">
        <f t="shared" si="1"/>
        <v>0</v>
      </c>
      <c r="F33" s="615">
        <f t="shared" si="1"/>
        <v>145829374.17000002</v>
      </c>
      <c r="G33" s="615">
        <f t="shared" si="1"/>
        <v>0</v>
      </c>
      <c r="H33" s="615">
        <f t="shared" si="1"/>
        <v>25079.78</v>
      </c>
      <c r="I33" s="615">
        <f t="shared" si="1"/>
        <v>0</v>
      </c>
      <c r="J33" s="615">
        <f t="shared" si="1"/>
        <v>123596.63999999998</v>
      </c>
      <c r="K33" s="615">
        <f t="shared" si="1"/>
        <v>0</v>
      </c>
      <c r="L33" s="615">
        <f t="shared" si="1"/>
        <v>42921.280000000006</v>
      </c>
      <c r="M33" s="615">
        <f t="shared" si="1"/>
        <v>0</v>
      </c>
      <c r="N33" s="615">
        <f t="shared" si="1"/>
        <v>8672702.660000002</v>
      </c>
      <c r="O33" s="615">
        <f t="shared" si="1"/>
        <v>0</v>
      </c>
      <c r="P33" s="615">
        <f t="shared" si="1"/>
        <v>372165370.36000001</v>
      </c>
      <c r="Q33" s="614"/>
    </row>
    <row r="34" spans="1:17" ht="13" thickTop="1">
      <c r="B34" s="612"/>
      <c r="C34" s="612"/>
      <c r="D34" s="612"/>
      <c r="E34" s="612"/>
      <c r="F34" s="612"/>
      <c r="G34" s="612"/>
      <c r="H34" s="612"/>
      <c r="I34" s="612"/>
      <c r="J34" s="612"/>
      <c r="K34" s="612"/>
      <c r="L34" s="612"/>
      <c r="M34" s="612"/>
      <c r="N34" s="613" t="s">
        <v>86</v>
      </c>
      <c r="O34" s="613"/>
      <c r="P34" s="612"/>
    </row>
    <row r="35" spans="1:17">
      <c r="B35" s="612"/>
      <c r="C35" s="612"/>
      <c r="D35" s="612"/>
      <c r="E35" s="612"/>
      <c r="F35" s="612"/>
      <c r="G35" s="612"/>
      <c r="H35" s="612"/>
      <c r="I35" s="612"/>
      <c r="J35" s="612"/>
      <c r="K35" s="612"/>
      <c r="L35" s="612"/>
      <c r="M35" s="612"/>
      <c r="N35" s="613"/>
      <c r="O35" s="613"/>
      <c r="P35" s="612"/>
    </row>
    <row r="36" spans="1:17">
      <c r="B36" s="612"/>
      <c r="C36" s="612"/>
      <c r="D36" s="612"/>
      <c r="E36" s="612"/>
      <c r="F36" s="612"/>
      <c r="G36" s="612"/>
      <c r="H36" s="612"/>
      <c r="I36" s="612"/>
      <c r="J36" s="612"/>
      <c r="K36" s="612"/>
      <c r="L36" s="612"/>
      <c r="M36" s="612"/>
      <c r="N36" s="613"/>
      <c r="O36" s="613"/>
      <c r="P36" s="612"/>
    </row>
    <row r="37" spans="1:17">
      <c r="B37" s="612"/>
      <c r="C37" s="612"/>
      <c r="D37" s="612"/>
      <c r="E37" s="612"/>
      <c r="F37" s="612"/>
      <c r="G37" s="612"/>
      <c r="H37" s="612"/>
      <c r="I37" s="612"/>
      <c r="J37" s="612"/>
      <c r="K37" s="612"/>
      <c r="L37" s="612"/>
      <c r="M37" s="612"/>
      <c r="N37" s="613"/>
      <c r="O37" s="613"/>
      <c r="P37" s="612"/>
    </row>
    <row r="38" spans="1:17">
      <c r="B38" s="612"/>
      <c r="C38" s="612"/>
      <c r="D38" s="612"/>
      <c r="E38" s="612"/>
      <c r="F38" s="612"/>
      <c r="G38" s="612"/>
      <c r="H38" s="612"/>
      <c r="I38" s="612"/>
      <c r="J38" s="612"/>
      <c r="K38" s="612"/>
      <c r="L38" s="612"/>
      <c r="M38" s="612"/>
      <c r="N38" s="613"/>
      <c r="O38" s="613"/>
      <c r="P38" s="612"/>
    </row>
    <row r="39" spans="1:17">
      <c r="B39" s="612"/>
      <c r="C39" s="612"/>
      <c r="D39" s="612"/>
      <c r="E39" s="612"/>
      <c r="F39" s="612"/>
      <c r="G39" s="612"/>
      <c r="H39" s="612"/>
      <c r="I39" s="612"/>
      <c r="J39" s="612"/>
      <c r="K39" s="612"/>
      <c r="L39" s="612"/>
      <c r="M39" s="612"/>
      <c r="N39" s="613"/>
      <c r="O39" s="613"/>
      <c r="P39" s="612"/>
    </row>
    <row r="40" spans="1:17">
      <c r="B40" s="612"/>
      <c r="C40" s="612"/>
      <c r="D40" s="612"/>
      <c r="E40" s="612"/>
      <c r="F40" s="612"/>
      <c r="G40" s="612"/>
      <c r="H40" s="612"/>
      <c r="I40" s="612"/>
      <c r="J40" s="612"/>
      <c r="K40" s="612"/>
      <c r="L40" s="612"/>
      <c r="M40" s="612"/>
      <c r="N40" s="613"/>
      <c r="O40" s="613"/>
      <c r="P40" s="612"/>
    </row>
    <row r="41" spans="1:17">
      <c r="B41" s="612"/>
      <c r="C41" s="612"/>
      <c r="D41" s="612"/>
      <c r="E41" s="612"/>
      <c r="F41" s="612"/>
      <c r="G41" s="612"/>
      <c r="H41" s="612"/>
      <c r="I41" s="612"/>
      <c r="J41" s="612"/>
      <c r="K41" s="612"/>
      <c r="L41" s="612"/>
      <c r="M41" s="612"/>
      <c r="N41" s="613"/>
      <c r="O41" s="613"/>
      <c r="P41" s="612"/>
    </row>
    <row r="42" spans="1:17">
      <c r="B42" s="612"/>
      <c r="C42" s="612"/>
      <c r="D42" s="612"/>
      <c r="E42" s="612"/>
      <c r="F42" s="612"/>
      <c r="G42" s="612"/>
      <c r="H42" s="612"/>
      <c r="I42" s="612"/>
      <c r="J42" s="612"/>
      <c r="K42" s="612"/>
      <c r="L42" s="612"/>
      <c r="M42" s="612"/>
      <c r="N42" s="613"/>
      <c r="O42" s="613"/>
      <c r="P42" s="612"/>
    </row>
    <row r="43" spans="1:17">
      <c r="B43" s="612"/>
      <c r="C43" s="612"/>
      <c r="D43" s="612"/>
      <c r="E43" s="612"/>
      <c r="F43" s="612"/>
      <c r="G43" s="612"/>
      <c r="H43" s="612"/>
      <c r="I43" s="612"/>
      <c r="J43" s="612"/>
      <c r="K43" s="612"/>
      <c r="L43" s="612"/>
      <c r="M43" s="612"/>
      <c r="N43" s="613"/>
      <c r="O43" s="613"/>
      <c r="P43" s="612"/>
    </row>
    <row r="44" spans="1:17">
      <c r="B44" s="612"/>
      <c r="C44" s="612"/>
      <c r="D44" s="612"/>
      <c r="E44" s="612"/>
      <c r="F44" s="612"/>
      <c r="G44" s="612"/>
      <c r="H44" s="612"/>
      <c r="I44" s="612"/>
      <c r="J44" s="612"/>
      <c r="K44" s="612"/>
      <c r="L44" s="612"/>
      <c r="M44" s="612"/>
      <c r="N44" s="613"/>
      <c r="O44" s="613"/>
      <c r="P44" s="612"/>
    </row>
    <row r="45" spans="1:17">
      <c r="B45" s="612"/>
      <c r="C45" s="612"/>
      <c r="D45" s="612"/>
      <c r="E45" s="612"/>
      <c r="F45" s="612"/>
      <c r="G45" s="612"/>
      <c r="H45" s="612"/>
      <c r="I45" s="612"/>
      <c r="J45" s="612"/>
      <c r="K45" s="612"/>
      <c r="L45" s="612"/>
      <c r="M45" s="612"/>
      <c r="N45" s="613"/>
      <c r="O45" s="613"/>
      <c r="P45" s="612"/>
    </row>
    <row r="46" spans="1:17">
      <c r="B46" s="612"/>
      <c r="C46" s="612"/>
      <c r="D46" s="612"/>
      <c r="E46" s="612"/>
      <c r="F46" s="612"/>
      <c r="G46" s="612"/>
      <c r="H46" s="612"/>
      <c r="I46" s="612"/>
      <c r="J46" s="612"/>
      <c r="K46" s="612"/>
      <c r="L46" s="612"/>
      <c r="M46" s="612"/>
      <c r="N46" s="613"/>
      <c r="O46" s="613"/>
      <c r="P46" s="612"/>
    </row>
    <row r="47" spans="1:17">
      <c r="B47" s="612"/>
      <c r="C47" s="612"/>
      <c r="D47" s="612"/>
      <c r="E47" s="612"/>
      <c r="F47" s="612"/>
      <c r="G47" s="612"/>
      <c r="H47" s="612"/>
      <c r="I47" s="612"/>
      <c r="J47" s="612"/>
      <c r="K47" s="612"/>
      <c r="L47" s="612"/>
      <c r="M47" s="612"/>
      <c r="N47" s="613"/>
      <c r="O47" s="613"/>
      <c r="P47" s="612"/>
    </row>
    <row r="48" spans="1:17">
      <c r="B48" s="612"/>
      <c r="C48" s="612"/>
      <c r="D48" s="612"/>
      <c r="E48" s="612"/>
      <c r="F48" s="612"/>
      <c r="G48" s="612"/>
      <c r="H48" s="612"/>
      <c r="I48" s="612"/>
      <c r="J48" s="612"/>
      <c r="K48" s="612"/>
      <c r="L48" s="612"/>
      <c r="M48" s="612"/>
      <c r="N48" s="613"/>
      <c r="O48" s="613"/>
      <c r="P48" s="612"/>
    </row>
    <row r="49" spans="2:16">
      <c r="B49" s="612"/>
      <c r="C49" s="612"/>
      <c r="D49" s="612"/>
      <c r="E49" s="612"/>
      <c r="F49" s="612"/>
      <c r="G49" s="612"/>
      <c r="H49" s="612"/>
      <c r="I49" s="612"/>
      <c r="J49" s="612"/>
      <c r="K49" s="612"/>
      <c r="L49" s="612"/>
      <c r="M49" s="612"/>
      <c r="N49" s="613"/>
      <c r="O49" s="613"/>
      <c r="P49" s="612"/>
    </row>
    <row r="50" spans="2:16">
      <c r="B50" s="612"/>
      <c r="C50" s="612"/>
      <c r="D50" s="612"/>
      <c r="E50" s="612"/>
      <c r="F50" s="612"/>
      <c r="G50" s="612"/>
      <c r="H50" s="612"/>
      <c r="I50" s="612"/>
      <c r="J50" s="612"/>
      <c r="K50" s="612"/>
      <c r="L50" s="612"/>
      <c r="M50" s="612"/>
      <c r="N50" s="613"/>
      <c r="O50" s="613"/>
      <c r="P50" s="612"/>
    </row>
    <row r="51" spans="2:16">
      <c r="B51" s="612"/>
      <c r="C51" s="612"/>
      <c r="D51" s="612"/>
      <c r="E51" s="612"/>
      <c r="F51" s="612"/>
      <c r="G51" s="612"/>
      <c r="H51" s="612"/>
      <c r="I51" s="612"/>
      <c r="J51" s="612"/>
      <c r="K51" s="612"/>
      <c r="L51" s="612"/>
      <c r="M51" s="612"/>
      <c r="N51" s="613"/>
      <c r="O51" s="613"/>
      <c r="P51" s="612"/>
    </row>
    <row r="52" spans="2:16">
      <c r="B52" s="612"/>
      <c r="C52" s="612"/>
      <c r="D52" s="612"/>
      <c r="E52" s="612"/>
      <c r="F52" s="612"/>
      <c r="G52" s="612"/>
      <c r="H52" s="612"/>
      <c r="I52" s="612"/>
      <c r="J52" s="612"/>
      <c r="K52" s="612"/>
      <c r="L52" s="612"/>
      <c r="M52" s="612"/>
      <c r="N52" s="613"/>
      <c r="O52" s="613"/>
      <c r="P52" s="612"/>
    </row>
    <row r="53" spans="2:16">
      <c r="B53" s="612"/>
      <c r="C53" s="612"/>
      <c r="D53" s="612"/>
      <c r="E53" s="612"/>
      <c r="F53" s="612"/>
      <c r="G53" s="612"/>
      <c r="H53" s="612"/>
      <c r="I53" s="612"/>
      <c r="J53" s="612"/>
      <c r="K53" s="612"/>
      <c r="L53" s="612"/>
      <c r="M53" s="612"/>
      <c r="N53" s="613"/>
      <c r="O53" s="613"/>
      <c r="P53" s="612"/>
    </row>
    <row r="54" spans="2:16">
      <c r="B54" s="612"/>
      <c r="C54" s="612"/>
      <c r="D54" s="612"/>
      <c r="E54" s="612"/>
      <c r="F54" s="612"/>
      <c r="G54" s="612"/>
      <c r="H54" s="612"/>
      <c r="I54" s="612"/>
      <c r="J54" s="612"/>
      <c r="K54" s="612"/>
      <c r="L54" s="612"/>
      <c r="M54" s="612"/>
      <c r="N54" s="613"/>
      <c r="O54" s="613"/>
      <c r="P54" s="612"/>
    </row>
    <row r="55" spans="2:16">
      <c r="B55" s="612"/>
      <c r="C55" s="612"/>
      <c r="D55" s="612"/>
      <c r="E55" s="612"/>
      <c r="F55" s="612"/>
      <c r="G55" s="612"/>
      <c r="H55" s="612"/>
      <c r="I55" s="612"/>
      <c r="J55" s="612"/>
      <c r="K55" s="612"/>
      <c r="L55" s="612"/>
      <c r="M55" s="612"/>
      <c r="N55" s="613"/>
      <c r="O55" s="613"/>
      <c r="P55" s="612"/>
    </row>
    <row r="56" spans="2:16">
      <c r="B56" s="612"/>
      <c r="C56" s="612"/>
      <c r="D56" s="612"/>
      <c r="E56" s="612"/>
      <c r="F56" s="612"/>
      <c r="G56" s="612"/>
      <c r="H56" s="612"/>
      <c r="I56" s="612"/>
      <c r="J56" s="612"/>
      <c r="K56" s="612"/>
      <c r="L56" s="612"/>
      <c r="M56" s="612"/>
      <c r="N56" s="613"/>
      <c r="O56" s="613"/>
      <c r="P56" s="612"/>
    </row>
    <row r="57" spans="2:16">
      <c r="B57" s="612"/>
      <c r="C57" s="612"/>
      <c r="D57" s="612"/>
      <c r="E57" s="612"/>
      <c r="F57" s="612"/>
      <c r="G57" s="612"/>
      <c r="H57" s="612"/>
      <c r="I57" s="612"/>
      <c r="J57" s="612"/>
      <c r="K57" s="612"/>
      <c r="L57" s="612"/>
      <c r="M57" s="612"/>
      <c r="N57" s="613"/>
      <c r="O57" s="613"/>
      <c r="P57" s="612"/>
    </row>
    <row r="58" spans="2:16">
      <c r="B58" s="612"/>
      <c r="C58" s="612"/>
      <c r="D58" s="612"/>
      <c r="E58" s="612"/>
      <c r="F58" s="612"/>
      <c r="G58" s="612"/>
      <c r="H58" s="612"/>
      <c r="I58" s="612"/>
      <c r="J58" s="612"/>
      <c r="K58" s="612"/>
      <c r="L58" s="612"/>
      <c r="M58" s="612"/>
      <c r="N58" s="613"/>
      <c r="O58" s="613"/>
      <c r="P58" s="612"/>
    </row>
    <row r="59" spans="2:16">
      <c r="B59" s="612"/>
      <c r="C59" s="612"/>
      <c r="D59" s="612"/>
      <c r="E59" s="612"/>
      <c r="F59" s="612"/>
      <c r="G59" s="612"/>
      <c r="H59" s="612"/>
      <c r="I59" s="612"/>
      <c r="J59" s="612"/>
      <c r="K59" s="612"/>
      <c r="L59" s="612"/>
      <c r="M59" s="612"/>
      <c r="N59" s="613"/>
      <c r="O59" s="613"/>
      <c r="P59" s="612"/>
    </row>
    <row r="60" spans="2:16">
      <c r="B60" s="612"/>
      <c r="C60" s="612"/>
      <c r="D60" s="612"/>
      <c r="E60" s="612"/>
      <c r="F60" s="612"/>
      <c r="G60" s="612"/>
      <c r="H60" s="612"/>
      <c r="I60" s="612"/>
      <c r="J60" s="612"/>
      <c r="K60" s="612"/>
      <c r="L60" s="612"/>
      <c r="M60" s="612"/>
      <c r="N60" s="613"/>
      <c r="O60" s="613"/>
      <c r="P60" s="612"/>
    </row>
    <row r="61" spans="2:16">
      <c r="B61" s="612"/>
      <c r="C61" s="612"/>
      <c r="D61" s="612"/>
      <c r="E61" s="612"/>
      <c r="F61" s="612"/>
      <c r="G61" s="612"/>
      <c r="H61" s="612"/>
      <c r="I61" s="612"/>
      <c r="J61" s="612"/>
      <c r="K61" s="612"/>
      <c r="L61" s="612"/>
      <c r="M61" s="612"/>
      <c r="N61" s="613"/>
      <c r="O61" s="613"/>
      <c r="P61" s="612"/>
    </row>
    <row r="62" spans="2:16">
      <c r="B62" s="612"/>
      <c r="C62" s="612"/>
      <c r="D62" s="612"/>
      <c r="E62" s="612"/>
      <c r="F62" s="612"/>
      <c r="G62" s="612"/>
      <c r="H62" s="612"/>
      <c r="I62" s="612"/>
      <c r="J62" s="612"/>
      <c r="K62" s="612"/>
      <c r="L62" s="612"/>
      <c r="M62" s="612"/>
      <c r="N62" s="613"/>
      <c r="O62" s="613"/>
      <c r="P62" s="612"/>
    </row>
    <row r="63" spans="2:16">
      <c r="B63" s="612"/>
      <c r="C63" s="612"/>
      <c r="D63" s="612"/>
      <c r="E63" s="612"/>
      <c r="F63" s="612"/>
      <c r="G63" s="612"/>
      <c r="H63" s="612"/>
      <c r="I63" s="612"/>
      <c r="J63" s="612"/>
      <c r="K63" s="612"/>
      <c r="L63" s="612"/>
      <c r="M63" s="612"/>
      <c r="N63" s="613"/>
      <c r="O63" s="613"/>
      <c r="P63" s="612"/>
    </row>
    <row r="64" spans="2:16">
      <c r="B64" s="612"/>
      <c r="C64" s="612"/>
      <c r="D64" s="612"/>
      <c r="E64" s="612"/>
      <c r="F64" s="612"/>
      <c r="G64" s="612"/>
      <c r="H64" s="612"/>
      <c r="I64" s="612"/>
      <c r="J64" s="612"/>
      <c r="K64" s="612"/>
      <c r="L64" s="612"/>
      <c r="M64" s="612"/>
      <c r="N64" s="613"/>
      <c r="O64" s="613"/>
      <c r="P64" s="612"/>
    </row>
    <row r="65" spans="2:16">
      <c r="B65" s="612"/>
      <c r="C65" s="612"/>
      <c r="D65" s="612"/>
      <c r="E65" s="612"/>
      <c r="F65" s="612"/>
      <c r="G65" s="612"/>
      <c r="H65" s="612"/>
      <c r="I65" s="612"/>
      <c r="J65" s="612"/>
      <c r="K65" s="612"/>
      <c r="L65" s="612"/>
      <c r="M65" s="612"/>
      <c r="N65" s="613"/>
      <c r="O65" s="613"/>
      <c r="P65" s="612"/>
    </row>
    <row r="66" spans="2:16">
      <c r="B66" s="612"/>
      <c r="C66" s="612"/>
      <c r="D66" s="612"/>
      <c r="E66" s="612"/>
      <c r="F66" s="612"/>
      <c r="G66" s="612"/>
      <c r="H66" s="612"/>
      <c r="I66" s="612"/>
      <c r="J66" s="612"/>
      <c r="K66" s="612"/>
      <c r="L66" s="612"/>
      <c r="M66" s="612"/>
      <c r="N66" s="613"/>
      <c r="O66" s="613"/>
      <c r="P66" s="612"/>
    </row>
    <row r="67" spans="2:16">
      <c r="B67" s="612"/>
      <c r="C67" s="612"/>
      <c r="D67" s="612"/>
      <c r="E67" s="612"/>
      <c r="F67" s="612"/>
      <c r="G67" s="612"/>
      <c r="H67" s="612"/>
      <c r="I67" s="612"/>
      <c r="J67" s="612"/>
      <c r="K67" s="612"/>
      <c r="L67" s="612"/>
      <c r="M67" s="612"/>
      <c r="N67" s="613"/>
      <c r="O67" s="613"/>
      <c r="P67" s="612"/>
    </row>
    <row r="68" spans="2:16">
      <c r="B68" s="612"/>
      <c r="C68" s="612"/>
      <c r="D68" s="612"/>
      <c r="E68" s="612"/>
      <c r="F68" s="612"/>
      <c r="G68" s="612"/>
      <c r="H68" s="612"/>
      <c r="I68" s="612"/>
      <c r="J68" s="612"/>
      <c r="K68" s="612"/>
      <c r="L68" s="612"/>
      <c r="M68" s="612"/>
      <c r="N68" s="613"/>
      <c r="O68" s="613"/>
      <c r="P68" s="612"/>
    </row>
    <row r="69" spans="2:16">
      <c r="B69" s="612"/>
      <c r="C69" s="612"/>
      <c r="D69" s="612"/>
      <c r="E69" s="612"/>
      <c r="F69" s="612"/>
      <c r="G69" s="612"/>
      <c r="H69" s="612"/>
      <c r="I69" s="612"/>
      <c r="J69" s="612"/>
      <c r="K69" s="612"/>
      <c r="L69" s="612"/>
      <c r="M69" s="612"/>
      <c r="N69" s="613"/>
      <c r="O69" s="613"/>
      <c r="P69" s="612"/>
    </row>
    <row r="70" spans="2:16">
      <c r="B70" s="612"/>
      <c r="C70" s="612"/>
      <c r="D70" s="612"/>
      <c r="E70" s="612"/>
      <c r="F70" s="612"/>
      <c r="G70" s="612"/>
      <c r="H70" s="612"/>
      <c r="I70" s="612"/>
      <c r="J70" s="612"/>
      <c r="K70" s="612"/>
      <c r="L70" s="612"/>
      <c r="M70" s="612"/>
      <c r="N70" s="613"/>
      <c r="O70" s="613"/>
      <c r="P70" s="612"/>
    </row>
    <row r="71" spans="2:16">
      <c r="B71" s="612"/>
      <c r="C71" s="612"/>
      <c r="D71" s="612"/>
      <c r="E71" s="612"/>
      <c r="F71" s="612"/>
      <c r="G71" s="612"/>
      <c r="H71" s="612"/>
      <c r="I71" s="612"/>
      <c r="J71" s="612"/>
      <c r="K71" s="612"/>
      <c r="L71" s="612"/>
      <c r="M71" s="612"/>
      <c r="N71" s="613"/>
      <c r="O71" s="613"/>
      <c r="P71" s="612"/>
    </row>
    <row r="72" spans="2:16">
      <c r="B72" s="612"/>
      <c r="C72" s="612"/>
      <c r="D72" s="612"/>
      <c r="E72" s="612"/>
      <c r="F72" s="612"/>
      <c r="G72" s="612"/>
      <c r="H72" s="612"/>
      <c r="I72" s="612"/>
      <c r="J72" s="612"/>
      <c r="K72" s="612"/>
      <c r="L72" s="612"/>
      <c r="M72" s="612"/>
      <c r="N72" s="613"/>
      <c r="O72" s="613"/>
      <c r="P72" s="612"/>
    </row>
    <row r="73" spans="2:16">
      <c r="B73" s="612"/>
      <c r="C73" s="612"/>
      <c r="D73" s="612"/>
      <c r="E73" s="612"/>
      <c r="F73" s="612"/>
      <c r="G73" s="612"/>
      <c r="H73" s="612"/>
      <c r="I73" s="612"/>
      <c r="J73" s="612"/>
      <c r="K73" s="612"/>
      <c r="L73" s="612"/>
      <c r="M73" s="612"/>
      <c r="N73" s="613"/>
      <c r="O73" s="613"/>
      <c r="P73" s="612"/>
    </row>
    <row r="74" spans="2:16">
      <c r="B74" s="612"/>
      <c r="C74" s="612"/>
      <c r="D74" s="612"/>
      <c r="E74" s="612"/>
      <c r="F74" s="612"/>
      <c r="G74" s="612"/>
      <c r="H74" s="612"/>
      <c r="I74" s="612"/>
      <c r="J74" s="612"/>
      <c r="K74" s="612"/>
      <c r="L74" s="612"/>
      <c r="M74" s="612"/>
      <c r="N74" s="613"/>
      <c r="O74" s="613"/>
      <c r="P74" s="612"/>
    </row>
    <row r="75" spans="2:16">
      <c r="B75" s="612"/>
      <c r="C75" s="612"/>
      <c r="D75" s="612"/>
      <c r="E75" s="612"/>
      <c r="F75" s="612"/>
      <c r="G75" s="612"/>
      <c r="H75" s="612"/>
      <c r="I75" s="612"/>
      <c r="J75" s="612"/>
      <c r="K75" s="612"/>
      <c r="L75" s="612"/>
      <c r="M75" s="612"/>
      <c r="N75" s="613"/>
      <c r="O75" s="613"/>
      <c r="P75" s="612"/>
    </row>
    <row r="76" spans="2:16">
      <c r="B76" s="612"/>
      <c r="C76" s="612"/>
      <c r="D76" s="612"/>
      <c r="E76" s="612"/>
      <c r="F76" s="612"/>
      <c r="G76" s="612"/>
      <c r="H76" s="612"/>
      <c r="I76" s="612"/>
      <c r="J76" s="612"/>
      <c r="K76" s="612"/>
      <c r="L76" s="612"/>
      <c r="M76" s="612"/>
      <c r="N76" s="613"/>
      <c r="O76" s="613"/>
      <c r="P76" s="612"/>
    </row>
    <row r="77" spans="2:16">
      <c r="B77" s="612"/>
      <c r="C77" s="612"/>
      <c r="D77" s="612"/>
      <c r="E77" s="612"/>
      <c r="F77" s="612"/>
      <c r="G77" s="612"/>
      <c r="H77" s="612"/>
      <c r="I77" s="612"/>
      <c r="J77" s="612"/>
      <c r="K77" s="612"/>
      <c r="L77" s="612"/>
      <c r="M77" s="612"/>
      <c r="N77" s="613"/>
      <c r="O77" s="613"/>
      <c r="P77" s="612"/>
    </row>
    <row r="78" spans="2:16">
      <c r="B78" s="612"/>
      <c r="C78" s="612"/>
      <c r="D78" s="612"/>
      <c r="E78" s="612"/>
      <c r="F78" s="612"/>
      <c r="G78" s="612"/>
      <c r="H78" s="612"/>
      <c r="I78" s="612"/>
      <c r="J78" s="612"/>
      <c r="K78" s="612"/>
      <c r="L78" s="612"/>
      <c r="M78" s="612"/>
      <c r="N78" s="613"/>
      <c r="O78" s="613"/>
      <c r="P78" s="612"/>
    </row>
    <row r="79" spans="2:16">
      <c r="B79" s="612"/>
      <c r="C79" s="612"/>
      <c r="D79" s="612"/>
      <c r="E79" s="612"/>
      <c r="F79" s="612"/>
      <c r="G79" s="612"/>
      <c r="H79" s="612"/>
      <c r="I79" s="612"/>
      <c r="J79" s="612"/>
      <c r="K79" s="612"/>
      <c r="L79" s="612"/>
      <c r="M79" s="612"/>
      <c r="N79" s="613"/>
      <c r="O79" s="613"/>
      <c r="P79" s="612"/>
    </row>
    <row r="80" spans="2:16">
      <c r="B80" s="612"/>
      <c r="C80" s="612"/>
      <c r="D80" s="612"/>
      <c r="E80" s="612"/>
      <c r="F80" s="612"/>
      <c r="G80" s="612"/>
      <c r="H80" s="612"/>
      <c r="I80" s="612"/>
      <c r="J80" s="612"/>
      <c r="K80" s="612"/>
      <c r="L80" s="612"/>
      <c r="M80" s="612"/>
      <c r="N80" s="613"/>
      <c r="O80" s="613"/>
      <c r="P80" s="612"/>
    </row>
    <row r="81" spans="2:16">
      <c r="B81" s="612"/>
      <c r="C81" s="612"/>
      <c r="D81" s="612"/>
      <c r="E81" s="612"/>
      <c r="F81" s="612"/>
      <c r="G81" s="612"/>
      <c r="H81" s="612"/>
      <c r="I81" s="612"/>
      <c r="J81" s="612"/>
      <c r="K81" s="612"/>
      <c r="L81" s="612"/>
      <c r="M81" s="612"/>
      <c r="N81" s="613"/>
      <c r="O81" s="613"/>
      <c r="P81" s="612"/>
    </row>
    <row r="82" spans="2:16">
      <c r="B82" s="612"/>
      <c r="C82" s="612"/>
      <c r="D82" s="612"/>
      <c r="E82" s="612"/>
      <c r="F82" s="612"/>
      <c r="G82" s="612"/>
      <c r="H82" s="612"/>
      <c r="I82" s="612"/>
      <c r="J82" s="612"/>
      <c r="K82" s="612"/>
      <c r="L82" s="612"/>
      <c r="M82" s="612"/>
      <c r="N82" s="613"/>
      <c r="O82" s="613"/>
      <c r="P82" s="612"/>
    </row>
    <row r="83" spans="2:16">
      <c r="B83" s="612"/>
      <c r="C83" s="612"/>
      <c r="D83" s="612"/>
      <c r="E83" s="612"/>
      <c r="F83" s="612"/>
      <c r="G83" s="612"/>
      <c r="H83" s="612"/>
      <c r="I83" s="612"/>
      <c r="J83" s="612"/>
      <c r="K83" s="612"/>
      <c r="L83" s="612"/>
      <c r="M83" s="612"/>
      <c r="N83" s="613"/>
      <c r="O83" s="613"/>
      <c r="P83" s="612"/>
    </row>
    <row r="84" spans="2:16">
      <c r="B84" s="612"/>
      <c r="C84" s="612"/>
      <c r="D84" s="612"/>
      <c r="E84" s="612"/>
      <c r="F84" s="612"/>
      <c r="G84" s="612"/>
      <c r="H84" s="612"/>
      <c r="I84" s="612"/>
      <c r="J84" s="612"/>
      <c r="K84" s="612"/>
      <c r="L84" s="612"/>
      <c r="M84" s="612"/>
      <c r="N84" s="613"/>
      <c r="O84" s="613"/>
      <c r="P84" s="612"/>
    </row>
    <row r="85" spans="2:16">
      <c r="B85" s="612"/>
      <c r="C85" s="612"/>
      <c r="D85" s="612"/>
      <c r="E85" s="612"/>
      <c r="F85" s="612"/>
      <c r="G85" s="612"/>
      <c r="H85" s="612"/>
      <c r="I85" s="612"/>
      <c r="J85" s="612"/>
      <c r="K85" s="612"/>
      <c r="L85" s="612"/>
      <c r="M85" s="612"/>
      <c r="N85" s="613"/>
      <c r="O85" s="613"/>
      <c r="P85" s="612"/>
    </row>
    <row r="86" spans="2:16">
      <c r="B86" s="612"/>
      <c r="C86" s="612"/>
      <c r="D86" s="612"/>
      <c r="E86" s="612"/>
      <c r="F86" s="612"/>
      <c r="G86" s="612"/>
      <c r="H86" s="612"/>
      <c r="I86" s="612"/>
      <c r="J86" s="612"/>
      <c r="K86" s="612"/>
      <c r="L86" s="612"/>
      <c r="M86" s="612"/>
      <c r="N86" s="613"/>
      <c r="O86" s="613"/>
      <c r="P86" s="612"/>
    </row>
    <row r="87" spans="2:16">
      <c r="B87" s="612"/>
      <c r="C87" s="612"/>
      <c r="D87" s="612"/>
      <c r="E87" s="612"/>
      <c r="F87" s="612"/>
      <c r="G87" s="612"/>
      <c r="H87" s="612"/>
      <c r="I87" s="612"/>
      <c r="J87" s="612"/>
      <c r="K87" s="612"/>
      <c r="L87" s="612"/>
      <c r="M87" s="612"/>
      <c r="N87" s="613"/>
      <c r="O87" s="613"/>
      <c r="P87" s="612"/>
    </row>
    <row r="88" spans="2:16">
      <c r="B88" s="612"/>
      <c r="C88" s="612"/>
      <c r="D88" s="612"/>
      <c r="E88" s="612"/>
      <c r="F88" s="612"/>
      <c r="G88" s="612"/>
      <c r="H88" s="612"/>
      <c r="I88" s="612"/>
      <c r="J88" s="612"/>
      <c r="K88" s="612"/>
      <c r="L88" s="612"/>
      <c r="M88" s="612"/>
      <c r="N88" s="613"/>
      <c r="O88" s="613"/>
      <c r="P88" s="612"/>
    </row>
    <row r="89" spans="2:16">
      <c r="B89" s="612"/>
      <c r="C89" s="612"/>
      <c r="D89" s="612"/>
      <c r="E89" s="612"/>
      <c r="F89" s="612"/>
      <c r="G89" s="612"/>
      <c r="H89" s="612"/>
      <c r="I89" s="612"/>
      <c r="J89" s="612"/>
      <c r="K89" s="612"/>
      <c r="L89" s="612"/>
      <c r="M89" s="612"/>
      <c r="N89" s="613"/>
      <c r="O89" s="613"/>
      <c r="P89" s="612"/>
    </row>
    <row r="90" spans="2:16">
      <c r="B90" s="612"/>
      <c r="C90" s="612"/>
      <c r="D90" s="612"/>
      <c r="E90" s="612"/>
      <c r="F90" s="612"/>
      <c r="G90" s="612"/>
      <c r="H90" s="612"/>
      <c r="I90" s="612"/>
      <c r="J90" s="612"/>
      <c r="K90" s="612"/>
      <c r="L90" s="612"/>
      <c r="M90" s="612"/>
      <c r="N90" s="613"/>
      <c r="O90" s="613"/>
      <c r="P90" s="612"/>
    </row>
    <row r="91" spans="2:16">
      <c r="B91" s="612"/>
      <c r="C91" s="612"/>
      <c r="D91" s="612"/>
      <c r="E91" s="612"/>
      <c r="F91" s="612"/>
      <c r="G91" s="612"/>
      <c r="H91" s="612"/>
      <c r="I91" s="612"/>
      <c r="J91" s="612"/>
      <c r="K91" s="612"/>
      <c r="L91" s="612"/>
      <c r="M91" s="612"/>
      <c r="N91" s="613"/>
      <c r="O91" s="613"/>
      <c r="P91" s="612"/>
    </row>
    <row r="92" spans="2:16">
      <c r="B92" s="612"/>
      <c r="C92" s="612"/>
      <c r="D92" s="612"/>
      <c r="E92" s="612"/>
      <c r="F92" s="612"/>
      <c r="G92" s="612"/>
      <c r="H92" s="612"/>
      <c r="I92" s="612"/>
      <c r="J92" s="612"/>
      <c r="K92" s="612"/>
      <c r="L92" s="612"/>
      <c r="M92" s="612"/>
      <c r="N92" s="613"/>
      <c r="O92" s="613"/>
      <c r="P92" s="612"/>
    </row>
    <row r="93" spans="2:16">
      <c r="B93" s="612"/>
      <c r="C93" s="612"/>
      <c r="D93" s="612"/>
      <c r="E93" s="612"/>
      <c r="F93" s="612"/>
      <c r="G93" s="612"/>
      <c r="H93" s="612"/>
      <c r="I93" s="612"/>
      <c r="J93" s="612"/>
      <c r="K93" s="612"/>
      <c r="L93" s="612"/>
      <c r="M93" s="612"/>
      <c r="N93" s="613"/>
      <c r="O93" s="613"/>
      <c r="P93" s="612"/>
    </row>
    <row r="94" spans="2:16">
      <c r="B94" s="612"/>
      <c r="C94" s="612"/>
      <c r="D94" s="612"/>
      <c r="E94" s="612"/>
      <c r="F94" s="612"/>
      <c r="G94" s="612"/>
      <c r="H94" s="612"/>
      <c r="I94" s="612"/>
      <c r="J94" s="612"/>
      <c r="K94" s="612"/>
      <c r="L94" s="612"/>
      <c r="M94" s="612"/>
      <c r="N94" s="613"/>
      <c r="O94" s="613"/>
      <c r="P94" s="612"/>
    </row>
    <row r="95" spans="2:16">
      <c r="B95" s="612"/>
      <c r="C95" s="612"/>
      <c r="D95" s="612"/>
      <c r="E95" s="612"/>
      <c r="F95" s="612"/>
      <c r="G95" s="612"/>
      <c r="H95" s="612"/>
      <c r="I95" s="612"/>
      <c r="J95" s="612"/>
      <c r="K95" s="612"/>
      <c r="L95" s="612"/>
      <c r="M95" s="612"/>
      <c r="N95" s="613"/>
      <c r="O95" s="613"/>
      <c r="P95" s="612"/>
    </row>
    <row r="96" spans="2:16">
      <c r="B96" s="612"/>
      <c r="C96" s="612"/>
      <c r="D96" s="612"/>
      <c r="E96" s="612"/>
      <c r="F96" s="612"/>
      <c r="G96" s="612"/>
      <c r="H96" s="612"/>
      <c r="I96" s="612"/>
      <c r="J96" s="612"/>
      <c r="K96" s="612"/>
      <c r="L96" s="612"/>
      <c r="M96" s="612"/>
      <c r="N96" s="613"/>
      <c r="O96" s="613"/>
      <c r="P96" s="612"/>
    </row>
    <row r="97" spans="2:16">
      <c r="B97" s="612"/>
      <c r="C97" s="612"/>
      <c r="D97" s="612"/>
      <c r="E97" s="612"/>
      <c r="F97" s="612"/>
      <c r="G97" s="612"/>
      <c r="H97" s="612"/>
      <c r="I97" s="612"/>
      <c r="J97" s="612"/>
      <c r="K97" s="612"/>
      <c r="L97" s="612"/>
      <c r="M97" s="612"/>
      <c r="N97" s="613"/>
      <c r="O97" s="613"/>
      <c r="P97" s="612"/>
    </row>
    <row r="98" spans="2:16">
      <c r="B98" s="612"/>
      <c r="C98" s="612"/>
      <c r="D98" s="612"/>
      <c r="E98" s="612"/>
      <c r="F98" s="612"/>
      <c r="G98" s="612"/>
      <c r="H98" s="612"/>
      <c r="I98" s="612"/>
      <c r="J98" s="612"/>
      <c r="K98" s="612"/>
      <c r="L98" s="612"/>
      <c r="M98" s="612"/>
      <c r="N98" s="613"/>
      <c r="O98" s="613"/>
      <c r="P98" s="612"/>
    </row>
    <row r="99" spans="2:16">
      <c r="B99" s="612"/>
      <c r="C99" s="612"/>
      <c r="D99" s="612"/>
      <c r="E99" s="612"/>
      <c r="F99" s="612"/>
      <c r="G99" s="612"/>
      <c r="H99" s="612"/>
      <c r="I99" s="612"/>
      <c r="J99" s="612"/>
      <c r="K99" s="612"/>
      <c r="L99" s="612"/>
      <c r="M99" s="612"/>
      <c r="N99" s="613"/>
      <c r="O99" s="613"/>
      <c r="P99" s="612"/>
    </row>
    <row r="100" spans="2:16">
      <c r="B100" s="612"/>
      <c r="C100" s="612"/>
      <c r="D100" s="612"/>
      <c r="E100" s="612"/>
      <c r="F100" s="612"/>
      <c r="G100" s="612"/>
      <c r="H100" s="612"/>
      <c r="I100" s="612"/>
      <c r="J100" s="612"/>
      <c r="K100" s="612"/>
      <c r="L100" s="612"/>
      <c r="M100" s="612"/>
      <c r="N100" s="613"/>
      <c r="O100" s="613"/>
      <c r="P100" s="612"/>
    </row>
    <row r="101" spans="2:16">
      <c r="B101" s="612"/>
      <c r="C101" s="612"/>
      <c r="D101" s="612"/>
      <c r="E101" s="612"/>
      <c r="F101" s="612"/>
      <c r="G101" s="612"/>
      <c r="H101" s="612"/>
      <c r="I101" s="612"/>
      <c r="J101" s="612"/>
      <c r="K101" s="612"/>
      <c r="L101" s="612"/>
      <c r="M101" s="612"/>
      <c r="N101" s="613"/>
      <c r="O101" s="613"/>
      <c r="P101" s="612"/>
    </row>
    <row r="102" spans="2:16">
      <c r="B102" s="612"/>
      <c r="C102" s="612"/>
      <c r="D102" s="612"/>
      <c r="E102" s="612"/>
      <c r="F102" s="612"/>
      <c r="G102" s="612"/>
      <c r="H102" s="612"/>
      <c r="I102" s="612"/>
      <c r="J102" s="612"/>
      <c r="K102" s="612"/>
      <c r="L102" s="612"/>
      <c r="M102" s="612"/>
      <c r="N102" s="613"/>
      <c r="O102" s="613"/>
      <c r="P102" s="612"/>
    </row>
    <row r="103" spans="2:16">
      <c r="B103" s="612"/>
      <c r="C103" s="612"/>
      <c r="D103" s="612"/>
      <c r="E103" s="612"/>
      <c r="F103" s="612"/>
      <c r="G103" s="612"/>
      <c r="H103" s="612"/>
      <c r="I103" s="612"/>
      <c r="J103" s="612"/>
      <c r="K103" s="612"/>
      <c r="L103" s="612"/>
      <c r="M103" s="612"/>
      <c r="N103" s="613"/>
      <c r="O103" s="613"/>
      <c r="P103" s="612"/>
    </row>
    <row r="104" spans="2:16">
      <c r="B104" s="612"/>
      <c r="C104" s="612"/>
      <c r="D104" s="612"/>
      <c r="E104" s="612"/>
      <c r="F104" s="612"/>
      <c r="G104" s="612"/>
      <c r="H104" s="612"/>
      <c r="I104" s="612"/>
      <c r="J104" s="612"/>
      <c r="K104" s="612"/>
      <c r="L104" s="612"/>
      <c r="M104" s="612"/>
      <c r="N104" s="613"/>
      <c r="O104" s="613"/>
      <c r="P104" s="612"/>
    </row>
    <row r="105" spans="2:16">
      <c r="B105" s="612"/>
      <c r="C105" s="612"/>
      <c r="D105" s="612"/>
      <c r="E105" s="612"/>
      <c r="F105" s="612"/>
      <c r="G105" s="612"/>
      <c r="H105" s="612"/>
      <c r="I105" s="612"/>
      <c r="J105" s="612"/>
      <c r="K105" s="612"/>
      <c r="L105" s="612"/>
      <c r="M105" s="612"/>
      <c r="N105" s="613"/>
      <c r="O105" s="613"/>
      <c r="P105" s="612"/>
    </row>
    <row r="106" spans="2:16">
      <c r="B106" s="612"/>
      <c r="C106" s="612"/>
      <c r="D106" s="612"/>
      <c r="E106" s="612"/>
      <c r="F106" s="612"/>
      <c r="G106" s="612"/>
      <c r="H106" s="612"/>
      <c r="I106" s="612"/>
      <c r="J106" s="612"/>
      <c r="K106" s="612"/>
      <c r="L106" s="612"/>
      <c r="M106" s="612"/>
      <c r="N106" s="613"/>
      <c r="O106" s="613"/>
      <c r="P106" s="612"/>
    </row>
    <row r="107" spans="2:16">
      <c r="B107" s="612"/>
      <c r="C107" s="612"/>
      <c r="D107" s="612"/>
      <c r="E107" s="612"/>
      <c r="F107" s="612"/>
      <c r="G107" s="612"/>
      <c r="H107" s="612"/>
      <c r="I107" s="612"/>
      <c r="J107" s="612"/>
      <c r="K107" s="612"/>
      <c r="L107" s="612"/>
      <c r="M107" s="612"/>
      <c r="N107" s="613"/>
      <c r="O107" s="613"/>
      <c r="P107" s="612"/>
    </row>
    <row r="108" spans="2:16">
      <c r="B108" s="612"/>
      <c r="C108" s="612"/>
      <c r="D108" s="612"/>
      <c r="E108" s="612"/>
      <c r="F108" s="612"/>
      <c r="G108" s="612"/>
      <c r="H108" s="612"/>
      <c r="I108" s="612"/>
      <c r="J108" s="612"/>
      <c r="K108" s="612"/>
      <c r="L108" s="612"/>
      <c r="M108" s="612"/>
      <c r="N108" s="613"/>
      <c r="O108" s="613"/>
      <c r="P108" s="612"/>
    </row>
    <row r="109" spans="2:16">
      <c r="B109" s="612"/>
      <c r="C109" s="612"/>
      <c r="D109" s="612"/>
      <c r="E109" s="612"/>
      <c r="F109" s="612"/>
      <c r="G109" s="612"/>
      <c r="H109" s="612"/>
      <c r="I109" s="612"/>
      <c r="J109" s="612"/>
      <c r="K109" s="612"/>
      <c r="L109" s="612"/>
      <c r="M109" s="612"/>
      <c r="N109" s="613"/>
      <c r="O109" s="613"/>
      <c r="P109" s="612"/>
    </row>
    <row r="110" spans="2:16">
      <c r="B110" s="612"/>
      <c r="C110" s="612"/>
      <c r="D110" s="612"/>
      <c r="E110" s="612"/>
      <c r="F110" s="612"/>
      <c r="G110" s="612"/>
      <c r="H110" s="612"/>
      <c r="I110" s="612"/>
      <c r="J110" s="612"/>
      <c r="K110" s="612"/>
      <c r="L110" s="612"/>
      <c r="M110" s="612"/>
      <c r="N110" s="613"/>
      <c r="O110" s="613"/>
      <c r="P110" s="612"/>
    </row>
    <row r="111" spans="2:16">
      <c r="B111" s="612"/>
      <c r="C111" s="612"/>
      <c r="D111" s="612"/>
      <c r="E111" s="612"/>
      <c r="F111" s="612"/>
      <c r="G111" s="612"/>
      <c r="H111" s="612"/>
      <c r="I111" s="612"/>
      <c r="J111" s="612"/>
      <c r="K111" s="612"/>
      <c r="L111" s="612"/>
      <c r="M111" s="612"/>
      <c r="N111" s="613"/>
      <c r="O111" s="613"/>
      <c r="P111" s="612"/>
    </row>
    <row r="112" spans="2:16">
      <c r="B112" s="612"/>
      <c r="C112" s="612"/>
      <c r="D112" s="612"/>
      <c r="E112" s="612"/>
      <c r="F112" s="612"/>
      <c r="G112" s="612"/>
      <c r="H112" s="612"/>
      <c r="I112" s="612"/>
      <c r="J112" s="612"/>
      <c r="K112" s="612"/>
      <c r="L112" s="612"/>
      <c r="M112" s="612"/>
      <c r="N112" s="613"/>
      <c r="O112" s="613"/>
      <c r="P112" s="612"/>
    </row>
    <row r="113" spans="2:16">
      <c r="B113" s="612"/>
      <c r="C113" s="612"/>
      <c r="D113" s="612"/>
      <c r="E113" s="612"/>
      <c r="F113" s="612"/>
      <c r="G113" s="612"/>
      <c r="H113" s="612"/>
      <c r="I113" s="612"/>
      <c r="J113" s="612"/>
      <c r="K113" s="612"/>
      <c r="L113" s="612"/>
      <c r="M113" s="612"/>
      <c r="N113" s="613"/>
      <c r="O113" s="613"/>
      <c r="P113" s="612"/>
    </row>
    <row r="114" spans="2:16">
      <c r="B114" s="612"/>
      <c r="C114" s="612"/>
      <c r="D114" s="612"/>
      <c r="E114" s="612"/>
      <c r="F114" s="612"/>
      <c r="G114" s="612"/>
      <c r="H114" s="612"/>
      <c r="I114" s="612"/>
      <c r="J114" s="612"/>
      <c r="K114" s="612"/>
      <c r="L114" s="612"/>
      <c r="M114" s="612"/>
      <c r="N114" s="613"/>
      <c r="O114" s="613"/>
      <c r="P114" s="612"/>
    </row>
    <row r="115" spans="2:16">
      <c r="B115" s="612"/>
      <c r="C115" s="612"/>
      <c r="D115" s="612"/>
      <c r="E115" s="612"/>
      <c r="F115" s="612"/>
      <c r="G115" s="612"/>
      <c r="H115" s="612"/>
      <c r="I115" s="612"/>
      <c r="J115" s="612"/>
      <c r="K115" s="612"/>
      <c r="L115" s="612"/>
      <c r="M115" s="612"/>
      <c r="N115" s="613"/>
      <c r="O115" s="613"/>
      <c r="P115" s="612"/>
    </row>
    <row r="116" spans="2:16">
      <c r="B116" s="612"/>
      <c r="C116" s="612"/>
      <c r="D116" s="612"/>
      <c r="E116" s="612"/>
      <c r="F116" s="612"/>
      <c r="G116" s="612"/>
      <c r="H116" s="612"/>
      <c r="I116" s="612"/>
      <c r="J116" s="612"/>
      <c r="K116" s="612"/>
      <c r="L116" s="612"/>
      <c r="M116" s="612"/>
      <c r="N116" s="613"/>
      <c r="O116" s="613"/>
      <c r="P116" s="612"/>
    </row>
    <row r="117" spans="2:16">
      <c r="B117" s="612"/>
      <c r="C117" s="612"/>
      <c r="D117" s="612"/>
      <c r="E117" s="612"/>
      <c r="F117" s="612"/>
      <c r="G117" s="612"/>
      <c r="H117" s="612"/>
      <c r="I117" s="612"/>
      <c r="J117" s="612"/>
      <c r="K117" s="612"/>
      <c r="L117" s="612"/>
      <c r="M117" s="612"/>
      <c r="N117" s="613"/>
      <c r="O117" s="613"/>
      <c r="P117" s="612"/>
    </row>
    <row r="118" spans="2:16">
      <c r="B118" s="612"/>
      <c r="C118" s="612"/>
      <c r="D118" s="612"/>
      <c r="E118" s="612"/>
      <c r="F118" s="612"/>
      <c r="G118" s="612"/>
      <c r="H118" s="612"/>
      <c r="I118" s="612"/>
      <c r="J118" s="612"/>
      <c r="K118" s="612"/>
      <c r="L118" s="612"/>
      <c r="M118" s="612"/>
      <c r="N118" s="613"/>
      <c r="O118" s="613"/>
      <c r="P118" s="612"/>
    </row>
    <row r="119" spans="2:16">
      <c r="B119" s="612"/>
      <c r="C119" s="612"/>
      <c r="D119" s="612"/>
      <c r="E119" s="612"/>
      <c r="F119" s="612"/>
      <c r="G119" s="612"/>
      <c r="H119" s="612"/>
      <c r="I119" s="612"/>
      <c r="J119" s="612"/>
      <c r="K119" s="612"/>
      <c r="L119" s="612"/>
      <c r="M119" s="612"/>
      <c r="N119" s="613"/>
      <c r="O119" s="613"/>
      <c r="P119" s="612"/>
    </row>
    <row r="120" spans="2:16">
      <c r="B120" s="612"/>
      <c r="C120" s="612"/>
      <c r="D120" s="612"/>
      <c r="E120" s="612"/>
      <c r="F120" s="612"/>
      <c r="G120" s="612"/>
      <c r="H120" s="612"/>
      <c r="I120" s="612"/>
      <c r="J120" s="612"/>
      <c r="K120" s="612"/>
      <c r="L120" s="612"/>
      <c r="M120" s="612"/>
      <c r="N120" s="613"/>
      <c r="O120" s="613"/>
      <c r="P120" s="612"/>
    </row>
    <row r="121" spans="2:16">
      <c r="B121" s="612"/>
      <c r="C121" s="612"/>
      <c r="D121" s="612"/>
      <c r="E121" s="612"/>
      <c r="F121" s="612"/>
      <c r="G121" s="612"/>
      <c r="H121" s="612"/>
      <c r="I121" s="612"/>
      <c r="J121" s="612"/>
      <c r="K121" s="612"/>
      <c r="L121" s="612"/>
      <c r="M121" s="612"/>
      <c r="N121" s="613"/>
      <c r="O121" s="613"/>
      <c r="P121" s="612"/>
    </row>
    <row r="122" spans="2:16">
      <c r="B122" s="612"/>
      <c r="C122" s="612"/>
      <c r="D122" s="612"/>
      <c r="E122" s="612"/>
      <c r="F122" s="612"/>
      <c r="G122" s="612"/>
      <c r="H122" s="612"/>
      <c r="I122" s="612"/>
      <c r="J122" s="612"/>
      <c r="K122" s="612"/>
      <c r="L122" s="612"/>
      <c r="M122" s="612"/>
      <c r="N122" s="613"/>
      <c r="O122" s="613"/>
      <c r="P122" s="612"/>
    </row>
    <row r="123" spans="2:16">
      <c r="B123" s="612"/>
      <c r="C123" s="612"/>
      <c r="D123" s="612"/>
      <c r="E123" s="612"/>
      <c r="F123" s="612"/>
      <c r="G123" s="612"/>
      <c r="H123" s="612"/>
      <c r="I123" s="612"/>
      <c r="J123" s="612"/>
      <c r="K123" s="612"/>
      <c r="L123" s="612"/>
      <c r="M123" s="612"/>
      <c r="N123" s="613"/>
      <c r="O123" s="613"/>
      <c r="P123" s="612"/>
    </row>
    <row r="124" spans="2:16">
      <c r="B124" s="612"/>
      <c r="C124" s="612"/>
      <c r="D124" s="612"/>
      <c r="E124" s="612"/>
      <c r="F124" s="612"/>
      <c r="G124" s="612"/>
      <c r="H124" s="612"/>
      <c r="I124" s="612"/>
      <c r="J124" s="612"/>
      <c r="K124" s="612"/>
      <c r="L124" s="612"/>
      <c r="M124" s="612"/>
      <c r="N124" s="613"/>
      <c r="O124" s="613"/>
      <c r="P124" s="612"/>
    </row>
    <row r="125" spans="2:16">
      <c r="B125" s="612"/>
      <c r="C125" s="612"/>
      <c r="D125" s="612"/>
      <c r="E125" s="612"/>
      <c r="F125" s="612"/>
      <c r="G125" s="612"/>
      <c r="H125" s="612"/>
      <c r="I125" s="612"/>
      <c r="J125" s="612"/>
      <c r="K125" s="612"/>
      <c r="L125" s="612"/>
      <c r="M125" s="612"/>
      <c r="N125" s="613"/>
      <c r="O125" s="613"/>
      <c r="P125" s="612"/>
    </row>
    <row r="126" spans="2:16">
      <c r="B126" s="612"/>
      <c r="C126" s="612"/>
      <c r="D126" s="612"/>
      <c r="E126" s="612"/>
      <c r="F126" s="612"/>
      <c r="G126" s="612"/>
      <c r="H126" s="612"/>
      <c r="I126" s="612"/>
      <c r="J126" s="612"/>
      <c r="K126" s="612"/>
      <c r="L126" s="612"/>
      <c r="M126" s="612"/>
      <c r="N126" s="613"/>
      <c r="O126" s="613"/>
      <c r="P126" s="612"/>
    </row>
    <row r="127" spans="2:16">
      <c r="B127" s="612"/>
      <c r="C127" s="612"/>
      <c r="D127" s="612"/>
      <c r="E127" s="612"/>
      <c r="F127" s="612"/>
      <c r="G127" s="612"/>
      <c r="H127" s="612"/>
      <c r="I127" s="612"/>
      <c r="J127" s="612"/>
      <c r="K127" s="612"/>
      <c r="L127" s="612"/>
      <c r="M127" s="612"/>
      <c r="N127" s="613"/>
      <c r="O127" s="613"/>
      <c r="P127" s="612"/>
    </row>
    <row r="128" spans="2:16">
      <c r="B128" s="612"/>
      <c r="C128" s="612"/>
      <c r="D128" s="612"/>
      <c r="E128" s="612"/>
      <c r="F128" s="612"/>
      <c r="G128" s="612"/>
      <c r="H128" s="612"/>
      <c r="I128" s="612"/>
      <c r="J128" s="612"/>
      <c r="K128" s="612"/>
      <c r="L128" s="612"/>
      <c r="M128" s="612"/>
      <c r="N128" s="613"/>
      <c r="O128" s="613"/>
      <c r="P128" s="612"/>
    </row>
    <row r="129" spans="2:16">
      <c r="B129" s="612"/>
      <c r="C129" s="612"/>
      <c r="D129" s="612"/>
      <c r="E129" s="612"/>
      <c r="F129" s="612"/>
      <c r="G129" s="612"/>
      <c r="H129" s="612"/>
      <c r="I129" s="612"/>
      <c r="J129" s="612"/>
      <c r="K129" s="612"/>
      <c r="L129" s="612"/>
      <c r="M129" s="612"/>
      <c r="N129" s="613"/>
      <c r="O129" s="613"/>
      <c r="P129" s="612"/>
    </row>
    <row r="130" spans="2:16">
      <c r="B130" s="612"/>
      <c r="C130" s="612"/>
      <c r="D130" s="612"/>
      <c r="E130" s="612"/>
      <c r="F130" s="612"/>
      <c r="G130" s="612"/>
      <c r="H130" s="612"/>
      <c r="I130" s="612"/>
      <c r="J130" s="612"/>
      <c r="K130" s="612"/>
      <c r="L130" s="612"/>
      <c r="M130" s="612"/>
      <c r="N130" s="613"/>
      <c r="O130" s="613"/>
      <c r="P130" s="612"/>
    </row>
    <row r="131" spans="2:16">
      <c r="B131" s="612"/>
      <c r="C131" s="612"/>
      <c r="D131" s="612"/>
      <c r="E131" s="612"/>
      <c r="F131" s="612"/>
      <c r="G131" s="612"/>
      <c r="H131" s="612"/>
      <c r="I131" s="612"/>
      <c r="J131" s="612"/>
      <c r="K131" s="612"/>
      <c r="L131" s="612"/>
      <c r="M131" s="612"/>
      <c r="N131" s="613"/>
      <c r="O131" s="613"/>
      <c r="P131" s="612"/>
    </row>
    <row r="132" spans="2:16">
      <c r="B132" s="612"/>
      <c r="C132" s="612"/>
      <c r="D132" s="612"/>
      <c r="E132" s="612"/>
      <c r="F132" s="612"/>
      <c r="G132" s="612"/>
      <c r="H132" s="612"/>
      <c r="I132" s="612"/>
      <c r="J132" s="612"/>
      <c r="K132" s="612"/>
      <c r="L132" s="612"/>
      <c r="M132" s="612"/>
      <c r="N132" s="613"/>
      <c r="O132" s="613"/>
      <c r="P132" s="612"/>
    </row>
    <row r="133" spans="2:16">
      <c r="B133" s="612"/>
      <c r="C133" s="612"/>
      <c r="D133" s="612"/>
      <c r="E133" s="612"/>
      <c r="F133" s="612"/>
      <c r="G133" s="612"/>
      <c r="H133" s="612"/>
      <c r="I133" s="612"/>
      <c r="J133" s="612"/>
      <c r="K133" s="612"/>
      <c r="L133" s="612"/>
      <c r="M133" s="612"/>
      <c r="N133" s="613"/>
      <c r="O133" s="613"/>
      <c r="P133" s="612"/>
    </row>
    <row r="134" spans="2:16">
      <c r="B134" s="612"/>
      <c r="C134" s="612"/>
      <c r="D134" s="612"/>
      <c r="E134" s="612"/>
      <c r="F134" s="612"/>
      <c r="G134" s="612"/>
      <c r="H134" s="612"/>
      <c r="I134" s="612"/>
      <c r="J134" s="612"/>
      <c r="K134" s="612"/>
      <c r="L134" s="612"/>
      <c r="M134" s="612"/>
      <c r="N134" s="613"/>
      <c r="O134" s="613"/>
      <c r="P134" s="612"/>
    </row>
    <row r="135" spans="2:16">
      <c r="B135" s="612"/>
      <c r="C135" s="612"/>
      <c r="D135" s="612"/>
      <c r="E135" s="612"/>
      <c r="F135" s="612"/>
      <c r="G135" s="612"/>
      <c r="H135" s="612"/>
      <c r="I135" s="612"/>
      <c r="J135" s="612"/>
      <c r="K135" s="612"/>
      <c r="L135" s="612"/>
      <c r="M135" s="612"/>
      <c r="N135" s="613"/>
      <c r="O135" s="613"/>
      <c r="P135" s="612"/>
    </row>
    <row r="136" spans="2:16">
      <c r="B136" s="612"/>
      <c r="C136" s="612"/>
      <c r="D136" s="612"/>
      <c r="E136" s="612"/>
      <c r="F136" s="612"/>
      <c r="G136" s="612"/>
      <c r="H136" s="612"/>
      <c r="I136" s="612"/>
      <c r="J136" s="612"/>
      <c r="K136" s="612"/>
      <c r="L136" s="612"/>
      <c r="M136" s="612"/>
      <c r="N136" s="613"/>
      <c r="O136" s="613"/>
      <c r="P136" s="612"/>
    </row>
    <row r="137" spans="2:16">
      <c r="B137" s="612"/>
      <c r="C137" s="612"/>
      <c r="D137" s="612"/>
      <c r="E137" s="612"/>
      <c r="F137" s="612"/>
      <c r="G137" s="612"/>
      <c r="H137" s="612"/>
      <c r="I137" s="612"/>
      <c r="J137" s="612"/>
      <c r="K137" s="612"/>
      <c r="L137" s="612"/>
      <c r="M137" s="612"/>
      <c r="N137" s="613"/>
      <c r="O137" s="613"/>
      <c r="P137" s="612"/>
    </row>
    <row r="138" spans="2:16">
      <c r="B138" s="612"/>
      <c r="C138" s="612"/>
      <c r="D138" s="612"/>
      <c r="E138" s="612"/>
      <c r="F138" s="612"/>
      <c r="G138" s="612"/>
      <c r="H138" s="612"/>
      <c r="I138" s="612"/>
      <c r="J138" s="612"/>
      <c r="K138" s="612"/>
      <c r="L138" s="612"/>
      <c r="M138" s="612"/>
      <c r="N138" s="613"/>
      <c r="O138" s="613"/>
      <c r="P138" s="612"/>
    </row>
    <row r="139" spans="2:16">
      <c r="B139" s="612"/>
      <c r="C139" s="612"/>
      <c r="D139" s="612"/>
      <c r="E139" s="612"/>
      <c r="F139" s="612"/>
      <c r="G139" s="612"/>
      <c r="H139" s="612"/>
      <c r="I139" s="612"/>
      <c r="J139" s="612"/>
      <c r="K139" s="612"/>
      <c r="L139" s="612"/>
      <c r="M139" s="612"/>
      <c r="N139" s="613"/>
      <c r="O139" s="613"/>
      <c r="P139" s="612"/>
    </row>
    <row r="140" spans="2:16">
      <c r="B140" s="612"/>
      <c r="C140" s="612"/>
      <c r="D140" s="612"/>
      <c r="E140" s="612"/>
      <c r="F140" s="612"/>
      <c r="G140" s="612"/>
      <c r="H140" s="612"/>
      <c r="I140" s="612"/>
      <c r="J140" s="612"/>
      <c r="K140" s="612"/>
      <c r="L140" s="612"/>
      <c r="M140" s="612"/>
      <c r="N140" s="613"/>
      <c r="O140" s="613"/>
      <c r="P140" s="612"/>
    </row>
    <row r="141" spans="2:16">
      <c r="B141" s="612"/>
      <c r="C141" s="612"/>
      <c r="D141" s="612"/>
      <c r="E141" s="612"/>
      <c r="F141" s="612"/>
      <c r="G141" s="612"/>
      <c r="H141" s="612"/>
      <c r="I141" s="612"/>
      <c r="J141" s="612"/>
      <c r="K141" s="612"/>
      <c r="L141" s="612"/>
      <c r="M141" s="612"/>
      <c r="N141" s="613"/>
      <c r="O141" s="613"/>
      <c r="P141" s="612"/>
    </row>
    <row r="142" spans="2:16">
      <c r="B142" s="612"/>
      <c r="C142" s="612"/>
      <c r="D142" s="612"/>
      <c r="E142" s="612"/>
      <c r="F142" s="612"/>
      <c r="G142" s="612"/>
      <c r="H142" s="612"/>
      <c r="I142" s="612"/>
      <c r="J142" s="612"/>
      <c r="K142" s="612"/>
      <c r="L142" s="612"/>
      <c r="M142" s="612"/>
      <c r="N142" s="613"/>
      <c r="O142" s="613"/>
      <c r="P142" s="612"/>
    </row>
    <row r="143" spans="2:16">
      <c r="B143" s="612"/>
      <c r="C143" s="612"/>
      <c r="D143" s="612"/>
      <c r="E143" s="612"/>
      <c r="F143" s="612"/>
      <c r="G143" s="612"/>
      <c r="H143" s="612"/>
      <c r="I143" s="612"/>
      <c r="J143" s="612"/>
      <c r="K143" s="612"/>
      <c r="L143" s="612"/>
      <c r="M143" s="612"/>
      <c r="N143" s="613"/>
      <c r="O143" s="613"/>
      <c r="P143" s="612"/>
    </row>
    <row r="144" spans="2:16">
      <c r="B144" s="612"/>
      <c r="C144" s="612"/>
      <c r="D144" s="612"/>
      <c r="E144" s="612"/>
      <c r="F144" s="612"/>
      <c r="G144" s="612"/>
      <c r="H144" s="612"/>
      <c r="I144" s="612"/>
      <c r="J144" s="612"/>
      <c r="K144" s="612"/>
      <c r="L144" s="612"/>
      <c r="M144" s="612"/>
      <c r="N144" s="613"/>
      <c r="O144" s="613"/>
      <c r="P144" s="612"/>
    </row>
    <row r="145" spans="2:16">
      <c r="B145" s="612"/>
      <c r="C145" s="612"/>
      <c r="D145" s="612"/>
      <c r="E145" s="612"/>
      <c r="F145" s="612"/>
      <c r="G145" s="612"/>
      <c r="H145" s="612"/>
      <c r="I145" s="612"/>
      <c r="J145" s="612"/>
      <c r="K145" s="612"/>
      <c r="L145" s="612"/>
      <c r="M145" s="612"/>
      <c r="N145" s="613"/>
      <c r="O145" s="613"/>
      <c r="P145" s="612"/>
    </row>
    <row r="146" spans="2:16">
      <c r="B146" s="612"/>
      <c r="C146" s="612"/>
      <c r="D146" s="612"/>
      <c r="E146" s="612"/>
      <c r="F146" s="612"/>
      <c r="G146" s="612"/>
      <c r="H146" s="612"/>
      <c r="I146" s="612"/>
      <c r="J146" s="612"/>
      <c r="K146" s="612"/>
      <c r="L146" s="612"/>
      <c r="M146" s="612"/>
      <c r="N146" s="613"/>
      <c r="O146" s="613"/>
      <c r="P146" s="612"/>
    </row>
    <row r="147" spans="2:16">
      <c r="B147" s="612"/>
      <c r="C147" s="612"/>
      <c r="D147" s="612"/>
      <c r="E147" s="612"/>
      <c r="F147" s="612"/>
      <c r="G147" s="612"/>
      <c r="H147" s="612"/>
      <c r="I147" s="612"/>
      <c r="J147" s="612"/>
      <c r="K147" s="612"/>
      <c r="L147" s="612"/>
      <c r="M147" s="612"/>
      <c r="N147" s="613"/>
      <c r="O147" s="613"/>
      <c r="P147" s="612"/>
    </row>
    <row r="148" spans="2:16">
      <c r="B148" s="612"/>
      <c r="C148" s="612"/>
      <c r="D148" s="612"/>
      <c r="E148" s="612"/>
      <c r="F148" s="612"/>
      <c r="G148" s="612"/>
      <c r="H148" s="612"/>
      <c r="I148" s="612"/>
      <c r="J148" s="612"/>
      <c r="K148" s="612"/>
      <c r="L148" s="612"/>
      <c r="M148" s="612"/>
      <c r="N148" s="613"/>
      <c r="O148" s="613"/>
      <c r="P148" s="612"/>
    </row>
    <row r="149" spans="2:16">
      <c r="B149" s="612"/>
      <c r="C149" s="612"/>
      <c r="D149" s="612"/>
      <c r="E149" s="612"/>
      <c r="F149" s="612"/>
      <c r="G149" s="612"/>
      <c r="H149" s="612"/>
      <c r="I149" s="612"/>
      <c r="J149" s="612"/>
      <c r="K149" s="612"/>
      <c r="L149" s="612"/>
      <c r="M149" s="612"/>
      <c r="N149" s="613"/>
      <c r="O149" s="613"/>
      <c r="P149" s="612"/>
    </row>
    <row r="150" spans="2:16">
      <c r="B150" s="612"/>
      <c r="C150" s="612"/>
      <c r="D150" s="612"/>
      <c r="E150" s="612"/>
      <c r="F150" s="612"/>
      <c r="G150" s="612"/>
      <c r="H150" s="612"/>
      <c r="I150" s="612"/>
      <c r="J150" s="612"/>
      <c r="K150" s="612"/>
      <c r="L150" s="612"/>
      <c r="M150" s="612"/>
      <c r="N150" s="613"/>
      <c r="O150" s="613"/>
      <c r="P150" s="612"/>
    </row>
    <row r="151" spans="2:16">
      <c r="B151" s="612"/>
      <c r="C151" s="612"/>
      <c r="D151" s="612"/>
      <c r="E151" s="612"/>
      <c r="F151" s="612"/>
      <c r="G151" s="612"/>
      <c r="H151" s="612"/>
      <c r="I151" s="612"/>
      <c r="J151" s="612"/>
      <c r="K151" s="612"/>
      <c r="L151" s="612"/>
      <c r="M151" s="612"/>
      <c r="N151" s="613"/>
      <c r="O151" s="613"/>
      <c r="P151" s="612"/>
    </row>
    <row r="152" spans="2:16">
      <c r="B152" s="612"/>
      <c r="C152" s="612"/>
      <c r="D152" s="612"/>
      <c r="E152" s="612"/>
      <c r="F152" s="612"/>
      <c r="G152" s="612"/>
      <c r="H152" s="612"/>
      <c r="I152" s="612"/>
      <c r="J152" s="612"/>
      <c r="K152" s="612"/>
      <c r="L152" s="612"/>
      <c r="M152" s="612"/>
      <c r="N152" s="613"/>
      <c r="O152" s="613"/>
      <c r="P152" s="612"/>
    </row>
    <row r="153" spans="2:16">
      <c r="B153" s="612"/>
      <c r="C153" s="612"/>
      <c r="D153" s="612"/>
      <c r="E153" s="612"/>
      <c r="F153" s="612"/>
      <c r="G153" s="612"/>
      <c r="H153" s="612"/>
      <c r="I153" s="612"/>
      <c r="J153" s="612"/>
      <c r="K153" s="612"/>
      <c r="L153" s="612"/>
      <c r="M153" s="612"/>
      <c r="N153" s="613"/>
      <c r="O153" s="613"/>
      <c r="P153" s="612"/>
    </row>
    <row r="154" spans="2:16">
      <c r="B154" s="612"/>
      <c r="C154" s="612"/>
      <c r="D154" s="612"/>
      <c r="E154" s="612"/>
      <c r="F154" s="612"/>
      <c r="G154" s="612"/>
      <c r="H154" s="612"/>
      <c r="I154" s="612"/>
      <c r="J154" s="612"/>
      <c r="K154" s="612"/>
      <c r="L154" s="612"/>
      <c r="M154" s="612"/>
      <c r="N154" s="613"/>
      <c r="O154" s="613"/>
      <c r="P154" s="612"/>
    </row>
    <row r="155" spans="2:16">
      <c r="B155" s="612"/>
      <c r="C155" s="612"/>
      <c r="D155" s="612"/>
      <c r="E155" s="612"/>
      <c r="F155" s="612"/>
      <c r="G155" s="612"/>
      <c r="H155" s="612"/>
      <c r="I155" s="612"/>
      <c r="J155" s="612"/>
      <c r="K155" s="612"/>
      <c r="L155" s="612"/>
      <c r="M155" s="612"/>
      <c r="N155" s="613"/>
      <c r="O155" s="613"/>
      <c r="P155" s="612"/>
    </row>
    <row r="156" spans="2:16">
      <c r="B156" s="612"/>
      <c r="C156" s="612"/>
      <c r="D156" s="612"/>
      <c r="E156" s="612"/>
      <c r="F156" s="612"/>
      <c r="G156" s="612"/>
      <c r="H156" s="612"/>
      <c r="I156" s="612"/>
      <c r="J156" s="612"/>
      <c r="K156" s="612"/>
      <c r="L156" s="612"/>
      <c r="M156" s="612"/>
      <c r="N156" s="613"/>
      <c r="O156" s="613"/>
      <c r="P156" s="612"/>
    </row>
    <row r="157" spans="2:16">
      <c r="B157" s="612"/>
      <c r="C157" s="612"/>
      <c r="D157" s="612"/>
      <c r="E157" s="612"/>
      <c r="F157" s="612"/>
      <c r="G157" s="612"/>
      <c r="H157" s="612"/>
      <c r="I157" s="612"/>
      <c r="J157" s="612"/>
      <c r="K157" s="612"/>
      <c r="L157" s="612"/>
      <c r="M157" s="612"/>
      <c r="N157" s="613"/>
      <c r="O157" s="613"/>
      <c r="P157" s="612"/>
    </row>
    <row r="158" spans="2:16">
      <c r="B158" s="612"/>
      <c r="C158" s="612"/>
      <c r="D158" s="612"/>
      <c r="E158" s="612"/>
      <c r="F158" s="612"/>
      <c r="G158" s="612"/>
      <c r="H158" s="612"/>
      <c r="I158" s="612"/>
      <c r="J158" s="612"/>
      <c r="K158" s="612"/>
      <c r="L158" s="612"/>
      <c r="M158" s="612"/>
      <c r="N158" s="613"/>
      <c r="O158" s="613"/>
      <c r="P158" s="612"/>
    </row>
    <row r="159" spans="2:16">
      <c r="B159" s="612"/>
      <c r="C159" s="612"/>
      <c r="D159" s="612"/>
      <c r="E159" s="612"/>
      <c r="F159" s="612"/>
      <c r="G159" s="612"/>
      <c r="H159" s="612"/>
      <c r="I159" s="612"/>
      <c r="J159" s="612"/>
      <c r="K159" s="612"/>
      <c r="L159" s="612"/>
      <c r="M159" s="612"/>
      <c r="N159" s="613"/>
      <c r="O159" s="613"/>
      <c r="P159" s="612"/>
    </row>
    <row r="160" spans="2:16">
      <c r="B160" s="612"/>
      <c r="C160" s="612"/>
      <c r="D160" s="612"/>
      <c r="E160" s="612"/>
      <c r="F160" s="612"/>
      <c r="G160" s="612"/>
      <c r="H160" s="612"/>
      <c r="I160" s="612"/>
      <c r="J160" s="612"/>
      <c r="K160" s="612"/>
      <c r="L160" s="612"/>
      <c r="M160" s="612"/>
      <c r="N160" s="613"/>
      <c r="O160" s="613"/>
      <c r="P160" s="612"/>
    </row>
    <row r="161" spans="2:16">
      <c r="B161" s="612"/>
      <c r="C161" s="612"/>
      <c r="D161" s="612"/>
      <c r="E161" s="612"/>
      <c r="F161" s="612"/>
      <c r="G161" s="612"/>
      <c r="H161" s="612"/>
      <c r="I161" s="612"/>
      <c r="J161" s="612"/>
      <c r="K161" s="612"/>
      <c r="L161" s="612"/>
      <c r="M161" s="612"/>
      <c r="N161" s="613"/>
      <c r="O161" s="613"/>
      <c r="P161" s="612"/>
    </row>
    <row r="162" spans="2:16">
      <c r="B162" s="612"/>
      <c r="C162" s="612"/>
      <c r="D162" s="612"/>
      <c r="E162" s="612"/>
      <c r="F162" s="612"/>
      <c r="G162" s="612"/>
      <c r="H162" s="612"/>
      <c r="I162" s="612"/>
      <c r="J162" s="612"/>
      <c r="K162" s="612"/>
      <c r="L162" s="612"/>
      <c r="M162" s="612"/>
      <c r="N162" s="613"/>
      <c r="O162" s="613"/>
      <c r="P162" s="612"/>
    </row>
    <row r="163" spans="2:16">
      <c r="B163" s="612"/>
      <c r="C163" s="612"/>
      <c r="D163" s="612"/>
      <c r="E163" s="612"/>
      <c r="F163" s="612"/>
      <c r="G163" s="612"/>
      <c r="H163" s="612"/>
      <c r="I163" s="612"/>
      <c r="J163" s="612"/>
      <c r="K163" s="612"/>
      <c r="L163" s="612"/>
      <c r="M163" s="612"/>
      <c r="N163" s="613"/>
      <c r="O163" s="613"/>
      <c r="P163" s="612"/>
    </row>
    <row r="164" spans="2:16">
      <c r="B164" s="612"/>
      <c r="C164" s="612"/>
      <c r="D164" s="612"/>
      <c r="E164" s="612"/>
      <c r="F164" s="612"/>
      <c r="G164" s="612"/>
      <c r="H164" s="612"/>
      <c r="I164" s="612"/>
      <c r="J164" s="612"/>
      <c r="K164" s="612"/>
      <c r="L164" s="612"/>
      <c r="M164" s="612"/>
      <c r="N164" s="613"/>
      <c r="O164" s="613"/>
      <c r="P164" s="612"/>
    </row>
    <row r="165" spans="2:16">
      <c r="B165" s="612"/>
      <c r="C165" s="612"/>
      <c r="D165" s="612"/>
      <c r="E165" s="612"/>
      <c r="F165" s="612"/>
      <c r="G165" s="612"/>
      <c r="H165" s="612"/>
      <c r="I165" s="612"/>
      <c r="J165" s="612"/>
      <c r="K165" s="612"/>
      <c r="L165" s="612"/>
      <c r="M165" s="612"/>
      <c r="N165" s="613"/>
      <c r="O165" s="613"/>
      <c r="P165" s="612"/>
    </row>
    <row r="166" spans="2:16">
      <c r="B166" s="612"/>
      <c r="C166" s="612"/>
      <c r="D166" s="612"/>
      <c r="E166" s="612"/>
      <c r="F166" s="612"/>
      <c r="G166" s="612"/>
      <c r="H166" s="612"/>
      <c r="I166" s="612"/>
      <c r="J166" s="612"/>
      <c r="K166" s="612"/>
      <c r="L166" s="612"/>
      <c r="M166" s="612"/>
      <c r="N166" s="613"/>
      <c r="O166" s="613"/>
      <c r="P166" s="612"/>
    </row>
    <row r="167" spans="2:16">
      <c r="B167" s="612"/>
      <c r="C167" s="612"/>
      <c r="D167" s="612"/>
      <c r="E167" s="612"/>
      <c r="F167" s="612"/>
      <c r="G167" s="612"/>
      <c r="H167" s="612"/>
      <c r="I167" s="612"/>
      <c r="J167" s="612"/>
      <c r="K167" s="612"/>
      <c r="L167" s="612"/>
      <c r="M167" s="612"/>
      <c r="N167" s="613"/>
      <c r="O167" s="613"/>
      <c r="P167" s="612"/>
    </row>
    <row r="168" spans="2:16">
      <c r="B168" s="612"/>
      <c r="C168" s="612"/>
      <c r="D168" s="612"/>
      <c r="E168" s="612"/>
      <c r="F168" s="612"/>
      <c r="G168" s="612"/>
      <c r="H168" s="612"/>
      <c r="I168" s="612"/>
      <c r="J168" s="612"/>
      <c r="K168" s="612"/>
      <c r="L168" s="612"/>
      <c r="M168" s="612"/>
      <c r="N168" s="613"/>
      <c r="O168" s="613"/>
      <c r="P168" s="612"/>
    </row>
    <row r="169" spans="2:16">
      <c r="B169" s="612"/>
      <c r="C169" s="612"/>
      <c r="D169" s="612"/>
      <c r="E169" s="612"/>
      <c r="F169" s="612"/>
      <c r="G169" s="612"/>
      <c r="H169" s="612"/>
      <c r="I169" s="612"/>
      <c r="J169" s="612"/>
      <c r="K169" s="612"/>
      <c r="L169" s="612"/>
      <c r="M169" s="612"/>
      <c r="N169" s="613"/>
      <c r="O169" s="613"/>
      <c r="P169" s="612"/>
    </row>
    <row r="170" spans="2:16">
      <c r="B170" s="612"/>
      <c r="C170" s="612"/>
      <c r="D170" s="612"/>
      <c r="E170" s="612"/>
      <c r="F170" s="612"/>
      <c r="G170" s="612"/>
      <c r="H170" s="612"/>
      <c r="I170" s="612"/>
      <c r="J170" s="612"/>
      <c r="K170" s="612"/>
      <c r="L170" s="612"/>
      <c r="M170" s="612"/>
      <c r="N170" s="613"/>
      <c r="O170" s="613"/>
      <c r="P170" s="612"/>
    </row>
    <row r="171" spans="2:16">
      <c r="B171" s="612"/>
      <c r="C171" s="612"/>
      <c r="D171" s="612"/>
      <c r="E171" s="612"/>
      <c r="F171" s="612"/>
      <c r="G171" s="612"/>
      <c r="H171" s="612"/>
      <c r="I171" s="612"/>
      <c r="J171" s="612"/>
      <c r="K171" s="612"/>
      <c r="L171" s="612"/>
      <c r="M171" s="612"/>
      <c r="N171" s="613"/>
      <c r="O171" s="613"/>
      <c r="P171" s="612"/>
    </row>
    <row r="172" spans="2:16">
      <c r="B172" s="612"/>
      <c r="C172" s="612"/>
      <c r="D172" s="612"/>
      <c r="E172" s="612"/>
      <c r="F172" s="612"/>
      <c r="G172" s="612"/>
      <c r="H172" s="612"/>
      <c r="I172" s="612"/>
      <c r="J172" s="612"/>
      <c r="K172" s="612"/>
      <c r="L172" s="612"/>
      <c r="M172" s="612"/>
      <c r="N172" s="613"/>
      <c r="O172" s="613"/>
      <c r="P172" s="612"/>
    </row>
    <row r="173" spans="2:16">
      <c r="B173" s="612"/>
      <c r="C173" s="612"/>
      <c r="D173" s="612"/>
      <c r="E173" s="612"/>
      <c r="F173" s="612"/>
      <c r="G173" s="612"/>
      <c r="H173" s="612"/>
      <c r="I173" s="612"/>
      <c r="J173" s="612"/>
      <c r="K173" s="612"/>
      <c r="L173" s="612"/>
      <c r="M173" s="612"/>
      <c r="N173" s="613"/>
      <c r="O173" s="613"/>
      <c r="P173" s="612"/>
    </row>
    <row r="174" spans="2:16">
      <c r="B174" s="612"/>
      <c r="C174" s="612"/>
      <c r="D174" s="612"/>
      <c r="E174" s="612"/>
      <c r="F174" s="612"/>
      <c r="G174" s="612"/>
      <c r="H174" s="612"/>
      <c r="I174" s="612"/>
      <c r="J174" s="612"/>
      <c r="K174" s="612"/>
      <c r="L174" s="612"/>
      <c r="M174" s="612"/>
      <c r="N174" s="613"/>
      <c r="O174" s="613"/>
      <c r="P174" s="612"/>
    </row>
    <row r="175" spans="2:16">
      <c r="B175" s="612"/>
      <c r="C175" s="612"/>
      <c r="D175" s="612"/>
      <c r="E175" s="612"/>
      <c r="F175" s="612"/>
      <c r="G175" s="612"/>
      <c r="H175" s="612"/>
      <c r="I175" s="612"/>
      <c r="J175" s="612"/>
      <c r="K175" s="612"/>
      <c r="L175" s="612"/>
      <c r="M175" s="612"/>
      <c r="N175" s="613"/>
      <c r="O175" s="613"/>
      <c r="P175" s="612"/>
    </row>
    <row r="176" spans="2:16">
      <c r="B176" s="612"/>
      <c r="C176" s="612"/>
      <c r="D176" s="612"/>
      <c r="E176" s="612"/>
      <c r="F176" s="612"/>
      <c r="G176" s="612"/>
      <c r="H176" s="612"/>
      <c r="I176" s="612"/>
      <c r="J176" s="612"/>
      <c r="K176" s="612"/>
      <c r="L176" s="612"/>
      <c r="M176" s="612"/>
      <c r="N176" s="613"/>
      <c r="O176" s="613"/>
      <c r="P176" s="612"/>
    </row>
    <row r="177" spans="1:16">
      <c r="B177" s="612"/>
      <c r="C177" s="612"/>
      <c r="D177" s="612"/>
      <c r="E177" s="612"/>
      <c r="F177" s="612"/>
      <c r="G177" s="612"/>
      <c r="H177" s="612"/>
      <c r="I177" s="612"/>
      <c r="J177" s="612"/>
      <c r="K177" s="612"/>
      <c r="L177" s="612"/>
      <c r="M177" s="612"/>
      <c r="N177" s="613"/>
      <c r="O177" s="613"/>
      <c r="P177" s="612"/>
    </row>
    <row r="178" spans="1:16">
      <c r="B178" s="612"/>
      <c r="C178" s="612"/>
      <c r="D178" s="612"/>
      <c r="E178" s="612"/>
      <c r="F178" s="612"/>
      <c r="G178" s="612"/>
      <c r="H178" s="612"/>
      <c r="I178" s="612"/>
      <c r="J178" s="612"/>
      <c r="K178" s="612"/>
      <c r="L178" s="612"/>
      <c r="M178" s="612"/>
      <c r="N178" s="613"/>
      <c r="O178" s="613"/>
      <c r="P178" s="612"/>
    </row>
    <row r="179" spans="1:16">
      <c r="B179" s="612"/>
      <c r="C179" s="612"/>
      <c r="D179" s="612"/>
      <c r="E179" s="612"/>
      <c r="F179" s="612"/>
      <c r="G179" s="612"/>
      <c r="H179" s="612"/>
      <c r="I179" s="612"/>
      <c r="J179" s="612"/>
      <c r="K179" s="612"/>
      <c r="L179" s="612"/>
      <c r="M179" s="612"/>
      <c r="N179" s="613"/>
      <c r="O179" s="613"/>
      <c r="P179" s="612"/>
    </row>
    <row r="180" spans="1:16">
      <c r="B180" s="612"/>
      <c r="C180" s="612"/>
      <c r="D180" s="612"/>
      <c r="E180" s="612"/>
      <c r="F180" s="612"/>
      <c r="G180" s="612"/>
      <c r="H180" s="612"/>
      <c r="I180" s="612"/>
      <c r="J180" s="612"/>
      <c r="K180" s="612"/>
      <c r="L180" s="612"/>
      <c r="M180" s="612"/>
      <c r="N180" s="613"/>
      <c r="O180" s="613"/>
      <c r="P180" s="612"/>
    </row>
    <row r="181" spans="1:16">
      <c r="B181" s="612"/>
      <c r="C181" s="612"/>
      <c r="D181" s="612"/>
      <c r="E181" s="612"/>
      <c r="F181" s="612"/>
      <c r="G181" s="612"/>
      <c r="H181" s="612"/>
      <c r="I181" s="612"/>
      <c r="J181" s="612"/>
      <c r="K181" s="612"/>
      <c r="L181" s="612"/>
      <c r="M181" s="612"/>
      <c r="N181" s="613"/>
      <c r="O181" s="613"/>
      <c r="P181" s="612"/>
    </row>
    <row r="182" spans="1:16">
      <c r="B182" s="612"/>
      <c r="C182" s="612"/>
      <c r="D182" s="612"/>
      <c r="E182" s="612"/>
      <c r="F182" s="612"/>
      <c r="G182" s="612"/>
      <c r="H182" s="612"/>
      <c r="I182" s="612"/>
      <c r="J182" s="612"/>
      <c r="K182" s="612"/>
      <c r="L182" s="612"/>
      <c r="M182" s="612"/>
      <c r="N182" s="613"/>
      <c r="O182" s="613"/>
      <c r="P182" s="612"/>
    </row>
    <row r="183" spans="1:16">
      <c r="B183" s="612"/>
      <c r="C183" s="612"/>
      <c r="D183" s="612"/>
      <c r="E183" s="612"/>
      <c r="F183" s="612"/>
      <c r="G183" s="612"/>
      <c r="H183" s="612"/>
      <c r="I183" s="612"/>
      <c r="J183" s="612"/>
      <c r="K183" s="612"/>
      <c r="L183" s="612"/>
      <c r="M183" s="612"/>
      <c r="N183" s="613"/>
      <c r="O183" s="613"/>
      <c r="P183" s="612"/>
    </row>
    <row r="184" spans="1:16">
      <c r="B184" s="612"/>
      <c r="C184" s="612"/>
      <c r="D184" s="612"/>
      <c r="E184" s="612"/>
      <c r="F184" s="612"/>
      <c r="G184" s="612"/>
      <c r="H184" s="612"/>
      <c r="I184" s="612"/>
      <c r="J184" s="612"/>
      <c r="K184" s="612"/>
      <c r="L184" s="612"/>
      <c r="M184" s="612"/>
      <c r="N184" s="613"/>
      <c r="O184" s="613"/>
      <c r="P184" s="612"/>
    </row>
    <row r="185" spans="1:16">
      <c r="B185" s="612"/>
      <c r="C185" s="612"/>
      <c r="D185" s="612"/>
      <c r="E185" s="612"/>
      <c r="F185" s="612"/>
      <c r="G185" s="612"/>
      <c r="H185" s="612"/>
      <c r="I185" s="612"/>
      <c r="J185" s="612"/>
      <c r="K185" s="612"/>
      <c r="L185" s="612"/>
      <c r="M185" s="612"/>
      <c r="N185" s="613"/>
      <c r="O185" s="613"/>
      <c r="P185" s="612"/>
    </row>
    <row r="186" spans="1:16">
      <c r="B186" s="612"/>
      <c r="C186" s="612"/>
      <c r="D186" s="612"/>
      <c r="E186" s="612"/>
      <c r="F186" s="612"/>
      <c r="G186" s="612"/>
      <c r="H186" s="612"/>
      <c r="I186" s="612"/>
      <c r="J186" s="612"/>
      <c r="K186" s="612"/>
      <c r="L186" s="612"/>
      <c r="M186" s="612"/>
      <c r="N186" s="613"/>
      <c r="O186" s="613"/>
      <c r="P186" s="612"/>
    </row>
    <row r="187" spans="1:16">
      <c r="B187" s="612"/>
      <c r="C187" s="612"/>
      <c r="D187" s="612"/>
      <c r="E187" s="612"/>
      <c r="F187" s="612"/>
      <c r="G187" s="612"/>
      <c r="H187" s="612"/>
      <c r="I187" s="612"/>
      <c r="J187" s="612"/>
      <c r="K187" s="612"/>
      <c r="L187" s="612"/>
      <c r="M187" s="612"/>
      <c r="N187" s="613"/>
      <c r="O187" s="613"/>
      <c r="P187" s="612"/>
    </row>
    <row r="188" spans="1:16">
      <c r="A188" s="611"/>
      <c r="B188" s="612"/>
      <c r="C188" s="612"/>
      <c r="D188" s="612"/>
      <c r="E188" s="612"/>
      <c r="F188" s="612"/>
      <c r="G188" s="612"/>
      <c r="H188" s="612"/>
      <c r="I188" s="612"/>
      <c r="J188" s="612"/>
      <c r="K188" s="612"/>
      <c r="L188" s="612"/>
      <c r="M188" s="612"/>
      <c r="N188" s="612"/>
      <c r="O188" s="612"/>
      <c r="P188" s="612"/>
    </row>
    <row r="189" spans="1:16">
      <c r="A189" s="611"/>
      <c r="B189" s="612"/>
      <c r="C189" s="612"/>
      <c r="D189" s="612"/>
      <c r="E189" s="612"/>
      <c r="F189" s="612"/>
      <c r="G189" s="612"/>
      <c r="H189" s="612"/>
      <c r="I189" s="612"/>
      <c r="J189" s="612"/>
      <c r="K189" s="612"/>
      <c r="L189" s="612"/>
      <c r="M189" s="612"/>
      <c r="N189" s="612"/>
      <c r="O189" s="612"/>
      <c r="P189" s="612"/>
    </row>
    <row r="190" spans="1:16">
      <c r="A190" s="611"/>
      <c r="B190" s="616"/>
      <c r="C190" s="616"/>
      <c r="D190" s="616"/>
      <c r="E190" s="616"/>
      <c r="F190" s="616"/>
      <c r="G190" s="616"/>
      <c r="H190" s="616"/>
      <c r="I190" s="616"/>
      <c r="J190" s="616"/>
      <c r="K190" s="616"/>
      <c r="L190" s="616"/>
      <c r="M190" s="616"/>
      <c r="N190" s="612"/>
      <c r="O190" s="612"/>
      <c r="P190" s="612"/>
    </row>
    <row r="191" spans="1:16">
      <c r="A191" s="611"/>
      <c r="B191" s="612"/>
      <c r="C191" s="612"/>
      <c r="D191" s="612"/>
      <c r="E191" s="612"/>
      <c r="F191" s="612"/>
      <c r="G191" s="612"/>
      <c r="H191" s="612"/>
      <c r="I191" s="612"/>
      <c r="J191" s="612"/>
      <c r="K191" s="612"/>
      <c r="L191" s="612"/>
      <c r="M191" s="612"/>
      <c r="N191" s="612"/>
      <c r="O191" s="612"/>
      <c r="P191" s="612"/>
    </row>
    <row r="192" spans="1:16">
      <c r="A192" s="611"/>
      <c r="B192" s="612"/>
      <c r="C192" s="612"/>
      <c r="D192" s="612"/>
      <c r="E192" s="612"/>
      <c r="F192" s="612"/>
      <c r="G192" s="612"/>
      <c r="H192" s="612"/>
      <c r="I192" s="612"/>
      <c r="J192" s="612"/>
      <c r="K192" s="612"/>
      <c r="L192" s="612"/>
      <c r="M192" s="612"/>
      <c r="N192" s="612"/>
      <c r="O192" s="612"/>
      <c r="P192" s="612"/>
    </row>
    <row r="193" spans="1:16">
      <c r="A193" s="611"/>
      <c r="B193" s="612"/>
      <c r="C193" s="612"/>
      <c r="D193" s="612"/>
      <c r="E193" s="612"/>
      <c r="F193" s="612"/>
      <c r="G193" s="612"/>
      <c r="H193" s="612"/>
      <c r="I193" s="612"/>
      <c r="J193" s="612"/>
      <c r="K193" s="612"/>
      <c r="L193" s="612"/>
      <c r="M193" s="612"/>
      <c r="N193" s="612"/>
      <c r="O193" s="612"/>
      <c r="P193" s="612"/>
    </row>
    <row r="194" spans="1:16">
      <c r="A194" s="611"/>
      <c r="B194" s="612"/>
      <c r="C194" s="612"/>
      <c r="D194" s="612"/>
      <c r="E194" s="612"/>
      <c r="F194" s="612"/>
      <c r="G194" s="612"/>
      <c r="H194" s="612"/>
      <c r="I194" s="612"/>
      <c r="J194" s="612"/>
      <c r="K194" s="612"/>
      <c r="L194" s="612"/>
      <c r="M194" s="612"/>
      <c r="N194" s="612"/>
      <c r="O194" s="612"/>
      <c r="P194" s="612"/>
    </row>
    <row r="195" spans="1:16">
      <c r="A195" s="611"/>
      <c r="B195" s="612"/>
      <c r="C195" s="612"/>
      <c r="D195" s="612"/>
      <c r="E195" s="612"/>
      <c r="F195" s="612"/>
      <c r="G195" s="612"/>
      <c r="H195" s="612"/>
      <c r="I195" s="612"/>
      <c r="J195" s="612"/>
      <c r="K195" s="612"/>
      <c r="L195" s="612"/>
      <c r="M195" s="612"/>
      <c r="N195" s="612"/>
      <c r="O195" s="612"/>
      <c r="P195" s="612"/>
    </row>
    <row r="196" spans="1:16">
      <c r="A196" s="611"/>
      <c r="B196" s="612"/>
      <c r="C196" s="612"/>
      <c r="D196" s="612"/>
      <c r="E196" s="612"/>
      <c r="F196" s="612"/>
      <c r="G196" s="612"/>
      <c r="H196" s="612"/>
      <c r="I196" s="612"/>
      <c r="J196" s="612"/>
      <c r="K196" s="612"/>
      <c r="L196" s="612"/>
      <c r="M196" s="612"/>
      <c r="N196" s="612"/>
      <c r="O196" s="612"/>
      <c r="P196" s="612"/>
    </row>
    <row r="197" spans="1:16">
      <c r="A197" s="611"/>
      <c r="B197" s="612"/>
      <c r="C197" s="612"/>
      <c r="D197" s="612"/>
      <c r="E197" s="612"/>
      <c r="F197" s="612"/>
      <c r="G197" s="612"/>
      <c r="H197" s="612"/>
      <c r="I197" s="612"/>
      <c r="J197" s="612"/>
      <c r="K197" s="612"/>
      <c r="L197" s="612"/>
      <c r="M197" s="612"/>
      <c r="N197" s="612"/>
      <c r="O197" s="612"/>
      <c r="P197" s="612"/>
    </row>
    <row r="198" spans="1:16">
      <c r="A198" s="611"/>
      <c r="B198" s="612"/>
      <c r="C198" s="612"/>
      <c r="D198" s="612"/>
      <c r="E198" s="612"/>
      <c r="F198" s="612"/>
      <c r="G198" s="612"/>
      <c r="H198" s="612"/>
      <c r="I198" s="612"/>
      <c r="J198" s="612"/>
      <c r="K198" s="612"/>
      <c r="L198" s="612"/>
      <c r="M198" s="612"/>
      <c r="N198" s="612"/>
      <c r="O198" s="612"/>
      <c r="P198" s="612"/>
    </row>
    <row r="199" spans="1:16">
      <c r="A199" s="611"/>
      <c r="B199" s="612"/>
      <c r="C199" s="612"/>
      <c r="D199" s="612"/>
      <c r="E199" s="612"/>
      <c r="F199" s="612"/>
      <c r="G199" s="612"/>
      <c r="H199" s="612"/>
      <c r="I199" s="612"/>
      <c r="J199" s="612"/>
      <c r="K199" s="612"/>
      <c r="L199" s="612"/>
      <c r="M199" s="612"/>
      <c r="N199" s="612"/>
      <c r="O199" s="612"/>
      <c r="P199" s="612"/>
    </row>
    <row r="200" spans="1:16">
      <c r="A200" s="611"/>
      <c r="B200" s="612"/>
      <c r="C200" s="612"/>
      <c r="D200" s="612"/>
      <c r="E200" s="612"/>
      <c r="F200" s="612"/>
      <c r="G200" s="612"/>
      <c r="H200" s="612"/>
      <c r="I200" s="612"/>
      <c r="J200" s="612"/>
      <c r="K200" s="612"/>
      <c r="L200" s="612"/>
      <c r="M200" s="612"/>
      <c r="N200" s="612"/>
      <c r="O200" s="612"/>
      <c r="P200" s="612"/>
    </row>
    <row r="201" spans="1:16">
      <c r="A201" s="611"/>
      <c r="B201" s="612"/>
      <c r="C201" s="612"/>
      <c r="D201" s="612"/>
      <c r="E201" s="612"/>
      <c r="F201" s="612"/>
      <c r="G201" s="612"/>
      <c r="H201" s="612"/>
      <c r="I201" s="612"/>
      <c r="J201" s="612"/>
      <c r="K201" s="612"/>
      <c r="L201" s="612"/>
      <c r="M201" s="612"/>
      <c r="N201" s="612"/>
      <c r="O201" s="612"/>
      <c r="P201" s="612"/>
    </row>
    <row r="202" spans="1:16">
      <c r="A202" s="611"/>
      <c r="B202" s="612"/>
      <c r="C202" s="612"/>
      <c r="D202" s="612"/>
      <c r="E202" s="612"/>
      <c r="F202" s="612"/>
      <c r="G202" s="612"/>
      <c r="H202" s="612"/>
      <c r="I202" s="612"/>
      <c r="J202" s="612"/>
      <c r="K202" s="612"/>
      <c r="L202" s="612"/>
      <c r="M202" s="612"/>
      <c r="N202" s="612"/>
      <c r="O202" s="612"/>
      <c r="P202" s="612"/>
    </row>
    <row r="203" spans="1:16">
      <c r="A203" s="611"/>
      <c r="B203" s="612"/>
      <c r="C203" s="612"/>
      <c r="D203" s="612"/>
      <c r="E203" s="612"/>
      <c r="F203" s="612"/>
      <c r="G203" s="612"/>
      <c r="H203" s="612"/>
      <c r="I203" s="612"/>
      <c r="J203" s="612"/>
      <c r="K203" s="612"/>
      <c r="L203" s="612"/>
      <c r="M203" s="612"/>
      <c r="N203" s="612"/>
      <c r="O203" s="612"/>
      <c r="P203" s="612"/>
    </row>
    <row r="204" spans="1:16">
      <c r="A204" s="611"/>
      <c r="B204" s="612"/>
      <c r="C204" s="612"/>
      <c r="D204" s="612"/>
      <c r="E204" s="612"/>
      <c r="F204" s="612"/>
      <c r="G204" s="612"/>
      <c r="H204" s="612"/>
      <c r="I204" s="612"/>
      <c r="J204" s="612"/>
      <c r="K204" s="612"/>
      <c r="L204" s="612"/>
      <c r="M204" s="612"/>
      <c r="N204" s="612"/>
      <c r="O204" s="612"/>
      <c r="P204" s="612"/>
    </row>
    <row r="205" spans="1:16">
      <c r="A205" s="611"/>
      <c r="B205" s="612"/>
      <c r="C205" s="612"/>
      <c r="D205" s="612"/>
      <c r="E205" s="612"/>
      <c r="F205" s="612"/>
      <c r="G205" s="612"/>
      <c r="H205" s="612"/>
      <c r="I205" s="612"/>
      <c r="J205" s="612"/>
      <c r="K205" s="612"/>
      <c r="L205" s="612"/>
      <c r="M205" s="612"/>
      <c r="N205" s="612"/>
      <c r="O205" s="612"/>
      <c r="P205" s="612"/>
    </row>
    <row r="206" spans="1:16">
      <c r="A206" s="611"/>
      <c r="B206" s="612"/>
      <c r="C206" s="612"/>
      <c r="D206" s="612"/>
      <c r="E206" s="612"/>
      <c r="F206" s="612"/>
      <c r="G206" s="612"/>
      <c r="H206" s="612"/>
      <c r="I206" s="612"/>
      <c r="J206" s="612"/>
      <c r="K206" s="612"/>
      <c r="L206" s="612"/>
      <c r="M206" s="612"/>
      <c r="N206" s="612"/>
      <c r="O206" s="612"/>
      <c r="P206" s="612"/>
    </row>
    <row r="207" spans="1:16">
      <c r="A207" s="611"/>
      <c r="B207" s="612"/>
      <c r="C207" s="612"/>
      <c r="D207" s="612"/>
      <c r="E207" s="612"/>
      <c r="F207" s="612"/>
      <c r="G207" s="612"/>
      <c r="H207" s="612"/>
      <c r="I207" s="612"/>
      <c r="J207" s="612"/>
      <c r="K207" s="612"/>
      <c r="L207" s="612"/>
      <c r="M207" s="612"/>
      <c r="N207" s="612"/>
      <c r="O207" s="612"/>
      <c r="P207" s="612"/>
    </row>
    <row r="208" spans="1:16">
      <c r="A208" s="611"/>
      <c r="B208" s="612"/>
      <c r="C208" s="612"/>
      <c r="D208" s="612"/>
      <c r="E208" s="612"/>
      <c r="F208" s="612"/>
      <c r="G208" s="612"/>
      <c r="H208" s="612"/>
      <c r="I208" s="612"/>
      <c r="J208" s="612"/>
      <c r="K208" s="612"/>
      <c r="L208" s="612"/>
      <c r="M208" s="612"/>
      <c r="N208" s="612"/>
      <c r="O208" s="612"/>
      <c r="P208" s="612"/>
    </row>
    <row r="209" spans="1:16">
      <c r="A209" s="611"/>
      <c r="B209" s="612"/>
      <c r="C209" s="612"/>
      <c r="D209" s="612"/>
      <c r="E209" s="612"/>
      <c r="F209" s="612"/>
      <c r="G209" s="612"/>
      <c r="H209" s="612"/>
      <c r="I209" s="612"/>
      <c r="J209" s="612"/>
      <c r="K209" s="612"/>
      <c r="L209" s="612"/>
      <c r="M209" s="612"/>
      <c r="N209" s="612"/>
      <c r="O209" s="612"/>
      <c r="P209" s="612"/>
    </row>
    <row r="210" spans="1:16">
      <c r="A210" s="611"/>
      <c r="B210" s="612"/>
      <c r="C210" s="612"/>
      <c r="D210" s="612"/>
      <c r="E210" s="612"/>
      <c r="F210" s="612"/>
      <c r="G210" s="612"/>
      <c r="H210" s="612"/>
      <c r="I210" s="612"/>
      <c r="J210" s="612"/>
      <c r="K210" s="612"/>
      <c r="L210" s="612"/>
      <c r="M210" s="612"/>
      <c r="N210" s="612"/>
      <c r="O210" s="612"/>
      <c r="P210" s="612"/>
    </row>
    <row r="211" spans="1:16">
      <c r="A211" s="611"/>
      <c r="B211" s="612"/>
      <c r="C211" s="612"/>
      <c r="D211" s="612"/>
      <c r="E211" s="612"/>
      <c r="F211" s="612"/>
      <c r="G211" s="612"/>
      <c r="H211" s="612"/>
      <c r="I211" s="612"/>
      <c r="J211" s="612"/>
      <c r="K211" s="612"/>
      <c r="L211" s="612"/>
      <c r="M211" s="612"/>
      <c r="N211" s="612"/>
      <c r="O211" s="612"/>
      <c r="P211" s="612"/>
    </row>
    <row r="212" spans="1:16">
      <c r="A212" s="611"/>
      <c r="B212" s="612"/>
      <c r="C212" s="612"/>
      <c r="D212" s="612"/>
      <c r="E212" s="612"/>
      <c r="F212" s="612"/>
      <c r="G212" s="612"/>
      <c r="H212" s="612"/>
      <c r="I212" s="612"/>
      <c r="J212" s="612"/>
      <c r="K212" s="612"/>
      <c r="L212" s="612"/>
      <c r="M212" s="612"/>
      <c r="N212" s="612"/>
      <c r="O212" s="612"/>
      <c r="P212" s="612"/>
    </row>
    <row r="213" spans="1:16">
      <c r="A213" s="611"/>
      <c r="B213" s="612"/>
      <c r="C213" s="612"/>
      <c r="D213" s="612"/>
      <c r="E213" s="612"/>
      <c r="F213" s="612"/>
      <c r="G213" s="612"/>
      <c r="H213" s="612"/>
      <c r="I213" s="612"/>
      <c r="J213" s="612"/>
      <c r="K213" s="612"/>
      <c r="L213" s="612"/>
      <c r="M213" s="612"/>
      <c r="N213" s="612"/>
      <c r="O213" s="612"/>
      <c r="P213" s="612"/>
    </row>
    <row r="214" spans="1:16">
      <c r="A214" s="611"/>
      <c r="B214" s="612"/>
      <c r="C214" s="612"/>
      <c r="D214" s="612"/>
      <c r="E214" s="612"/>
      <c r="F214" s="612"/>
      <c r="G214" s="612"/>
      <c r="H214" s="612"/>
      <c r="I214" s="612"/>
      <c r="J214" s="612"/>
      <c r="K214" s="612"/>
      <c r="L214" s="612"/>
      <c r="M214" s="612"/>
      <c r="N214" s="612"/>
      <c r="O214" s="612"/>
      <c r="P214" s="612"/>
    </row>
    <row r="215" spans="1:16">
      <c r="A215" s="611"/>
      <c r="B215" s="612"/>
      <c r="C215" s="612"/>
      <c r="D215" s="612"/>
      <c r="E215" s="612"/>
      <c r="F215" s="612"/>
      <c r="G215" s="612"/>
      <c r="H215" s="612"/>
      <c r="I215" s="612"/>
      <c r="J215" s="612"/>
      <c r="K215" s="612"/>
      <c r="L215" s="612"/>
      <c r="M215" s="612"/>
      <c r="N215" s="612"/>
      <c r="O215" s="612"/>
      <c r="P215" s="612"/>
    </row>
    <row r="216" spans="1:16">
      <c r="A216" s="611"/>
      <c r="B216" s="612"/>
      <c r="C216" s="612"/>
      <c r="D216" s="612"/>
      <c r="E216" s="612"/>
      <c r="F216" s="612"/>
      <c r="G216" s="612"/>
      <c r="H216" s="612"/>
      <c r="I216" s="612"/>
      <c r="J216" s="612"/>
      <c r="K216" s="612"/>
      <c r="L216" s="612"/>
      <c r="M216" s="612"/>
      <c r="N216" s="612"/>
      <c r="O216" s="612"/>
      <c r="P216" s="612"/>
    </row>
    <row r="217" spans="1:16">
      <c r="A217" s="617"/>
      <c r="B217" s="618"/>
      <c r="C217" s="618"/>
      <c r="D217" s="618"/>
      <c r="E217" s="618"/>
      <c r="F217" s="618"/>
      <c r="G217" s="618"/>
      <c r="H217" s="618"/>
      <c r="I217" s="618"/>
      <c r="J217" s="618"/>
      <c r="K217" s="618"/>
      <c r="L217" s="618"/>
      <c r="M217" s="618"/>
      <c r="N217" s="618"/>
      <c r="O217" s="618"/>
      <c r="P217" s="618"/>
    </row>
    <row r="218" spans="1:16">
      <c r="A218" s="611"/>
      <c r="B218" s="612"/>
      <c r="C218" s="612"/>
      <c r="D218" s="612"/>
      <c r="E218" s="612"/>
      <c r="F218" s="612"/>
      <c r="G218" s="612"/>
      <c r="H218" s="612"/>
      <c r="I218" s="612"/>
      <c r="J218" s="612"/>
      <c r="K218" s="612"/>
      <c r="L218" s="612"/>
      <c r="M218" s="612"/>
      <c r="N218" s="612"/>
      <c r="O218" s="612"/>
      <c r="P218" s="612"/>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92" max="15"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topLeftCell="A97" zoomScaleNormal="100" zoomScaleSheetLayoutView="99" workbookViewId="0">
      <selection activeCell="L128" sqref="L128"/>
    </sheetView>
  </sheetViews>
  <sheetFormatPr defaultColWidth="9.1796875" defaultRowHeight="12.5"/>
  <cols>
    <col min="1" max="1" width="32.7265625" style="588" customWidth="1"/>
    <col min="2" max="2" width="16" style="588" bestFit="1" customWidth="1"/>
    <col min="3" max="3" width="5.1796875" style="588" customWidth="1"/>
    <col min="4" max="4" width="16" style="588" bestFit="1" customWidth="1"/>
    <col min="5" max="5" width="4.7265625" style="588" customWidth="1"/>
    <col min="6" max="6" width="17" style="588" bestFit="1" customWidth="1"/>
    <col min="7" max="7" width="3.26953125" style="588" customWidth="1"/>
    <col min="8" max="8" width="17" style="588" bestFit="1" customWidth="1"/>
    <col min="9" max="9" width="4.453125" style="588" customWidth="1"/>
    <col min="10" max="10" width="17" style="588" bestFit="1" customWidth="1"/>
    <col min="11" max="11" width="3.7265625" style="588" customWidth="1"/>
    <col min="12" max="12" width="17" style="588" bestFit="1" customWidth="1"/>
    <col min="13" max="13" width="4.1796875" style="588" customWidth="1"/>
    <col min="14" max="14" width="17" style="588" bestFit="1" customWidth="1"/>
    <col min="15" max="15" width="3.54296875" style="588" customWidth="1"/>
    <col min="16" max="16" width="18.7265625" style="588" bestFit="1" customWidth="1"/>
    <col min="17" max="16384" width="9.1796875" style="588"/>
  </cols>
  <sheetData>
    <row r="1" spans="1:16" ht="18">
      <c r="A1" s="1855" t="s">
        <v>1547</v>
      </c>
      <c r="B1" s="1856"/>
      <c r="C1" s="1856"/>
      <c r="D1" s="1856"/>
      <c r="E1" s="1856"/>
      <c r="F1" s="1856"/>
      <c r="G1" s="1856"/>
    </row>
    <row r="2" spans="1:16" ht="13">
      <c r="H2" s="589"/>
      <c r="I2" s="590"/>
      <c r="J2" s="591"/>
    </row>
    <row r="3" spans="1:16" ht="13">
      <c r="A3" s="592" t="s">
        <v>1066</v>
      </c>
      <c r="H3" s="589"/>
      <c r="I3" s="590"/>
      <c r="J3" s="591"/>
    </row>
    <row r="4" spans="1:16" ht="13">
      <c r="A4" s="590"/>
      <c r="B4" s="590"/>
      <c r="C4" s="590"/>
      <c r="D4" s="590"/>
      <c r="E4" s="590"/>
      <c r="F4" s="590"/>
      <c r="G4" s="590"/>
      <c r="H4" s="590"/>
      <c r="I4" s="590"/>
      <c r="J4" s="591"/>
    </row>
    <row r="5" spans="1:16" ht="13">
      <c r="A5" s="593" t="s">
        <v>1602</v>
      </c>
      <c r="B5" s="593" t="s">
        <v>492</v>
      </c>
      <c r="C5" s="593"/>
      <c r="D5" s="593" t="s">
        <v>493</v>
      </c>
      <c r="E5" s="593"/>
      <c r="F5" s="593"/>
      <c r="G5" s="593"/>
      <c r="H5" s="593"/>
      <c r="I5" s="593"/>
      <c r="J5" s="593"/>
      <c r="K5" s="593"/>
      <c r="L5" s="593"/>
      <c r="M5" s="593"/>
      <c r="N5" s="593"/>
      <c r="O5" s="593"/>
      <c r="P5" s="593"/>
    </row>
    <row r="6" spans="1:16" ht="13">
      <c r="A6" s="593"/>
      <c r="B6" s="593" t="s">
        <v>494</v>
      </c>
      <c r="C6" s="593"/>
      <c r="D6" s="593" t="s">
        <v>495</v>
      </c>
      <c r="E6" s="593"/>
      <c r="F6" s="593" t="s">
        <v>141</v>
      </c>
      <c r="G6" s="593"/>
      <c r="H6" s="593" t="s">
        <v>1067</v>
      </c>
      <c r="I6" s="1138"/>
      <c r="J6" s="593" t="s">
        <v>1068</v>
      </c>
      <c r="K6" s="1138"/>
      <c r="L6" s="593" t="s">
        <v>1069</v>
      </c>
      <c r="M6" s="593"/>
      <c r="N6" s="593" t="s">
        <v>496</v>
      </c>
      <c r="O6" s="593"/>
      <c r="P6" s="593" t="s">
        <v>44</v>
      </c>
    </row>
    <row r="7" spans="1:16" ht="14.5">
      <c r="A7" s="1245" t="s">
        <v>1603</v>
      </c>
      <c r="B7" s="600">
        <v>127845.55</v>
      </c>
      <c r="C7" s="600"/>
      <c r="D7" s="600">
        <v>109738.86000000002</v>
      </c>
      <c r="E7" s="600"/>
      <c r="F7" s="600">
        <v>215654.97</v>
      </c>
      <c r="G7" s="600"/>
      <c r="H7" s="600">
        <v>339703</v>
      </c>
      <c r="I7" s="600"/>
      <c r="J7" s="600">
        <v>990316.23</v>
      </c>
      <c r="K7" s="600"/>
      <c r="L7" s="600">
        <v>363895.57</v>
      </c>
      <c r="M7" s="600"/>
      <c r="N7" s="600">
        <v>6426377.4000000022</v>
      </c>
      <c r="O7" s="1167"/>
      <c r="P7" s="1626">
        <f>SUM(B7:O7)</f>
        <v>8573531.5800000019</v>
      </c>
    </row>
    <row r="8" spans="1:16" ht="14.5">
      <c r="A8" s="1245" t="s">
        <v>1604</v>
      </c>
      <c r="B8" s="600">
        <v>762650.69</v>
      </c>
      <c r="C8" s="600"/>
      <c r="D8" s="600">
        <v>654901.55999999994</v>
      </c>
      <c r="E8" s="600"/>
      <c r="F8" s="600">
        <v>1286512.97</v>
      </c>
      <c r="G8" s="600"/>
      <c r="H8" s="600">
        <v>2052892.3800000001</v>
      </c>
      <c r="I8" s="600"/>
      <c r="J8" s="600">
        <v>4973716.7299999995</v>
      </c>
      <c r="K8" s="600"/>
      <c r="L8" s="600">
        <v>1997392.6500000001</v>
      </c>
      <c r="M8" s="600"/>
      <c r="N8" s="600">
        <v>16154224.849999992</v>
      </c>
      <c r="O8" s="1627"/>
      <c r="P8" s="1626">
        <f t="shared" ref="P8:P26" si="0">SUM(B8:O8)</f>
        <v>27882291.829999991</v>
      </c>
    </row>
    <row r="9" spans="1:16" ht="14.5">
      <c r="A9" s="1245" t="s">
        <v>1605</v>
      </c>
      <c r="B9" s="600">
        <v>352004.43999999994</v>
      </c>
      <c r="C9" s="600"/>
      <c r="D9" s="600">
        <v>302172.3</v>
      </c>
      <c r="E9" s="600"/>
      <c r="F9" s="600">
        <v>593742.24</v>
      </c>
      <c r="G9" s="600"/>
      <c r="H9" s="600">
        <v>935143.71000000008</v>
      </c>
      <c r="I9" s="600"/>
      <c r="J9" s="600">
        <v>2215929.44</v>
      </c>
      <c r="K9" s="600"/>
      <c r="L9" s="600">
        <v>921360.33000000007</v>
      </c>
      <c r="M9" s="600"/>
      <c r="N9" s="600">
        <v>12714357.409999996</v>
      </c>
      <c r="O9" s="1627"/>
      <c r="P9" s="1626">
        <f t="shared" si="0"/>
        <v>18034709.869999997</v>
      </c>
    </row>
    <row r="10" spans="1:16" ht="14.5">
      <c r="A10" s="1245" t="s">
        <v>1606</v>
      </c>
      <c r="B10" s="600">
        <v>298181.89999999997</v>
      </c>
      <c r="C10" s="600"/>
      <c r="D10" s="600">
        <v>256756.37</v>
      </c>
      <c r="E10" s="600"/>
      <c r="F10" s="600">
        <v>500862.14999999997</v>
      </c>
      <c r="G10" s="600"/>
      <c r="H10" s="600">
        <v>809575</v>
      </c>
      <c r="I10" s="600"/>
      <c r="J10" s="600">
        <v>1975065.6200000003</v>
      </c>
      <c r="K10" s="600"/>
      <c r="L10" s="600">
        <v>807952.26</v>
      </c>
      <c r="M10" s="600"/>
      <c r="N10" s="600">
        <v>4213000.3899999997</v>
      </c>
      <c r="O10" s="1627"/>
      <c r="P10" s="1626">
        <f t="shared" si="0"/>
        <v>8861393.6899999995</v>
      </c>
    </row>
    <row r="11" spans="1:16" ht="14.5">
      <c r="A11" s="1245" t="s">
        <v>1607</v>
      </c>
      <c r="B11" s="600">
        <v>1067186.94</v>
      </c>
      <c r="C11" s="600"/>
      <c r="D11" s="600">
        <v>916339</v>
      </c>
      <c r="E11" s="600"/>
      <c r="F11" s="600">
        <v>1800076.41</v>
      </c>
      <c r="G11" s="600"/>
      <c r="H11" s="600">
        <v>2837221.7300000004</v>
      </c>
      <c r="I11" s="600"/>
      <c r="J11" s="600">
        <v>6718398.2699999996</v>
      </c>
      <c r="K11" s="600"/>
      <c r="L11" s="600">
        <v>2796164.86</v>
      </c>
      <c r="M11" s="600"/>
      <c r="N11" s="600">
        <v>32760795.57</v>
      </c>
      <c r="O11" s="1627"/>
      <c r="P11" s="1626">
        <f t="shared" si="0"/>
        <v>48896182.780000001</v>
      </c>
    </row>
    <row r="12" spans="1:16" ht="14.5">
      <c r="A12" s="1245" t="s">
        <v>1608</v>
      </c>
      <c r="B12" s="600">
        <v>258169.36999999997</v>
      </c>
      <c r="C12" s="600"/>
      <c r="D12" s="600">
        <v>221605.49000000002</v>
      </c>
      <c r="E12" s="600"/>
      <c r="F12" s="600">
        <v>435218.57999999996</v>
      </c>
      <c r="G12" s="600"/>
      <c r="H12" s="600">
        <v>686234.03999999992</v>
      </c>
      <c r="I12" s="600"/>
      <c r="J12" s="600">
        <v>1621421.88</v>
      </c>
      <c r="K12" s="600"/>
      <c r="L12" s="600">
        <v>675344.63</v>
      </c>
      <c r="M12" s="600"/>
      <c r="N12" s="600">
        <v>3863095.310000001</v>
      </c>
      <c r="O12" s="1627"/>
      <c r="P12" s="1626">
        <f t="shared" si="0"/>
        <v>7761089.3000000007</v>
      </c>
    </row>
    <row r="13" spans="1:16" ht="14.5">
      <c r="A13" s="1245" t="s">
        <v>1609</v>
      </c>
      <c r="B13" s="600">
        <v>2310436.96</v>
      </c>
      <c r="C13" s="600"/>
      <c r="D13" s="600">
        <v>1983376.51</v>
      </c>
      <c r="E13" s="600"/>
      <c r="F13" s="600">
        <v>3897063.1900000004</v>
      </c>
      <c r="G13" s="600"/>
      <c r="H13" s="600">
        <v>6169828.5699999994</v>
      </c>
      <c r="I13" s="600"/>
      <c r="J13" s="600">
        <v>14555009.16</v>
      </c>
      <c r="K13" s="600"/>
      <c r="L13" s="600">
        <v>6052047.7399999993</v>
      </c>
      <c r="M13" s="600"/>
      <c r="N13" s="600">
        <v>34789888.869999982</v>
      </c>
      <c r="O13" s="1627"/>
      <c r="P13" s="1626">
        <f t="shared" si="0"/>
        <v>69757650.999999985</v>
      </c>
    </row>
    <row r="14" spans="1:16" ht="14.5">
      <c r="A14" s="1245" t="s">
        <v>1610</v>
      </c>
      <c r="B14" s="600">
        <v>5295390.4499999993</v>
      </c>
      <c r="C14" s="600"/>
      <c r="D14" s="600">
        <v>4104781.8399999994</v>
      </c>
      <c r="E14" s="600"/>
      <c r="F14" s="600">
        <v>7342035.4100000001</v>
      </c>
      <c r="G14" s="600"/>
      <c r="H14" s="600">
        <v>12995106.430000002</v>
      </c>
      <c r="I14" s="600"/>
      <c r="J14" s="600">
        <v>27314431.940000005</v>
      </c>
      <c r="K14" s="600"/>
      <c r="L14" s="600">
        <v>11965229.779999999</v>
      </c>
      <c r="M14" s="600"/>
      <c r="N14" s="600">
        <v>1878832.2199999839</v>
      </c>
      <c r="O14" s="1627"/>
      <c r="P14" s="1626">
        <f t="shared" si="0"/>
        <v>70895808.069999993</v>
      </c>
    </row>
    <row r="15" spans="1:16" ht="14.5">
      <c r="A15" s="1245" t="s">
        <v>1611</v>
      </c>
      <c r="B15" s="600">
        <v>0</v>
      </c>
      <c r="C15" s="600"/>
      <c r="D15" s="600">
        <v>0</v>
      </c>
      <c r="E15" s="600"/>
      <c r="F15" s="600">
        <v>0</v>
      </c>
      <c r="G15" s="600"/>
      <c r="H15" s="600">
        <v>0</v>
      </c>
      <c r="I15" s="600"/>
      <c r="J15" s="600">
        <v>0</v>
      </c>
      <c r="K15" s="600"/>
      <c r="L15" s="600">
        <v>0</v>
      </c>
      <c r="M15" s="600"/>
      <c r="N15" s="600">
        <v>11385.610000000004</v>
      </c>
      <c r="O15" s="1627"/>
      <c r="P15" s="1626">
        <f t="shared" si="0"/>
        <v>11385.610000000004</v>
      </c>
    </row>
    <row r="16" spans="1:16" ht="14.5">
      <c r="A16" s="1245" t="s">
        <v>1612</v>
      </c>
      <c r="B16" s="600">
        <v>6738123.8899999997</v>
      </c>
      <c r="C16" s="600"/>
      <c r="D16" s="600">
        <v>5976671.79</v>
      </c>
      <c r="E16" s="600"/>
      <c r="F16" s="600">
        <v>11887327.699999999</v>
      </c>
      <c r="G16" s="600"/>
      <c r="H16" s="600">
        <v>17142474.18</v>
      </c>
      <c r="I16" s="600"/>
      <c r="J16" s="600">
        <v>32323665.369999997</v>
      </c>
      <c r="K16" s="600"/>
      <c r="L16" s="600">
        <v>15159127.759999998</v>
      </c>
      <c r="M16" s="600"/>
      <c r="N16" s="600">
        <v>79087183.729999989</v>
      </c>
      <c r="O16" s="1627"/>
      <c r="P16" s="1626">
        <f t="shared" si="0"/>
        <v>168314574.41999999</v>
      </c>
    </row>
    <row r="17" spans="1:16" ht="14.5">
      <c r="A17" s="1245" t="s">
        <v>1613</v>
      </c>
      <c r="B17" s="600">
        <v>1411098.0499999996</v>
      </c>
      <c r="C17" s="600"/>
      <c r="D17" s="600">
        <v>1172131.2</v>
      </c>
      <c r="E17" s="600"/>
      <c r="F17" s="600">
        <v>2053744.8499999996</v>
      </c>
      <c r="G17" s="600"/>
      <c r="H17" s="600">
        <v>3929953.71</v>
      </c>
      <c r="I17" s="600"/>
      <c r="J17" s="600">
        <v>7096169.4899999993</v>
      </c>
      <c r="K17" s="600"/>
      <c r="L17" s="600">
        <v>3233864.2599999993</v>
      </c>
      <c r="M17" s="600"/>
      <c r="N17" s="600">
        <v>16477099.820000008</v>
      </c>
      <c r="O17" s="1627"/>
      <c r="P17" s="1626">
        <f t="shared" si="0"/>
        <v>35374061.380000003</v>
      </c>
    </row>
    <row r="18" spans="1:16" ht="14.5">
      <c r="A18" s="1245" t="s">
        <v>1614</v>
      </c>
      <c r="B18" s="600">
        <v>345943.64999999997</v>
      </c>
      <c r="C18" s="600"/>
      <c r="D18" s="600">
        <v>296509.83999999997</v>
      </c>
      <c r="E18" s="600"/>
      <c r="F18" s="600">
        <v>582730.86</v>
      </c>
      <c r="G18" s="600"/>
      <c r="H18" s="600">
        <v>957438.06999999972</v>
      </c>
      <c r="I18" s="600"/>
      <c r="J18" s="600">
        <v>28216108.990000002</v>
      </c>
      <c r="K18" s="600"/>
      <c r="L18" s="600">
        <v>943947.55</v>
      </c>
      <c r="M18" s="600"/>
      <c r="N18" s="600">
        <v>5270666.8099999912</v>
      </c>
      <c r="O18" s="1627"/>
      <c r="P18" s="1626">
        <f t="shared" si="0"/>
        <v>36613345.769999996</v>
      </c>
    </row>
    <row r="19" spans="1:16" ht="14.5">
      <c r="A19" s="1245" t="s">
        <v>1615</v>
      </c>
      <c r="B19" s="600">
        <v>2550451.9700000002</v>
      </c>
      <c r="C19" s="600"/>
      <c r="D19" s="600">
        <v>1763810.2900000003</v>
      </c>
      <c r="E19" s="600"/>
      <c r="F19" s="600">
        <v>3903526.0800000005</v>
      </c>
      <c r="G19" s="600"/>
      <c r="H19" s="600">
        <v>7845651.3000000017</v>
      </c>
      <c r="I19" s="600"/>
      <c r="J19" s="600">
        <v>15918302.809999999</v>
      </c>
      <c r="K19" s="600"/>
      <c r="L19" s="600">
        <v>6995422.54</v>
      </c>
      <c r="M19" s="600"/>
      <c r="N19" s="600">
        <v>33239108.529999994</v>
      </c>
      <c r="O19" s="1627"/>
      <c r="P19" s="1626">
        <f t="shared" si="0"/>
        <v>72216273.519999996</v>
      </c>
    </row>
    <row r="20" spans="1:16" ht="14.5">
      <c r="A20" s="1245" t="s">
        <v>1616</v>
      </c>
      <c r="B20" s="600">
        <v>79147301.920000002</v>
      </c>
      <c r="C20" s="600"/>
      <c r="D20" s="600">
        <v>63950797.020000003</v>
      </c>
      <c r="E20" s="600"/>
      <c r="F20" s="600">
        <v>99035027.470000014</v>
      </c>
      <c r="G20" s="600"/>
      <c r="H20" s="600">
        <v>236284717.38</v>
      </c>
      <c r="I20" s="600"/>
      <c r="J20" s="600">
        <v>306043483.47000003</v>
      </c>
      <c r="K20" s="600"/>
      <c r="L20" s="600">
        <v>165083554.33000001</v>
      </c>
      <c r="M20" s="600"/>
      <c r="N20" s="600">
        <v>338041323.27999985</v>
      </c>
      <c r="O20" s="1627"/>
      <c r="P20" s="1626">
        <f t="shared" si="0"/>
        <v>1287586204.8699999</v>
      </c>
    </row>
    <row r="21" spans="1:16" ht="14.5">
      <c r="A21" s="1245" t="s">
        <v>1617</v>
      </c>
      <c r="B21" s="600">
        <v>63679.01</v>
      </c>
      <c r="C21" s="600"/>
      <c r="D21" s="600">
        <v>54664.319999999992</v>
      </c>
      <c r="E21" s="600"/>
      <c r="F21" s="600">
        <v>107410.10999999999</v>
      </c>
      <c r="G21" s="600"/>
      <c r="H21" s="600">
        <v>169171.01</v>
      </c>
      <c r="I21" s="600"/>
      <c r="J21" s="600">
        <v>400869.51999999996</v>
      </c>
      <c r="K21" s="600"/>
      <c r="L21" s="600">
        <v>166677.24</v>
      </c>
      <c r="M21" s="600"/>
      <c r="N21" s="600">
        <v>871642.84000000008</v>
      </c>
      <c r="O21" s="1627"/>
      <c r="P21" s="1626">
        <f t="shared" si="0"/>
        <v>1834114.05</v>
      </c>
    </row>
    <row r="22" spans="1:16" ht="14.5">
      <c r="A22" s="1245" t="s">
        <v>1618</v>
      </c>
      <c r="B22" s="600">
        <v>1344037.2399999998</v>
      </c>
      <c r="C22" s="600"/>
      <c r="D22" s="600">
        <v>1263137.53</v>
      </c>
      <c r="E22" s="600"/>
      <c r="F22" s="600">
        <v>2358003.34</v>
      </c>
      <c r="G22" s="600"/>
      <c r="H22" s="600">
        <v>2859075.5300000003</v>
      </c>
      <c r="I22" s="600"/>
      <c r="J22" s="600">
        <v>5690047.2299999995</v>
      </c>
      <c r="K22" s="600"/>
      <c r="L22" s="600">
        <v>3150585.0300000003</v>
      </c>
      <c r="M22" s="600"/>
      <c r="N22" s="600">
        <v>16970667.979999997</v>
      </c>
      <c r="O22" s="1627"/>
      <c r="P22" s="1626">
        <f t="shared" si="0"/>
        <v>33635553.879999995</v>
      </c>
    </row>
    <row r="23" spans="1:16" ht="14.5">
      <c r="A23" s="1245" t="s">
        <v>1619</v>
      </c>
      <c r="B23" s="600">
        <v>413827.61</v>
      </c>
      <c r="C23" s="600"/>
      <c r="D23" s="600">
        <v>265231.8</v>
      </c>
      <c r="E23" s="600"/>
      <c r="F23" s="600">
        <v>480745.35</v>
      </c>
      <c r="G23" s="600"/>
      <c r="H23" s="600">
        <v>1162390.1499999999</v>
      </c>
      <c r="I23" s="600"/>
      <c r="J23" s="600">
        <v>2151722.31</v>
      </c>
      <c r="K23" s="600"/>
      <c r="L23" s="600">
        <v>1367607.8099999998</v>
      </c>
      <c r="M23" s="600"/>
      <c r="N23" s="600">
        <v>6012687.2800000031</v>
      </c>
      <c r="O23" s="1627"/>
      <c r="P23" s="1626">
        <f t="shared" si="0"/>
        <v>11854212.310000002</v>
      </c>
    </row>
    <row r="24" spans="1:16" ht="14.5">
      <c r="A24" s="1245" t="s">
        <v>1620</v>
      </c>
      <c r="B24" s="600">
        <v>691692.99</v>
      </c>
      <c r="C24" s="600"/>
      <c r="D24" s="600">
        <v>593772.7300000001</v>
      </c>
      <c r="E24" s="600"/>
      <c r="F24" s="600">
        <v>1166710</v>
      </c>
      <c r="G24" s="600"/>
      <c r="H24" s="600">
        <v>1837572.48</v>
      </c>
      <c r="I24" s="600"/>
      <c r="J24" s="600">
        <v>4372931.38</v>
      </c>
      <c r="K24" s="600"/>
      <c r="L24" s="600">
        <v>1810484.5699999998</v>
      </c>
      <c r="M24" s="600"/>
      <c r="N24" s="600">
        <v>11181392.649999997</v>
      </c>
      <c r="O24" s="1627"/>
      <c r="P24" s="1626">
        <f t="shared" si="0"/>
        <v>21654556.799999997</v>
      </c>
    </row>
    <row r="25" spans="1:16" ht="14.5">
      <c r="A25" s="153" t="s">
        <v>1621</v>
      </c>
      <c r="B25" s="600">
        <v>1652112.4100000004</v>
      </c>
      <c r="C25" s="600"/>
      <c r="D25" s="600">
        <v>1368925.03</v>
      </c>
      <c r="E25" s="600"/>
      <c r="F25" s="600">
        <v>2836658.8600000003</v>
      </c>
      <c r="G25" s="600"/>
      <c r="H25" s="600">
        <v>4077442.5299999993</v>
      </c>
      <c r="I25" s="600"/>
      <c r="J25" s="600">
        <v>9370383.5800000001</v>
      </c>
      <c r="K25" s="600"/>
      <c r="L25" s="600">
        <v>4113795.1500000004</v>
      </c>
      <c r="M25" s="600"/>
      <c r="N25" s="600">
        <v>66670955.769999996</v>
      </c>
      <c r="O25" s="1627"/>
      <c r="P25" s="1626">
        <f t="shared" si="0"/>
        <v>90090273.329999998</v>
      </c>
    </row>
    <row r="26" spans="1:16" ht="14.5">
      <c r="A26" s="153" t="s">
        <v>1622</v>
      </c>
      <c r="B26" s="600">
        <v>0</v>
      </c>
      <c r="C26" s="600"/>
      <c r="D26" s="600">
        <v>0</v>
      </c>
      <c r="E26" s="600"/>
      <c r="F26" s="600">
        <v>0</v>
      </c>
      <c r="G26" s="600"/>
      <c r="H26" s="600">
        <v>0</v>
      </c>
      <c r="I26" s="600"/>
      <c r="J26" s="600">
        <v>23923.260000000002</v>
      </c>
      <c r="K26" s="600"/>
      <c r="L26" s="600">
        <v>0</v>
      </c>
      <c r="M26" s="600"/>
      <c r="N26" s="600">
        <v>0</v>
      </c>
      <c r="O26" s="1627"/>
      <c r="P26" s="1626">
        <f t="shared" si="0"/>
        <v>23923.260000000002</v>
      </c>
    </row>
    <row r="27" spans="1:16" ht="15" thickBot="1">
      <c r="A27" s="1173" t="s">
        <v>44</v>
      </c>
      <c r="B27" s="615">
        <f>SUM(B7:B26)</f>
        <v>104830135.03999999</v>
      </c>
      <c r="C27" s="615"/>
      <c r="D27" s="615">
        <f t="shared" ref="D27:P27" si="1">SUM(D7:D26)</f>
        <v>85255323.479999989</v>
      </c>
      <c r="E27" s="615"/>
      <c r="F27" s="615">
        <f t="shared" si="1"/>
        <v>140483050.54000002</v>
      </c>
      <c r="G27" s="615"/>
      <c r="H27" s="615">
        <f t="shared" si="1"/>
        <v>303091591.19999993</v>
      </c>
      <c r="I27" s="615"/>
      <c r="J27" s="615">
        <f t="shared" si="1"/>
        <v>471971896.68000001</v>
      </c>
      <c r="K27" s="615"/>
      <c r="L27" s="615">
        <f t="shared" si="1"/>
        <v>227604454.06</v>
      </c>
      <c r="M27" s="615"/>
      <c r="N27" s="615">
        <f t="shared" si="1"/>
        <v>686634686.31999981</v>
      </c>
      <c r="O27" s="615"/>
      <c r="P27" s="615">
        <f t="shared" si="1"/>
        <v>2019871137.3199997</v>
      </c>
    </row>
    <row r="28" spans="1:16" ht="15" thickTop="1">
      <c r="A28" s="153"/>
      <c r="B28" s="1171"/>
      <c r="C28" s="1168"/>
      <c r="D28" s="1171"/>
      <c r="E28" s="1170"/>
      <c r="F28" s="1171"/>
      <c r="G28" s="1170"/>
      <c r="H28" s="1171"/>
      <c r="I28" s="1169"/>
      <c r="J28" s="1171"/>
      <c r="K28" s="1169"/>
      <c r="L28" s="1171"/>
      <c r="M28" s="1169"/>
      <c r="N28" s="1171"/>
      <c r="P28" s="1172"/>
    </row>
    <row r="29" spans="1:16" customFormat="1" ht="14.5"/>
    <row r="30" spans="1:16" customFormat="1" ht="14.5"/>
    <row r="31" spans="1:16" ht="14.5">
      <c r="A31" s="599"/>
      <c r="B31" s="609"/>
      <c r="C31" s="602"/>
      <c r="D31" s="609"/>
      <c r="E31" s="609"/>
      <c r="F31" s="609"/>
      <c r="G31" s="609"/>
      <c r="H31" s="603"/>
      <c r="I31" s="606"/>
      <c r="J31" s="604"/>
      <c r="K31" s="605"/>
    </row>
    <row r="32" spans="1:16" ht="14.5">
      <c r="A32" s="599"/>
      <c r="B32" s="600"/>
      <c r="C32" s="602"/>
      <c r="D32" s="600"/>
      <c r="E32" s="609"/>
      <c r="F32" s="600"/>
      <c r="G32" s="609"/>
      <c r="H32" s="603"/>
      <c r="I32" s="606"/>
      <c r="J32" s="604"/>
      <c r="K32" s="605"/>
    </row>
    <row r="33" spans="1:12" ht="14.5">
      <c r="A33" s="599"/>
      <c r="B33" s="609"/>
      <c r="C33" s="602"/>
      <c r="D33" s="609"/>
      <c r="E33" s="609"/>
      <c r="F33" s="609"/>
      <c r="G33" s="609"/>
      <c r="H33" s="603"/>
      <c r="I33" s="606"/>
      <c r="J33" s="604"/>
      <c r="K33" s="605"/>
    </row>
    <row r="34" spans="1:12" ht="14.5">
      <c r="A34" s="599"/>
      <c r="B34" s="600"/>
      <c r="C34" s="602"/>
      <c r="D34" s="600"/>
      <c r="E34" s="609"/>
      <c r="F34" s="600"/>
      <c r="G34" s="609"/>
      <c r="H34" s="603"/>
      <c r="I34" s="606"/>
      <c r="J34" s="604"/>
      <c r="K34" s="605"/>
    </row>
    <row r="35" spans="1:12" ht="14.5">
      <c r="A35" s="599"/>
      <c r="B35" s="609"/>
      <c r="C35" s="602"/>
      <c r="D35" s="609"/>
      <c r="E35" s="609"/>
      <c r="F35" s="609"/>
      <c r="G35" s="609"/>
      <c r="H35" s="603"/>
      <c r="I35" s="606"/>
      <c r="J35" s="604"/>
      <c r="K35" s="605"/>
    </row>
    <row r="36" spans="1:12" ht="14.5">
      <c r="A36" s="599"/>
      <c r="B36" s="600"/>
      <c r="C36" s="602"/>
      <c r="D36" s="600"/>
      <c r="E36" s="609"/>
      <c r="F36" s="600"/>
      <c r="G36" s="609"/>
      <c r="H36" s="603"/>
      <c r="I36" s="606"/>
      <c r="J36" s="604"/>
      <c r="K36" s="605"/>
    </row>
    <row r="37" spans="1:12" ht="14.5">
      <c r="A37" s="599"/>
      <c r="B37" s="609"/>
      <c r="C37" s="602"/>
      <c r="D37" s="609"/>
      <c r="E37" s="609"/>
      <c r="F37" s="609"/>
      <c r="G37" s="609"/>
      <c r="H37" s="603"/>
      <c r="I37" s="606"/>
      <c r="J37" s="604"/>
      <c r="K37" s="605"/>
    </row>
    <row r="38" spans="1:12" ht="14.5">
      <c r="A38" s="599"/>
      <c r="B38" s="600"/>
      <c r="C38" s="602"/>
      <c r="D38" s="600"/>
      <c r="E38" s="609"/>
      <c r="F38" s="600"/>
      <c r="G38" s="609"/>
      <c r="H38" s="603"/>
      <c r="I38" s="606"/>
      <c r="J38" s="604"/>
      <c r="K38" s="605"/>
    </row>
    <row r="39" spans="1:12" ht="14.5">
      <c r="A39" s="599"/>
      <c r="B39" s="609"/>
      <c r="C39" s="602"/>
      <c r="D39" s="609"/>
      <c r="E39" s="609"/>
      <c r="F39" s="609"/>
      <c r="G39" s="609"/>
      <c r="H39" s="610"/>
      <c r="I39" s="606"/>
      <c r="J39" s="604"/>
      <c r="K39" s="605"/>
    </row>
    <row r="40" spans="1:12" ht="14.5">
      <c r="A40"/>
      <c r="B40"/>
      <c r="C40"/>
      <c r="D40"/>
      <c r="E40"/>
      <c r="F40"/>
      <c r="G40"/>
      <c r="H40"/>
      <c r="I40"/>
      <c r="J40"/>
      <c r="K40"/>
      <c r="L40"/>
    </row>
    <row r="41" spans="1:12" ht="14.5">
      <c r="A41"/>
      <c r="B41"/>
      <c r="C41"/>
      <c r="D41"/>
      <c r="E41"/>
      <c r="F41"/>
      <c r="G41"/>
      <c r="H41"/>
      <c r="I41"/>
      <c r="J41"/>
      <c r="K41"/>
      <c r="L41"/>
    </row>
    <row r="42" spans="1:12" ht="14.5">
      <c r="A42"/>
      <c r="B42"/>
      <c r="C42"/>
      <c r="D42"/>
      <c r="E42"/>
      <c r="F42"/>
      <c r="G42"/>
      <c r="H42"/>
      <c r="I42"/>
      <c r="J42"/>
      <c r="K42"/>
      <c r="L42"/>
    </row>
    <row r="43" spans="1:12" ht="14.5">
      <c r="A43"/>
      <c r="B43"/>
      <c r="C43"/>
      <c r="D43"/>
      <c r="E43"/>
      <c r="F43"/>
      <c r="G43"/>
      <c r="H43"/>
      <c r="I43"/>
      <c r="J43"/>
      <c r="K43"/>
      <c r="L43"/>
    </row>
    <row r="44" spans="1:12">
      <c r="B44" s="612"/>
      <c r="C44" s="612"/>
      <c r="D44" s="612"/>
      <c r="E44" s="612"/>
      <c r="F44" s="612"/>
      <c r="G44" s="612"/>
      <c r="H44" s="613"/>
      <c r="I44" s="613"/>
      <c r="J44" s="612"/>
    </row>
    <row r="45" spans="1:12">
      <c r="B45" s="612"/>
      <c r="C45" s="612"/>
      <c r="D45" s="612"/>
      <c r="E45" s="612"/>
      <c r="F45" s="612"/>
      <c r="G45" s="612"/>
      <c r="H45" s="613"/>
      <c r="I45" s="613"/>
      <c r="J45" s="612"/>
    </row>
    <row r="46" spans="1:12">
      <c r="B46" s="612"/>
      <c r="C46" s="612"/>
      <c r="D46" s="612"/>
      <c r="E46" s="612"/>
      <c r="F46" s="612"/>
      <c r="G46" s="612"/>
      <c r="H46" s="613"/>
      <c r="I46" s="613"/>
      <c r="J46" s="612"/>
    </row>
    <row r="47" spans="1:12">
      <c r="B47" s="612"/>
      <c r="C47" s="612"/>
      <c r="D47" s="612"/>
      <c r="E47" s="612"/>
      <c r="F47" s="612"/>
      <c r="G47" s="612"/>
      <c r="H47" s="613"/>
      <c r="I47" s="613"/>
      <c r="J47" s="612"/>
    </row>
    <row r="48" spans="1:12">
      <c r="B48" s="612"/>
      <c r="C48" s="612"/>
      <c r="D48" s="612"/>
      <c r="E48" s="612"/>
      <c r="F48" s="612"/>
      <c r="G48" s="612"/>
      <c r="H48" s="613"/>
      <c r="I48" s="613"/>
      <c r="J48" s="612"/>
    </row>
    <row r="49" spans="2:10">
      <c r="B49" s="612"/>
      <c r="C49" s="612"/>
      <c r="D49" s="612"/>
      <c r="E49" s="612"/>
      <c r="F49" s="612"/>
      <c r="G49" s="612"/>
      <c r="H49" s="613"/>
      <c r="I49" s="613"/>
      <c r="J49" s="612"/>
    </row>
    <row r="50" spans="2:10">
      <c r="B50" s="612"/>
      <c r="C50" s="612"/>
      <c r="D50" s="612"/>
      <c r="E50" s="612"/>
      <c r="F50" s="612"/>
      <c r="G50" s="612"/>
      <c r="H50" s="613"/>
      <c r="I50" s="613"/>
      <c r="J50" s="612"/>
    </row>
    <row r="51" spans="2:10">
      <c r="B51" s="612"/>
      <c r="C51" s="612"/>
      <c r="D51" s="612"/>
      <c r="E51" s="612"/>
      <c r="F51" s="612"/>
      <c r="G51" s="612"/>
      <c r="H51" s="613"/>
      <c r="I51" s="613"/>
      <c r="J51" s="612"/>
    </row>
    <row r="52" spans="2:10">
      <c r="B52" s="612"/>
      <c r="C52" s="612"/>
      <c r="D52" s="612"/>
      <c r="E52" s="612"/>
      <c r="F52" s="612"/>
      <c r="G52" s="612"/>
      <c r="H52" s="613"/>
      <c r="I52" s="613"/>
      <c r="J52" s="612"/>
    </row>
    <row r="53" spans="2:10">
      <c r="B53" s="612"/>
      <c r="C53" s="612"/>
      <c r="D53" s="612"/>
      <c r="E53" s="612"/>
      <c r="F53" s="612"/>
      <c r="G53" s="612"/>
      <c r="H53" s="613"/>
      <c r="I53" s="613"/>
      <c r="J53" s="612"/>
    </row>
    <row r="54" spans="2:10">
      <c r="B54" s="612"/>
      <c r="C54" s="612"/>
      <c r="D54" s="612"/>
      <c r="E54" s="612"/>
      <c r="F54" s="612"/>
      <c r="G54" s="612"/>
      <c r="H54" s="613"/>
      <c r="I54" s="613"/>
      <c r="J54" s="612"/>
    </row>
    <row r="55" spans="2:10">
      <c r="B55" s="612"/>
      <c r="C55" s="612"/>
      <c r="D55" s="612"/>
      <c r="E55" s="612"/>
      <c r="F55" s="612"/>
      <c r="G55" s="612"/>
      <c r="H55" s="613"/>
      <c r="I55" s="613"/>
      <c r="J55" s="612"/>
    </row>
    <row r="56" spans="2:10">
      <c r="B56" s="612"/>
      <c r="C56" s="612"/>
      <c r="D56" s="612"/>
      <c r="E56" s="612"/>
      <c r="F56" s="612"/>
      <c r="G56" s="612"/>
      <c r="H56" s="613"/>
      <c r="I56" s="613"/>
      <c r="J56" s="612"/>
    </row>
    <row r="57" spans="2:10">
      <c r="B57" s="612"/>
      <c r="C57" s="612"/>
      <c r="D57" s="612"/>
      <c r="E57" s="612"/>
      <c r="F57" s="612"/>
      <c r="G57" s="612"/>
      <c r="H57" s="613"/>
      <c r="I57" s="613"/>
      <c r="J57" s="612"/>
    </row>
    <row r="58" spans="2:10">
      <c r="B58" s="612"/>
      <c r="C58" s="612"/>
      <c r="D58" s="612"/>
      <c r="E58" s="612"/>
      <c r="F58" s="612"/>
      <c r="G58" s="612"/>
      <c r="H58" s="613"/>
      <c r="I58" s="613"/>
      <c r="J58" s="612"/>
    </row>
    <row r="59" spans="2:10">
      <c r="B59" s="612"/>
      <c r="C59" s="612"/>
      <c r="D59" s="612"/>
      <c r="E59" s="612"/>
      <c r="F59" s="612"/>
      <c r="G59" s="612"/>
      <c r="H59" s="613"/>
      <c r="I59" s="613"/>
      <c r="J59" s="612"/>
    </row>
    <row r="60" spans="2:10">
      <c r="B60" s="612"/>
      <c r="C60" s="612"/>
      <c r="D60" s="612"/>
      <c r="E60" s="612"/>
      <c r="F60" s="612"/>
      <c r="G60" s="612"/>
      <c r="H60" s="613"/>
      <c r="I60" s="613"/>
      <c r="J60" s="612"/>
    </row>
    <row r="61" spans="2:10">
      <c r="B61" s="612"/>
      <c r="C61" s="612"/>
      <c r="D61" s="612"/>
      <c r="E61" s="612"/>
      <c r="F61" s="612"/>
      <c r="G61" s="612"/>
      <c r="H61" s="613"/>
      <c r="I61" s="613"/>
      <c r="J61" s="612"/>
    </row>
    <row r="62" spans="2:10">
      <c r="B62" s="612"/>
      <c r="C62" s="612"/>
      <c r="D62" s="612"/>
      <c r="E62" s="612"/>
      <c r="F62" s="612"/>
      <c r="G62" s="612"/>
      <c r="H62" s="613"/>
      <c r="I62" s="613"/>
      <c r="J62" s="612"/>
    </row>
    <row r="63" spans="2:10">
      <c r="B63" s="612"/>
      <c r="C63" s="612"/>
      <c r="D63" s="612"/>
      <c r="E63" s="612"/>
      <c r="F63" s="612"/>
      <c r="G63" s="612"/>
      <c r="H63" s="613"/>
      <c r="I63" s="613"/>
      <c r="J63" s="612"/>
    </row>
    <row r="64" spans="2:10">
      <c r="B64" s="612"/>
      <c r="C64" s="612"/>
      <c r="D64" s="612"/>
      <c r="E64" s="612"/>
      <c r="F64" s="612"/>
      <c r="G64" s="612"/>
      <c r="H64" s="613"/>
      <c r="I64" s="613"/>
      <c r="J64" s="612"/>
    </row>
    <row r="65" spans="2:10">
      <c r="B65" s="612"/>
      <c r="C65" s="612"/>
      <c r="D65" s="612"/>
      <c r="E65" s="612"/>
      <c r="F65" s="612"/>
      <c r="G65" s="612"/>
      <c r="H65" s="613"/>
      <c r="I65" s="613"/>
      <c r="J65" s="612"/>
    </row>
    <row r="66" spans="2:10">
      <c r="B66" s="612"/>
      <c r="C66" s="612"/>
      <c r="D66" s="612"/>
      <c r="E66" s="612"/>
      <c r="F66" s="612"/>
      <c r="G66" s="612"/>
      <c r="H66" s="613"/>
      <c r="I66" s="613"/>
      <c r="J66" s="612"/>
    </row>
    <row r="67" spans="2:10">
      <c r="B67" s="612"/>
      <c r="C67" s="612"/>
      <c r="D67" s="612"/>
      <c r="E67" s="612"/>
      <c r="F67" s="612"/>
      <c r="G67" s="612"/>
      <c r="H67" s="613"/>
      <c r="I67" s="613"/>
      <c r="J67" s="612"/>
    </row>
    <row r="68" spans="2:10">
      <c r="B68" s="612"/>
      <c r="C68" s="612"/>
      <c r="D68" s="612"/>
      <c r="E68" s="612"/>
      <c r="F68" s="612"/>
      <c r="G68" s="612"/>
      <c r="H68" s="613"/>
      <c r="I68" s="613"/>
      <c r="J68" s="612"/>
    </row>
    <row r="69" spans="2:10">
      <c r="B69" s="612"/>
      <c r="C69" s="612"/>
      <c r="D69" s="612"/>
      <c r="E69" s="612"/>
      <c r="F69" s="612"/>
      <c r="G69" s="612"/>
      <c r="H69" s="613"/>
      <c r="I69" s="613"/>
      <c r="J69" s="612"/>
    </row>
    <row r="70" spans="2:10">
      <c r="B70" s="612"/>
      <c r="C70" s="612"/>
      <c r="D70" s="612"/>
      <c r="E70" s="612"/>
      <c r="F70" s="612"/>
      <c r="G70" s="612"/>
      <c r="H70" s="613"/>
      <c r="I70" s="613"/>
      <c r="J70" s="612"/>
    </row>
    <row r="71" spans="2:10">
      <c r="B71" s="612"/>
      <c r="C71" s="612"/>
      <c r="D71" s="612"/>
      <c r="E71" s="612"/>
      <c r="F71" s="612"/>
      <c r="G71" s="612"/>
      <c r="H71" s="613"/>
      <c r="I71" s="613"/>
      <c r="J71" s="612"/>
    </row>
    <row r="72" spans="2:10">
      <c r="B72" s="612"/>
      <c r="C72" s="612"/>
      <c r="D72" s="612"/>
      <c r="E72" s="612"/>
      <c r="F72" s="612"/>
      <c r="G72" s="612"/>
      <c r="H72" s="613"/>
      <c r="I72" s="613"/>
      <c r="J72" s="612"/>
    </row>
    <row r="73" spans="2:10">
      <c r="B73" s="612"/>
      <c r="C73" s="612"/>
      <c r="D73" s="612"/>
      <c r="E73" s="612"/>
      <c r="F73" s="612"/>
      <c r="G73" s="612"/>
      <c r="H73" s="613"/>
      <c r="I73" s="613"/>
      <c r="J73" s="612"/>
    </row>
    <row r="74" spans="2:10">
      <c r="B74" s="612"/>
      <c r="C74" s="612"/>
      <c r="D74" s="612"/>
      <c r="E74" s="612"/>
      <c r="F74" s="612"/>
      <c r="G74" s="612"/>
      <c r="H74" s="613"/>
      <c r="I74" s="613"/>
      <c r="J74" s="612"/>
    </row>
    <row r="75" spans="2:10">
      <c r="B75" s="612"/>
      <c r="C75" s="612"/>
      <c r="D75" s="612"/>
      <c r="E75" s="612"/>
      <c r="F75" s="612"/>
      <c r="G75" s="612"/>
      <c r="H75" s="613"/>
      <c r="I75" s="613"/>
      <c r="J75" s="612"/>
    </row>
    <row r="76" spans="2:10">
      <c r="B76" s="612"/>
      <c r="C76" s="612"/>
      <c r="D76" s="612"/>
      <c r="E76" s="612"/>
      <c r="F76" s="612"/>
      <c r="G76" s="612"/>
      <c r="H76" s="613"/>
      <c r="I76" s="613"/>
      <c r="J76" s="612"/>
    </row>
    <row r="77" spans="2:10">
      <c r="B77" s="612"/>
      <c r="C77" s="612"/>
      <c r="D77" s="612"/>
      <c r="E77" s="612"/>
      <c r="F77" s="612"/>
      <c r="G77" s="612"/>
      <c r="H77" s="613"/>
      <c r="I77" s="613"/>
      <c r="J77" s="612"/>
    </row>
    <row r="78" spans="2:10">
      <c r="B78" s="612"/>
      <c r="C78" s="612"/>
      <c r="D78" s="612"/>
      <c r="E78" s="612"/>
      <c r="F78" s="612"/>
      <c r="G78" s="612"/>
      <c r="H78" s="613"/>
      <c r="I78" s="613"/>
      <c r="J78" s="612"/>
    </row>
    <row r="79" spans="2:10">
      <c r="B79" s="612"/>
      <c r="C79" s="612"/>
      <c r="D79" s="612"/>
      <c r="E79" s="612"/>
      <c r="F79" s="612"/>
      <c r="G79" s="612"/>
      <c r="H79" s="613"/>
      <c r="I79" s="613"/>
      <c r="J79" s="612"/>
    </row>
    <row r="80" spans="2:10">
      <c r="B80" s="612"/>
      <c r="C80" s="612"/>
      <c r="D80" s="612"/>
      <c r="E80" s="612"/>
      <c r="F80" s="612"/>
      <c r="G80" s="612"/>
      <c r="H80" s="613"/>
      <c r="I80" s="613"/>
      <c r="J80" s="612"/>
    </row>
    <row r="81" spans="2:10">
      <c r="B81" s="612"/>
      <c r="C81" s="612"/>
      <c r="D81" s="612"/>
      <c r="E81" s="612"/>
      <c r="F81" s="612"/>
      <c r="G81" s="612"/>
      <c r="H81" s="613"/>
      <c r="I81" s="613"/>
      <c r="J81" s="612"/>
    </row>
    <row r="82" spans="2:10">
      <c r="B82" s="612"/>
      <c r="C82" s="612"/>
      <c r="D82" s="612"/>
      <c r="E82" s="612"/>
      <c r="F82" s="612"/>
      <c r="G82" s="612"/>
      <c r="H82" s="613"/>
      <c r="I82" s="613"/>
      <c r="J82" s="612"/>
    </row>
    <row r="83" spans="2:10">
      <c r="B83" s="612"/>
      <c r="C83" s="612"/>
      <c r="D83" s="612"/>
      <c r="E83" s="612"/>
      <c r="F83" s="612"/>
      <c r="G83" s="612"/>
      <c r="H83" s="613"/>
      <c r="I83" s="613"/>
      <c r="J83" s="612"/>
    </row>
    <row r="84" spans="2:10">
      <c r="B84" s="612"/>
      <c r="C84" s="612"/>
      <c r="D84" s="612"/>
      <c r="E84" s="612"/>
      <c r="F84" s="612"/>
      <c r="G84" s="612"/>
      <c r="H84" s="613"/>
      <c r="I84" s="613"/>
      <c r="J84" s="612"/>
    </row>
    <row r="85" spans="2:10">
      <c r="B85" s="612"/>
      <c r="C85" s="612"/>
      <c r="D85" s="612"/>
      <c r="E85" s="612"/>
      <c r="F85" s="612"/>
      <c r="G85" s="612"/>
      <c r="H85" s="613"/>
      <c r="I85" s="613"/>
      <c r="J85" s="612"/>
    </row>
    <row r="86" spans="2:10">
      <c r="B86" s="612"/>
      <c r="C86" s="612"/>
      <c r="D86" s="612"/>
      <c r="E86" s="612"/>
      <c r="F86" s="612"/>
      <c r="G86" s="612"/>
      <c r="H86" s="613"/>
      <c r="I86" s="613"/>
      <c r="J86" s="612"/>
    </row>
    <row r="87" spans="2:10">
      <c r="B87" s="612"/>
      <c r="C87" s="612"/>
      <c r="D87" s="612"/>
      <c r="E87" s="612"/>
      <c r="F87" s="612"/>
      <c r="G87" s="612"/>
      <c r="H87" s="613"/>
      <c r="I87" s="613"/>
      <c r="J87" s="612"/>
    </row>
    <row r="88" spans="2:10">
      <c r="B88" s="612"/>
      <c r="C88" s="612"/>
      <c r="D88" s="612"/>
      <c r="E88" s="612"/>
      <c r="F88" s="612"/>
      <c r="G88" s="612"/>
      <c r="H88" s="613"/>
      <c r="I88" s="613"/>
      <c r="J88" s="612"/>
    </row>
    <row r="89" spans="2:10">
      <c r="B89" s="612"/>
      <c r="C89" s="612"/>
      <c r="D89" s="612"/>
      <c r="E89" s="612"/>
      <c r="F89" s="612"/>
      <c r="G89" s="612"/>
      <c r="H89" s="613"/>
      <c r="I89" s="613"/>
      <c r="J89" s="612"/>
    </row>
    <row r="90" spans="2:10">
      <c r="B90" s="612"/>
      <c r="C90" s="612"/>
      <c r="D90" s="612"/>
      <c r="E90" s="612"/>
      <c r="F90" s="612"/>
      <c r="G90" s="612"/>
      <c r="H90" s="613"/>
      <c r="I90" s="613"/>
      <c r="J90" s="612"/>
    </row>
    <row r="91" spans="2:10">
      <c r="B91" s="612"/>
      <c r="C91" s="612"/>
      <c r="D91" s="612"/>
      <c r="E91" s="612"/>
      <c r="F91" s="612"/>
      <c r="G91" s="612"/>
      <c r="H91" s="613"/>
      <c r="I91" s="613"/>
      <c r="J91" s="612"/>
    </row>
    <row r="92" spans="2:10">
      <c r="B92" s="612"/>
      <c r="C92" s="612"/>
      <c r="D92" s="612"/>
      <c r="E92" s="612"/>
      <c r="F92" s="612"/>
      <c r="G92" s="612"/>
      <c r="H92" s="613"/>
      <c r="I92" s="613"/>
      <c r="J92" s="612"/>
    </row>
    <row r="93" spans="2:10">
      <c r="B93" s="612"/>
      <c r="C93" s="612"/>
      <c r="D93" s="612"/>
      <c r="E93" s="612"/>
      <c r="F93" s="612"/>
      <c r="G93" s="612"/>
      <c r="H93" s="613"/>
      <c r="I93" s="613"/>
      <c r="J93" s="612"/>
    </row>
    <row r="94" spans="2:10">
      <c r="B94" s="612"/>
      <c r="C94" s="612"/>
      <c r="D94" s="612"/>
      <c r="E94" s="612"/>
      <c r="F94" s="612"/>
      <c r="G94" s="612"/>
      <c r="H94" s="613"/>
      <c r="I94" s="613"/>
      <c r="J94" s="612"/>
    </row>
    <row r="95" spans="2:10">
      <c r="B95" s="612"/>
      <c r="C95" s="612"/>
      <c r="D95" s="612"/>
      <c r="E95" s="612"/>
      <c r="F95" s="612"/>
      <c r="G95" s="612"/>
      <c r="H95" s="613"/>
      <c r="I95" s="613"/>
      <c r="J95" s="612"/>
    </row>
    <row r="96" spans="2:10">
      <c r="B96" s="612"/>
      <c r="C96" s="612"/>
      <c r="D96" s="612"/>
      <c r="E96" s="612"/>
      <c r="F96" s="612"/>
      <c r="G96" s="612"/>
      <c r="H96" s="613"/>
      <c r="I96" s="613"/>
      <c r="J96" s="612"/>
    </row>
    <row r="97" spans="2:10">
      <c r="B97" s="612"/>
      <c r="C97" s="612"/>
      <c r="D97" s="612"/>
      <c r="E97" s="612"/>
      <c r="F97" s="612"/>
      <c r="G97" s="612"/>
      <c r="H97" s="613"/>
      <c r="I97" s="613"/>
      <c r="J97" s="612"/>
    </row>
    <row r="98" spans="2:10">
      <c r="B98" s="612"/>
      <c r="C98" s="612"/>
      <c r="D98" s="612"/>
      <c r="E98" s="612"/>
      <c r="F98" s="612"/>
      <c r="G98" s="612"/>
      <c r="H98" s="613"/>
      <c r="I98" s="613"/>
      <c r="J98" s="612"/>
    </row>
    <row r="99" spans="2:10">
      <c r="B99" s="612"/>
      <c r="C99" s="612"/>
      <c r="D99" s="612"/>
      <c r="E99" s="612"/>
      <c r="F99" s="612"/>
      <c r="G99" s="612"/>
      <c r="H99" s="613"/>
      <c r="I99" s="613"/>
      <c r="J99" s="612"/>
    </row>
    <row r="100" spans="2:10">
      <c r="B100" s="612"/>
      <c r="C100" s="612"/>
      <c r="D100" s="612"/>
      <c r="E100" s="612"/>
      <c r="F100" s="612"/>
      <c r="G100" s="612"/>
      <c r="H100" s="613"/>
      <c r="I100" s="613"/>
      <c r="J100" s="612"/>
    </row>
    <row r="101" spans="2:10">
      <c r="B101" s="612"/>
      <c r="C101" s="612"/>
      <c r="D101" s="612"/>
      <c r="E101" s="612"/>
      <c r="F101" s="612"/>
      <c r="G101" s="612"/>
      <c r="H101" s="613"/>
      <c r="I101" s="613"/>
      <c r="J101" s="612"/>
    </row>
    <row r="102" spans="2:10">
      <c r="B102" s="612"/>
      <c r="C102" s="612"/>
      <c r="D102" s="612"/>
      <c r="E102" s="612"/>
      <c r="F102" s="612"/>
      <c r="G102" s="612"/>
      <c r="H102" s="613"/>
      <c r="I102" s="613"/>
      <c r="J102" s="612"/>
    </row>
    <row r="103" spans="2:10">
      <c r="B103" s="612"/>
      <c r="C103" s="612"/>
      <c r="D103" s="612"/>
      <c r="E103" s="612"/>
      <c r="F103" s="612"/>
      <c r="G103" s="612"/>
      <c r="H103" s="613"/>
      <c r="I103" s="613"/>
      <c r="J103" s="612"/>
    </row>
    <row r="104" spans="2:10">
      <c r="B104" s="612"/>
      <c r="C104" s="612"/>
      <c r="D104" s="612"/>
      <c r="E104" s="612"/>
      <c r="F104" s="612"/>
      <c r="G104" s="612"/>
      <c r="H104" s="613"/>
      <c r="I104" s="613"/>
      <c r="J104" s="612"/>
    </row>
    <row r="105" spans="2:10">
      <c r="B105" s="612"/>
      <c r="C105" s="612"/>
      <c r="D105" s="612"/>
      <c r="E105" s="612"/>
      <c r="F105" s="612"/>
      <c r="G105" s="612"/>
      <c r="H105" s="613"/>
      <c r="I105" s="613"/>
      <c r="J105" s="612"/>
    </row>
    <row r="106" spans="2:10">
      <c r="B106" s="612"/>
      <c r="C106" s="612"/>
      <c r="D106" s="612"/>
      <c r="E106" s="612"/>
      <c r="F106" s="612"/>
      <c r="G106" s="612"/>
      <c r="H106" s="613"/>
      <c r="I106" s="613"/>
      <c r="J106" s="612"/>
    </row>
    <row r="107" spans="2:10">
      <c r="B107" s="612"/>
      <c r="C107" s="612"/>
      <c r="D107" s="612"/>
      <c r="E107" s="612"/>
      <c r="F107" s="612"/>
      <c r="G107" s="612"/>
      <c r="H107" s="613"/>
      <c r="I107" s="613"/>
      <c r="J107" s="612"/>
    </row>
    <row r="108" spans="2:10">
      <c r="B108" s="612"/>
      <c r="C108" s="612"/>
      <c r="D108" s="612"/>
      <c r="E108" s="612"/>
      <c r="F108" s="612"/>
      <c r="G108" s="612"/>
      <c r="H108" s="613"/>
      <c r="I108" s="613"/>
      <c r="J108" s="612"/>
    </row>
    <row r="109" spans="2:10">
      <c r="B109" s="612"/>
      <c r="C109" s="612"/>
      <c r="D109" s="612"/>
      <c r="E109" s="612"/>
      <c r="F109" s="612"/>
      <c r="G109" s="612"/>
      <c r="H109" s="613"/>
      <c r="I109" s="613"/>
      <c r="J109" s="612"/>
    </row>
    <row r="110" spans="2:10">
      <c r="B110" s="612"/>
      <c r="C110" s="612"/>
      <c r="D110" s="612"/>
      <c r="E110" s="612"/>
      <c r="F110" s="612"/>
      <c r="G110" s="612"/>
      <c r="H110" s="613"/>
      <c r="I110" s="613"/>
      <c r="J110" s="612"/>
    </row>
    <row r="111" spans="2:10">
      <c r="B111" s="612"/>
      <c r="C111" s="612"/>
      <c r="D111" s="612"/>
      <c r="E111" s="612"/>
      <c r="F111" s="612"/>
      <c r="G111" s="612"/>
      <c r="H111" s="613"/>
      <c r="I111" s="613"/>
      <c r="J111" s="612"/>
    </row>
    <row r="112" spans="2:10">
      <c r="B112" s="612"/>
      <c r="C112" s="612"/>
      <c r="D112" s="612"/>
      <c r="E112" s="612"/>
      <c r="F112" s="612"/>
      <c r="G112" s="612"/>
      <c r="H112" s="613"/>
      <c r="I112" s="613"/>
      <c r="J112" s="612"/>
    </row>
    <row r="113" spans="2:10">
      <c r="B113" s="612"/>
      <c r="C113" s="612"/>
      <c r="D113" s="612"/>
      <c r="E113" s="612"/>
      <c r="F113" s="612"/>
      <c r="G113" s="612"/>
      <c r="H113" s="613"/>
      <c r="I113" s="613"/>
      <c r="J113" s="612"/>
    </row>
    <row r="114" spans="2:10">
      <c r="B114" s="612"/>
      <c r="C114" s="612"/>
      <c r="D114" s="612"/>
      <c r="E114" s="612"/>
      <c r="F114" s="612"/>
      <c r="G114" s="612"/>
      <c r="H114" s="613"/>
      <c r="I114" s="613"/>
      <c r="J114" s="612"/>
    </row>
    <row r="115" spans="2:10">
      <c r="B115" s="612"/>
      <c r="C115" s="612"/>
      <c r="D115" s="612"/>
      <c r="E115" s="612"/>
      <c r="F115" s="612"/>
      <c r="G115" s="612"/>
      <c r="H115" s="613"/>
      <c r="I115" s="613"/>
      <c r="J115" s="612"/>
    </row>
    <row r="116" spans="2:10">
      <c r="B116" s="612"/>
      <c r="C116" s="612"/>
      <c r="D116" s="612"/>
      <c r="E116" s="612"/>
      <c r="F116" s="612"/>
      <c r="G116" s="612"/>
      <c r="H116" s="613"/>
      <c r="I116" s="613"/>
      <c r="J116" s="612"/>
    </row>
    <row r="117" spans="2:10">
      <c r="B117" s="612"/>
      <c r="C117" s="612"/>
      <c r="D117" s="612"/>
      <c r="E117" s="612"/>
      <c r="F117" s="612"/>
      <c r="G117" s="612"/>
      <c r="H117" s="613"/>
      <c r="I117" s="613"/>
      <c r="J117" s="612"/>
    </row>
    <row r="118" spans="2:10">
      <c r="B118" s="612"/>
      <c r="C118" s="612"/>
      <c r="D118" s="612"/>
      <c r="E118" s="612"/>
      <c r="F118" s="612"/>
      <c r="G118" s="612"/>
      <c r="H118" s="613"/>
      <c r="I118" s="613"/>
      <c r="J118" s="612"/>
    </row>
    <row r="119" spans="2:10">
      <c r="B119" s="612"/>
      <c r="C119" s="612"/>
      <c r="D119" s="612"/>
      <c r="E119" s="612"/>
      <c r="F119" s="612"/>
      <c r="G119" s="612"/>
      <c r="H119" s="613"/>
      <c r="I119" s="613"/>
      <c r="J119" s="612"/>
    </row>
    <row r="120" spans="2:10">
      <c r="B120" s="612"/>
      <c r="C120" s="612"/>
      <c r="D120" s="612"/>
      <c r="E120" s="612"/>
      <c r="F120" s="612"/>
      <c r="G120" s="612"/>
      <c r="H120" s="613"/>
      <c r="I120" s="613"/>
      <c r="J120" s="612"/>
    </row>
    <row r="121" spans="2:10">
      <c r="B121" s="612"/>
      <c r="C121" s="612"/>
      <c r="D121" s="612"/>
      <c r="E121" s="612"/>
      <c r="F121" s="612"/>
      <c r="G121" s="612"/>
      <c r="H121" s="613"/>
      <c r="I121" s="613"/>
      <c r="J121" s="612"/>
    </row>
    <row r="122" spans="2:10">
      <c r="B122" s="612"/>
      <c r="C122" s="612"/>
      <c r="D122" s="612"/>
      <c r="E122" s="612"/>
      <c r="F122" s="612"/>
      <c r="G122" s="612"/>
      <c r="H122" s="613"/>
      <c r="I122" s="613"/>
      <c r="J122" s="612"/>
    </row>
    <row r="123" spans="2:10">
      <c r="B123" s="612"/>
      <c r="C123" s="612"/>
      <c r="D123" s="612"/>
      <c r="E123" s="612"/>
      <c r="F123" s="612"/>
      <c r="G123" s="612"/>
      <c r="H123" s="613"/>
      <c r="I123" s="613"/>
      <c r="J123" s="612"/>
    </row>
    <row r="124" spans="2:10">
      <c r="B124" s="612"/>
      <c r="C124" s="612"/>
      <c r="D124" s="612"/>
      <c r="E124" s="612"/>
      <c r="F124" s="612"/>
      <c r="G124" s="612"/>
      <c r="H124" s="613"/>
      <c r="I124" s="613"/>
      <c r="J124" s="612"/>
    </row>
    <row r="125" spans="2:10">
      <c r="B125" s="612"/>
      <c r="C125" s="612"/>
      <c r="D125" s="612"/>
      <c r="E125" s="612"/>
      <c r="F125" s="612"/>
      <c r="G125" s="612"/>
      <c r="H125" s="613"/>
      <c r="I125" s="613"/>
      <c r="J125" s="612"/>
    </row>
    <row r="126" spans="2:10">
      <c r="B126" s="612"/>
      <c r="C126" s="612"/>
      <c r="D126" s="612"/>
      <c r="E126" s="612"/>
      <c r="F126" s="612"/>
      <c r="G126" s="612"/>
      <c r="H126" s="613"/>
      <c r="I126" s="613"/>
      <c r="J126" s="612"/>
    </row>
    <row r="127" spans="2:10">
      <c r="B127" s="612"/>
      <c r="C127" s="612"/>
      <c r="D127" s="612"/>
      <c r="E127" s="612"/>
      <c r="F127" s="612"/>
      <c r="G127" s="612"/>
      <c r="H127" s="613"/>
      <c r="I127" s="613"/>
      <c r="J127" s="612"/>
    </row>
    <row r="128" spans="2:10">
      <c r="B128" s="612"/>
      <c r="C128" s="612"/>
      <c r="D128" s="612"/>
      <c r="E128" s="612"/>
      <c r="F128" s="612"/>
      <c r="G128" s="612"/>
      <c r="H128" s="613"/>
      <c r="I128" s="613"/>
      <c r="J128" s="612"/>
    </row>
    <row r="129" spans="2:10">
      <c r="B129" s="612"/>
      <c r="C129" s="612"/>
      <c r="D129" s="612"/>
      <c r="E129" s="612"/>
      <c r="F129" s="612"/>
      <c r="G129" s="612"/>
      <c r="H129" s="613"/>
      <c r="I129" s="613"/>
      <c r="J129" s="612"/>
    </row>
    <row r="130" spans="2:10">
      <c r="B130" s="612"/>
      <c r="C130" s="612"/>
      <c r="D130" s="612"/>
      <c r="E130" s="612"/>
      <c r="F130" s="612"/>
      <c r="G130" s="612"/>
      <c r="H130" s="613"/>
      <c r="I130" s="613"/>
      <c r="J130" s="612"/>
    </row>
    <row r="131" spans="2:10">
      <c r="B131" s="612"/>
      <c r="C131" s="612"/>
      <c r="D131" s="612"/>
      <c r="E131" s="612"/>
      <c r="F131" s="612"/>
      <c r="G131" s="612"/>
      <c r="H131" s="613"/>
      <c r="I131" s="613"/>
      <c r="J131" s="612"/>
    </row>
    <row r="132" spans="2:10">
      <c r="B132" s="612"/>
      <c r="C132" s="612"/>
      <c r="D132" s="612"/>
      <c r="E132" s="612"/>
      <c r="F132" s="612"/>
      <c r="G132" s="612"/>
      <c r="H132" s="613"/>
      <c r="I132" s="613"/>
      <c r="J132" s="612"/>
    </row>
    <row r="133" spans="2:10">
      <c r="B133" s="612"/>
      <c r="C133" s="612"/>
      <c r="D133" s="612"/>
      <c r="E133" s="612"/>
      <c r="F133" s="612"/>
      <c r="G133" s="612"/>
      <c r="H133" s="613"/>
      <c r="I133" s="613"/>
      <c r="J133" s="612"/>
    </row>
    <row r="134" spans="2:10">
      <c r="B134" s="612"/>
      <c r="C134" s="612"/>
      <c r="D134" s="612"/>
      <c r="E134" s="612"/>
      <c r="F134" s="612"/>
      <c r="G134" s="612"/>
      <c r="H134" s="613"/>
      <c r="I134" s="613"/>
      <c r="J134" s="612"/>
    </row>
    <row r="135" spans="2:10">
      <c r="B135" s="612"/>
      <c r="C135" s="612"/>
      <c r="D135" s="612"/>
      <c r="E135" s="612"/>
      <c r="F135" s="612"/>
      <c r="G135" s="612"/>
      <c r="H135" s="613"/>
      <c r="I135" s="613"/>
      <c r="J135" s="612"/>
    </row>
    <row r="136" spans="2:10">
      <c r="B136" s="612"/>
      <c r="C136" s="612"/>
      <c r="D136" s="612"/>
      <c r="E136" s="612"/>
      <c r="F136" s="612"/>
      <c r="G136" s="612"/>
      <c r="H136" s="613"/>
      <c r="I136" s="613"/>
      <c r="J136" s="612"/>
    </row>
    <row r="137" spans="2:10">
      <c r="B137" s="612"/>
      <c r="C137" s="612"/>
      <c r="D137" s="612"/>
      <c r="E137" s="612"/>
      <c r="F137" s="612"/>
      <c r="G137" s="612"/>
      <c r="H137" s="613"/>
      <c r="I137" s="613"/>
      <c r="J137" s="612"/>
    </row>
    <row r="138" spans="2:10">
      <c r="B138" s="612"/>
      <c r="C138" s="612"/>
      <c r="D138" s="612"/>
      <c r="E138" s="612"/>
      <c r="F138" s="612"/>
      <c r="G138" s="612"/>
      <c r="H138" s="613"/>
      <c r="I138" s="613"/>
      <c r="J138" s="612"/>
    </row>
    <row r="139" spans="2:10">
      <c r="B139" s="612"/>
      <c r="C139" s="612"/>
      <c r="D139" s="612"/>
      <c r="E139" s="612"/>
      <c r="F139" s="612"/>
      <c r="G139" s="612"/>
      <c r="H139" s="613"/>
      <c r="I139" s="613"/>
      <c r="J139" s="612"/>
    </row>
    <row r="140" spans="2:10">
      <c r="B140" s="612"/>
      <c r="C140" s="612"/>
      <c r="D140" s="612"/>
      <c r="E140" s="612"/>
      <c r="F140" s="612"/>
      <c r="G140" s="612"/>
      <c r="H140" s="613"/>
      <c r="I140" s="613"/>
      <c r="J140" s="612"/>
    </row>
    <row r="141" spans="2:10">
      <c r="B141" s="612"/>
      <c r="C141" s="612"/>
      <c r="D141" s="612"/>
      <c r="E141" s="612"/>
      <c r="F141" s="612"/>
      <c r="G141" s="612"/>
      <c r="H141" s="613"/>
      <c r="I141" s="613"/>
      <c r="J141" s="612"/>
    </row>
    <row r="142" spans="2:10">
      <c r="B142" s="612"/>
      <c r="C142" s="612"/>
      <c r="D142" s="612"/>
      <c r="E142" s="612"/>
      <c r="F142" s="612"/>
      <c r="G142" s="612"/>
      <c r="H142" s="613"/>
      <c r="I142" s="613"/>
      <c r="J142" s="612"/>
    </row>
    <row r="143" spans="2:10">
      <c r="B143" s="612"/>
      <c r="C143" s="612"/>
      <c r="D143" s="612"/>
      <c r="E143" s="612"/>
      <c r="F143" s="612"/>
      <c r="G143" s="612"/>
      <c r="H143" s="613"/>
      <c r="I143" s="613"/>
      <c r="J143" s="612"/>
    </row>
    <row r="144" spans="2:10">
      <c r="B144" s="612"/>
      <c r="C144" s="612"/>
      <c r="D144" s="612"/>
      <c r="E144" s="612"/>
      <c r="F144" s="612"/>
      <c r="G144" s="612"/>
      <c r="H144" s="613"/>
      <c r="I144" s="613"/>
      <c r="J144" s="612"/>
    </row>
    <row r="145" spans="2:10">
      <c r="B145" s="612"/>
      <c r="C145" s="612"/>
      <c r="D145" s="612"/>
      <c r="E145" s="612"/>
      <c r="F145" s="612"/>
      <c r="G145" s="612"/>
      <c r="H145" s="613"/>
      <c r="I145" s="613"/>
      <c r="J145" s="612"/>
    </row>
    <row r="146" spans="2:10">
      <c r="B146" s="612"/>
      <c r="C146" s="612"/>
      <c r="D146" s="612"/>
      <c r="E146" s="612"/>
      <c r="F146" s="612"/>
      <c r="G146" s="612"/>
      <c r="H146" s="613"/>
      <c r="I146" s="613"/>
      <c r="J146" s="612"/>
    </row>
    <row r="147" spans="2:10">
      <c r="B147" s="612"/>
      <c r="C147" s="612"/>
      <c r="D147" s="612"/>
      <c r="E147" s="612"/>
      <c r="F147" s="612"/>
      <c r="G147" s="612"/>
      <c r="H147" s="613"/>
      <c r="I147" s="613"/>
      <c r="J147" s="612"/>
    </row>
    <row r="148" spans="2:10">
      <c r="B148" s="612"/>
      <c r="C148" s="612"/>
      <c r="D148" s="612"/>
      <c r="E148" s="612"/>
      <c r="F148" s="612"/>
      <c r="G148" s="612"/>
      <c r="H148" s="613"/>
      <c r="I148" s="613"/>
      <c r="J148" s="612"/>
    </row>
    <row r="149" spans="2:10">
      <c r="B149" s="612"/>
      <c r="C149" s="612"/>
      <c r="D149" s="612"/>
      <c r="E149" s="612"/>
      <c r="F149" s="612"/>
      <c r="G149" s="612"/>
      <c r="H149" s="613"/>
      <c r="I149" s="613"/>
      <c r="J149" s="612"/>
    </row>
    <row r="150" spans="2:10">
      <c r="B150" s="612"/>
      <c r="C150" s="612"/>
      <c r="D150" s="612"/>
      <c r="E150" s="612"/>
      <c r="F150" s="612"/>
      <c r="G150" s="612"/>
      <c r="H150" s="613"/>
      <c r="I150" s="613"/>
      <c r="J150" s="612"/>
    </row>
    <row r="151" spans="2:10">
      <c r="B151" s="612"/>
      <c r="C151" s="612"/>
      <c r="D151" s="612"/>
      <c r="E151" s="612"/>
      <c r="F151" s="612"/>
      <c r="G151" s="612"/>
      <c r="H151" s="613"/>
      <c r="I151" s="613"/>
      <c r="J151" s="612"/>
    </row>
    <row r="152" spans="2:10">
      <c r="B152" s="612"/>
      <c r="C152" s="612"/>
      <c r="D152" s="612"/>
      <c r="E152" s="612"/>
      <c r="F152" s="612"/>
      <c r="G152" s="612"/>
      <c r="H152" s="613"/>
      <c r="I152" s="613"/>
      <c r="J152" s="612"/>
    </row>
    <row r="153" spans="2:10">
      <c r="B153" s="612"/>
      <c r="C153" s="612"/>
      <c r="D153" s="612"/>
      <c r="E153" s="612"/>
      <c r="F153" s="612"/>
      <c r="G153" s="612"/>
      <c r="H153" s="613"/>
      <c r="I153" s="613"/>
      <c r="J153" s="612"/>
    </row>
    <row r="154" spans="2:10">
      <c r="B154" s="612"/>
      <c r="C154" s="612"/>
      <c r="D154" s="612"/>
      <c r="E154" s="612"/>
      <c r="F154" s="612"/>
      <c r="G154" s="612"/>
      <c r="H154" s="613"/>
      <c r="I154" s="613"/>
      <c r="J154" s="612"/>
    </row>
    <row r="155" spans="2:10">
      <c r="B155" s="612"/>
      <c r="C155" s="612"/>
      <c r="D155" s="612"/>
      <c r="E155" s="612"/>
      <c r="F155" s="612"/>
      <c r="G155" s="612"/>
      <c r="H155" s="613"/>
      <c r="I155" s="613"/>
      <c r="J155" s="612"/>
    </row>
    <row r="156" spans="2:10">
      <c r="B156" s="612"/>
      <c r="C156" s="612"/>
      <c r="D156" s="612"/>
      <c r="E156" s="612"/>
      <c r="F156" s="612"/>
      <c r="G156" s="612"/>
      <c r="H156" s="613"/>
      <c r="I156" s="613"/>
      <c r="J156" s="612"/>
    </row>
    <row r="157" spans="2:10">
      <c r="B157" s="612"/>
      <c r="C157" s="612"/>
      <c r="D157" s="612"/>
      <c r="E157" s="612"/>
      <c r="F157" s="612"/>
      <c r="G157" s="612"/>
      <c r="H157" s="613"/>
      <c r="I157" s="613"/>
      <c r="J157" s="612"/>
    </row>
    <row r="158" spans="2:10">
      <c r="B158" s="612"/>
      <c r="C158" s="612"/>
      <c r="D158" s="612"/>
      <c r="E158" s="612"/>
      <c r="F158" s="612"/>
      <c r="G158" s="612"/>
      <c r="H158" s="613"/>
      <c r="I158" s="613"/>
      <c r="J158" s="612"/>
    </row>
    <row r="159" spans="2:10">
      <c r="B159" s="612"/>
      <c r="C159" s="612"/>
      <c r="D159" s="612"/>
      <c r="E159" s="612"/>
      <c r="F159" s="612"/>
      <c r="G159" s="612"/>
      <c r="H159" s="613"/>
      <c r="I159" s="613"/>
      <c r="J159" s="612"/>
    </row>
    <row r="160" spans="2:10">
      <c r="B160" s="612"/>
      <c r="C160" s="612"/>
      <c r="D160" s="612"/>
      <c r="E160" s="612"/>
      <c r="F160" s="612"/>
      <c r="G160" s="612"/>
      <c r="H160" s="613"/>
      <c r="I160" s="613"/>
      <c r="J160" s="612"/>
    </row>
    <row r="161" spans="1:10">
      <c r="B161" s="612"/>
      <c r="C161" s="612"/>
      <c r="D161" s="612"/>
      <c r="E161" s="612"/>
      <c r="F161" s="612"/>
      <c r="G161" s="612"/>
      <c r="H161" s="613"/>
      <c r="I161" s="613"/>
      <c r="J161" s="612"/>
    </row>
    <row r="162" spans="1:10">
      <c r="B162" s="612"/>
      <c r="C162" s="612"/>
      <c r="D162" s="612"/>
      <c r="E162" s="612"/>
      <c r="F162" s="612"/>
      <c r="G162" s="612"/>
      <c r="H162" s="613"/>
      <c r="I162" s="613"/>
      <c r="J162" s="612"/>
    </row>
    <row r="163" spans="1:10">
      <c r="B163" s="612"/>
      <c r="C163" s="612"/>
      <c r="D163" s="612"/>
      <c r="E163" s="612"/>
      <c r="F163" s="612"/>
      <c r="G163" s="612"/>
      <c r="H163" s="613"/>
      <c r="I163" s="613"/>
      <c r="J163" s="612"/>
    </row>
    <row r="164" spans="1:10">
      <c r="B164" s="612"/>
      <c r="C164" s="612"/>
      <c r="D164" s="612"/>
      <c r="E164" s="612"/>
      <c r="F164" s="612"/>
      <c r="G164" s="612"/>
      <c r="H164" s="613"/>
      <c r="I164" s="613"/>
      <c r="J164" s="612"/>
    </row>
    <row r="165" spans="1:10">
      <c r="B165" s="612"/>
      <c r="C165" s="612"/>
      <c r="D165" s="612"/>
      <c r="E165" s="612"/>
      <c r="F165" s="612"/>
      <c r="G165" s="612"/>
      <c r="H165" s="613"/>
      <c r="I165" s="613"/>
      <c r="J165" s="612"/>
    </row>
    <row r="166" spans="1:10">
      <c r="B166" s="612"/>
      <c r="C166" s="612"/>
      <c r="D166" s="612"/>
      <c r="E166" s="612"/>
      <c r="F166" s="612"/>
      <c r="G166" s="612"/>
      <c r="H166" s="613"/>
      <c r="I166" s="613"/>
      <c r="J166" s="612"/>
    </row>
    <row r="167" spans="1:10">
      <c r="B167" s="612"/>
      <c r="C167" s="612"/>
      <c r="D167" s="612"/>
      <c r="E167" s="612"/>
      <c r="F167" s="612"/>
      <c r="G167" s="612"/>
      <c r="H167" s="613"/>
      <c r="I167" s="613"/>
      <c r="J167" s="612"/>
    </row>
    <row r="168" spans="1:10">
      <c r="B168" s="612"/>
      <c r="C168" s="612"/>
      <c r="D168" s="612"/>
      <c r="E168" s="612"/>
      <c r="F168" s="612"/>
      <c r="G168" s="612"/>
      <c r="H168" s="613"/>
      <c r="I168" s="613"/>
      <c r="J168" s="612"/>
    </row>
    <row r="169" spans="1:10">
      <c r="B169" s="612"/>
      <c r="C169" s="612"/>
      <c r="D169" s="612"/>
      <c r="E169" s="612"/>
      <c r="F169" s="612"/>
      <c r="G169" s="612"/>
      <c r="H169" s="613"/>
      <c r="I169" s="613"/>
      <c r="J169" s="612"/>
    </row>
    <row r="170" spans="1:10">
      <c r="A170" s="611"/>
      <c r="B170" s="612"/>
      <c r="C170" s="612"/>
      <c r="D170" s="612"/>
      <c r="E170" s="612"/>
      <c r="F170" s="612"/>
      <c r="G170" s="612"/>
      <c r="H170" s="612"/>
      <c r="I170" s="612"/>
      <c r="J170" s="612"/>
    </row>
    <row r="171" spans="1:10">
      <c r="A171" s="611"/>
      <c r="B171" s="612"/>
      <c r="C171" s="612"/>
      <c r="D171" s="612"/>
      <c r="E171" s="612"/>
      <c r="F171" s="612"/>
      <c r="G171" s="612"/>
      <c r="H171" s="612"/>
      <c r="I171" s="612"/>
      <c r="J171" s="612"/>
    </row>
    <row r="172" spans="1:10">
      <c r="A172" s="611"/>
      <c r="B172" s="616"/>
      <c r="C172" s="616"/>
      <c r="D172" s="616"/>
      <c r="E172" s="616"/>
      <c r="F172" s="616"/>
      <c r="G172" s="616"/>
      <c r="H172" s="612"/>
      <c r="I172" s="612"/>
      <c r="J172" s="612"/>
    </row>
    <row r="173" spans="1:10">
      <c r="A173" s="611"/>
      <c r="B173" s="612"/>
      <c r="C173" s="612"/>
      <c r="D173" s="612"/>
      <c r="E173" s="612"/>
      <c r="F173" s="612"/>
      <c r="G173" s="612"/>
      <c r="H173" s="612"/>
      <c r="I173" s="612"/>
      <c r="J173" s="612"/>
    </row>
    <row r="174" spans="1:10">
      <c r="A174" s="611"/>
      <c r="B174" s="612"/>
      <c r="C174" s="612"/>
      <c r="D174" s="612"/>
      <c r="E174" s="612"/>
      <c r="F174" s="612"/>
      <c r="G174" s="612"/>
      <c r="H174" s="612"/>
      <c r="I174" s="612"/>
      <c r="J174" s="612"/>
    </row>
    <row r="175" spans="1:10">
      <c r="A175" s="611"/>
      <c r="B175" s="612"/>
      <c r="C175" s="612"/>
      <c r="D175" s="612"/>
      <c r="E175" s="612"/>
      <c r="F175" s="612"/>
      <c r="G175" s="612"/>
      <c r="H175" s="612"/>
      <c r="I175" s="612"/>
      <c r="J175" s="612"/>
    </row>
    <row r="176" spans="1:10">
      <c r="A176" s="611"/>
      <c r="B176" s="612"/>
      <c r="C176" s="612"/>
      <c r="D176" s="612"/>
      <c r="E176" s="612"/>
      <c r="F176" s="612"/>
      <c r="G176" s="612"/>
      <c r="H176" s="612"/>
      <c r="I176" s="612"/>
      <c r="J176" s="612"/>
    </row>
    <row r="177" spans="1:10">
      <c r="A177" s="611"/>
      <c r="B177" s="612"/>
      <c r="C177" s="612"/>
      <c r="D177" s="612"/>
      <c r="E177" s="612"/>
      <c r="F177" s="612"/>
      <c r="G177" s="612"/>
      <c r="H177" s="612"/>
      <c r="I177" s="612"/>
      <c r="J177" s="612"/>
    </row>
    <row r="178" spans="1:10">
      <c r="A178" s="611"/>
      <c r="B178" s="612"/>
      <c r="C178" s="612"/>
      <c r="D178" s="612"/>
      <c r="E178" s="612"/>
      <c r="F178" s="612"/>
      <c r="G178" s="612"/>
      <c r="H178" s="612"/>
      <c r="I178" s="612"/>
      <c r="J178" s="612"/>
    </row>
    <row r="179" spans="1:10">
      <c r="A179" s="611"/>
      <c r="B179" s="612"/>
      <c r="C179" s="612"/>
      <c r="D179" s="612"/>
      <c r="E179" s="612"/>
      <c r="F179" s="612"/>
      <c r="G179" s="612"/>
      <c r="H179" s="612"/>
      <c r="I179" s="612"/>
      <c r="J179" s="612"/>
    </row>
    <row r="180" spans="1:10">
      <c r="A180" s="611"/>
      <c r="B180" s="612"/>
      <c r="C180" s="612"/>
      <c r="D180" s="612"/>
      <c r="E180" s="612"/>
      <c r="F180" s="612"/>
      <c r="G180" s="612"/>
      <c r="H180" s="612"/>
      <c r="I180" s="612"/>
      <c r="J180" s="612"/>
    </row>
    <row r="181" spans="1:10">
      <c r="A181" s="611"/>
      <c r="B181" s="612"/>
      <c r="C181" s="612"/>
      <c r="D181" s="612"/>
      <c r="E181" s="612"/>
      <c r="F181" s="612"/>
      <c r="G181" s="612"/>
      <c r="H181" s="612"/>
      <c r="I181" s="612"/>
      <c r="J181" s="612"/>
    </row>
    <row r="182" spans="1:10">
      <c r="A182" s="611"/>
      <c r="B182" s="612"/>
      <c r="C182" s="612"/>
      <c r="D182" s="612"/>
      <c r="E182" s="612"/>
      <c r="F182" s="612"/>
      <c r="G182" s="612"/>
      <c r="H182" s="612"/>
      <c r="I182" s="612"/>
      <c r="J182" s="612"/>
    </row>
    <row r="183" spans="1:10">
      <c r="A183" s="611"/>
      <c r="B183" s="612"/>
      <c r="C183" s="612"/>
      <c r="D183" s="612"/>
      <c r="E183" s="612"/>
      <c r="F183" s="612"/>
      <c r="G183" s="612"/>
      <c r="H183" s="612"/>
      <c r="I183" s="612"/>
      <c r="J183" s="612"/>
    </row>
    <row r="184" spans="1:10">
      <c r="A184" s="611"/>
      <c r="B184" s="612"/>
      <c r="C184" s="612"/>
      <c r="D184" s="612"/>
      <c r="E184" s="612"/>
      <c r="F184" s="612"/>
      <c r="G184" s="612"/>
      <c r="H184" s="612"/>
      <c r="I184" s="612"/>
      <c r="J184" s="612"/>
    </row>
    <row r="185" spans="1:10">
      <c r="A185" s="611"/>
      <c r="B185" s="612"/>
      <c r="C185" s="612"/>
      <c r="D185" s="612"/>
      <c r="E185" s="612"/>
      <c r="F185" s="612"/>
      <c r="G185" s="612"/>
      <c r="H185" s="612"/>
      <c r="I185" s="612"/>
      <c r="J185" s="612"/>
    </row>
    <row r="186" spans="1:10">
      <c r="A186" s="611"/>
      <c r="B186" s="612"/>
      <c r="C186" s="612"/>
      <c r="D186" s="612"/>
      <c r="E186" s="612"/>
      <c r="F186" s="612"/>
      <c r="G186" s="612"/>
      <c r="H186" s="612"/>
      <c r="I186" s="612"/>
      <c r="J186" s="612"/>
    </row>
    <row r="187" spans="1:10">
      <c r="A187" s="611"/>
      <c r="B187" s="612"/>
      <c r="C187" s="612"/>
      <c r="D187" s="612"/>
      <c r="E187" s="612"/>
      <c r="F187" s="612"/>
      <c r="G187" s="612"/>
      <c r="H187" s="612"/>
      <c r="I187" s="612"/>
      <c r="J187" s="612"/>
    </row>
    <row r="188" spans="1:10">
      <c r="A188" s="611"/>
      <c r="B188" s="612"/>
      <c r="C188" s="612"/>
      <c r="D188" s="612"/>
      <c r="E188" s="612"/>
      <c r="F188" s="612"/>
      <c r="G188" s="612"/>
      <c r="H188" s="612"/>
      <c r="I188" s="612"/>
      <c r="J188" s="612"/>
    </row>
    <row r="189" spans="1:10">
      <c r="A189" s="611"/>
      <c r="B189" s="612"/>
      <c r="C189" s="612"/>
      <c r="D189" s="612"/>
      <c r="E189" s="612"/>
      <c r="F189" s="612"/>
      <c r="G189" s="612"/>
      <c r="H189" s="612"/>
      <c r="I189" s="612"/>
      <c r="J189" s="612"/>
    </row>
    <row r="190" spans="1:10">
      <c r="A190" s="611"/>
      <c r="B190" s="612"/>
      <c r="C190" s="612"/>
      <c r="D190" s="612"/>
      <c r="E190" s="612"/>
      <c r="F190" s="612"/>
      <c r="G190" s="612"/>
      <c r="H190" s="612"/>
      <c r="I190" s="612"/>
      <c r="J190" s="612"/>
    </row>
    <row r="191" spans="1:10">
      <c r="A191" s="611"/>
      <c r="B191" s="612"/>
      <c r="C191" s="612"/>
      <c r="D191" s="612"/>
      <c r="E191" s="612"/>
      <c r="F191" s="612"/>
      <c r="G191" s="612"/>
      <c r="H191" s="612"/>
      <c r="I191" s="612"/>
      <c r="J191" s="612"/>
    </row>
    <row r="192" spans="1:10">
      <c r="A192" s="611"/>
      <c r="B192" s="612"/>
      <c r="C192" s="612"/>
      <c r="D192" s="612"/>
      <c r="E192" s="612"/>
      <c r="F192" s="612"/>
      <c r="G192" s="612"/>
      <c r="H192" s="612"/>
      <c r="I192" s="612"/>
      <c r="J192" s="612"/>
    </row>
    <row r="193" spans="1:10">
      <c r="A193" s="611"/>
      <c r="B193" s="612"/>
      <c r="C193" s="612"/>
      <c r="D193" s="612"/>
      <c r="E193" s="612"/>
      <c r="F193" s="612"/>
      <c r="G193" s="612"/>
      <c r="H193" s="612"/>
      <c r="I193" s="612"/>
      <c r="J193" s="612"/>
    </row>
    <row r="194" spans="1:10">
      <c r="A194" s="611"/>
      <c r="B194" s="612"/>
      <c r="C194" s="612"/>
      <c r="D194" s="612"/>
      <c r="E194" s="612"/>
      <c r="F194" s="612"/>
      <c r="G194" s="612"/>
      <c r="H194" s="612"/>
      <c r="I194" s="612"/>
      <c r="J194" s="612"/>
    </row>
    <row r="195" spans="1:10">
      <c r="A195" s="611"/>
      <c r="B195" s="612"/>
      <c r="C195" s="612"/>
      <c r="D195" s="612"/>
      <c r="E195" s="612"/>
      <c r="F195" s="612"/>
      <c r="G195" s="612"/>
      <c r="H195" s="612"/>
      <c r="I195" s="612"/>
      <c r="J195" s="612"/>
    </row>
    <row r="196" spans="1:10">
      <c r="A196" s="611"/>
      <c r="B196" s="612"/>
      <c r="C196" s="612"/>
      <c r="D196" s="612"/>
      <c r="E196" s="612"/>
      <c r="F196" s="612"/>
      <c r="G196" s="612"/>
      <c r="H196" s="612"/>
      <c r="I196" s="612"/>
      <c r="J196" s="612"/>
    </row>
    <row r="197" spans="1:10">
      <c r="A197" s="611"/>
      <c r="B197" s="612"/>
      <c r="C197" s="612"/>
      <c r="D197" s="612"/>
      <c r="E197" s="612"/>
      <c r="F197" s="612"/>
      <c r="G197" s="612"/>
      <c r="H197" s="612"/>
      <c r="I197" s="612"/>
      <c r="J197" s="612"/>
    </row>
    <row r="198" spans="1:10">
      <c r="A198" s="611"/>
      <c r="B198" s="612"/>
      <c r="C198" s="612"/>
      <c r="D198" s="612"/>
      <c r="E198" s="612"/>
      <c r="F198" s="612"/>
      <c r="G198" s="612"/>
      <c r="H198" s="612"/>
      <c r="I198" s="612"/>
      <c r="J198" s="612"/>
    </row>
    <row r="199" spans="1:10">
      <c r="A199" s="617"/>
      <c r="B199" s="618"/>
      <c r="C199" s="618"/>
      <c r="D199" s="618"/>
      <c r="E199" s="618"/>
      <c r="F199" s="618"/>
      <c r="G199" s="618"/>
      <c r="H199" s="618"/>
      <c r="I199" s="618"/>
      <c r="J199" s="618"/>
    </row>
    <row r="200" spans="1:10">
      <c r="A200" s="611"/>
      <c r="B200" s="612"/>
      <c r="C200" s="612"/>
      <c r="D200" s="612"/>
      <c r="E200" s="612"/>
      <c r="F200" s="612"/>
      <c r="G200" s="612"/>
      <c r="H200" s="612"/>
      <c r="I200" s="612"/>
      <c r="J200" s="612"/>
    </row>
  </sheetData>
  <mergeCells count="1">
    <mergeCell ref="A1:G1"/>
  </mergeCells>
  <printOptions horizontalCentered="1"/>
  <pageMargins left="0.5" right="0.5" top="1" bottom="0.5" header="0.5" footer="0.5"/>
  <pageSetup scale="48" fitToHeight="3" orientation="portrait" r:id="rId1"/>
  <headerFooter alignWithMargins="0"/>
  <rowBreaks count="2" manualBreakCount="2">
    <brk id="43"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A78" zoomScale="65" zoomScaleNormal="65" zoomScaleSheetLayoutView="50" workbookViewId="0">
      <selection activeCell="L128" sqref="L128"/>
    </sheetView>
  </sheetViews>
  <sheetFormatPr defaultColWidth="11.453125" defaultRowHeight="13"/>
  <cols>
    <col min="1" max="1" width="7.7265625" style="686" customWidth="1"/>
    <col min="2" max="2" width="1.81640625" style="686" customWidth="1"/>
    <col min="3" max="3" width="55" style="686" customWidth="1"/>
    <col min="4" max="4" width="17.7265625" style="686" customWidth="1"/>
    <col min="5" max="5" width="22.54296875" style="686" customWidth="1"/>
    <col min="6" max="6" width="16.81640625" style="686" customWidth="1"/>
    <col min="7" max="7" width="18.54296875" style="686" customWidth="1"/>
    <col min="8" max="8" width="21" style="686" customWidth="1"/>
    <col min="9" max="9" width="17.7265625" style="686" customWidth="1"/>
    <col min="10" max="10" width="18.54296875" style="686" customWidth="1"/>
    <col min="11" max="11" width="17.453125" style="686" customWidth="1"/>
    <col min="12" max="12" width="17.7265625" style="686" customWidth="1"/>
    <col min="13" max="13" width="15.453125" style="686" customWidth="1"/>
    <col min="14" max="14" width="16.26953125" style="686" customWidth="1"/>
    <col min="15" max="15" width="18.54296875" style="686" customWidth="1"/>
    <col min="16" max="16" width="15.26953125" style="686" customWidth="1"/>
    <col min="17" max="17" width="16.7265625" style="686" customWidth="1"/>
    <col min="18" max="18" width="16" style="686" customWidth="1"/>
    <col min="19" max="19" width="16.7265625" style="686" customWidth="1"/>
    <col min="20" max="20" width="14.54296875" style="688" bestFit="1" customWidth="1"/>
    <col min="21" max="16384" width="11.453125" style="686"/>
  </cols>
  <sheetData>
    <row r="1" spans="1:21">
      <c r="Q1" s="687"/>
    </row>
    <row r="2" spans="1:21">
      <c r="Q2" s="687"/>
    </row>
    <row r="4" spans="1:21">
      <c r="Q4" s="687"/>
    </row>
    <row r="5" spans="1:21">
      <c r="D5" s="689"/>
      <c r="E5" s="689"/>
      <c r="F5" s="689"/>
      <c r="G5" s="622" t="s">
        <v>301</v>
      </c>
      <c r="H5" s="689"/>
      <c r="I5" s="689"/>
      <c r="J5" s="689"/>
      <c r="K5" s="690"/>
      <c r="L5" s="691"/>
      <c r="M5" s="692"/>
      <c r="N5" s="692"/>
      <c r="O5" s="692"/>
      <c r="P5" s="692"/>
      <c r="Q5" s="692"/>
      <c r="R5" s="693"/>
      <c r="S5" s="693"/>
      <c r="T5" s="694"/>
      <c r="U5" s="693"/>
    </row>
    <row r="6" spans="1:21">
      <c r="D6" s="689"/>
      <c r="E6" s="695" t="s">
        <v>86</v>
      </c>
      <c r="F6" s="695"/>
      <c r="G6" s="1252" t="s">
        <v>1250</v>
      </c>
      <c r="H6" s="695"/>
      <c r="I6" s="695"/>
      <c r="J6" s="695"/>
      <c r="K6" s="690"/>
      <c r="P6" s="693"/>
      <c r="Q6" s="690"/>
      <c r="R6" s="693"/>
      <c r="S6" s="696"/>
      <c r="T6" s="694"/>
      <c r="U6" s="693"/>
    </row>
    <row r="7" spans="1:21">
      <c r="C7" s="693"/>
      <c r="D7" s="693"/>
      <c r="E7" s="693"/>
      <c r="F7" s="693"/>
      <c r="G7" s="627" t="s">
        <v>1547</v>
      </c>
      <c r="H7" s="693"/>
      <c r="I7" s="693"/>
      <c r="J7" s="693"/>
      <c r="K7" s="693"/>
      <c r="P7" s="693"/>
      <c r="Q7" s="693"/>
      <c r="R7" s="693"/>
      <c r="S7" s="697"/>
      <c r="T7" s="694"/>
      <c r="U7" s="693"/>
    </row>
    <row r="8" spans="1:21">
      <c r="A8" s="622"/>
      <c r="C8" s="693"/>
      <c r="D8" s="693"/>
      <c r="E8" s="693"/>
      <c r="F8" s="693"/>
      <c r="H8" s="693"/>
      <c r="I8" s="693"/>
      <c r="J8" s="693"/>
      <c r="K8" s="693"/>
      <c r="L8" s="693"/>
      <c r="M8" s="693"/>
      <c r="N8" s="693"/>
      <c r="O8" s="693"/>
      <c r="P8" s="693"/>
      <c r="Q8" s="693"/>
      <c r="R8" s="693"/>
      <c r="S8" s="697"/>
      <c r="T8" s="694"/>
      <c r="U8" s="693"/>
    </row>
    <row r="9" spans="1:21">
      <c r="A9" s="622"/>
      <c r="C9" s="693"/>
      <c r="D9" s="693"/>
      <c r="E9" s="693"/>
      <c r="F9" s="693"/>
      <c r="G9" s="698"/>
      <c r="H9" s="693"/>
      <c r="I9" s="693"/>
      <c r="J9" s="693"/>
      <c r="K9" s="693"/>
      <c r="L9" s="693"/>
      <c r="M9" s="693"/>
      <c r="N9" s="693"/>
      <c r="O9" s="693"/>
      <c r="P9" s="693"/>
      <c r="Q9" s="693"/>
      <c r="R9" s="693"/>
      <c r="S9" s="697"/>
      <c r="T9" s="694"/>
      <c r="U9" s="693"/>
    </row>
    <row r="10" spans="1:21">
      <c r="A10" s="622"/>
      <c r="C10" s="693" t="s">
        <v>1761</v>
      </c>
      <c r="D10" s="693"/>
      <c r="E10" s="693"/>
      <c r="F10" s="693"/>
      <c r="G10" s="698"/>
      <c r="H10" s="693"/>
      <c r="I10" s="693"/>
      <c r="J10" s="693"/>
      <c r="K10" s="693"/>
      <c r="L10" s="693"/>
      <c r="M10" s="693"/>
      <c r="N10" s="693"/>
      <c r="O10" s="693"/>
      <c r="P10" s="693"/>
      <c r="Q10" s="693"/>
      <c r="R10" s="693"/>
      <c r="S10" s="697"/>
      <c r="T10" s="694"/>
      <c r="U10" s="693"/>
    </row>
    <row r="11" spans="1:21">
      <c r="A11" s="622"/>
      <c r="C11" s="693"/>
      <c r="D11" s="693"/>
      <c r="E11" s="693"/>
      <c r="F11" s="693"/>
      <c r="G11" s="698"/>
      <c r="L11" s="693"/>
      <c r="M11" s="693"/>
      <c r="N11" s="693"/>
      <c r="O11" s="693"/>
      <c r="P11" s="693"/>
      <c r="Q11" s="693"/>
      <c r="R11" s="693"/>
      <c r="S11" s="693"/>
      <c r="T11" s="657"/>
      <c r="U11" s="693"/>
    </row>
    <row r="12" spans="1:21">
      <c r="A12" s="622"/>
      <c r="C12" s="693"/>
      <c r="D12" s="693"/>
      <c r="E12" s="693"/>
      <c r="F12" s="693"/>
      <c r="G12" s="693"/>
      <c r="L12" s="699"/>
      <c r="M12" s="699"/>
      <c r="N12" s="699"/>
      <c r="O12" s="699"/>
      <c r="P12" s="693"/>
      <c r="Q12" s="693"/>
      <c r="R12" s="693"/>
      <c r="S12" s="693"/>
      <c r="T12" s="657"/>
      <c r="U12" s="693"/>
    </row>
    <row r="13" spans="1:21">
      <c r="C13" s="700" t="s">
        <v>569</v>
      </c>
      <c r="D13" s="700"/>
      <c r="E13" s="700" t="s">
        <v>570</v>
      </c>
      <c r="F13" s="700"/>
      <c r="I13" s="700" t="s">
        <v>571</v>
      </c>
      <c r="L13" s="701" t="s">
        <v>572</v>
      </c>
      <c r="M13" s="701"/>
      <c r="N13" s="701"/>
      <c r="O13" s="701"/>
      <c r="P13" s="695"/>
      <c r="Q13" s="701"/>
      <c r="R13" s="695"/>
      <c r="S13" s="701"/>
      <c r="U13" s="702"/>
    </row>
    <row r="14" spans="1:21">
      <c r="C14" s="702"/>
      <c r="D14" s="702"/>
      <c r="E14" s="703" t="s">
        <v>1762</v>
      </c>
      <c r="F14" s="703"/>
      <c r="I14" s="695"/>
      <c r="P14" s="695"/>
      <c r="R14" s="695"/>
      <c r="S14" s="700"/>
      <c r="T14" s="658"/>
      <c r="U14" s="702"/>
    </row>
    <row r="15" spans="1:21">
      <c r="A15" s="622" t="s">
        <v>573</v>
      </c>
      <c r="C15" s="702"/>
      <c r="D15" s="702"/>
      <c r="E15" s="704" t="s">
        <v>574</v>
      </c>
      <c r="F15" s="704"/>
      <c r="I15" s="668" t="s">
        <v>228</v>
      </c>
      <c r="L15" s="668" t="s">
        <v>236</v>
      </c>
      <c r="M15" s="668"/>
      <c r="N15" s="668"/>
      <c r="O15" s="668"/>
      <c r="P15" s="695"/>
      <c r="R15" s="693"/>
      <c r="S15" s="705"/>
      <c r="T15" s="658"/>
      <c r="U15" s="702"/>
    </row>
    <row r="16" spans="1:21">
      <c r="A16" s="622" t="s">
        <v>575</v>
      </c>
      <c r="C16" s="706"/>
      <c r="D16" s="706"/>
      <c r="E16" s="695"/>
      <c r="F16" s="695"/>
      <c r="I16" s="695"/>
      <c r="L16" s="695"/>
      <c r="M16" s="695"/>
      <c r="N16" s="695"/>
      <c r="O16" s="695"/>
      <c r="P16" s="695"/>
      <c r="Q16" s="695"/>
      <c r="R16" s="693"/>
      <c r="S16" s="695"/>
      <c r="U16" s="702"/>
    </row>
    <row r="17" spans="1:21">
      <c r="A17" s="707"/>
      <c r="C17" s="702"/>
      <c r="D17" s="702"/>
      <c r="E17" s="695"/>
      <c r="F17" s="695"/>
      <c r="I17" s="695"/>
      <c r="L17" s="695"/>
      <c r="M17" s="695"/>
      <c r="N17" s="695"/>
      <c r="O17" s="695"/>
      <c r="P17" s="695"/>
      <c r="Q17" s="695"/>
      <c r="R17" s="693"/>
      <c r="S17" s="695"/>
      <c r="U17" s="702"/>
    </row>
    <row r="18" spans="1:21">
      <c r="A18" s="708">
        <v>1</v>
      </c>
      <c r="C18" s="702" t="s">
        <v>576</v>
      </c>
      <c r="D18" s="702"/>
      <c r="E18" s="709" t="s">
        <v>794</v>
      </c>
      <c r="F18" s="708"/>
      <c r="I18" s="688">
        <f>+'9 - Rate Base'!C26</f>
        <v>1754695686.1443346</v>
      </c>
      <c r="P18" s="695"/>
      <c r="Q18" s="695"/>
      <c r="R18" s="693"/>
      <c r="S18" s="695"/>
      <c r="U18" s="702"/>
    </row>
    <row r="19" spans="1:21">
      <c r="A19" s="708">
        <v>2</v>
      </c>
      <c r="C19" s="702" t="s">
        <v>577</v>
      </c>
      <c r="D19" s="702"/>
      <c r="E19" s="709" t="s">
        <v>795</v>
      </c>
      <c r="F19" s="708"/>
      <c r="I19" s="688">
        <f>+'9 - Rate Base'!K26</f>
        <v>1448750506.5709615</v>
      </c>
      <c r="P19" s="695"/>
      <c r="Q19" s="695"/>
      <c r="R19" s="693"/>
      <c r="S19" s="695"/>
      <c r="U19" s="702"/>
    </row>
    <row r="20" spans="1:21">
      <c r="A20" s="708"/>
      <c r="E20" s="709"/>
      <c r="F20" s="708"/>
      <c r="P20" s="695"/>
      <c r="Q20" s="695"/>
      <c r="R20" s="693"/>
      <c r="S20" s="695"/>
      <c r="U20" s="702"/>
    </row>
    <row r="21" spans="1:21">
      <c r="A21" s="708"/>
      <c r="C21" s="702" t="s">
        <v>578</v>
      </c>
      <c r="D21" s="702"/>
      <c r="E21" s="709"/>
      <c r="F21" s="708"/>
      <c r="I21" s="695"/>
      <c r="L21" s="695"/>
      <c r="M21" s="695"/>
      <c r="N21" s="695"/>
      <c r="O21" s="695"/>
      <c r="P21" s="695"/>
      <c r="Q21" s="695"/>
      <c r="R21" s="695"/>
      <c r="S21" s="695"/>
      <c r="U21" s="702"/>
    </row>
    <row r="22" spans="1:21">
      <c r="A22" s="708">
        <v>3</v>
      </c>
      <c r="C22" s="702" t="s">
        <v>579</v>
      </c>
      <c r="D22" s="702"/>
      <c r="E22" s="709" t="s">
        <v>1763</v>
      </c>
      <c r="F22" s="708"/>
      <c r="I22" s="688">
        <f>+'ATT H-1A'!H167</f>
        <v>35457088.173571624</v>
      </c>
      <c r="P22" s="695"/>
      <c r="Q22" s="695"/>
      <c r="R22" s="695"/>
      <c r="S22" s="695"/>
      <c r="U22" s="702"/>
    </row>
    <row r="23" spans="1:21">
      <c r="A23" s="708">
        <v>4</v>
      </c>
      <c r="C23" s="702" t="s">
        <v>580</v>
      </c>
      <c r="D23" s="702"/>
      <c r="E23" s="709" t="s">
        <v>581</v>
      </c>
      <c r="F23" s="708"/>
      <c r="I23" s="710">
        <f>IF(I$18=0,0,I22/I$18)</f>
        <v>2.0206972897666917E-2</v>
      </c>
      <c r="L23" s="711">
        <f>I23</f>
        <v>2.0206972897666917E-2</v>
      </c>
      <c r="M23" s="712"/>
      <c r="N23" s="712"/>
      <c r="O23" s="712"/>
      <c r="P23" s="695"/>
      <c r="Q23" s="713"/>
      <c r="R23" s="714"/>
      <c r="S23" s="715"/>
      <c r="U23" s="702"/>
    </row>
    <row r="24" spans="1:21">
      <c r="A24" s="708"/>
      <c r="C24" s="702"/>
      <c r="D24" s="702"/>
      <c r="E24" s="709"/>
      <c r="F24" s="708"/>
      <c r="I24" s="716"/>
      <c r="L24" s="711"/>
      <c r="M24" s="712"/>
      <c r="N24" s="712"/>
      <c r="O24" s="712"/>
      <c r="P24" s="695"/>
      <c r="Q24" s="713"/>
      <c r="R24" s="714"/>
      <c r="S24" s="715"/>
      <c r="U24" s="702"/>
    </row>
    <row r="25" spans="1:21">
      <c r="A25" s="701"/>
      <c r="C25" s="702" t="s">
        <v>582</v>
      </c>
      <c r="D25" s="702"/>
      <c r="E25" s="717"/>
      <c r="F25" s="718"/>
      <c r="I25" s="695"/>
      <c r="L25" s="710"/>
      <c r="M25" s="695"/>
      <c r="N25" s="695"/>
      <c r="O25" s="695"/>
      <c r="P25" s="695"/>
      <c r="Q25" s="713"/>
      <c r="R25" s="714"/>
      <c r="S25" s="715"/>
      <c r="U25" s="702"/>
    </row>
    <row r="26" spans="1:21">
      <c r="A26" s="701" t="s">
        <v>583</v>
      </c>
      <c r="C26" s="702" t="s">
        <v>584</v>
      </c>
      <c r="D26" s="702"/>
      <c r="E26" s="709" t="s">
        <v>1764</v>
      </c>
      <c r="F26" s="708"/>
      <c r="I26" s="688">
        <f>+'ATT H-1A'!H181+'ATT H-1A'!H187</f>
        <v>3871337.0180203319</v>
      </c>
      <c r="L26" s="710"/>
      <c r="P26" s="695"/>
      <c r="Q26" s="713"/>
      <c r="R26" s="714"/>
      <c r="S26" s="715"/>
      <c r="U26" s="702"/>
    </row>
    <row r="27" spans="1:21">
      <c r="A27" s="701" t="s">
        <v>585</v>
      </c>
      <c r="C27" s="702" t="s">
        <v>586</v>
      </c>
      <c r="D27" s="702"/>
      <c r="E27" s="709" t="s">
        <v>587</v>
      </c>
      <c r="F27" s="708"/>
      <c r="I27" s="719">
        <f>IF(I26=0,0,I26/I18)</f>
        <v>2.2062726024744388E-3</v>
      </c>
      <c r="J27" s="719"/>
      <c r="K27" s="719"/>
      <c r="L27" s="711">
        <f>I27</f>
        <v>2.2062726024744388E-3</v>
      </c>
      <c r="M27" s="712"/>
      <c r="N27" s="712"/>
      <c r="O27" s="712"/>
      <c r="P27" s="695"/>
      <c r="Q27" s="713"/>
      <c r="R27" s="714"/>
      <c r="S27" s="715"/>
      <c r="U27" s="702"/>
    </row>
    <row r="28" spans="1:21">
      <c r="A28" s="708"/>
      <c r="C28" s="702"/>
      <c r="D28" s="702"/>
      <c r="E28" s="709"/>
      <c r="F28" s="708"/>
      <c r="I28" s="719"/>
      <c r="J28" s="719"/>
      <c r="K28" s="719"/>
      <c r="L28" s="711"/>
      <c r="M28" s="712"/>
      <c r="N28" s="712"/>
      <c r="O28" s="712"/>
      <c r="P28" s="695"/>
      <c r="Q28" s="713"/>
      <c r="R28" s="714"/>
      <c r="S28" s="715"/>
      <c r="U28" s="702"/>
    </row>
    <row r="29" spans="1:21">
      <c r="A29" s="701"/>
      <c r="C29" s="702" t="s">
        <v>588</v>
      </c>
      <c r="D29" s="702"/>
      <c r="E29" s="717"/>
      <c r="F29" s="718"/>
      <c r="I29" s="719"/>
      <c r="J29" s="719"/>
      <c r="K29" s="719"/>
      <c r="L29" s="710"/>
      <c r="M29" s="695"/>
      <c r="N29" s="695"/>
      <c r="O29" s="695"/>
      <c r="P29" s="695"/>
      <c r="Q29" s="695"/>
      <c r="R29" s="695"/>
      <c r="S29" s="695"/>
      <c r="U29" s="702"/>
    </row>
    <row r="30" spans="1:21">
      <c r="A30" s="701" t="s">
        <v>589</v>
      </c>
      <c r="C30" s="702" t="s">
        <v>590</v>
      </c>
      <c r="D30" s="702"/>
      <c r="E30" s="709" t="s">
        <v>1765</v>
      </c>
      <c r="F30" s="708"/>
      <c r="I30" s="688">
        <f>+'ATT H-1A'!H196</f>
        <v>1247237.2224480165</v>
      </c>
      <c r="J30" s="719"/>
      <c r="K30" s="719"/>
      <c r="L30" s="710"/>
      <c r="P30" s="695"/>
      <c r="Q30" s="705"/>
      <c r="R30" s="695"/>
      <c r="S30" s="708"/>
      <c r="T30" s="658"/>
      <c r="U30" s="702"/>
    </row>
    <row r="31" spans="1:21">
      <c r="A31" s="701" t="s">
        <v>591</v>
      </c>
      <c r="C31" s="702" t="s">
        <v>592</v>
      </c>
      <c r="D31" s="702"/>
      <c r="E31" s="709" t="s">
        <v>593</v>
      </c>
      <c r="F31" s="708"/>
      <c r="I31" s="719">
        <f>IF(I30=0,0,I30/I18)</f>
        <v>7.1079973142728953E-4</v>
      </c>
      <c r="J31" s="719"/>
      <c r="K31" s="719"/>
      <c r="L31" s="711">
        <f>I31</f>
        <v>7.1079973142728953E-4</v>
      </c>
      <c r="M31" s="712"/>
      <c r="N31" s="712"/>
      <c r="O31" s="712"/>
      <c r="P31" s="695"/>
      <c r="Q31" s="713"/>
      <c r="R31" s="695"/>
      <c r="S31" s="715"/>
      <c r="T31" s="658"/>
      <c r="U31" s="702"/>
    </row>
    <row r="32" spans="1:21">
      <c r="A32" s="701"/>
      <c r="C32" s="702"/>
      <c r="D32" s="702"/>
      <c r="E32" s="709"/>
      <c r="F32" s="708"/>
      <c r="I32" s="695"/>
      <c r="L32" s="710"/>
      <c r="M32" s="695"/>
      <c r="N32" s="695"/>
      <c r="O32" s="695"/>
      <c r="P32" s="695"/>
      <c r="U32" s="702"/>
    </row>
    <row r="33" spans="1:21">
      <c r="A33" s="701" t="s">
        <v>594</v>
      </c>
      <c r="C33" s="702" t="s">
        <v>772</v>
      </c>
      <c r="D33" s="702"/>
      <c r="E33" s="709" t="s">
        <v>1766</v>
      </c>
      <c r="F33" s="708"/>
      <c r="I33" s="688">
        <f>-'ATT H-1A'!H292</f>
        <v>-4406382.4812927144</v>
      </c>
      <c r="L33" s="710"/>
      <c r="M33" s="695"/>
      <c r="N33" s="695"/>
      <c r="O33" s="695"/>
      <c r="P33" s="695"/>
      <c r="U33" s="702"/>
    </row>
    <row r="34" spans="1:21">
      <c r="A34" s="701" t="s">
        <v>595</v>
      </c>
      <c r="C34" s="702" t="s">
        <v>596</v>
      </c>
      <c r="D34" s="702"/>
      <c r="E34" s="709" t="s">
        <v>597</v>
      </c>
      <c r="F34" s="708"/>
      <c r="I34" s="710">
        <f>IF(I$18=0,0,I33/I$18)</f>
        <v>-2.5111946852590951E-3</v>
      </c>
      <c r="L34" s="710">
        <f>+I34</f>
        <v>-2.5111946852590951E-3</v>
      </c>
      <c r="M34" s="695"/>
      <c r="N34" s="695"/>
      <c r="O34" s="695"/>
      <c r="P34" s="695"/>
      <c r="U34" s="702"/>
    </row>
    <row r="35" spans="1:21">
      <c r="A35" s="701"/>
      <c r="C35" s="702"/>
      <c r="D35" s="702"/>
      <c r="E35" s="709"/>
      <c r="F35" s="708"/>
      <c r="I35" s="695"/>
      <c r="L35" s="710"/>
      <c r="M35" s="695"/>
      <c r="N35" s="695"/>
      <c r="O35" s="695"/>
      <c r="P35" s="695"/>
      <c r="U35" s="702"/>
    </row>
    <row r="36" spans="1:21">
      <c r="A36" s="720" t="s">
        <v>598</v>
      </c>
      <c r="B36" s="721"/>
      <c r="C36" s="706" t="s">
        <v>599</v>
      </c>
      <c r="D36" s="706"/>
      <c r="E36" s="722" t="s">
        <v>600</v>
      </c>
      <c r="F36" s="703"/>
      <c r="I36" s="714"/>
      <c r="L36" s="723">
        <f>L23+L27+L31+L34</f>
        <v>2.0612850546309552E-2</v>
      </c>
      <c r="M36" s="724"/>
      <c r="N36" s="724"/>
      <c r="O36" s="724"/>
      <c r="P36" s="695"/>
      <c r="U36" s="702"/>
    </row>
    <row r="37" spans="1:21">
      <c r="A37" s="701"/>
      <c r="C37" s="702"/>
      <c r="D37" s="702"/>
      <c r="E37" s="709"/>
      <c r="F37" s="708"/>
      <c r="I37" s="695"/>
      <c r="L37" s="710"/>
      <c r="M37" s="695"/>
      <c r="N37" s="695"/>
      <c r="O37" s="695"/>
      <c r="P37" s="695"/>
      <c r="Q37" s="695"/>
      <c r="R37" s="695"/>
      <c r="S37" s="725"/>
      <c r="U37" s="702"/>
    </row>
    <row r="38" spans="1:21">
      <c r="A38" s="701"/>
      <c r="B38" s="726"/>
      <c r="C38" s="695" t="s">
        <v>568</v>
      </c>
      <c r="D38" s="695"/>
      <c r="E38" s="709"/>
      <c r="F38" s="708"/>
      <c r="I38" s="695"/>
      <c r="L38" s="710"/>
      <c r="M38" s="695"/>
      <c r="N38" s="695"/>
      <c r="O38" s="695"/>
      <c r="P38" s="727"/>
      <c r="Q38" s="726"/>
      <c r="T38" s="658"/>
      <c r="U38" s="695" t="s">
        <v>86</v>
      </c>
    </row>
    <row r="39" spans="1:21">
      <c r="A39" s="701" t="s">
        <v>601</v>
      </c>
      <c r="B39" s="726"/>
      <c r="C39" s="695" t="s">
        <v>197</v>
      </c>
      <c r="D39" s="695"/>
      <c r="E39" s="709" t="s">
        <v>1767</v>
      </c>
      <c r="F39" s="708"/>
      <c r="I39" s="688">
        <f>+'ATT H-1A'!H279</f>
        <v>5279630.2724221162</v>
      </c>
      <c r="L39" s="710"/>
      <c r="M39" s="695"/>
      <c r="N39" s="695"/>
      <c r="O39" s="695"/>
      <c r="P39" s="727"/>
      <c r="Q39" s="726"/>
      <c r="T39" s="658"/>
      <c r="U39" s="695"/>
    </row>
    <row r="40" spans="1:21">
      <c r="A40" s="701" t="s">
        <v>602</v>
      </c>
      <c r="B40" s="726"/>
      <c r="C40" s="695" t="s">
        <v>603</v>
      </c>
      <c r="D40" s="695"/>
      <c r="E40" s="709" t="s">
        <v>604</v>
      </c>
      <c r="F40" s="708"/>
      <c r="I40" s="719">
        <f>IF(I19=0,0,I39/I19)</f>
        <v>3.6442646601162819E-3</v>
      </c>
      <c r="L40" s="711">
        <f>I40</f>
        <v>3.6442646601162819E-3</v>
      </c>
      <c r="M40" s="712"/>
      <c r="N40" s="712"/>
      <c r="O40" s="712"/>
      <c r="P40" s="727"/>
      <c r="Q40" s="726"/>
      <c r="R40" s="695"/>
      <c r="S40" s="695"/>
      <c r="T40" s="658"/>
      <c r="U40" s="695"/>
    </row>
    <row r="41" spans="1:21">
      <c r="A41" s="701"/>
      <c r="C41" s="695"/>
      <c r="D41" s="695"/>
      <c r="E41" s="709"/>
      <c r="F41" s="708"/>
      <c r="I41" s="695"/>
      <c r="L41" s="710"/>
      <c r="M41" s="695"/>
      <c r="N41" s="695"/>
      <c r="O41" s="695"/>
      <c r="P41" s="695"/>
      <c r="R41" s="693"/>
      <c r="S41" s="695"/>
      <c r="T41" s="657"/>
      <c r="U41" s="702"/>
    </row>
    <row r="42" spans="1:21">
      <c r="A42" s="701"/>
      <c r="C42" s="702" t="s">
        <v>605</v>
      </c>
      <c r="D42" s="702"/>
      <c r="E42" s="728"/>
      <c r="F42" s="729"/>
      <c r="L42" s="710"/>
      <c r="P42" s="695"/>
      <c r="R42" s="695"/>
      <c r="S42" s="695"/>
      <c r="U42" s="702"/>
    </row>
    <row r="43" spans="1:21">
      <c r="A43" s="701" t="s">
        <v>606</v>
      </c>
      <c r="C43" s="702" t="s">
        <v>607</v>
      </c>
      <c r="D43" s="702"/>
      <c r="E43" s="709" t="s">
        <v>1768</v>
      </c>
      <c r="F43" s="708"/>
      <c r="I43" s="688">
        <f>+'ATT H-1A'!H278</f>
        <v>86318231.456435829</v>
      </c>
      <c r="L43" s="710"/>
      <c r="M43" s="695"/>
      <c r="N43" s="695"/>
      <c r="O43" s="695"/>
      <c r="P43" s="695"/>
      <c r="R43" s="695"/>
      <c r="S43" s="695"/>
      <c r="U43" s="702"/>
    </row>
    <row r="44" spans="1:21">
      <c r="A44" s="701" t="s">
        <v>608</v>
      </c>
      <c r="B44" s="726"/>
      <c r="C44" s="695" t="s">
        <v>609</v>
      </c>
      <c r="D44" s="695"/>
      <c r="E44" s="709" t="s">
        <v>610</v>
      </c>
      <c r="F44" s="708"/>
      <c r="I44" s="719">
        <f>IF(I19=0,0,I43/I19)</f>
        <v>5.9581157048732923E-2</v>
      </c>
      <c r="L44" s="711">
        <f>I44</f>
        <v>5.9581157048732923E-2</v>
      </c>
      <c r="M44" s="712"/>
      <c r="N44" s="712"/>
      <c r="O44" s="712"/>
      <c r="P44" s="695"/>
      <c r="S44" s="730"/>
      <c r="T44" s="658"/>
      <c r="U44" s="695"/>
    </row>
    <row r="45" spans="1:21">
      <c r="A45" s="701"/>
      <c r="C45" s="702"/>
      <c r="D45" s="702"/>
      <c r="E45" s="709"/>
      <c r="F45" s="708"/>
      <c r="I45" s="695"/>
      <c r="L45" s="710"/>
      <c r="M45" s="695"/>
      <c r="N45" s="695"/>
      <c r="O45" s="695"/>
      <c r="P45" s="695"/>
      <c r="Q45" s="729"/>
      <c r="R45" s="695"/>
      <c r="S45" s="695"/>
      <c r="U45" s="702"/>
    </row>
    <row r="46" spans="1:21">
      <c r="A46" s="720" t="s">
        <v>611</v>
      </c>
      <c r="B46" s="721"/>
      <c r="C46" s="706" t="s">
        <v>612</v>
      </c>
      <c r="D46" s="706"/>
      <c r="E46" s="722" t="s">
        <v>613</v>
      </c>
      <c r="F46" s="703"/>
      <c r="I46" s="719">
        <f>+I44+I40</f>
        <v>6.3225421708849205E-2</v>
      </c>
      <c r="L46" s="723">
        <f>L40+L44</f>
        <v>6.3225421708849205E-2</v>
      </c>
      <c r="M46" s="724"/>
      <c r="N46" s="724"/>
      <c r="O46" s="724"/>
      <c r="P46" s="695"/>
      <c r="Q46" s="729"/>
      <c r="R46" s="695"/>
      <c r="S46" s="695"/>
      <c r="U46" s="702"/>
    </row>
    <row r="47" spans="1:21">
      <c r="P47" s="731"/>
      <c r="Q47" s="731"/>
      <c r="R47" s="695"/>
      <c r="S47" s="695"/>
      <c r="U47" s="702"/>
    </row>
    <row r="48" spans="1:21">
      <c r="P48" s="731"/>
      <c r="Q48" s="731"/>
      <c r="R48" s="695"/>
      <c r="S48" s="695"/>
      <c r="U48" s="702"/>
    </row>
    <row r="49" spans="1:21">
      <c r="A49" s="732"/>
      <c r="C49" s="701"/>
      <c r="D49" s="701"/>
      <c r="E49" s="718"/>
      <c r="F49" s="718"/>
      <c r="G49" s="695"/>
      <c r="J49" s="716"/>
      <c r="P49" s="695"/>
      <c r="Q49" s="713"/>
      <c r="R49" s="733"/>
      <c r="S49" s="695"/>
      <c r="T49" s="658"/>
      <c r="U49" s="695"/>
    </row>
    <row r="50" spans="1:21">
      <c r="A50" s="622"/>
      <c r="G50" s="695"/>
      <c r="P50" s="695"/>
      <c r="Q50" s="695"/>
      <c r="R50" s="695"/>
      <c r="S50" s="695"/>
      <c r="T50" s="658"/>
      <c r="U50" s="695" t="s">
        <v>86</v>
      </c>
    </row>
    <row r="51" spans="1:21">
      <c r="Q51" s="687"/>
    </row>
    <row r="52" spans="1:21">
      <c r="Q52" s="687"/>
    </row>
    <row r="54" spans="1:21">
      <c r="A54" s="622"/>
      <c r="G54" s="695"/>
      <c r="P54" s="695"/>
      <c r="Q54" s="687"/>
      <c r="R54" s="695"/>
      <c r="S54" s="693"/>
      <c r="U54" s="702"/>
    </row>
    <row r="55" spans="1:21">
      <c r="A55" s="622"/>
      <c r="C55" s="702"/>
      <c r="D55" s="702"/>
      <c r="G55" s="718" t="s">
        <v>301</v>
      </c>
      <c r="H55" s="718"/>
      <c r="P55" s="695"/>
      <c r="Q55" s="687"/>
      <c r="R55" s="695"/>
      <c r="U55" s="702"/>
    </row>
    <row r="56" spans="1:21">
      <c r="A56" s="622"/>
      <c r="C56" s="702"/>
      <c r="D56" s="702"/>
      <c r="G56" s="1252" t="s">
        <v>1250</v>
      </c>
      <c r="H56" s="718"/>
      <c r="L56" s="695"/>
      <c r="M56" s="695"/>
      <c r="N56" s="695"/>
      <c r="O56" s="695"/>
      <c r="P56" s="695"/>
      <c r="R56" s="695"/>
      <c r="S56" s="693"/>
      <c r="U56" s="702"/>
    </row>
    <row r="57" spans="1:21" ht="14.25" customHeight="1">
      <c r="A57" s="622"/>
      <c r="G57" s="627" t="s">
        <v>1547</v>
      </c>
      <c r="P57" s="695"/>
      <c r="R57" s="695"/>
      <c r="S57" s="693"/>
      <c r="U57" s="702"/>
    </row>
    <row r="58" spans="1:21">
      <c r="A58" s="622"/>
      <c r="H58" s="718"/>
      <c r="P58" s="695"/>
      <c r="Q58" s="695"/>
      <c r="R58" s="695"/>
      <c r="S58" s="693"/>
      <c r="U58" s="702"/>
    </row>
    <row r="59" spans="1:21">
      <c r="A59" s="622"/>
      <c r="E59" s="702"/>
      <c r="F59" s="702"/>
      <c r="G59" s="702"/>
      <c r="H59" s="702"/>
      <c r="I59" s="702"/>
      <c r="J59" s="702"/>
      <c r="K59" s="702"/>
      <c r="L59" s="702"/>
      <c r="M59" s="702"/>
      <c r="N59" s="702"/>
      <c r="O59" s="702"/>
      <c r="P59" s="702"/>
      <c r="Q59" s="702"/>
      <c r="R59" s="695"/>
      <c r="S59" s="693"/>
      <c r="U59" s="702"/>
    </row>
    <row r="60" spans="1:21">
      <c r="A60" s="622"/>
      <c r="E60" s="706"/>
      <c r="F60" s="706"/>
      <c r="H60" s="702"/>
      <c r="I60" s="693"/>
      <c r="J60" s="693"/>
      <c r="K60" s="693"/>
      <c r="L60" s="693"/>
      <c r="M60" s="693"/>
      <c r="N60" s="693"/>
      <c r="O60" s="693"/>
      <c r="P60" s="695"/>
      <c r="Q60" s="695"/>
      <c r="R60" s="695"/>
      <c r="S60" s="693"/>
      <c r="U60" s="702"/>
    </row>
    <row r="61" spans="1:21">
      <c r="A61" s="622"/>
      <c r="E61" s="706"/>
      <c r="F61" s="706"/>
      <c r="G61" s="706"/>
      <c r="H61" s="702"/>
      <c r="I61" s="693"/>
      <c r="J61" s="693"/>
      <c r="K61" s="693"/>
      <c r="L61" s="693"/>
      <c r="M61" s="693"/>
      <c r="N61" s="693"/>
      <c r="O61" s="693"/>
      <c r="P61" s="695"/>
      <c r="Q61" s="695"/>
      <c r="R61" s="695"/>
      <c r="S61" s="693"/>
      <c r="U61" s="702"/>
    </row>
    <row r="62" spans="1:21">
      <c r="A62" s="622"/>
      <c r="C62" s="734">
        <v>-1</v>
      </c>
      <c r="D62" s="734">
        <v>-2</v>
      </c>
      <c r="E62" s="734">
        <v>-3</v>
      </c>
      <c r="F62" s="734">
        <v>-4</v>
      </c>
      <c r="G62" s="734">
        <v>-5</v>
      </c>
      <c r="H62" s="734">
        <v>-6</v>
      </c>
      <c r="I62" s="734">
        <v>-7</v>
      </c>
      <c r="J62" s="734">
        <v>-8</v>
      </c>
      <c r="K62" s="734">
        <v>-9</v>
      </c>
      <c r="L62" s="734">
        <v>-10</v>
      </c>
      <c r="M62" s="734">
        <v>-11</v>
      </c>
      <c r="N62" s="734">
        <v>-12</v>
      </c>
      <c r="O62" s="734">
        <v>-13</v>
      </c>
      <c r="P62" s="735" t="s">
        <v>614</v>
      </c>
      <c r="Q62" s="735" t="s">
        <v>615</v>
      </c>
      <c r="U62" s="702"/>
    </row>
    <row r="63" spans="1:21" ht="53.25" customHeight="1">
      <c r="A63" s="736" t="s">
        <v>616</v>
      </c>
      <c r="B63" s="737"/>
      <c r="C63" s="1253" t="s">
        <v>1251</v>
      </c>
      <c r="D63" s="1254" t="s">
        <v>1252</v>
      </c>
      <c r="E63" s="738" t="s">
        <v>619</v>
      </c>
      <c r="F63" s="738" t="s">
        <v>599</v>
      </c>
      <c r="G63" s="739" t="s">
        <v>620</v>
      </c>
      <c r="H63" s="738" t="s">
        <v>621</v>
      </c>
      <c r="I63" s="738" t="s">
        <v>612</v>
      </c>
      <c r="J63" s="739" t="s">
        <v>622</v>
      </c>
      <c r="K63" s="738" t="s">
        <v>623</v>
      </c>
      <c r="L63" s="740" t="s">
        <v>624</v>
      </c>
      <c r="M63" s="740" t="s">
        <v>625</v>
      </c>
      <c r="N63" s="740" t="s">
        <v>626</v>
      </c>
      <c r="O63" s="740" t="s">
        <v>627</v>
      </c>
      <c r="P63" s="740" t="s">
        <v>628</v>
      </c>
      <c r="Q63" s="740" t="s">
        <v>629</v>
      </c>
      <c r="U63" s="702"/>
    </row>
    <row r="64" spans="1:21" ht="46.5" customHeight="1">
      <c r="A64" s="741"/>
      <c r="B64" s="742"/>
      <c r="C64" s="742"/>
      <c r="D64" s="742"/>
      <c r="E64" s="743" t="s">
        <v>67</v>
      </c>
      <c r="F64" s="743" t="s">
        <v>630</v>
      </c>
      <c r="G64" s="744" t="s">
        <v>631</v>
      </c>
      <c r="H64" s="743" t="s">
        <v>632</v>
      </c>
      <c r="I64" s="743" t="s">
        <v>633</v>
      </c>
      <c r="J64" s="744" t="s">
        <v>634</v>
      </c>
      <c r="K64" s="743" t="s">
        <v>635</v>
      </c>
      <c r="L64" s="744" t="s">
        <v>636</v>
      </c>
      <c r="M64" s="743" t="s">
        <v>637</v>
      </c>
      <c r="N64" s="745" t="s">
        <v>1543</v>
      </c>
      <c r="O64" s="746" t="s">
        <v>638</v>
      </c>
      <c r="P64" s="747" t="s">
        <v>639</v>
      </c>
      <c r="Q64" s="746" t="s">
        <v>744</v>
      </c>
      <c r="U64" s="702"/>
    </row>
    <row r="65" spans="1:21">
      <c r="A65" s="748"/>
      <c r="B65" s="693"/>
      <c r="C65" s="693"/>
      <c r="D65" s="693"/>
      <c r="E65" s="693"/>
      <c r="F65" s="693"/>
      <c r="G65" s="749"/>
      <c r="H65" s="693"/>
      <c r="I65" s="693"/>
      <c r="J65" s="749"/>
      <c r="K65" s="693"/>
      <c r="L65" s="749"/>
      <c r="M65" s="750"/>
      <c r="N65" s="749"/>
      <c r="O65" s="749"/>
      <c r="P65" s="695"/>
      <c r="Q65" s="751"/>
      <c r="U65" s="702"/>
    </row>
    <row r="66" spans="1:21">
      <c r="A66" s="752" t="s">
        <v>216</v>
      </c>
      <c r="B66" s="753"/>
      <c r="C66" s="753" t="s">
        <v>640</v>
      </c>
      <c r="D66" s="1259" t="s">
        <v>641</v>
      </c>
      <c r="E66" s="758">
        <f>+'9 - Rate Base'!C26-SUM('6-Project Rev Req'!E67:E83)</f>
        <v>1644798622.1443346</v>
      </c>
      <c r="F66" s="719">
        <f t="shared" ref="F66:F75" si="0">$L$36</f>
        <v>2.0612850546309552E-2</v>
      </c>
      <c r="G66" s="755">
        <f t="shared" ref="G66:G75" si="1">E66*F66</f>
        <v>33903988.177037045</v>
      </c>
      <c r="H66" s="758">
        <f>+'9 - Rate Base'!K26-SUM(H67:H82)</f>
        <v>1365984316.1534138</v>
      </c>
      <c r="I66" s="719">
        <f>$L$46</f>
        <v>6.3225421708849205E-2</v>
      </c>
      <c r="J66" s="755">
        <f>H66*I66</f>
        <v>86364934.436473578</v>
      </c>
      <c r="K66" s="759">
        <f>+'ATT H-1A'!H173-SUM('6-Project Rev Req'!K67:K82)</f>
        <v>40384294.57732033</v>
      </c>
      <c r="L66" s="755">
        <f>G66+J66+K66</f>
        <v>160653217.19083095</v>
      </c>
      <c r="M66" s="760">
        <v>0</v>
      </c>
      <c r="N66" s="755">
        <v>0</v>
      </c>
      <c r="O66" s="755">
        <f>+L66+N66</f>
        <v>160653217.19083095</v>
      </c>
      <c r="P66" s="760">
        <f>+'6A-Project True-up'!K18</f>
        <v>3184608.2046391745</v>
      </c>
      <c r="Q66" s="755">
        <f t="shared" ref="Q66:Q75" si="2">+O66+P66</f>
        <v>163837825.39547011</v>
      </c>
    </row>
    <row r="67" spans="1:21">
      <c r="A67" s="752" t="s">
        <v>160</v>
      </c>
      <c r="B67" s="753"/>
      <c r="C67" s="1538" t="s">
        <v>1558</v>
      </c>
      <c r="D67" s="757" t="s">
        <v>1559</v>
      </c>
      <c r="E67" s="758">
        <f>+'7 - Cap Add WS'!E31</f>
        <v>4854660</v>
      </c>
      <c r="F67" s="719">
        <f t="shared" si="0"/>
        <v>2.0612850546309552E-2</v>
      </c>
      <c r="G67" s="755">
        <f t="shared" si="1"/>
        <v>100068.38103314713</v>
      </c>
      <c r="H67" s="758">
        <f>AVERAGE('7 - Cap Add WS'!G57,'7 - Cap Add WS'!G59)</f>
        <v>3467614.2857142845</v>
      </c>
      <c r="I67" s="719">
        <f t="shared" ref="I67:I75" si="3">$L$46</f>
        <v>6.3225421708849205E-2</v>
      </c>
      <c r="J67" s="755">
        <f t="shared" ref="J67:J75" si="4">H67*I67</f>
        <v>219241.37553791556</v>
      </c>
      <c r="K67" s="759">
        <f>+'7 - Cap Add WS'!F59</f>
        <v>138704.57142857142</v>
      </c>
      <c r="L67" s="755">
        <f t="shared" ref="L67" si="5">G67+J67+K67</f>
        <v>458014.32799963414</v>
      </c>
      <c r="M67" s="760">
        <f>+'7 - Cap Add WS'!E28</f>
        <v>150</v>
      </c>
      <c r="N67" s="755">
        <f>+'7 - Cap Add WS'!H63-'7 - Cap Add WS'!H62</f>
        <v>26047.167471513734</v>
      </c>
      <c r="O67" s="755">
        <f>+L67+N67</f>
        <v>484061.49547114788</v>
      </c>
      <c r="P67" s="760">
        <f>+'6A-Project True-up'!K19</f>
        <v>10628.811476894974</v>
      </c>
      <c r="Q67" s="755">
        <f t="shared" si="2"/>
        <v>494690.30694804282</v>
      </c>
    </row>
    <row r="68" spans="1:21">
      <c r="A68" s="752" t="s">
        <v>218</v>
      </c>
      <c r="B68" s="753"/>
      <c r="C68" s="1538" t="s">
        <v>1560</v>
      </c>
      <c r="D68" s="757" t="s">
        <v>1561</v>
      </c>
      <c r="E68" s="758">
        <f>+'7 - Cap Add WS'!I31</f>
        <v>7878071</v>
      </c>
      <c r="F68" s="719">
        <f t="shared" si="0"/>
        <v>2.0612850546309552E-2</v>
      </c>
      <c r="G68" s="755">
        <f t="shared" si="1"/>
        <v>162389.50011621544</v>
      </c>
      <c r="H68" s="758">
        <f>AVERAGE('7 - Cap Add WS'!K57,'7 - Cap Add WS'!K59)</f>
        <v>5627193.5714285672</v>
      </c>
      <c r="I68" s="719">
        <f t="shared" si="3"/>
        <v>6.3225421708849205E-2</v>
      </c>
      <c r="J68" s="755">
        <f t="shared" si="4"/>
        <v>355781.6865908964</v>
      </c>
      <c r="K68" s="759">
        <f>+'7 - Cap Add WS'!J59</f>
        <v>225087.74285714285</v>
      </c>
      <c r="L68" s="755">
        <f>G68+J68+K68</f>
        <v>743258.92956425471</v>
      </c>
      <c r="M68" s="760">
        <f>+'7 - Cap Add WS'!I28</f>
        <v>0</v>
      </c>
      <c r="N68" s="755">
        <v>0</v>
      </c>
      <c r="O68" s="755">
        <f t="shared" ref="O68:O75" si="6">+L68+N68</f>
        <v>743258.92956425471</v>
      </c>
      <c r="P68" s="760">
        <f>+'6A-Project True-up'!K20</f>
        <v>16298.345836688151</v>
      </c>
      <c r="Q68" s="755">
        <f t="shared" si="2"/>
        <v>759557.27540094289</v>
      </c>
    </row>
    <row r="69" spans="1:21">
      <c r="A69" s="752" t="s">
        <v>219</v>
      </c>
      <c r="B69" s="753"/>
      <c r="C69" s="1538" t="s">
        <v>1562</v>
      </c>
      <c r="D69" s="757" t="s">
        <v>1563</v>
      </c>
      <c r="E69" s="758">
        <f>+'7 - Cap Add WS'!M31</f>
        <v>13722120</v>
      </c>
      <c r="F69" s="719">
        <f t="shared" si="0"/>
        <v>2.0612850546309552E-2</v>
      </c>
      <c r="G69" s="755">
        <f t="shared" si="1"/>
        <v>282852.00873852521</v>
      </c>
      <c r="H69" s="758">
        <f>AVERAGE('7 - Cap Add WS'!O57,'7 - Cap Add WS'!O59)</f>
        <v>9507468.8571428619</v>
      </c>
      <c r="I69" s="719">
        <f t="shared" si="3"/>
        <v>6.3225421708849205E-2</v>
      </c>
      <c r="J69" s="755">
        <f t="shared" si="4"/>
        <v>601113.72787660803</v>
      </c>
      <c r="K69" s="759">
        <f>+'7 - Cap Add WS'!N59</f>
        <v>392060.57142857142</v>
      </c>
      <c r="L69" s="755">
        <f>G69+J69+K69</f>
        <v>1276026.3080437046</v>
      </c>
      <c r="M69" s="760">
        <f>+'7 - Cap Add WS'!M28</f>
        <v>0</v>
      </c>
      <c r="N69" s="755">
        <v>0</v>
      </c>
      <c r="O69" s="755">
        <f t="shared" si="6"/>
        <v>1276026.3080437046</v>
      </c>
      <c r="P69" s="760">
        <f>+'6A-Project True-up'!K21</f>
        <v>27998.899368414575</v>
      </c>
      <c r="Q69" s="755">
        <f t="shared" si="2"/>
        <v>1304025.2074121193</v>
      </c>
    </row>
    <row r="70" spans="1:21">
      <c r="A70" s="752" t="s">
        <v>220</v>
      </c>
      <c r="B70" s="753"/>
      <c r="C70" s="1538" t="s">
        <v>1564</v>
      </c>
      <c r="D70" s="757" t="s">
        <v>1565</v>
      </c>
      <c r="E70" s="758">
        <f>+'7 - Cap Add WS'!Q31</f>
        <v>26046638</v>
      </c>
      <c r="F70" s="719">
        <f t="shared" si="0"/>
        <v>2.0612850546309552E-2</v>
      </c>
      <c r="G70" s="755">
        <f t="shared" si="1"/>
        <v>536895.45632782718</v>
      </c>
      <c r="H70" s="758">
        <f>AVERAGE('7 - Cap Add WS'!S57,'7 - Cap Add WS'!S59)</f>
        <v>17922567.576190498</v>
      </c>
      <c r="I70" s="719">
        <f t="shared" si="3"/>
        <v>6.3225421708849205E-2</v>
      </c>
      <c r="J70" s="755">
        <f t="shared" si="4"/>
        <v>1133161.8931099917</v>
      </c>
      <c r="K70" s="759">
        <f>+'7 - Cap Add WS'!R59</f>
        <v>744189.65714285709</v>
      </c>
      <c r="L70" s="755">
        <f t="shared" ref="L70:L75" si="7">G70+J70+K70</f>
        <v>2414247.006580676</v>
      </c>
      <c r="M70" s="760">
        <f>+'7 - Cap Add WS'!Q28</f>
        <v>150</v>
      </c>
      <c r="N70" s="755">
        <f>+'7 - Cap Add WS'!T63-'7 - Cap Add WS'!T62</f>
        <v>134056.95710503776</v>
      </c>
      <c r="O70" s="755">
        <f t="shared" si="6"/>
        <v>2548303.9636857137</v>
      </c>
      <c r="P70" s="760">
        <f>+'6A-Project True-up'!K22</f>
        <v>55999.878367796227</v>
      </c>
      <c r="Q70" s="755">
        <f t="shared" si="2"/>
        <v>2604303.8420535098</v>
      </c>
    </row>
    <row r="71" spans="1:21">
      <c r="A71" s="752" t="s">
        <v>222</v>
      </c>
      <c r="B71" s="753"/>
      <c r="C71" s="1538" t="s">
        <v>1566</v>
      </c>
      <c r="D71" s="757" t="s">
        <v>1567</v>
      </c>
      <c r="E71" s="758">
        <f>+'7 - Cap Add WS'!U31</f>
        <v>18572212</v>
      </c>
      <c r="F71" s="719">
        <f t="shared" si="0"/>
        <v>2.0612850546309552E-2</v>
      </c>
      <c r="G71" s="755">
        <f t="shared" si="1"/>
        <v>382826.23027037684</v>
      </c>
      <c r="H71" s="758">
        <f>AVERAGE('7 - Cap Add WS'!W57,'7 - Cap Add WS'!W59)</f>
        <v>12779450.638095241</v>
      </c>
      <c r="I71" s="719">
        <f t="shared" si="3"/>
        <v>6.3225421708849205E-2</v>
      </c>
      <c r="J71" s="755">
        <f t="shared" si="4"/>
        <v>807986.15580099367</v>
      </c>
      <c r="K71" s="759">
        <f>+'7 - Cap Add WS'!V59</f>
        <v>530634.62857142859</v>
      </c>
      <c r="L71" s="755">
        <f t="shared" si="7"/>
        <v>1721447.014642799</v>
      </c>
      <c r="M71" s="760">
        <f>+'7 - Cap Add WS'!U28</f>
        <v>150</v>
      </c>
      <c r="N71" s="755">
        <f>+'7 - Cap Add WS'!X63-'7 - Cap Add WS'!X62</f>
        <v>95587.546747095184</v>
      </c>
      <c r="O71" s="755">
        <f t="shared" si="6"/>
        <v>1817034.5613898942</v>
      </c>
      <c r="P71" s="760">
        <f>+'6A-Project True-up'!K23</f>
        <v>39929.975339655044</v>
      </c>
      <c r="Q71" s="755">
        <f t="shared" si="2"/>
        <v>1856964.5367295493</v>
      </c>
    </row>
    <row r="72" spans="1:21">
      <c r="A72" s="752" t="s">
        <v>223</v>
      </c>
      <c r="B72" s="753"/>
      <c r="C72" s="1538" t="s">
        <v>1568</v>
      </c>
      <c r="D72" s="757" t="s">
        <v>1569</v>
      </c>
      <c r="E72" s="758">
        <f>+'7 - Cap Add WS'!Y31</f>
        <v>6759777</v>
      </c>
      <c r="F72" s="719">
        <f t="shared" si="0"/>
        <v>2.0612850546309552E-2</v>
      </c>
      <c r="G72" s="755">
        <f t="shared" si="1"/>
        <v>139338.27302738075</v>
      </c>
      <c r="H72" s="758">
        <f>AVERAGE('7 - Cap Add WS'!AA57,'7 - Cap Add WS'!AA59)</f>
        <v>4957169.8000000007</v>
      </c>
      <c r="I72" s="719">
        <f t="shared" si="3"/>
        <v>6.3225421708849205E-2</v>
      </c>
      <c r="J72" s="755">
        <f t="shared" si="4"/>
        <v>313419.15108737175</v>
      </c>
      <c r="K72" s="759">
        <f>+'7 - Cap Add WS'!Z59</f>
        <v>193136.48571428572</v>
      </c>
      <c r="L72" s="755">
        <f t="shared" si="7"/>
        <v>645893.9098290382</v>
      </c>
      <c r="M72" s="760">
        <f>+'7 - Cap Add WS'!Y28</f>
        <v>150</v>
      </c>
      <c r="N72" s="755">
        <f>+'7 - Cap Add WS'!AB63-'7 - Cap Add WS'!AB62</f>
        <v>37343.505551036214</v>
      </c>
      <c r="O72" s="755">
        <f t="shared" si="6"/>
        <v>683237.41538007441</v>
      </c>
      <c r="P72" s="760">
        <f>+'6A-Project True-up'!K24</f>
        <v>14993.673732368738</v>
      </c>
      <c r="Q72" s="755">
        <f t="shared" si="2"/>
        <v>698231.08911244315</v>
      </c>
    </row>
    <row r="73" spans="1:21">
      <c r="A73" s="752" t="s">
        <v>642</v>
      </c>
      <c r="B73" s="753"/>
      <c r="C73" s="1538" t="s">
        <v>1570</v>
      </c>
      <c r="D73" s="757" t="s">
        <v>1571</v>
      </c>
      <c r="E73" s="758">
        <f>+'7 - Cap Add WS'!AC31</f>
        <v>4045398</v>
      </c>
      <c r="F73" s="719">
        <f t="shared" si="0"/>
        <v>2.0612850546309552E-2</v>
      </c>
      <c r="G73" s="755">
        <f t="shared" si="1"/>
        <v>83387.184374339573</v>
      </c>
      <c r="H73" s="758">
        <f>AVERAGE('7 - Cap Add WS'!AE57,'7 - Cap Add WS'!AE59)</f>
        <v>3653779.6151666669</v>
      </c>
      <c r="I73" s="719">
        <f t="shared" si="3"/>
        <v>6.3225421708849205E-2</v>
      </c>
      <c r="J73" s="755">
        <f t="shared" si="4"/>
        <v>231011.75700010927</v>
      </c>
      <c r="K73" s="759">
        <f>+'7 - Cap Add WS'!AD59</f>
        <v>115582.8</v>
      </c>
      <c r="L73" s="755">
        <f t="shared" si="7"/>
        <v>429981.74137444881</v>
      </c>
      <c r="M73" s="760">
        <f>+'7 - Cap Add WS'!AC28</f>
        <v>0</v>
      </c>
      <c r="N73" s="755">
        <v>0</v>
      </c>
      <c r="O73" s="755">
        <f t="shared" si="6"/>
        <v>429981.74137444881</v>
      </c>
      <c r="P73" s="760">
        <f>+'6A-Project True-up'!K25</f>
        <v>9382.179821430509</v>
      </c>
      <c r="Q73" s="755">
        <f t="shared" si="2"/>
        <v>439363.92119587935</v>
      </c>
    </row>
    <row r="74" spans="1:21">
      <c r="A74" s="752" t="s">
        <v>643</v>
      </c>
      <c r="B74" s="753"/>
      <c r="C74" s="1538" t="s">
        <v>1572</v>
      </c>
      <c r="D74" s="757" t="s">
        <v>1573</v>
      </c>
      <c r="E74" s="758">
        <f>+'7 - Cap Add WS'!AG31</f>
        <v>13176210</v>
      </c>
      <c r="F74" s="719">
        <f t="shared" si="0"/>
        <v>2.0612850546309552E-2</v>
      </c>
      <c r="G74" s="755">
        <f t="shared" si="1"/>
        <v>271599.24749678938</v>
      </c>
      <c r="H74" s="758">
        <f>AVERAGE('7 - Cap Add WS'!AI57,'7 - Cap Add WS'!AI59)</f>
        <v>11263697.316666663</v>
      </c>
      <c r="I74" s="719">
        <f t="shared" si="3"/>
        <v>6.3225421708849205E-2</v>
      </c>
      <c r="J74" s="755">
        <f t="shared" si="4"/>
        <v>712152.01284708292</v>
      </c>
      <c r="K74" s="759">
        <f>+'7 - Cap Add WS'!AH59</f>
        <v>376463.14285714284</v>
      </c>
      <c r="L74" s="755">
        <f t="shared" si="7"/>
        <v>1360214.4032010152</v>
      </c>
      <c r="M74" s="760">
        <f>+'7 - Cap Add WS'!AG28</f>
        <v>0</v>
      </c>
      <c r="N74" s="755">
        <v>0</v>
      </c>
      <c r="O74" s="755">
        <f t="shared" si="6"/>
        <v>1360214.4032010152</v>
      </c>
      <c r="P74" s="760">
        <f>+'6A-Project True-up'!K26</f>
        <v>29714.252856146155</v>
      </c>
      <c r="Q74" s="755">
        <f t="shared" si="2"/>
        <v>1389928.6560571613</v>
      </c>
    </row>
    <row r="75" spans="1:21">
      <c r="A75" s="752" t="s">
        <v>644</v>
      </c>
      <c r="B75" s="753"/>
      <c r="C75" s="1538" t="s">
        <v>1574</v>
      </c>
      <c r="D75" s="757" t="s">
        <v>1575</v>
      </c>
      <c r="E75" s="758">
        <f>+'7 - Cap Add WS'!AK31</f>
        <v>14841978</v>
      </c>
      <c r="F75" s="719">
        <f t="shared" si="0"/>
        <v>2.0612850546309552E-2</v>
      </c>
      <c r="G75" s="755">
        <f t="shared" si="1"/>
        <v>305935.47432561434</v>
      </c>
      <c r="H75" s="758">
        <f>AVERAGE('7 - Cap Add WS'!AM57,'7 - Cap Add WS'!AM59)</f>
        <v>13587248.757142859</v>
      </c>
      <c r="I75" s="719">
        <f t="shared" si="3"/>
        <v>6.3225421708849205E-2</v>
      </c>
      <c r="J75" s="755">
        <f t="shared" si="4"/>
        <v>859059.53253339452</v>
      </c>
      <c r="K75" s="759">
        <f>+'7 - Cap Add WS'!AL59</f>
        <v>424056.51428571431</v>
      </c>
      <c r="L75" s="755">
        <f t="shared" si="7"/>
        <v>1589051.5211447233</v>
      </c>
      <c r="M75" s="760">
        <f>+'7 - Cap Add WS'!AK28</f>
        <v>0</v>
      </c>
      <c r="N75" s="755">
        <v>0</v>
      </c>
      <c r="O75" s="755">
        <f t="shared" si="6"/>
        <v>1589051.5211447233</v>
      </c>
      <c r="P75" s="760">
        <f>+'6A-Project True-up'!K27</f>
        <v>34663.17904651237</v>
      </c>
      <c r="Q75" s="755">
        <f t="shared" si="2"/>
        <v>1623714.7001912356</v>
      </c>
    </row>
    <row r="76" spans="1:21">
      <c r="A76" s="752" t="s">
        <v>645</v>
      </c>
      <c r="B76" s="753"/>
      <c r="C76" s="756"/>
      <c r="D76" s="757"/>
      <c r="E76" s="758"/>
      <c r="F76" s="719"/>
      <c r="G76" s="755"/>
      <c r="H76" s="758"/>
      <c r="I76" s="719"/>
      <c r="J76" s="755"/>
      <c r="K76" s="759"/>
      <c r="L76" s="755"/>
      <c r="M76" s="760"/>
      <c r="N76" s="755"/>
      <c r="O76" s="755"/>
      <c r="P76" s="760"/>
      <c r="Q76" s="755"/>
    </row>
    <row r="77" spans="1:21">
      <c r="A77" s="752" t="s">
        <v>646</v>
      </c>
      <c r="B77" s="753"/>
      <c r="C77" s="756"/>
      <c r="D77" s="757"/>
      <c r="E77" s="758"/>
      <c r="F77" s="719"/>
      <c r="G77" s="755"/>
      <c r="H77" s="758"/>
      <c r="I77" s="719"/>
      <c r="J77" s="755"/>
      <c r="K77" s="759"/>
      <c r="L77" s="755"/>
      <c r="M77" s="760"/>
      <c r="N77" s="755"/>
      <c r="O77" s="755"/>
      <c r="P77" s="760"/>
      <c r="Q77" s="755"/>
    </row>
    <row r="78" spans="1:21">
      <c r="A78" s="752" t="s">
        <v>647</v>
      </c>
      <c r="B78" s="753"/>
      <c r="C78" s="756"/>
      <c r="D78" s="757"/>
      <c r="E78" s="758"/>
      <c r="F78" s="719"/>
      <c r="G78" s="755"/>
      <c r="H78" s="758"/>
      <c r="I78" s="719"/>
      <c r="J78" s="755"/>
      <c r="K78" s="759"/>
      <c r="L78" s="755"/>
      <c r="M78" s="760"/>
      <c r="N78" s="755"/>
      <c r="O78" s="755"/>
      <c r="P78" s="760"/>
      <c r="Q78" s="755"/>
    </row>
    <row r="79" spans="1:21">
      <c r="A79" s="686" t="s">
        <v>648</v>
      </c>
      <c r="B79" s="753"/>
      <c r="C79" s="756"/>
      <c r="D79" s="757"/>
      <c r="E79" s="758"/>
      <c r="F79" s="719"/>
      <c r="G79" s="755"/>
      <c r="H79" s="758"/>
      <c r="I79" s="719"/>
      <c r="J79" s="755"/>
      <c r="K79" s="759"/>
      <c r="L79" s="755"/>
      <c r="M79" s="760"/>
      <c r="N79" s="755"/>
      <c r="O79" s="755"/>
      <c r="P79" s="760"/>
      <c r="Q79" s="755"/>
    </row>
    <row r="80" spans="1:21">
      <c r="A80" s="752" t="s">
        <v>649</v>
      </c>
      <c r="B80" s="753"/>
      <c r="C80" s="756"/>
      <c r="D80" s="757"/>
      <c r="E80" s="758"/>
      <c r="F80" s="719"/>
      <c r="G80" s="755"/>
      <c r="H80" s="758"/>
      <c r="I80" s="719"/>
      <c r="J80" s="755"/>
      <c r="K80" s="759"/>
      <c r="L80" s="755"/>
      <c r="M80" s="760"/>
      <c r="N80" s="755"/>
      <c r="O80" s="755"/>
      <c r="P80" s="760"/>
      <c r="Q80" s="755"/>
    </row>
    <row r="81" spans="1:17">
      <c r="A81" s="752" t="s">
        <v>650</v>
      </c>
      <c r="B81" s="753"/>
      <c r="C81" s="756"/>
      <c r="D81" s="757"/>
      <c r="E81" s="758"/>
      <c r="F81" s="719"/>
      <c r="G81" s="755"/>
      <c r="H81" s="758"/>
      <c r="I81" s="719"/>
      <c r="J81" s="755"/>
      <c r="K81" s="759"/>
      <c r="L81" s="755"/>
      <c r="M81" s="760"/>
      <c r="N81" s="755"/>
      <c r="O81" s="755"/>
      <c r="P81" s="760"/>
      <c r="Q81" s="755"/>
    </row>
    <row r="82" spans="1:17">
      <c r="A82" s="752" t="s">
        <v>651</v>
      </c>
      <c r="B82" s="753"/>
      <c r="C82" s="756"/>
      <c r="D82" s="757"/>
      <c r="E82" s="758"/>
      <c r="F82" s="719"/>
      <c r="G82" s="755"/>
      <c r="H82" s="758"/>
      <c r="I82" s="719"/>
      <c r="J82" s="755"/>
      <c r="K82" s="759"/>
      <c r="L82" s="755"/>
      <c r="M82" s="760"/>
      <c r="N82" s="755"/>
      <c r="O82" s="755"/>
      <c r="P82" s="760"/>
      <c r="Q82" s="755"/>
    </row>
    <row r="83" spans="1:17">
      <c r="A83" s="752" t="s">
        <v>652</v>
      </c>
      <c r="B83" s="753"/>
      <c r="C83" s="756"/>
      <c r="D83" s="757"/>
      <c r="E83" s="758"/>
      <c r="F83" s="719"/>
      <c r="G83" s="755"/>
      <c r="H83" s="758"/>
      <c r="I83" s="719"/>
      <c r="J83" s="755"/>
      <c r="K83" s="759"/>
      <c r="L83" s="755"/>
      <c r="M83" s="760"/>
      <c r="N83" s="755"/>
      <c r="O83" s="755"/>
      <c r="P83" s="760"/>
      <c r="Q83" s="755"/>
    </row>
    <row r="84" spans="1:17">
      <c r="A84" s="752" t="s">
        <v>653</v>
      </c>
      <c r="B84" s="753"/>
      <c r="C84" s="756"/>
      <c r="D84" s="757"/>
      <c r="E84" s="758"/>
      <c r="F84" s="719"/>
      <c r="G84" s="754"/>
      <c r="H84" s="758"/>
      <c r="I84" s="719"/>
      <c r="J84" s="755"/>
      <c r="K84" s="759"/>
      <c r="L84" s="755"/>
      <c r="M84" s="760"/>
      <c r="N84" s="755"/>
      <c r="O84" s="755"/>
      <c r="P84" s="759"/>
      <c r="Q84" s="755"/>
    </row>
    <row r="85" spans="1:17">
      <c r="A85" s="686" t="s">
        <v>654</v>
      </c>
      <c r="B85" s="753"/>
      <c r="C85" s="765"/>
      <c r="D85" s="757"/>
      <c r="E85" s="758"/>
      <c r="F85" s="719"/>
      <c r="G85" s="754"/>
      <c r="H85" s="758"/>
      <c r="I85" s="719"/>
      <c r="J85" s="755"/>
      <c r="K85" s="759"/>
      <c r="L85" s="755"/>
      <c r="M85" s="760"/>
      <c r="N85" s="755"/>
      <c r="O85" s="755"/>
      <c r="P85" s="759"/>
      <c r="Q85" s="755"/>
    </row>
    <row r="86" spans="1:17">
      <c r="A86" s="752" t="s">
        <v>655</v>
      </c>
      <c r="B86" s="753"/>
      <c r="C86" s="756"/>
      <c r="D86" s="757"/>
      <c r="E86" s="758"/>
      <c r="F86" s="719"/>
      <c r="G86" s="754"/>
      <c r="H86" s="758"/>
      <c r="I86" s="719"/>
      <c r="J86" s="755"/>
      <c r="K86" s="759"/>
      <c r="L86" s="755"/>
      <c r="M86" s="760"/>
      <c r="N86" s="755"/>
      <c r="O86" s="755"/>
      <c r="P86" s="759"/>
      <c r="Q86" s="755"/>
    </row>
    <row r="87" spans="1:17">
      <c r="A87" s="752" t="s">
        <v>656</v>
      </c>
      <c r="B87" s="753"/>
      <c r="C87" s="756"/>
      <c r="D87" s="757"/>
      <c r="E87" s="758"/>
      <c r="F87" s="719"/>
      <c r="G87" s="754"/>
      <c r="H87" s="758"/>
      <c r="I87" s="719"/>
      <c r="J87" s="755"/>
      <c r="K87" s="759"/>
      <c r="L87" s="755"/>
      <c r="M87" s="760"/>
      <c r="N87" s="755"/>
      <c r="O87" s="755"/>
      <c r="P87" s="759"/>
      <c r="Q87" s="755"/>
    </row>
    <row r="88" spans="1:17">
      <c r="A88" s="752" t="s">
        <v>657</v>
      </c>
      <c r="C88" s="756"/>
      <c r="D88" s="757"/>
      <c r="E88" s="758"/>
      <c r="F88" s="719"/>
      <c r="G88" s="754"/>
      <c r="H88" s="758"/>
      <c r="I88" s="719"/>
      <c r="J88" s="755"/>
      <c r="K88" s="759"/>
      <c r="L88" s="755"/>
      <c r="M88" s="760"/>
      <c r="N88" s="755"/>
      <c r="O88" s="755"/>
      <c r="P88" s="759"/>
      <c r="Q88" s="755"/>
    </row>
    <row r="89" spans="1:17">
      <c r="A89" s="752" t="s">
        <v>658</v>
      </c>
      <c r="C89" s="765"/>
      <c r="D89" s="761"/>
      <c r="E89" s="758"/>
      <c r="F89" s="719"/>
      <c r="G89" s="754"/>
      <c r="H89" s="762"/>
      <c r="I89" s="719"/>
      <c r="J89" s="755"/>
      <c r="K89" s="763"/>
      <c r="L89" s="755"/>
      <c r="M89" s="760"/>
      <c r="N89" s="755"/>
      <c r="O89" s="755"/>
      <c r="P89" s="759"/>
      <c r="Q89" s="755"/>
    </row>
    <row r="90" spans="1:17">
      <c r="A90" s="752" t="s">
        <v>659</v>
      </c>
      <c r="C90" s="765"/>
      <c r="D90" s="765"/>
      <c r="E90" s="758"/>
      <c r="F90" s="719"/>
      <c r="G90" s="754"/>
      <c r="H90" s="758"/>
      <c r="I90" s="719"/>
      <c r="J90" s="755"/>
      <c r="K90" s="759"/>
      <c r="L90" s="755"/>
      <c r="M90" s="760"/>
      <c r="N90" s="755"/>
      <c r="O90" s="755"/>
      <c r="P90" s="759"/>
      <c r="Q90" s="755"/>
    </row>
    <row r="91" spans="1:17">
      <c r="A91" s="764"/>
      <c r="C91" s="765"/>
      <c r="D91" s="765"/>
      <c r="E91" s="758"/>
      <c r="F91" s="719"/>
      <c r="G91" s="754"/>
      <c r="H91" s="758"/>
      <c r="I91" s="719"/>
      <c r="J91" s="755"/>
      <c r="K91" s="759"/>
      <c r="L91" s="755"/>
      <c r="M91" s="760"/>
      <c r="N91" s="755"/>
      <c r="O91" s="755"/>
      <c r="P91" s="759"/>
      <c r="Q91" s="755"/>
    </row>
    <row r="92" spans="1:17">
      <c r="A92" s="766"/>
      <c r="B92" s="767"/>
      <c r="C92" s="768"/>
      <c r="D92" s="768"/>
      <c r="E92" s="768"/>
      <c r="F92" s="767"/>
      <c r="G92" s="769"/>
      <c r="H92" s="768"/>
      <c r="I92" s="767"/>
      <c r="J92" s="770"/>
      <c r="K92" s="771"/>
      <c r="L92" s="770"/>
      <c r="M92" s="772"/>
      <c r="N92" s="773"/>
      <c r="O92" s="773"/>
      <c r="P92" s="771"/>
      <c r="Q92" s="770"/>
    </row>
    <row r="93" spans="1:17">
      <c r="A93" s="720" t="s">
        <v>660</v>
      </c>
      <c r="B93" s="726"/>
      <c r="C93" s="702" t="s">
        <v>661</v>
      </c>
      <c r="D93" s="702"/>
      <c r="E93" s="688">
        <f>SUM(E66:E92)</f>
        <v>1754695686.1443346</v>
      </c>
      <c r="F93" s="688"/>
      <c r="G93" s="688">
        <f>SUM(G66:G92)</f>
        <v>36169279.93274726</v>
      </c>
      <c r="H93" s="688">
        <f>SUM(H66:H92)</f>
        <v>1448750506.5709612</v>
      </c>
      <c r="I93" s="695"/>
      <c r="J93" s="688">
        <f t="shared" ref="J93:O93" si="8">SUM(J66:J92)</f>
        <v>91597861.728857934</v>
      </c>
      <c r="K93" s="688">
        <f t="shared" si="8"/>
        <v>43524210.691606045</v>
      </c>
      <c r="L93" s="688">
        <f t="shared" si="8"/>
        <v>171291352.35321128</v>
      </c>
      <c r="M93" s="688"/>
      <c r="N93" s="688">
        <f t="shared" si="8"/>
        <v>293035.17687468289</v>
      </c>
      <c r="O93" s="688">
        <f t="shared" si="8"/>
        <v>171584387.53008595</v>
      </c>
      <c r="P93" s="688">
        <f>SUM(P66:P92)</f>
        <v>3424217.4004850816</v>
      </c>
      <c r="Q93" s="688">
        <f>SUM(Q66:Q92)</f>
        <v>175008604.93057093</v>
      </c>
    </row>
    <row r="94" spans="1:17">
      <c r="E94" s="688"/>
      <c r="F94" s="688"/>
      <c r="G94" s="688"/>
      <c r="H94" s="688"/>
      <c r="I94" s="688"/>
      <c r="J94" s="688"/>
      <c r="K94" s="688"/>
      <c r="L94" s="719"/>
    </row>
    <row r="95" spans="1:17">
      <c r="A95" s="774"/>
      <c r="E95" s="688"/>
      <c r="F95" s="688"/>
      <c r="G95" s="688"/>
      <c r="H95" s="688"/>
      <c r="I95" s="688"/>
      <c r="J95" s="688"/>
      <c r="K95" s="688"/>
      <c r="L95" s="719"/>
      <c r="M95" s="730"/>
      <c r="N95" s="730"/>
      <c r="O95" s="730"/>
    </row>
    <row r="96" spans="1:17">
      <c r="K96" s="726"/>
      <c r="L96" s="726"/>
      <c r="M96" s="726"/>
      <c r="N96" s="726"/>
      <c r="O96" s="726"/>
    </row>
    <row r="97" spans="1:17">
      <c r="K97" s="726"/>
      <c r="L97" s="726"/>
      <c r="M97" s="726"/>
      <c r="N97" s="726"/>
      <c r="O97" s="726"/>
    </row>
    <row r="98" spans="1:17">
      <c r="A98" s="686" t="s">
        <v>662</v>
      </c>
    </row>
    <row r="99" spans="1:17" ht="13.5" thickBot="1">
      <c r="A99" s="775" t="s">
        <v>663</v>
      </c>
    </row>
    <row r="100" spans="1:17">
      <c r="A100" s="776" t="s">
        <v>9</v>
      </c>
      <c r="C100" s="1859" t="s">
        <v>664</v>
      </c>
      <c r="D100" s="1859"/>
      <c r="E100" s="1859"/>
      <c r="F100" s="1859"/>
      <c r="G100" s="1859"/>
      <c r="H100" s="1859"/>
      <c r="I100" s="1859"/>
      <c r="J100" s="1859"/>
      <c r="K100" s="1859"/>
      <c r="L100" s="1859"/>
      <c r="M100" s="1859"/>
      <c r="N100" s="1859"/>
      <c r="O100" s="1859"/>
      <c r="P100" s="1859"/>
      <c r="Q100" s="1859"/>
    </row>
    <row r="101" spans="1:17">
      <c r="A101" s="776" t="s">
        <v>10</v>
      </c>
      <c r="C101" s="1859" t="s">
        <v>665</v>
      </c>
      <c r="D101" s="1859"/>
      <c r="E101" s="1859"/>
      <c r="F101" s="1859"/>
      <c r="G101" s="1859"/>
      <c r="H101" s="1859"/>
      <c r="I101" s="1859"/>
      <c r="J101" s="1859"/>
      <c r="K101" s="1859"/>
      <c r="L101" s="1859"/>
      <c r="M101" s="1859"/>
      <c r="N101" s="1859"/>
      <c r="O101" s="1859"/>
      <c r="P101" s="1859"/>
      <c r="Q101" s="1859"/>
    </row>
    <row r="102" spans="1:17">
      <c r="A102" s="776" t="s">
        <v>11</v>
      </c>
      <c r="C102" s="1860" t="s">
        <v>666</v>
      </c>
      <c r="D102" s="1860"/>
      <c r="E102" s="1860"/>
      <c r="F102" s="1860"/>
      <c r="G102" s="1860"/>
      <c r="H102" s="1860"/>
      <c r="I102" s="1860"/>
      <c r="J102" s="1860"/>
      <c r="K102" s="1860"/>
      <c r="L102" s="1860"/>
      <c r="M102" s="1860"/>
      <c r="N102" s="1860"/>
      <c r="O102" s="1860"/>
      <c r="P102" s="1860"/>
      <c r="Q102" s="1860"/>
    </row>
    <row r="103" spans="1:17">
      <c r="C103" s="686" t="s">
        <v>667</v>
      </c>
    </row>
    <row r="104" spans="1:17">
      <c r="A104" s="776" t="s">
        <v>14</v>
      </c>
      <c r="C104" s="1860" t="s">
        <v>668</v>
      </c>
      <c r="D104" s="1860"/>
      <c r="E104" s="1860"/>
      <c r="F104" s="1860"/>
      <c r="G104" s="1860"/>
      <c r="H104" s="1860"/>
      <c r="I104" s="1860"/>
      <c r="J104" s="1860"/>
      <c r="K104" s="1860"/>
      <c r="L104" s="1860"/>
      <c r="M104" s="1860"/>
      <c r="N104" s="1860"/>
      <c r="O104" s="1860"/>
      <c r="P104" s="1860"/>
      <c r="Q104" s="1860"/>
    </row>
    <row r="105" spans="1:17">
      <c r="A105" s="718" t="s">
        <v>138</v>
      </c>
      <c r="C105" s="1857" t="s">
        <v>669</v>
      </c>
      <c r="D105" s="1857"/>
      <c r="E105" s="1857"/>
      <c r="F105" s="1857"/>
      <c r="G105" s="1857"/>
      <c r="H105" s="1857"/>
      <c r="I105" s="1857"/>
      <c r="J105" s="1857"/>
      <c r="K105" s="1857"/>
      <c r="L105" s="1857"/>
      <c r="M105" s="1857"/>
      <c r="N105" s="1857"/>
      <c r="O105" s="1857"/>
      <c r="P105" s="1857"/>
      <c r="Q105" s="1857"/>
    </row>
    <row r="106" spans="1:17">
      <c r="A106" s="718" t="s">
        <v>139</v>
      </c>
      <c r="C106" s="1857" t="s">
        <v>670</v>
      </c>
      <c r="D106" s="1857"/>
      <c r="E106" s="1857"/>
      <c r="F106" s="1857"/>
      <c r="G106" s="1857"/>
      <c r="H106" s="1857"/>
      <c r="I106" s="1857"/>
      <c r="J106" s="1857"/>
      <c r="K106" s="1857"/>
      <c r="L106" s="1857"/>
      <c r="M106" s="1857"/>
      <c r="N106" s="1857"/>
      <c r="O106" s="1857"/>
      <c r="P106" s="1857"/>
      <c r="Q106" s="1857"/>
    </row>
    <row r="107" spans="1:17">
      <c r="A107" s="718" t="s">
        <v>140</v>
      </c>
      <c r="C107" s="1857" t="s">
        <v>671</v>
      </c>
      <c r="D107" s="1857"/>
      <c r="E107" s="1857"/>
      <c r="F107" s="1857"/>
      <c r="G107" s="1857"/>
      <c r="H107" s="1857"/>
      <c r="I107" s="1857"/>
      <c r="J107" s="1857"/>
      <c r="K107" s="1857"/>
      <c r="L107" s="1857"/>
      <c r="M107" s="1857"/>
      <c r="N107" s="1857"/>
      <c r="O107" s="1857"/>
      <c r="P107" s="1857"/>
      <c r="Q107" s="1857"/>
    </row>
    <row r="108" spans="1:17">
      <c r="A108" s="718" t="s">
        <v>541</v>
      </c>
      <c r="C108" s="1857" t="s">
        <v>672</v>
      </c>
      <c r="D108" s="1857"/>
      <c r="E108" s="1857"/>
      <c r="F108" s="1857"/>
      <c r="G108" s="1857"/>
      <c r="H108" s="1857"/>
      <c r="I108" s="1857"/>
      <c r="J108" s="1857"/>
      <c r="K108" s="1857"/>
      <c r="L108" s="1857"/>
      <c r="M108" s="1857"/>
      <c r="N108" s="1857"/>
      <c r="O108" s="1857"/>
      <c r="P108" s="1857"/>
      <c r="Q108" s="1857"/>
    </row>
    <row r="109" spans="1:17">
      <c r="A109" s="718" t="s">
        <v>469</v>
      </c>
      <c r="C109" s="686" t="s">
        <v>673</v>
      </c>
    </row>
    <row r="110" spans="1:17">
      <c r="A110" s="701" t="s">
        <v>470</v>
      </c>
      <c r="C110" s="686" t="s">
        <v>674</v>
      </c>
      <c r="P110" s="695"/>
      <c r="Q110" s="733"/>
    </row>
    <row r="111" spans="1:17">
      <c r="A111" s="701" t="s">
        <v>471</v>
      </c>
      <c r="C111" s="686" t="s">
        <v>675</v>
      </c>
      <c r="D111" s="701"/>
      <c r="E111" s="718"/>
      <c r="F111" s="718"/>
      <c r="G111" s="695"/>
      <c r="J111" s="716"/>
      <c r="P111" s="695"/>
      <c r="Q111" s="713"/>
    </row>
    <row r="112" spans="1:17">
      <c r="A112" s="718" t="s">
        <v>475</v>
      </c>
      <c r="C112" s="777" t="s">
        <v>1769</v>
      </c>
      <c r="G112" s="778"/>
    </row>
    <row r="113" spans="1:11">
      <c r="A113" s="718" t="s">
        <v>477</v>
      </c>
      <c r="C113" s="686" t="s">
        <v>676</v>
      </c>
      <c r="K113" s="778"/>
    </row>
    <row r="114" spans="1:11">
      <c r="A114" s="718" t="s">
        <v>480</v>
      </c>
      <c r="C114" s="686" t="s">
        <v>677</v>
      </c>
    </row>
    <row r="115" spans="1:11">
      <c r="C115" s="686" t="s">
        <v>678</v>
      </c>
    </row>
    <row r="116" spans="1:11" ht="12.75" customHeight="1">
      <c r="A116" s="718" t="s">
        <v>481</v>
      </c>
      <c r="C116" s="1858" t="s">
        <v>1544</v>
      </c>
      <c r="D116" s="1858"/>
      <c r="E116" s="1858"/>
      <c r="F116" s="1858"/>
      <c r="G116" s="1858"/>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50" zoomScale="77" zoomScaleNormal="77" zoomScaleSheetLayoutView="51" workbookViewId="0">
      <selection activeCell="G78" sqref="G78"/>
    </sheetView>
  </sheetViews>
  <sheetFormatPr defaultColWidth="11.453125" defaultRowHeight="13"/>
  <cols>
    <col min="1" max="1" width="7.7265625" style="686" customWidth="1"/>
    <col min="2" max="2" width="54.1796875" style="686" customWidth="1"/>
    <col min="3" max="3" width="21.81640625" style="686" customWidth="1"/>
    <col min="4" max="4" width="24" style="686" customWidth="1"/>
    <col min="5" max="5" width="28.54296875" style="686" customWidth="1"/>
    <col min="6" max="6" width="24" style="686" customWidth="1"/>
    <col min="7" max="7" width="23.54296875" style="686" customWidth="1"/>
    <col min="8" max="8" width="18.54296875" style="686" customWidth="1"/>
    <col min="9" max="9" width="23.81640625" style="686" customWidth="1"/>
    <col min="10" max="10" width="17.7265625" style="686" customWidth="1"/>
    <col min="11" max="11" width="18.54296875" style="686" customWidth="1"/>
    <col min="12" max="12" width="17.453125" style="686" customWidth="1"/>
    <col min="13" max="16384" width="11.453125" style="686"/>
  </cols>
  <sheetData>
    <row r="1" spans="1:13">
      <c r="J1" s="689"/>
    </row>
    <row r="5" spans="1:13">
      <c r="A5" s="779"/>
      <c r="D5" s="689"/>
      <c r="E5" s="622" t="s">
        <v>739</v>
      </c>
      <c r="F5" s="689"/>
      <c r="G5" s="689"/>
      <c r="I5" s="689"/>
      <c r="J5" s="689"/>
      <c r="K5" s="689"/>
      <c r="L5" s="690"/>
    </row>
    <row r="6" spans="1:13">
      <c r="A6" s="779"/>
      <c r="D6" s="689"/>
      <c r="E6" s="1255" t="s">
        <v>1253</v>
      </c>
      <c r="F6" s="695"/>
      <c r="G6" s="695"/>
      <c r="I6" s="695"/>
      <c r="J6" s="695"/>
      <c r="K6" s="695"/>
      <c r="L6" s="690"/>
    </row>
    <row r="7" spans="1:13">
      <c r="A7" s="779"/>
      <c r="C7" s="693"/>
      <c r="D7" s="693"/>
      <c r="E7" s="627" t="s">
        <v>1547</v>
      </c>
      <c r="F7" s="693"/>
      <c r="G7" s="693"/>
      <c r="I7" s="693"/>
      <c r="J7" s="693"/>
      <c r="K7" s="693"/>
      <c r="L7" s="693"/>
    </row>
    <row r="8" spans="1:13" s="781" customFormat="1">
      <c r="A8" s="780"/>
      <c r="B8" s="686"/>
      <c r="C8" s="686"/>
      <c r="D8" s="686"/>
      <c r="E8" s="706"/>
      <c r="F8" s="706"/>
      <c r="G8" s="706"/>
      <c r="H8" s="686"/>
      <c r="I8" s="693"/>
      <c r="J8" s="693"/>
      <c r="K8" s="693"/>
      <c r="L8" s="693"/>
    </row>
    <row r="9" spans="1:13" s="781" customFormat="1">
      <c r="A9" s="782"/>
      <c r="B9" s="783"/>
      <c r="C9" s="783"/>
      <c r="D9" s="783"/>
      <c r="E9" s="783"/>
      <c r="F9" s="783"/>
      <c r="G9" s="783"/>
      <c r="H9" s="783"/>
      <c r="I9" s="783"/>
      <c r="J9" s="783"/>
      <c r="K9" s="784"/>
      <c r="L9" s="783"/>
    </row>
    <row r="10" spans="1:13" s="781" customFormat="1">
      <c r="A10" s="782"/>
      <c r="B10" s="783"/>
      <c r="C10" s="783"/>
      <c r="D10" s="1862" t="s">
        <v>679</v>
      </c>
      <c r="E10" s="1863"/>
      <c r="F10" s="785"/>
      <c r="G10" s="786" t="s">
        <v>680</v>
      </c>
      <c r="H10" s="785"/>
      <c r="I10" s="787"/>
      <c r="J10" s="787"/>
      <c r="K10" s="788"/>
    </row>
    <row r="11" spans="1:13" s="781" customFormat="1" ht="15.5">
      <c r="A11" s="782">
        <v>1</v>
      </c>
      <c r="B11" s="783" t="s">
        <v>681</v>
      </c>
      <c r="C11" s="783"/>
      <c r="D11" s="1864" t="s">
        <v>682</v>
      </c>
      <c r="E11" s="1865"/>
      <c r="F11" s="789" t="s">
        <v>683</v>
      </c>
      <c r="G11" s="790" t="s">
        <v>684</v>
      </c>
      <c r="H11" s="789" t="s">
        <v>685</v>
      </c>
      <c r="I11" s="791"/>
      <c r="J11" s="791"/>
      <c r="K11" s="792"/>
    </row>
    <row r="12" spans="1:13" s="781" customFormat="1">
      <c r="A12" s="782">
        <v>2</v>
      </c>
      <c r="B12" s="783"/>
      <c r="C12" s="783"/>
      <c r="D12" s="793"/>
      <c r="E12" s="793"/>
      <c r="F12" s="655">
        <f>+E77</f>
        <v>48091223.719999999</v>
      </c>
      <c r="G12" s="794"/>
      <c r="H12" s="793"/>
      <c r="I12" s="793"/>
      <c r="J12" s="793"/>
      <c r="K12" s="793"/>
    </row>
    <row r="13" spans="1:13" s="781" customFormat="1">
      <c r="B13" s="795" t="s">
        <v>9</v>
      </c>
      <c r="C13" s="795" t="s">
        <v>10</v>
      </c>
      <c r="D13" s="790" t="s">
        <v>11</v>
      </c>
      <c r="E13" s="790" t="s">
        <v>14</v>
      </c>
      <c r="F13" s="786" t="s">
        <v>138</v>
      </c>
      <c r="G13" s="795" t="s">
        <v>139</v>
      </c>
      <c r="H13" s="796" t="s">
        <v>140</v>
      </c>
      <c r="I13" s="796" t="s">
        <v>541</v>
      </c>
      <c r="J13" s="796" t="s">
        <v>469</v>
      </c>
      <c r="K13" s="790" t="s">
        <v>470</v>
      </c>
      <c r="M13" s="798"/>
    </row>
    <row r="14" spans="1:13" s="781" customFormat="1">
      <c r="A14" s="782"/>
      <c r="B14" s="793"/>
      <c r="C14" s="786"/>
      <c r="D14" s="786"/>
      <c r="E14" s="900" t="s">
        <v>686</v>
      </c>
      <c r="F14" s="786"/>
      <c r="G14" s="786"/>
      <c r="H14" s="793"/>
      <c r="I14" s="786"/>
      <c r="J14" s="793"/>
      <c r="K14" s="793"/>
    </row>
    <row r="15" spans="1:13" s="781" customFormat="1">
      <c r="A15" s="782"/>
      <c r="B15" s="793"/>
      <c r="C15" s="786"/>
      <c r="D15" s="796" t="s">
        <v>687</v>
      </c>
      <c r="E15" s="797" t="s">
        <v>44</v>
      </c>
      <c r="F15" s="796" t="s">
        <v>688</v>
      </c>
      <c r="G15" s="796" t="s">
        <v>689</v>
      </c>
      <c r="H15" s="796" t="s">
        <v>690</v>
      </c>
      <c r="I15" s="796"/>
      <c r="J15" s="796" t="s">
        <v>177</v>
      </c>
      <c r="K15" s="796"/>
    </row>
    <row r="16" spans="1:13" s="781" customFormat="1" ht="25.5" customHeight="1">
      <c r="A16" s="782"/>
      <c r="B16" s="1866" t="s">
        <v>1251</v>
      </c>
      <c r="C16" s="1868" t="s">
        <v>1252</v>
      </c>
      <c r="D16" s="796" t="s">
        <v>691</v>
      </c>
      <c r="E16" s="797" t="s">
        <v>43</v>
      </c>
      <c r="F16" s="796" t="s">
        <v>692</v>
      </c>
      <c r="G16" s="796" t="s">
        <v>691</v>
      </c>
      <c r="H16" s="796" t="s">
        <v>693</v>
      </c>
      <c r="I16" s="786" t="s">
        <v>694</v>
      </c>
      <c r="J16" s="796" t="s">
        <v>695</v>
      </c>
      <c r="K16" s="796" t="s">
        <v>696</v>
      </c>
    </row>
    <row r="17" spans="1:12" s="781" customFormat="1" ht="15.5">
      <c r="A17" s="782"/>
      <c r="B17" s="1867"/>
      <c r="C17" s="1869"/>
      <c r="D17" s="790" t="s">
        <v>697</v>
      </c>
      <c r="E17" s="797" t="s">
        <v>684</v>
      </c>
      <c r="F17" s="799" t="s">
        <v>698</v>
      </c>
      <c r="G17" s="796" t="s">
        <v>699</v>
      </c>
      <c r="H17" s="790" t="s">
        <v>700</v>
      </c>
      <c r="I17" s="796" t="s">
        <v>701</v>
      </c>
      <c r="J17" s="790" t="s">
        <v>702</v>
      </c>
      <c r="K17" s="790" t="s">
        <v>703</v>
      </c>
    </row>
    <row r="18" spans="1:12" s="781" customFormat="1">
      <c r="A18" s="782">
        <v>3</v>
      </c>
      <c r="B18" s="793" t="s">
        <v>641</v>
      </c>
      <c r="C18" s="887" t="s">
        <v>641</v>
      </c>
      <c r="D18" s="1712">
        <v>142845972.4440431</v>
      </c>
      <c r="E18" s="1256">
        <f t="shared" ref="E18:E27" si="0">IF(D$46=0,0,D18/D$46)</f>
        <v>0.93002512170752838</v>
      </c>
      <c r="F18" s="655">
        <f>IF(F$12=0,0,E18*F$12)</f>
        <v>44726046.193256974</v>
      </c>
      <c r="G18" s="1257">
        <f t="shared" ref="G18:G27" si="1">+$E$81*E18</f>
        <v>47745777.090885624</v>
      </c>
      <c r="H18" s="800">
        <f>+G18-F18</f>
        <v>3019730.8976286501</v>
      </c>
      <c r="I18" s="1257">
        <v>0</v>
      </c>
      <c r="J18" s="1257">
        <f>+'6B - True-Up Interest '!G41</f>
        <v>164877.30701052427</v>
      </c>
      <c r="K18" s="801">
        <f>+H18+J18+I18</f>
        <v>3184608.2046391745</v>
      </c>
    </row>
    <row r="19" spans="1:12" s="781" customFormat="1">
      <c r="A19" s="782" t="s">
        <v>704</v>
      </c>
      <c r="B19" s="1615" t="s">
        <v>1558</v>
      </c>
      <c r="C19" s="757" t="s">
        <v>1559</v>
      </c>
      <c r="D19" s="1712">
        <v>476756.57844808308</v>
      </c>
      <c r="E19" s="806">
        <f t="shared" si="0"/>
        <v>3.1040118759367483E-3</v>
      </c>
      <c r="F19" s="655">
        <f t="shared" ref="F19:F27" si="2">IF(F$12=0,0,E19*F$12)</f>
        <v>149275.72955521103</v>
      </c>
      <c r="G19" s="802">
        <f t="shared" si="1"/>
        <v>159354.25361826335</v>
      </c>
      <c r="H19" s="800">
        <f>+G19-F19</f>
        <v>10078.524063052319</v>
      </c>
      <c r="I19" s="802">
        <v>0</v>
      </c>
      <c r="J19" s="802">
        <f>+'6B - True-Up Interest '!G42</f>
        <v>550.28741384265652</v>
      </c>
      <c r="K19" s="801">
        <f t="shared" ref="K19:K28" si="3">+H19+J19+I19</f>
        <v>10628.811476894974</v>
      </c>
    </row>
    <row r="20" spans="1:12" s="781" customFormat="1">
      <c r="A20" s="782" t="s">
        <v>705</v>
      </c>
      <c r="B20" s="1615" t="s">
        <v>1560</v>
      </c>
      <c r="C20" s="757" t="s">
        <v>1561</v>
      </c>
      <c r="D20" s="1712">
        <v>731064.20340169349</v>
      </c>
      <c r="E20" s="806">
        <f t="shared" si="0"/>
        <v>4.7597287001635057E-3</v>
      </c>
      <c r="F20" s="655">
        <f t="shared" si="2"/>
        <v>228901.17776606794</v>
      </c>
      <c r="G20" s="802">
        <f t="shared" si="1"/>
        <v>244355.70634248378</v>
      </c>
      <c r="H20" s="800">
        <f t="shared" ref="H20:H27" si="4">+G20-F20</f>
        <v>15454.528576415847</v>
      </c>
      <c r="I20" s="802">
        <v>0</v>
      </c>
      <c r="J20" s="802">
        <f>+'6B - True-Up Interest '!G43</f>
        <v>843.81726027230513</v>
      </c>
      <c r="K20" s="801">
        <f t="shared" si="3"/>
        <v>16298.345836688151</v>
      </c>
    </row>
    <row r="21" spans="1:12" s="781" customFormat="1">
      <c r="A21" s="782" t="s">
        <v>706</v>
      </c>
      <c r="B21" s="1615" t="s">
        <v>1562</v>
      </c>
      <c r="C21" s="757" t="s">
        <v>1563</v>
      </c>
      <c r="D21" s="1712">
        <v>1255893.8967178969</v>
      </c>
      <c r="E21" s="806">
        <f t="shared" si="0"/>
        <v>8.1767294811503945E-3</v>
      </c>
      <c r="F21" s="655">
        <f t="shared" si="2"/>
        <v>393228.92677592312</v>
      </c>
      <c r="G21" s="802">
        <f t="shared" si="1"/>
        <v>419778.2339714613</v>
      </c>
      <c r="H21" s="800">
        <f t="shared" si="4"/>
        <v>26549.307195538189</v>
      </c>
      <c r="I21" s="802">
        <v>0</v>
      </c>
      <c r="J21" s="802">
        <f>+'6B - True-Up Interest '!G44</f>
        <v>1449.5921728763849</v>
      </c>
      <c r="K21" s="801">
        <f t="shared" si="3"/>
        <v>27998.899368414575</v>
      </c>
    </row>
    <row r="22" spans="1:12" s="781" customFormat="1">
      <c r="A22" s="782" t="s">
        <v>707</v>
      </c>
      <c r="B22" s="1615" t="s">
        <v>1564</v>
      </c>
      <c r="C22" s="757" t="s">
        <v>1565</v>
      </c>
      <c r="D22" s="1712">
        <v>2511881.0755253714</v>
      </c>
      <c r="E22" s="806">
        <f t="shared" si="0"/>
        <v>1.635406629259669E-2</v>
      </c>
      <c r="F22" s="655">
        <f t="shared" si="2"/>
        <v>786487.06080897839</v>
      </c>
      <c r="G22" s="802">
        <f t="shared" si="1"/>
        <v>839587.64716190484</v>
      </c>
      <c r="H22" s="800">
        <f t="shared" si="4"/>
        <v>53100.586352926446</v>
      </c>
      <c r="I22" s="802">
        <v>0</v>
      </c>
      <c r="J22" s="802">
        <f>+'6B - True-Up Interest '!G45</f>
        <v>2899.2920148697835</v>
      </c>
      <c r="K22" s="801">
        <f t="shared" si="3"/>
        <v>55999.878367796227</v>
      </c>
    </row>
    <row r="23" spans="1:12">
      <c r="A23" s="782" t="s">
        <v>708</v>
      </c>
      <c r="B23" s="1615" t="s">
        <v>1566</v>
      </c>
      <c r="C23" s="757" t="s">
        <v>1567</v>
      </c>
      <c r="D23" s="1712">
        <v>1791063.700944636</v>
      </c>
      <c r="E23" s="806">
        <f t="shared" si="0"/>
        <v>1.166105146653321E-2</v>
      </c>
      <c r="F23" s="655">
        <f t="shared" si="2"/>
        <v>560794.23488748271</v>
      </c>
      <c r="G23" s="802">
        <f t="shared" si="1"/>
        <v>598656.90826094663</v>
      </c>
      <c r="H23" s="800">
        <f t="shared" si="4"/>
        <v>37862.673373463913</v>
      </c>
      <c r="I23" s="802">
        <v>0</v>
      </c>
      <c r="J23" s="802">
        <f>+'6B - True-Up Interest '!G46</f>
        <v>2067.3019661911294</v>
      </c>
      <c r="K23" s="801">
        <f t="shared" si="3"/>
        <v>39929.975339655044</v>
      </c>
    </row>
    <row r="24" spans="1:12">
      <c r="A24" s="782" t="s">
        <v>709</v>
      </c>
      <c r="B24" s="1615" t="s">
        <v>1568</v>
      </c>
      <c r="C24" s="757" t="s">
        <v>1569</v>
      </c>
      <c r="D24" s="1712">
        <v>672542.98399685987</v>
      </c>
      <c r="E24" s="806">
        <f t="shared" si="0"/>
        <v>4.3787154782417353E-3</v>
      </c>
      <c r="F24" s="655">
        <f t="shared" si="2"/>
        <v>210577.78567035007</v>
      </c>
      <c r="G24" s="802">
        <f t="shared" si="1"/>
        <v>224795.18917155312</v>
      </c>
      <c r="H24" s="800">
        <f t="shared" si="4"/>
        <v>14217.403501203051</v>
      </c>
      <c r="I24" s="802">
        <v>0</v>
      </c>
      <c r="J24" s="802">
        <f>+'6B - True-Up Interest '!G47</f>
        <v>776.27023116568648</v>
      </c>
      <c r="K24" s="801">
        <f t="shared" si="3"/>
        <v>14993.673732368738</v>
      </c>
    </row>
    <row r="25" spans="1:12">
      <c r="A25" s="782" t="s">
        <v>710</v>
      </c>
      <c r="B25" s="1615" t="s">
        <v>1570</v>
      </c>
      <c r="C25" s="757" t="s">
        <v>1571</v>
      </c>
      <c r="D25" s="1712">
        <v>420838.77014597051</v>
      </c>
      <c r="E25" s="806">
        <f t="shared" si="0"/>
        <v>2.7399486434773078E-3</v>
      </c>
      <c r="F25" s="655">
        <f t="shared" si="2"/>
        <v>131767.48319477771</v>
      </c>
      <c r="G25" s="802">
        <f t="shared" si="1"/>
        <v>140663.91769262572</v>
      </c>
      <c r="H25" s="800">
        <f t="shared" si="4"/>
        <v>8896.4344978480076</v>
      </c>
      <c r="I25" s="802">
        <v>0</v>
      </c>
      <c r="J25" s="802">
        <f>+'6B - True-Up Interest '!G48</f>
        <v>485.7453235825011</v>
      </c>
      <c r="K25" s="801">
        <f t="shared" si="3"/>
        <v>9382.179821430509</v>
      </c>
    </row>
    <row r="26" spans="1:12" ht="12.75" customHeight="1">
      <c r="A26" s="782" t="s">
        <v>711</v>
      </c>
      <c r="B26" s="1615" t="s">
        <v>1572</v>
      </c>
      <c r="C26" s="757" t="s">
        <v>1573</v>
      </c>
      <c r="D26" s="1712">
        <v>1332836.2774739815</v>
      </c>
      <c r="E26" s="806">
        <f t="shared" si="0"/>
        <v>8.6776770808818186E-3</v>
      </c>
      <c r="F26" s="655">
        <f t="shared" si="2"/>
        <v>417320.10986660403</v>
      </c>
      <c r="G26" s="802">
        <f t="shared" si="1"/>
        <v>445495.9612378786</v>
      </c>
      <c r="H26" s="800">
        <f t="shared" si="4"/>
        <v>28175.851371274563</v>
      </c>
      <c r="I26" s="802">
        <v>0</v>
      </c>
      <c r="J26" s="802">
        <f>+'6B - True-Up Interest '!G49</f>
        <v>1538.4014848715908</v>
      </c>
      <c r="K26" s="801">
        <f t="shared" si="3"/>
        <v>29714.252856146155</v>
      </c>
    </row>
    <row r="27" spans="1:12">
      <c r="A27" s="782" t="s">
        <v>712</v>
      </c>
      <c r="B27" s="1615" t="s">
        <v>1574</v>
      </c>
      <c r="C27" s="757" t="s">
        <v>1575</v>
      </c>
      <c r="D27" s="1712">
        <v>1554820.9389424887</v>
      </c>
      <c r="E27" s="806">
        <f t="shared" si="0"/>
        <v>1.0122949273490021E-2</v>
      </c>
      <c r="F27" s="655">
        <f t="shared" si="2"/>
        <v>486825.01821762009</v>
      </c>
      <c r="G27" s="802">
        <f t="shared" si="1"/>
        <v>519693.57411228382</v>
      </c>
      <c r="H27" s="800">
        <f t="shared" si="4"/>
        <v>32868.555894663732</v>
      </c>
      <c r="I27" s="802">
        <v>0</v>
      </c>
      <c r="J27" s="802">
        <f>+'6B - True-Up Interest '!G50</f>
        <v>1794.6231518486395</v>
      </c>
      <c r="K27" s="801">
        <f t="shared" si="3"/>
        <v>34663.17904651237</v>
      </c>
    </row>
    <row r="28" spans="1:12">
      <c r="A28" s="782" t="s">
        <v>713</v>
      </c>
      <c r="B28" s="888" t="s">
        <v>1805</v>
      </c>
      <c r="C28" s="757"/>
      <c r="D28" s="802"/>
      <c r="E28" s="806"/>
      <c r="F28" s="655"/>
      <c r="G28" s="802"/>
      <c r="H28" s="800"/>
      <c r="I28" s="802">
        <v>-1447089</v>
      </c>
      <c r="J28" s="802">
        <f>+'6B - True-Up Interest '!G51</f>
        <v>-79011.059399999984</v>
      </c>
      <c r="K28" s="801">
        <f t="shared" si="3"/>
        <v>-1526100.0593999999</v>
      </c>
      <c r="L28" s="1711"/>
    </row>
    <row r="29" spans="1:12">
      <c r="A29" s="782" t="s">
        <v>714</v>
      </c>
      <c r="B29" s="888" t="s">
        <v>1806</v>
      </c>
      <c r="C29" s="757"/>
      <c r="D29" s="802"/>
      <c r="E29" s="806"/>
      <c r="F29" s="655"/>
      <c r="G29" s="802"/>
      <c r="H29" s="800"/>
      <c r="I29" s="802"/>
      <c r="J29" s="802"/>
      <c r="K29" s="801">
        <v>2345402.8860335872</v>
      </c>
      <c r="L29" s="1711"/>
    </row>
    <row r="30" spans="1:12">
      <c r="A30" s="782" t="s">
        <v>715</v>
      </c>
      <c r="B30" s="888"/>
      <c r="C30" s="757"/>
      <c r="D30" s="802"/>
      <c r="E30" s="806"/>
      <c r="F30" s="655"/>
      <c r="G30" s="802"/>
      <c r="H30" s="800"/>
      <c r="I30" s="802"/>
      <c r="J30" s="802"/>
      <c r="K30" s="801"/>
      <c r="L30" s="1711"/>
    </row>
    <row r="31" spans="1:12">
      <c r="A31" s="782" t="s">
        <v>716</v>
      </c>
      <c r="B31" s="888"/>
      <c r="C31" s="757"/>
      <c r="D31" s="802"/>
      <c r="E31" s="806"/>
      <c r="F31" s="655"/>
      <c r="G31" s="802"/>
      <c r="H31" s="800"/>
      <c r="I31" s="802"/>
      <c r="J31" s="802"/>
      <c r="K31" s="801"/>
    </row>
    <row r="32" spans="1:12">
      <c r="A32" s="782" t="s">
        <v>717</v>
      </c>
      <c r="B32" s="888"/>
      <c r="C32" s="757"/>
      <c r="D32" s="802"/>
      <c r="E32" s="806"/>
      <c r="F32" s="655"/>
      <c r="G32" s="802"/>
      <c r="H32" s="800"/>
      <c r="I32" s="802"/>
      <c r="J32" s="802"/>
      <c r="K32" s="801"/>
    </row>
    <row r="33" spans="1:11">
      <c r="A33" s="782" t="s">
        <v>718</v>
      </c>
      <c r="B33" s="888"/>
      <c r="C33" s="757"/>
      <c r="D33" s="802"/>
      <c r="E33" s="806"/>
      <c r="F33" s="655"/>
      <c r="G33" s="802"/>
      <c r="H33" s="800"/>
      <c r="I33" s="802"/>
      <c r="J33" s="802"/>
      <c r="K33" s="801"/>
    </row>
    <row r="34" spans="1:11">
      <c r="A34" s="782" t="s">
        <v>719</v>
      </c>
      <c r="B34" s="888"/>
      <c r="C34" s="757"/>
      <c r="D34" s="802"/>
      <c r="E34" s="806"/>
      <c r="F34" s="655"/>
      <c r="G34" s="802"/>
      <c r="H34" s="800"/>
      <c r="I34" s="802"/>
      <c r="J34" s="802"/>
      <c r="K34" s="801"/>
    </row>
    <row r="35" spans="1:11">
      <c r="A35" s="782" t="s">
        <v>720</v>
      </c>
      <c r="B35" s="888"/>
      <c r="C35" s="757"/>
      <c r="D35" s="802"/>
      <c r="E35" s="806"/>
      <c r="F35" s="655"/>
      <c r="G35" s="802"/>
      <c r="H35" s="800"/>
      <c r="I35" s="802"/>
      <c r="J35" s="802"/>
      <c r="K35" s="801"/>
    </row>
    <row r="36" spans="1:11">
      <c r="A36" s="782" t="s">
        <v>721</v>
      </c>
      <c r="B36" s="888"/>
      <c r="C36" s="757"/>
      <c r="D36" s="802"/>
      <c r="E36" s="806"/>
      <c r="F36" s="655"/>
      <c r="G36" s="802"/>
      <c r="H36" s="800"/>
      <c r="I36" s="802"/>
      <c r="J36" s="802"/>
      <c r="K36" s="801"/>
    </row>
    <row r="37" spans="1:11">
      <c r="A37" s="782" t="s">
        <v>722</v>
      </c>
      <c r="B37" s="888"/>
      <c r="C37" s="757"/>
      <c r="D37" s="802"/>
      <c r="E37" s="806"/>
      <c r="F37" s="655"/>
      <c r="G37" s="802"/>
      <c r="H37" s="800"/>
      <c r="I37" s="802"/>
      <c r="J37" s="802"/>
      <c r="K37" s="801"/>
    </row>
    <row r="38" spans="1:11">
      <c r="A38" s="782" t="s">
        <v>723</v>
      </c>
      <c r="B38" s="888"/>
      <c r="C38" s="757"/>
      <c r="D38" s="802"/>
      <c r="E38" s="806"/>
      <c r="F38" s="655"/>
      <c r="G38" s="802"/>
      <c r="H38" s="800"/>
      <c r="I38" s="802"/>
      <c r="J38" s="802"/>
      <c r="K38" s="801"/>
    </row>
    <row r="39" spans="1:11">
      <c r="A39" s="782" t="s">
        <v>724</v>
      </c>
      <c r="B39" s="888"/>
      <c r="C39" s="757"/>
      <c r="D39" s="802"/>
      <c r="E39" s="806"/>
      <c r="F39" s="655"/>
      <c r="G39" s="802"/>
      <c r="H39" s="800"/>
      <c r="I39" s="802"/>
      <c r="J39" s="802"/>
      <c r="K39" s="801"/>
    </row>
    <row r="40" spans="1:11">
      <c r="A40" s="782" t="s">
        <v>725</v>
      </c>
      <c r="B40" s="888"/>
      <c r="C40" s="757"/>
      <c r="D40" s="803"/>
      <c r="E40" s="806"/>
      <c r="F40" s="655"/>
      <c r="G40" s="802"/>
      <c r="H40" s="800"/>
      <c r="I40" s="802"/>
      <c r="J40" s="802"/>
      <c r="K40" s="801"/>
    </row>
    <row r="41" spans="1:11">
      <c r="A41" s="782" t="s">
        <v>726</v>
      </c>
      <c r="B41" s="804"/>
      <c r="C41" s="889"/>
      <c r="D41" s="803"/>
      <c r="E41" s="806"/>
      <c r="F41" s="805"/>
      <c r="G41" s="802"/>
      <c r="H41" s="800"/>
      <c r="I41" s="802"/>
      <c r="J41" s="802"/>
      <c r="K41" s="801"/>
    </row>
    <row r="42" spans="1:11" ht="13.5" customHeight="1">
      <c r="A42" s="782" t="s">
        <v>727</v>
      </c>
      <c r="B42" s="804"/>
      <c r="C42" s="889"/>
      <c r="D42" s="803"/>
      <c r="E42" s="806"/>
      <c r="F42" s="805"/>
      <c r="G42" s="803"/>
      <c r="H42" s="806"/>
      <c r="I42" s="803"/>
      <c r="J42" s="803"/>
      <c r="K42" s="807"/>
    </row>
    <row r="43" spans="1:11" ht="13.5" customHeight="1">
      <c r="A43" s="782"/>
      <c r="B43" s="804"/>
      <c r="C43" s="889"/>
      <c r="D43" s="803"/>
      <c r="E43" s="806"/>
      <c r="F43" s="805"/>
      <c r="G43" s="803"/>
      <c r="H43" s="806"/>
      <c r="I43" s="803"/>
      <c r="J43" s="803"/>
      <c r="K43" s="807"/>
    </row>
    <row r="44" spans="1:11">
      <c r="A44" s="782"/>
      <c r="B44" s="804"/>
      <c r="C44" s="889"/>
      <c r="D44" s="803"/>
      <c r="E44" s="806"/>
      <c r="F44" s="805"/>
      <c r="G44" s="803"/>
      <c r="H44" s="806"/>
      <c r="I44" s="803"/>
      <c r="J44" s="803"/>
      <c r="K44" s="807"/>
    </row>
    <row r="45" spans="1:11">
      <c r="A45" s="782"/>
      <c r="B45" s="808"/>
      <c r="C45" s="809"/>
      <c r="D45" s="810"/>
      <c r="E45" s="890"/>
      <c r="F45" s="809"/>
      <c r="G45" s="810"/>
      <c r="H45" s="811"/>
      <c r="I45" s="808"/>
      <c r="J45" s="808"/>
      <c r="K45" s="808"/>
    </row>
    <row r="46" spans="1:11">
      <c r="A46" s="782">
        <v>4</v>
      </c>
      <c r="B46" s="783" t="s">
        <v>728</v>
      </c>
      <c r="C46" s="783"/>
      <c r="D46" s="812">
        <f t="shared" ref="D46:K46" si="5">SUM(D18:D45)</f>
        <v>153593670.86964011</v>
      </c>
      <c r="E46" s="891">
        <f t="shared" si="5"/>
        <v>0.99999999999999989</v>
      </c>
      <c r="F46" s="812">
        <f t="shared" si="5"/>
        <v>48091223.719999991</v>
      </c>
      <c r="G46" s="812">
        <f t="shared" si="5"/>
        <v>51338158.482455023</v>
      </c>
      <c r="H46" s="812">
        <f t="shared" si="5"/>
        <v>3246934.7624550359</v>
      </c>
      <c r="I46" s="812">
        <f t="shared" si="5"/>
        <v>-1447089</v>
      </c>
      <c r="J46" s="812">
        <f t="shared" si="5"/>
        <v>98271.578630044954</v>
      </c>
      <c r="K46" s="812">
        <f t="shared" si="5"/>
        <v>4243520.2271186691</v>
      </c>
    </row>
    <row r="47" spans="1:11">
      <c r="A47" s="782"/>
      <c r="B47" s="783"/>
      <c r="C47" s="783"/>
      <c r="D47" s="813"/>
      <c r="E47" s="813"/>
      <c r="F47" s="813"/>
      <c r="G47" s="813"/>
      <c r="H47" s="813"/>
      <c r="I47" s="813"/>
      <c r="J47" s="813"/>
      <c r="K47" s="813"/>
    </row>
    <row r="48" spans="1:11">
      <c r="A48" s="782"/>
      <c r="B48" s="783"/>
      <c r="C48" s="783"/>
      <c r="D48" s="813"/>
      <c r="E48" s="813"/>
      <c r="F48" s="813"/>
      <c r="G48" s="813" t="s">
        <v>729</v>
      </c>
      <c r="H48" s="813"/>
      <c r="I48" s="813"/>
      <c r="J48" s="814">
        <f>'6B - True-Up Interest '!E26</f>
        <v>3.2117647058823523E-3</v>
      </c>
      <c r="K48" s="813"/>
    </row>
    <row r="49" spans="1:12">
      <c r="A49" s="782"/>
      <c r="B49" s="783"/>
      <c r="C49" s="783"/>
      <c r="D49" s="813"/>
      <c r="E49" s="813"/>
      <c r="F49" s="813"/>
      <c r="G49" s="813" t="s">
        <v>730</v>
      </c>
      <c r="H49" s="813"/>
      <c r="I49" s="813"/>
      <c r="J49" s="812">
        <f>+J46</f>
        <v>98271.578630044954</v>
      </c>
      <c r="K49" s="813"/>
    </row>
    <row r="50" spans="1:12">
      <c r="A50" s="782"/>
      <c r="B50" s="783" t="s">
        <v>537</v>
      </c>
      <c r="C50" s="783"/>
      <c r="D50" s="783"/>
      <c r="E50" s="783"/>
      <c r="F50" s="783"/>
      <c r="G50" s="783"/>
      <c r="H50" s="783"/>
      <c r="I50" s="783"/>
      <c r="J50" s="783"/>
      <c r="K50" s="783"/>
      <c r="L50" s="783"/>
    </row>
    <row r="51" spans="1:12">
      <c r="A51" s="782"/>
      <c r="B51" s="783" t="s">
        <v>853</v>
      </c>
      <c r="C51" s="783"/>
      <c r="D51" s="783"/>
      <c r="E51" s="783"/>
      <c r="F51" s="783"/>
      <c r="G51" s="783"/>
      <c r="H51" s="783"/>
      <c r="I51" s="783"/>
      <c r="J51" s="783"/>
      <c r="K51" s="783"/>
      <c r="L51" s="783"/>
    </row>
    <row r="52" spans="1:12">
      <c r="A52" s="782"/>
      <c r="B52" s="783" t="s">
        <v>854</v>
      </c>
      <c r="C52" s="783"/>
      <c r="D52" s="783"/>
      <c r="E52" s="783"/>
      <c r="F52" s="783"/>
      <c r="G52" s="783"/>
      <c r="H52" s="783"/>
      <c r="I52" s="783"/>
      <c r="J52" s="783"/>
      <c r="K52" s="783"/>
      <c r="L52" s="783"/>
    </row>
    <row r="53" spans="1:12">
      <c r="A53" s="782"/>
      <c r="B53" s="783" t="s">
        <v>731</v>
      </c>
      <c r="C53" s="783"/>
      <c r="D53" s="783"/>
      <c r="E53" s="783"/>
      <c r="F53" s="783"/>
      <c r="G53" s="783"/>
      <c r="H53" s="783"/>
      <c r="I53" s="783"/>
      <c r="J53" s="783"/>
      <c r="K53" s="783"/>
      <c r="L53" s="783"/>
    </row>
    <row r="54" spans="1:12">
      <c r="A54" s="782"/>
      <c r="B54" s="686" t="s">
        <v>732</v>
      </c>
      <c r="C54" s="783"/>
      <c r="D54" s="783"/>
      <c r="E54" s="783"/>
      <c r="F54" s="783"/>
      <c r="G54" s="783"/>
      <c r="H54" s="783"/>
      <c r="I54" s="783"/>
      <c r="J54" s="783"/>
      <c r="K54" s="783"/>
      <c r="L54" s="783"/>
    </row>
    <row r="55" spans="1:12">
      <c r="A55" s="782"/>
      <c r="B55" s="686" t="s">
        <v>733</v>
      </c>
      <c r="C55" s="783"/>
      <c r="D55" s="783"/>
      <c r="E55" s="783"/>
      <c r="F55" s="783"/>
      <c r="G55" s="783"/>
      <c r="H55" s="783"/>
      <c r="I55" s="783"/>
      <c r="J55" s="783"/>
      <c r="K55" s="783"/>
      <c r="L55" s="783"/>
    </row>
    <row r="56" spans="1:12">
      <c r="A56" s="782"/>
      <c r="B56" s="783" t="s">
        <v>734</v>
      </c>
      <c r="C56" s="783"/>
      <c r="D56" s="783"/>
      <c r="E56" s="783"/>
      <c r="F56" s="783"/>
      <c r="G56" s="783"/>
      <c r="H56" s="783"/>
      <c r="I56" s="783"/>
      <c r="J56" s="783"/>
      <c r="K56" s="783"/>
      <c r="L56" s="783"/>
    </row>
    <row r="57" spans="1:12">
      <c r="A57" s="782"/>
      <c r="B57" s="815" t="s">
        <v>735</v>
      </c>
      <c r="C57" s="783"/>
      <c r="D57" s="783"/>
      <c r="E57" s="783"/>
      <c r="F57" s="783"/>
      <c r="G57" s="783"/>
      <c r="H57" s="783"/>
      <c r="I57" s="783"/>
      <c r="J57" s="783"/>
      <c r="K57" s="783"/>
      <c r="L57" s="783"/>
    </row>
    <row r="58" spans="1:12">
      <c r="A58" s="782"/>
      <c r="J58" s="783"/>
      <c r="K58" s="783"/>
      <c r="L58" s="783"/>
    </row>
    <row r="59" spans="1:12">
      <c r="A59" s="782"/>
      <c r="C59" s="783"/>
      <c r="D59" s="783"/>
      <c r="E59" s="783"/>
      <c r="F59" s="783"/>
      <c r="G59" s="783"/>
      <c r="H59" s="783"/>
      <c r="I59" s="783"/>
      <c r="J59" s="783"/>
      <c r="K59" s="783"/>
      <c r="L59" s="783"/>
    </row>
    <row r="60" spans="1:12">
      <c r="A60" s="782"/>
      <c r="C60" s="783"/>
      <c r="D60" s="783"/>
      <c r="E60" s="783"/>
      <c r="F60" s="783"/>
      <c r="G60" s="783"/>
      <c r="H60" s="783"/>
      <c r="I60" s="783"/>
      <c r="J60" s="783"/>
      <c r="K60" s="783"/>
      <c r="L60" s="783"/>
    </row>
    <row r="61" spans="1:12">
      <c r="A61" s="782"/>
      <c r="B61" s="816"/>
      <c r="C61" s="816"/>
      <c r="D61" s="817"/>
      <c r="E61" s="817"/>
      <c r="F61" s="817"/>
      <c r="G61" s="817"/>
      <c r="H61" s="817"/>
      <c r="I61" s="816"/>
      <c r="J61" s="816"/>
    </row>
    <row r="62" spans="1:12">
      <c r="A62" s="818" t="s">
        <v>736</v>
      </c>
      <c r="C62" s="816"/>
      <c r="D62" s="817"/>
      <c r="E62" s="817"/>
      <c r="F62" s="817"/>
      <c r="G62" s="817"/>
      <c r="H62" s="817"/>
      <c r="I62" s="816"/>
      <c r="J62" s="816"/>
    </row>
    <row r="63" spans="1:12">
      <c r="A63" s="782"/>
      <c r="B63" s="718" t="s">
        <v>510</v>
      </c>
      <c r="C63" s="819" t="s">
        <v>511</v>
      </c>
      <c r="D63" s="820" t="s">
        <v>512</v>
      </c>
      <c r="E63" s="820" t="s">
        <v>513</v>
      </c>
      <c r="F63" s="718"/>
      <c r="J63" s="816"/>
    </row>
    <row r="64" spans="1:12">
      <c r="A64" s="782"/>
      <c r="B64" s="821" t="str">
        <f>+A62</f>
        <v>Prior Period Adjustments</v>
      </c>
      <c r="C64" s="822" t="s">
        <v>109</v>
      </c>
      <c r="D64" s="822" t="s">
        <v>177</v>
      </c>
      <c r="E64" s="822" t="s">
        <v>44</v>
      </c>
      <c r="J64" s="816"/>
    </row>
    <row r="65" spans="1:10">
      <c r="A65" s="782"/>
      <c r="B65" s="823" t="s">
        <v>321</v>
      </c>
      <c r="C65" s="824" t="s">
        <v>737</v>
      </c>
      <c r="D65" s="823" t="s">
        <v>321</v>
      </c>
      <c r="E65" s="824" t="s">
        <v>738</v>
      </c>
      <c r="J65" s="816"/>
    </row>
    <row r="66" spans="1:10">
      <c r="A66" s="782" t="s">
        <v>583</v>
      </c>
      <c r="B66" s="825" t="s">
        <v>1812</v>
      </c>
      <c r="C66" s="826">
        <f>+I28</f>
        <v>-1447089</v>
      </c>
      <c r="D66" s="826">
        <f>+J28</f>
        <v>-79011.059399999984</v>
      </c>
      <c r="E66" s="826">
        <f>+C66+D66</f>
        <v>-1526100.0593999999</v>
      </c>
      <c r="J66" s="816"/>
    </row>
    <row r="67" spans="1:10">
      <c r="A67" s="782"/>
      <c r="B67" s="827"/>
      <c r="C67" s="769"/>
      <c r="D67" s="769"/>
      <c r="E67" s="770"/>
      <c r="J67" s="816"/>
    </row>
    <row r="68" spans="1:10">
      <c r="A68" s="782"/>
      <c r="B68" s="718"/>
      <c r="E68" s="688"/>
      <c r="J68" s="816"/>
    </row>
    <row r="69" spans="1:10">
      <c r="A69" s="782"/>
      <c r="B69" s="718"/>
      <c r="E69" s="688"/>
      <c r="J69" s="816"/>
    </row>
    <row r="70" spans="1:10">
      <c r="A70" s="782"/>
      <c r="C70" s="816"/>
      <c r="D70" s="816"/>
      <c r="E70" s="816"/>
      <c r="F70" s="816"/>
      <c r="G70" s="816"/>
      <c r="H70" s="828"/>
      <c r="J70" s="816"/>
    </row>
    <row r="71" spans="1:10">
      <c r="A71" s="782">
        <v>6</v>
      </c>
      <c r="B71" s="219" t="s">
        <v>1011</v>
      </c>
      <c r="C71" s="217"/>
      <c r="D71" s="217"/>
      <c r="E71" s="217"/>
      <c r="F71" s="217"/>
      <c r="G71" s="816"/>
      <c r="H71" s="828"/>
      <c r="J71" s="816"/>
    </row>
    <row r="72" spans="1:10">
      <c r="A72" s="782"/>
      <c r="B72" s="219"/>
      <c r="C72" s="217"/>
      <c r="D72" s="217"/>
      <c r="E72" s="217"/>
      <c r="F72" s="217"/>
      <c r="G72" s="816"/>
      <c r="H72" s="828"/>
      <c r="J72" s="816"/>
    </row>
    <row r="73" spans="1:10" ht="14.5">
      <c r="A73" s="782">
        <v>7</v>
      </c>
      <c r="B73" s="219"/>
      <c r="C73" s="216" t="s">
        <v>174</v>
      </c>
      <c r="D73" s="216" t="s">
        <v>175</v>
      </c>
      <c r="E73" s="216" t="s">
        <v>176</v>
      </c>
      <c r="F73"/>
      <c r="G73"/>
      <c r="H73" s="828"/>
      <c r="J73" s="816"/>
    </row>
    <row r="74" spans="1:10" ht="14.5">
      <c r="A74" s="782">
        <v>8</v>
      </c>
      <c r="B74" s="211"/>
      <c r="C74" s="1146" t="s">
        <v>1092</v>
      </c>
      <c r="D74" s="212" t="s">
        <v>567</v>
      </c>
      <c r="E74" s="212" t="s">
        <v>770</v>
      </c>
      <c r="F74"/>
      <c r="G74"/>
      <c r="H74"/>
      <c r="I74"/>
      <c r="J74"/>
    </row>
    <row r="75" spans="1:10" ht="14.5">
      <c r="A75" s="782">
        <v>9</v>
      </c>
      <c r="B75" s="214" t="s">
        <v>565</v>
      </c>
      <c r="C75" s="940"/>
      <c r="D75" s="940"/>
      <c r="E75" s="937">
        <f>+C75-D75</f>
        <v>0</v>
      </c>
      <c r="F75"/>
      <c r="G75"/>
      <c r="H75"/>
      <c r="I75"/>
      <c r="J75"/>
    </row>
    <row r="76" spans="1:10" ht="14.5">
      <c r="A76" s="782">
        <v>10</v>
      </c>
      <c r="B76" s="214" t="s">
        <v>566</v>
      </c>
      <c r="C76" s="940">
        <v>41691815.719999999</v>
      </c>
      <c r="D76" s="940">
        <v>-6399408</v>
      </c>
      <c r="E76" s="937">
        <f>+C76-D76</f>
        <v>48091223.719999999</v>
      </c>
      <c r="F76"/>
      <c r="G76"/>
      <c r="H76"/>
      <c r="I76"/>
      <c r="J76"/>
    </row>
    <row r="77" spans="1:10" ht="14.5">
      <c r="A77" s="782">
        <v>11</v>
      </c>
      <c r="B77" s="214"/>
      <c r="C77" s="217"/>
      <c r="D77" s="217"/>
      <c r="E77" s="937">
        <f>SUM(E75:E76)</f>
        <v>48091223.719999999</v>
      </c>
      <c r="F77" s="213"/>
      <c r="G77"/>
      <c r="H77"/>
      <c r="I77"/>
      <c r="J77"/>
    </row>
    <row r="78" spans="1:10" ht="14.5">
      <c r="A78" s="782"/>
      <c r="B78" s="214"/>
      <c r="C78" s="217"/>
      <c r="D78" s="217"/>
      <c r="E78" s="213"/>
      <c r="F78" s="213"/>
      <c r="G78"/>
      <c r="H78"/>
      <c r="I78"/>
      <c r="J78"/>
    </row>
    <row r="79" spans="1:10" ht="14.5">
      <c r="A79" s="782">
        <v>12</v>
      </c>
      <c r="B79" s="219" t="s">
        <v>1010</v>
      </c>
      <c r="C79" s="217"/>
      <c r="D79" s="217"/>
      <c r="E79" s="213"/>
      <c r="F79" s="213"/>
      <c r="G79"/>
      <c r="H79"/>
      <c r="I79"/>
      <c r="J79"/>
    </row>
    <row r="80" spans="1:10" ht="14.5">
      <c r="A80" s="782"/>
      <c r="B80" s="215"/>
      <c r="C80" s="217"/>
      <c r="D80" s="217"/>
      <c r="E80" s="213"/>
      <c r="F80" s="213"/>
      <c r="G80"/>
      <c r="H80"/>
      <c r="I80"/>
      <c r="J80"/>
    </row>
    <row r="81" spans="1:10" ht="14.5">
      <c r="A81" s="782">
        <v>13</v>
      </c>
      <c r="B81" s="214" t="s">
        <v>771</v>
      </c>
      <c r="C81" s="940">
        <v>153593670.86964008</v>
      </c>
      <c r="D81" s="940"/>
      <c r="E81" s="936">
        <f>+(C81-D81)*122/365</f>
        <v>51338158.482455038</v>
      </c>
      <c r="F81" s="816"/>
      <c r="G81"/>
      <c r="H81"/>
      <c r="I81"/>
      <c r="J81"/>
    </row>
    <row r="82" spans="1:10" ht="14.5">
      <c r="A82" s="782"/>
      <c r="C82" s="816"/>
      <c r="D82" s="816"/>
      <c r="E82" s="816"/>
      <c r="F82" s="816"/>
      <c r="G82"/>
      <c r="H82"/>
      <c r="I82"/>
      <c r="J82"/>
    </row>
    <row r="83" spans="1:10" ht="14.5">
      <c r="A83" s="782"/>
      <c r="C83" s="816"/>
      <c r="D83" s="816"/>
      <c r="E83" s="816"/>
      <c r="F83" s="816"/>
      <c r="G83"/>
      <c r="H83"/>
      <c r="I83"/>
      <c r="J83"/>
    </row>
    <row r="84" spans="1:10" ht="66" customHeight="1">
      <c r="A84" s="782"/>
      <c r="C84" s="777"/>
      <c r="D84" s="829"/>
      <c r="E84" s="829"/>
      <c r="F84" s="829"/>
      <c r="G84" s="962"/>
      <c r="H84" s="829"/>
      <c r="I84" s="829"/>
      <c r="J84" s="816"/>
    </row>
    <row r="85" spans="1:10" ht="56.25" customHeight="1">
      <c r="A85" s="830" t="s">
        <v>537</v>
      </c>
      <c r="B85" s="776" t="s">
        <v>9</v>
      </c>
      <c r="C85" s="1870" t="s">
        <v>1770</v>
      </c>
      <c r="D85" s="1870"/>
      <c r="E85" s="1870"/>
      <c r="F85" s="1870"/>
      <c r="G85" s="1870"/>
      <c r="H85" s="1870"/>
      <c r="I85" s="1870"/>
      <c r="J85" s="1870"/>
    </row>
    <row r="86" spans="1:10" ht="27" customHeight="1">
      <c r="A86" s="782"/>
      <c r="B86" s="831" t="s">
        <v>10</v>
      </c>
      <c r="C86" s="1861" t="s">
        <v>1257</v>
      </c>
      <c r="D86" s="1861"/>
      <c r="E86" s="1861"/>
      <c r="F86" s="1861"/>
      <c r="G86" s="1861"/>
      <c r="H86" s="1861"/>
      <c r="I86" s="1861"/>
      <c r="J86" s="1258"/>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8"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53" zoomScaleNormal="100" workbookViewId="0">
      <selection activeCell="J84" sqref="J84"/>
    </sheetView>
  </sheetViews>
  <sheetFormatPr defaultColWidth="11.453125" defaultRowHeight="13"/>
  <cols>
    <col min="1" max="1" width="5.1796875" style="832" customWidth="1"/>
    <col min="2" max="2" width="47.81640625" style="832" customWidth="1"/>
    <col min="3" max="3" width="24.26953125" style="832" customWidth="1"/>
    <col min="4" max="4" width="22.1796875" style="832" customWidth="1"/>
    <col min="5" max="5" width="12.1796875" style="832" customWidth="1"/>
    <col min="6" max="6" width="10" style="832" customWidth="1"/>
    <col min="7" max="7" width="16.54296875" style="832" customWidth="1"/>
    <col min="8" max="16" width="10" style="832" customWidth="1"/>
    <col min="17" max="17" width="13.7265625" style="832" bestFit="1" customWidth="1"/>
    <col min="18" max="16384" width="11.453125" style="832"/>
  </cols>
  <sheetData>
    <row r="1" spans="1:27">
      <c r="E1" s="622" t="s">
        <v>740</v>
      </c>
      <c r="I1" s="833"/>
      <c r="P1" s="969"/>
    </row>
    <row r="2" spans="1:27">
      <c r="E2" s="834" t="s">
        <v>745</v>
      </c>
      <c r="I2" s="969"/>
    </row>
    <row r="3" spans="1:27">
      <c r="E3" s="627" t="s">
        <v>1547</v>
      </c>
    </row>
    <row r="4" spans="1:27">
      <c r="I4" s="627"/>
    </row>
    <row r="5" spans="1:27">
      <c r="F5" s="835"/>
      <c r="G5" s="835"/>
      <c r="H5" s="835"/>
      <c r="I5" s="627"/>
    </row>
    <row r="6" spans="1:27" ht="15.5">
      <c r="E6" s="836" t="s">
        <v>746</v>
      </c>
      <c r="F6" s="837"/>
      <c r="G6" s="838"/>
      <c r="H6" s="837"/>
    </row>
    <row r="7" spans="1:27" ht="46.5" customHeight="1">
      <c r="A7" s="839"/>
      <c r="B7" s="840"/>
      <c r="C7" s="841" t="s">
        <v>747</v>
      </c>
      <c r="D7" s="841"/>
      <c r="E7" s="842" t="s">
        <v>748</v>
      </c>
      <c r="F7" s="843"/>
      <c r="G7" s="843"/>
      <c r="H7" s="843"/>
      <c r="S7" s="835"/>
      <c r="T7" s="835"/>
      <c r="U7" s="835"/>
      <c r="V7" s="835"/>
      <c r="W7" s="835"/>
      <c r="X7" s="835"/>
      <c r="Y7" s="835"/>
      <c r="Z7" s="835"/>
      <c r="AA7" s="835"/>
    </row>
    <row r="8" spans="1:27" ht="15.5">
      <c r="A8" s="1518">
        <v>1</v>
      </c>
      <c r="B8" s="1519"/>
      <c r="C8" s="832" t="s">
        <v>525</v>
      </c>
      <c r="D8" s="845"/>
      <c r="E8" s="846">
        <v>4.1999999999999997E-3</v>
      </c>
      <c r="F8" s="968">
        <v>2020</v>
      </c>
      <c r="G8" s="848"/>
      <c r="H8" s="848"/>
      <c r="S8" s="849"/>
      <c r="T8" s="849"/>
      <c r="U8" s="849"/>
      <c r="V8" s="850"/>
      <c r="W8" s="837"/>
      <c r="X8" s="838"/>
      <c r="Y8" s="837"/>
      <c r="Z8" s="849"/>
      <c r="AA8" s="835"/>
    </row>
    <row r="9" spans="1:27" ht="15.5">
      <c r="A9" s="1518">
        <v>2</v>
      </c>
      <c r="B9" s="1519"/>
      <c r="C9" s="832" t="s">
        <v>526</v>
      </c>
      <c r="D9" s="845"/>
      <c r="E9" s="846">
        <v>3.8999999999999998E-3</v>
      </c>
      <c r="F9" s="968">
        <v>2020</v>
      </c>
      <c r="G9" s="848"/>
      <c r="H9" s="848"/>
      <c r="S9" s="849"/>
      <c r="T9" s="851"/>
      <c r="U9" s="851"/>
      <c r="V9" s="843"/>
      <c r="W9" s="843"/>
      <c r="X9" s="843"/>
      <c r="Y9" s="843"/>
      <c r="Z9" s="843"/>
      <c r="AA9" s="835"/>
    </row>
    <row r="10" spans="1:27" ht="15.5">
      <c r="A10" s="1518">
        <v>3</v>
      </c>
      <c r="B10" s="1519"/>
      <c r="C10" s="832" t="s">
        <v>545</v>
      </c>
      <c r="D10" s="845"/>
      <c r="E10" s="846">
        <v>4.1999999999999997E-3</v>
      </c>
      <c r="F10" s="968">
        <v>2020</v>
      </c>
      <c r="G10" s="848"/>
      <c r="H10" s="848"/>
      <c r="S10" s="849"/>
      <c r="T10" s="851"/>
      <c r="U10" s="851"/>
      <c r="V10" s="847"/>
      <c r="W10" s="847"/>
      <c r="X10" s="852"/>
      <c r="Y10" s="852"/>
      <c r="Z10" s="852"/>
      <c r="AA10" s="835"/>
    </row>
    <row r="11" spans="1:27" ht="15.5">
      <c r="A11" s="1518">
        <v>4</v>
      </c>
      <c r="B11" s="1519"/>
      <c r="C11" s="832" t="s">
        <v>171</v>
      </c>
      <c r="D11" s="845"/>
      <c r="E11" s="846">
        <v>3.8999999999999998E-3</v>
      </c>
      <c r="F11" s="968">
        <v>2020</v>
      </c>
      <c r="G11" s="848"/>
      <c r="H11" s="848"/>
      <c r="S11" s="849"/>
      <c r="T11" s="851"/>
      <c r="U11" s="851"/>
      <c r="V11" s="847"/>
      <c r="W11" s="847"/>
      <c r="X11" s="852"/>
      <c r="Y11" s="852"/>
      <c r="Z11" s="852"/>
      <c r="AA11" s="835"/>
    </row>
    <row r="12" spans="1:27" ht="15.75" customHeight="1">
      <c r="A12" s="1518">
        <v>5</v>
      </c>
      <c r="B12" s="1519"/>
      <c r="C12" s="832" t="s">
        <v>172</v>
      </c>
      <c r="D12" s="845"/>
      <c r="E12" s="846">
        <v>4.0000000000000001E-3</v>
      </c>
      <c r="F12" s="968">
        <v>2020</v>
      </c>
      <c r="G12" s="848"/>
      <c r="H12" s="848"/>
      <c r="S12" s="849"/>
      <c r="T12" s="851"/>
      <c r="U12" s="851"/>
      <c r="V12" s="847"/>
      <c r="W12" s="847"/>
      <c r="X12" s="852"/>
      <c r="Y12" s="852"/>
      <c r="Z12" s="852"/>
      <c r="AA12" s="835"/>
    </row>
    <row r="13" spans="1:27" ht="15.5">
      <c r="A13" s="1518">
        <v>6</v>
      </c>
      <c r="B13" s="1519"/>
      <c r="C13" s="832" t="s">
        <v>173</v>
      </c>
      <c r="D13" s="845"/>
      <c r="E13" s="846">
        <v>3.8999999999999998E-3</v>
      </c>
      <c r="F13" s="968">
        <v>2020</v>
      </c>
      <c r="G13" s="848"/>
      <c r="H13" s="848"/>
      <c r="S13" s="849"/>
      <c r="T13" s="851"/>
      <c r="U13" s="851"/>
      <c r="V13" s="847"/>
      <c r="W13" s="847"/>
      <c r="X13" s="852"/>
      <c r="Y13" s="852"/>
      <c r="Z13" s="852"/>
      <c r="AA13" s="835"/>
    </row>
    <row r="14" spans="1:27" ht="15.5">
      <c r="A14" s="1518">
        <v>7</v>
      </c>
      <c r="B14" s="1519"/>
      <c r="C14" s="832" t="s">
        <v>528</v>
      </c>
      <c r="D14" s="845"/>
      <c r="E14" s="846">
        <v>2.8999999999999998E-3</v>
      </c>
      <c r="F14" s="968">
        <v>2020</v>
      </c>
      <c r="G14" s="848"/>
      <c r="H14" s="848"/>
      <c r="S14" s="849"/>
      <c r="T14" s="849"/>
      <c r="U14" s="849"/>
      <c r="V14" s="849"/>
      <c r="W14" s="849"/>
      <c r="X14" s="849"/>
      <c r="Y14" s="849"/>
      <c r="Z14" s="849"/>
      <c r="AA14" s="835"/>
    </row>
    <row r="15" spans="1:27" ht="15.5">
      <c r="A15" s="1518">
        <v>8</v>
      </c>
      <c r="B15" s="1519"/>
      <c r="C15" s="832" t="s">
        <v>546</v>
      </c>
      <c r="D15" s="845"/>
      <c r="E15" s="846">
        <v>2.8999999999999998E-3</v>
      </c>
      <c r="F15" s="968">
        <v>2020</v>
      </c>
      <c r="G15" s="848"/>
      <c r="H15" s="848"/>
      <c r="S15" s="849"/>
      <c r="T15" s="849"/>
      <c r="U15" s="849"/>
      <c r="V15" s="849"/>
      <c r="W15" s="849"/>
      <c r="X15" s="849"/>
      <c r="Y15" s="849"/>
      <c r="Z15" s="849"/>
      <c r="AA15" s="835"/>
    </row>
    <row r="16" spans="1:27" ht="15.5">
      <c r="A16" s="1518">
        <v>9</v>
      </c>
      <c r="B16" s="1519"/>
      <c r="C16" s="832" t="s">
        <v>530</v>
      </c>
      <c r="D16" s="845"/>
      <c r="E16" s="846">
        <v>2.8E-3</v>
      </c>
      <c r="F16" s="968">
        <v>2020</v>
      </c>
      <c r="G16" s="848"/>
      <c r="H16" s="848"/>
      <c r="S16" s="849"/>
      <c r="T16" s="849"/>
      <c r="U16" s="849"/>
      <c r="V16" s="849"/>
      <c r="W16" s="849"/>
      <c r="X16" s="849"/>
      <c r="Y16" s="849"/>
      <c r="Z16" s="849"/>
      <c r="AA16" s="835"/>
    </row>
    <row r="17" spans="1:27" ht="15.5">
      <c r="A17" s="1518">
        <v>10</v>
      </c>
      <c r="B17" s="1519"/>
      <c r="C17" s="832" t="s">
        <v>531</v>
      </c>
      <c r="D17" s="845"/>
      <c r="E17" s="846">
        <v>2.8E-3</v>
      </c>
      <c r="F17" s="968">
        <v>2020</v>
      </c>
      <c r="H17" s="848"/>
      <c r="S17" s="849"/>
      <c r="T17" s="849"/>
      <c r="U17" s="849"/>
      <c r="V17" s="849"/>
      <c r="W17" s="849"/>
      <c r="X17" s="849"/>
      <c r="Y17" s="849"/>
      <c r="Z17" s="849"/>
      <c r="AA17" s="835"/>
    </row>
    <row r="18" spans="1:27" ht="15.5">
      <c r="A18" s="1518">
        <v>11</v>
      </c>
      <c r="B18" s="1519"/>
      <c r="C18" s="832" t="s">
        <v>532</v>
      </c>
      <c r="D18" s="845"/>
      <c r="E18" s="846">
        <v>2.7000000000000001E-3</v>
      </c>
      <c r="F18" s="968">
        <v>2020</v>
      </c>
      <c r="G18" s="848"/>
      <c r="H18" s="848"/>
      <c r="S18" s="849"/>
      <c r="T18" s="849"/>
      <c r="U18" s="849"/>
      <c r="V18" s="849"/>
      <c r="W18" s="849"/>
      <c r="X18" s="849"/>
      <c r="Y18" s="849"/>
      <c r="Z18" s="849"/>
      <c r="AA18" s="835"/>
    </row>
    <row r="19" spans="1:27" ht="15.5">
      <c r="A19" s="1518">
        <v>12</v>
      </c>
      <c r="B19" s="1519"/>
      <c r="C19" s="832" t="s">
        <v>749</v>
      </c>
      <c r="D19" s="845"/>
      <c r="E19" s="846">
        <v>2.8E-3</v>
      </c>
      <c r="F19" s="968">
        <v>2020</v>
      </c>
      <c r="S19" s="849"/>
      <c r="T19" s="849"/>
      <c r="U19" s="849"/>
      <c r="V19" s="849"/>
      <c r="W19" s="849"/>
      <c r="X19" s="849"/>
      <c r="Y19" s="849"/>
      <c r="Z19" s="849"/>
      <c r="AA19" s="835"/>
    </row>
    <row r="20" spans="1:27" ht="15.5">
      <c r="A20" s="1518">
        <v>13</v>
      </c>
      <c r="B20" s="1519"/>
      <c r="C20" s="832" t="s">
        <v>525</v>
      </c>
      <c r="D20" s="845"/>
      <c r="E20" s="846">
        <v>2.8E-3</v>
      </c>
      <c r="F20" s="968">
        <v>2021</v>
      </c>
      <c r="G20" s="848"/>
      <c r="S20" s="849"/>
      <c r="T20" s="849"/>
      <c r="U20" s="849"/>
      <c r="V20" s="849"/>
      <c r="W20" s="849"/>
      <c r="X20" s="849"/>
      <c r="Y20" s="849"/>
      <c r="Z20" s="849"/>
      <c r="AA20" s="835"/>
    </row>
    <row r="21" spans="1:27" ht="15.5">
      <c r="A21" s="1518">
        <v>14</v>
      </c>
      <c r="B21" s="1519"/>
      <c r="C21" s="832" t="s">
        <v>526</v>
      </c>
      <c r="D21" s="845"/>
      <c r="E21" s="846">
        <v>2.5000000000000001E-3</v>
      </c>
      <c r="F21" s="968">
        <v>2021</v>
      </c>
      <c r="G21" s="848"/>
      <c r="H21" s="848"/>
      <c r="S21" s="849"/>
      <c r="T21" s="849"/>
      <c r="U21" s="849"/>
      <c r="V21" s="849"/>
      <c r="W21" s="849"/>
      <c r="X21" s="849"/>
      <c r="Y21" s="849"/>
      <c r="Z21" s="849"/>
      <c r="AA21" s="835"/>
    </row>
    <row r="22" spans="1:27" ht="15.5">
      <c r="A22" s="1518">
        <v>15</v>
      </c>
      <c r="B22" s="1519"/>
      <c r="C22" s="832" t="s">
        <v>545</v>
      </c>
      <c r="D22" s="845"/>
      <c r="E22" s="846">
        <v>2.8E-3</v>
      </c>
      <c r="F22" s="968">
        <v>2021</v>
      </c>
      <c r="G22" s="848"/>
      <c r="H22" s="848"/>
      <c r="S22" s="849"/>
      <c r="T22" s="849"/>
      <c r="U22" s="849"/>
      <c r="V22" s="849"/>
      <c r="W22" s="849"/>
      <c r="X22" s="849"/>
      <c r="Y22" s="849"/>
      <c r="Z22" s="849"/>
      <c r="AA22" s="835"/>
    </row>
    <row r="23" spans="1:27" ht="15.5">
      <c r="A23" s="1518">
        <v>16</v>
      </c>
      <c r="B23" s="1519"/>
      <c r="C23" s="832" t="s">
        <v>171</v>
      </c>
      <c r="D23" s="845"/>
      <c r="E23" s="846">
        <v>2.7000000000000001E-3</v>
      </c>
      <c r="F23" s="968">
        <v>2021</v>
      </c>
      <c r="G23" s="848"/>
      <c r="H23" s="848"/>
      <c r="S23" s="849"/>
      <c r="T23" s="849"/>
      <c r="U23" s="849"/>
      <c r="V23" s="849"/>
      <c r="W23" s="849"/>
      <c r="X23" s="849"/>
      <c r="Y23" s="849"/>
      <c r="Z23" s="849"/>
      <c r="AA23" s="835"/>
    </row>
    <row r="24" spans="1:27" ht="15.5">
      <c r="A24" s="1518">
        <v>17</v>
      </c>
      <c r="B24" s="1519"/>
      <c r="C24" s="832" t="s">
        <v>172</v>
      </c>
      <c r="D24" s="845"/>
      <c r="E24" s="846">
        <v>2.8E-3</v>
      </c>
      <c r="F24" s="968">
        <v>2021</v>
      </c>
      <c r="G24" s="848"/>
      <c r="H24" s="848"/>
      <c r="S24" s="849"/>
      <c r="T24" s="849"/>
      <c r="U24" s="849"/>
      <c r="V24" s="849"/>
      <c r="W24" s="849"/>
      <c r="X24" s="849"/>
      <c r="Y24" s="849"/>
      <c r="Z24" s="849"/>
      <c r="AA24" s="835"/>
    </row>
    <row r="25" spans="1:27" ht="15.5">
      <c r="A25" s="1518"/>
      <c r="B25" s="1519"/>
      <c r="C25" s="853"/>
      <c r="D25" s="854"/>
      <c r="E25" s="854"/>
      <c r="F25" s="854"/>
      <c r="G25" s="854"/>
      <c r="H25" s="854"/>
      <c r="S25" s="849"/>
      <c r="T25" s="849"/>
      <c r="U25" s="849"/>
      <c r="V25" s="855"/>
      <c r="W25" s="852"/>
      <c r="X25" s="849"/>
      <c r="Y25" s="849"/>
      <c r="Z25" s="849"/>
      <c r="AA25" s="835"/>
    </row>
    <row r="26" spans="1:27" ht="15.5">
      <c r="A26" s="1518">
        <v>18</v>
      </c>
      <c r="B26" s="1520" t="s">
        <v>750</v>
      </c>
      <c r="C26" s="856"/>
      <c r="D26" s="854"/>
      <c r="E26" s="1521">
        <f>AVERAGE(E8:E24)</f>
        <v>3.2117647058823523E-3</v>
      </c>
      <c r="F26" s="854"/>
      <c r="G26" s="854"/>
      <c r="H26" s="854"/>
      <c r="S26" s="849"/>
      <c r="T26" s="849"/>
      <c r="U26" s="849"/>
      <c r="V26" s="855"/>
      <c r="W26" s="852"/>
      <c r="X26" s="849"/>
      <c r="Y26" s="849"/>
      <c r="Z26" s="849"/>
      <c r="AA26" s="835"/>
    </row>
    <row r="27" spans="1:27" ht="15.5">
      <c r="A27" s="1519"/>
      <c r="B27" s="1519"/>
      <c r="C27" s="856"/>
      <c r="D27" s="854"/>
      <c r="E27" s="854"/>
      <c r="F27" s="845"/>
      <c r="G27" s="845"/>
      <c r="H27" s="845"/>
      <c r="S27" s="849"/>
      <c r="T27" s="849"/>
      <c r="U27" s="849"/>
      <c r="V27" s="849"/>
      <c r="W27" s="849"/>
      <c r="X27" s="849"/>
      <c r="Y27" s="849"/>
      <c r="Z27" s="849"/>
      <c r="AA27" s="835"/>
    </row>
    <row r="28" spans="1:27" ht="15.5">
      <c r="A28" s="1519" t="s">
        <v>751</v>
      </c>
      <c r="B28" s="1519"/>
      <c r="C28" s="844"/>
      <c r="D28" s="844"/>
      <c r="E28" s="844"/>
      <c r="F28" s="844"/>
      <c r="G28" s="844"/>
      <c r="H28" s="844"/>
      <c r="S28" s="849"/>
      <c r="T28" s="849"/>
      <c r="U28" s="849"/>
      <c r="V28" s="849"/>
      <c r="W28" s="849"/>
      <c r="X28" s="849"/>
      <c r="Y28" s="849"/>
      <c r="Z28" s="849"/>
      <c r="AA28" s="835"/>
    </row>
    <row r="29" spans="1:27" ht="15.5">
      <c r="A29" s="844"/>
      <c r="B29" s="857" t="s">
        <v>752</v>
      </c>
      <c r="C29" s="844"/>
      <c r="D29" s="844"/>
      <c r="E29" s="844"/>
      <c r="F29" s="844"/>
      <c r="G29" s="844"/>
      <c r="H29" s="844"/>
      <c r="S29" s="851"/>
      <c r="T29" s="835"/>
      <c r="U29" s="849"/>
      <c r="V29" s="849"/>
      <c r="W29" s="849"/>
      <c r="X29" s="849"/>
      <c r="Y29" s="849"/>
      <c r="Z29" s="849"/>
      <c r="AA29" s="835"/>
    </row>
    <row r="30" spans="1:27" ht="15.5">
      <c r="A30" s="844"/>
      <c r="B30" s="857"/>
      <c r="C30" s="844"/>
      <c r="D30" s="844"/>
      <c r="E30" s="844"/>
      <c r="F30" s="844"/>
      <c r="G30" s="844"/>
      <c r="H30" s="844"/>
      <c r="S30" s="857"/>
      <c r="U30" s="857"/>
      <c r="V30" s="857"/>
      <c r="W30" s="857"/>
      <c r="X30" s="857"/>
      <c r="Y30" s="857"/>
      <c r="Z30" s="857"/>
    </row>
    <row r="31" spans="1:27" ht="15.5">
      <c r="A31" s="844"/>
      <c r="B31" s="857"/>
      <c r="C31" s="844"/>
      <c r="D31" s="844"/>
      <c r="E31" s="844"/>
      <c r="F31" s="844"/>
      <c r="G31" s="844"/>
      <c r="H31" s="844"/>
      <c r="S31" s="857"/>
      <c r="T31" s="857"/>
      <c r="U31" s="857"/>
      <c r="V31" s="857"/>
      <c r="W31" s="857"/>
      <c r="X31" s="857"/>
      <c r="Y31" s="857"/>
      <c r="Z31" s="857"/>
    </row>
    <row r="32" spans="1:27" ht="15.5">
      <c r="A32" s="844"/>
      <c r="B32" s="844"/>
      <c r="C32" s="844"/>
      <c r="D32" s="844"/>
      <c r="E32" s="844"/>
      <c r="F32" s="844"/>
      <c r="G32" s="844"/>
      <c r="H32" s="844"/>
    </row>
    <row r="33" spans="1:17">
      <c r="A33" s="782"/>
      <c r="B33" s="858"/>
      <c r="C33" s="858"/>
      <c r="D33" s="1871"/>
      <c r="E33" s="1871"/>
      <c r="F33" s="859"/>
      <c r="G33" s="859"/>
      <c r="H33" s="901"/>
      <c r="I33" s="859"/>
      <c r="J33" s="859"/>
      <c r="K33" s="859"/>
    </row>
    <row r="34" spans="1:17">
      <c r="A34" s="782">
        <v>19</v>
      </c>
      <c r="B34" s="858" t="s">
        <v>170</v>
      </c>
      <c r="C34" s="858"/>
      <c r="D34" s="1871"/>
      <c r="E34" s="1871"/>
      <c r="F34" s="1871"/>
      <c r="G34" s="1871"/>
      <c r="H34" s="901"/>
      <c r="I34" s="1871"/>
      <c r="J34" s="1871"/>
      <c r="K34" s="1871"/>
      <c r="L34" s="1871"/>
    </row>
    <row r="35" spans="1:17">
      <c r="A35" s="782">
        <v>20</v>
      </c>
      <c r="B35" s="858"/>
      <c r="C35" s="858"/>
      <c r="D35" s="859"/>
      <c r="E35" s="859"/>
      <c r="F35" s="860"/>
      <c r="G35" s="859"/>
      <c r="H35" s="859"/>
      <c r="I35" s="859"/>
      <c r="J35" s="859"/>
      <c r="K35" s="859"/>
      <c r="L35" s="859"/>
    </row>
    <row r="36" spans="1:17">
      <c r="A36" s="781"/>
      <c r="B36" s="861" t="s">
        <v>9</v>
      </c>
      <c r="C36" s="862" t="s">
        <v>10</v>
      </c>
      <c r="D36" s="862" t="s">
        <v>11</v>
      </c>
      <c r="E36" s="862" t="s">
        <v>14</v>
      </c>
      <c r="F36" s="862" t="s">
        <v>138</v>
      </c>
      <c r="G36" s="863" t="s">
        <v>139</v>
      </c>
      <c r="H36" s="901"/>
      <c r="I36" s="901"/>
      <c r="J36" s="901"/>
      <c r="K36" s="901"/>
      <c r="L36" s="901"/>
      <c r="M36" s="901"/>
      <c r="N36" s="901"/>
      <c r="O36" s="901"/>
      <c r="P36" s="901"/>
      <c r="Q36" s="901"/>
    </row>
    <row r="37" spans="1:17">
      <c r="A37" s="782"/>
      <c r="B37" s="864"/>
      <c r="C37" s="901"/>
      <c r="D37" s="901"/>
      <c r="E37" s="901"/>
      <c r="F37" s="901"/>
      <c r="G37" s="865"/>
      <c r="H37" s="901"/>
      <c r="I37" s="859"/>
      <c r="J37" s="901"/>
      <c r="K37" s="859"/>
      <c r="L37" s="859"/>
      <c r="M37" s="835"/>
      <c r="N37" s="835"/>
      <c r="O37" s="835"/>
      <c r="P37" s="835"/>
      <c r="Q37" s="835"/>
    </row>
    <row r="38" spans="1:17">
      <c r="A38" s="782"/>
      <c r="B38" s="866"/>
      <c r="C38" s="901"/>
      <c r="D38" s="901"/>
      <c r="E38" s="901"/>
      <c r="F38" s="901"/>
      <c r="G38" s="867"/>
      <c r="H38" s="901"/>
      <c r="I38" s="901"/>
      <c r="J38" s="901"/>
      <c r="K38" s="901"/>
      <c r="L38" s="901"/>
      <c r="M38" s="901"/>
      <c r="N38" s="901"/>
      <c r="O38" s="901"/>
      <c r="P38" s="901"/>
      <c r="Q38" s="901"/>
    </row>
    <row r="39" spans="1:17" ht="26">
      <c r="A39" s="782"/>
      <c r="B39" s="764" t="s">
        <v>617</v>
      </c>
      <c r="C39" s="868" t="s">
        <v>618</v>
      </c>
      <c r="D39" s="869" t="s">
        <v>109</v>
      </c>
      <c r="E39" s="901" t="s">
        <v>753</v>
      </c>
      <c r="F39" s="870" t="s">
        <v>729</v>
      </c>
      <c r="G39" s="871" t="s">
        <v>177</v>
      </c>
      <c r="H39" s="835"/>
      <c r="I39" s="835"/>
      <c r="J39" s="835"/>
      <c r="K39" s="835"/>
      <c r="L39" s="835"/>
      <c r="M39" s="835"/>
      <c r="N39" s="835"/>
      <c r="O39" s="835"/>
      <c r="P39" s="901"/>
      <c r="Q39" s="901"/>
    </row>
    <row r="40" spans="1:17" ht="30" customHeight="1">
      <c r="A40" s="782"/>
      <c r="B40" s="866"/>
      <c r="C40" s="901"/>
      <c r="D40" s="869" t="s">
        <v>793</v>
      </c>
      <c r="E40" s="901"/>
      <c r="F40" s="869" t="s">
        <v>754</v>
      </c>
      <c r="G40" s="872" t="s">
        <v>755</v>
      </c>
      <c r="H40" s="901"/>
      <c r="I40" s="901"/>
      <c r="J40" s="901"/>
      <c r="K40" s="901"/>
      <c r="L40" s="901"/>
      <c r="M40" s="901"/>
      <c r="N40" s="901"/>
      <c r="O40" s="901"/>
      <c r="P40" s="901"/>
      <c r="Q40" s="901"/>
    </row>
    <row r="41" spans="1:17">
      <c r="A41" s="782">
        <v>21</v>
      </c>
      <c r="B41" s="864" t="s">
        <v>44</v>
      </c>
      <c r="C41" s="859" t="s">
        <v>641</v>
      </c>
      <c r="D41" s="657">
        <f>+'6A-Project True-up'!H18+'6A-Project True-up'!I18</f>
        <v>3019730.8976286501</v>
      </c>
      <c r="E41" s="657">
        <v>17</v>
      </c>
      <c r="F41" s="874">
        <f>+E26</f>
        <v>3.2117647058823523E-3</v>
      </c>
      <c r="G41" s="882">
        <f>+D41*E41*F41</f>
        <v>164877.30701052427</v>
      </c>
      <c r="H41" s="873"/>
      <c r="I41" s="656"/>
      <c r="J41" s="656"/>
      <c r="K41" s="656"/>
      <c r="L41" s="656"/>
      <c r="M41" s="835"/>
      <c r="N41" s="835"/>
      <c r="O41" s="835"/>
      <c r="P41" s="835"/>
      <c r="Q41" s="835"/>
    </row>
    <row r="42" spans="1:17">
      <c r="A42" s="782" t="s">
        <v>756</v>
      </c>
      <c r="B42" s="876" t="s">
        <v>1558</v>
      </c>
      <c r="C42" s="876" t="str">
        <f>+'6A-Project True-up'!C19</f>
        <v>B0265</v>
      </c>
      <c r="D42" s="657">
        <f>+'6A-Project True-up'!H19+'6A-Project True-up'!I19</f>
        <v>10078.524063052319</v>
      </c>
      <c r="E42" s="657">
        <v>17</v>
      </c>
      <c r="F42" s="874">
        <f>+F41</f>
        <v>3.2117647058823523E-3</v>
      </c>
      <c r="G42" s="882">
        <f>+D42*E42*F42</f>
        <v>550.28741384265652</v>
      </c>
      <c r="H42" s="873"/>
      <c r="I42" s="859"/>
      <c r="J42" s="873"/>
      <c r="K42" s="656"/>
      <c r="L42" s="656"/>
      <c r="M42" s="835"/>
      <c r="N42" s="835"/>
      <c r="O42" s="835"/>
      <c r="P42" s="719"/>
      <c r="Q42" s="878"/>
    </row>
    <row r="43" spans="1:17">
      <c r="A43" s="782" t="s">
        <v>757</v>
      </c>
      <c r="B43" s="876" t="s">
        <v>1560</v>
      </c>
      <c r="C43" s="876" t="str">
        <f>+'6A-Project True-up'!C20</f>
        <v>B0276</v>
      </c>
      <c r="D43" s="657">
        <f>+'6A-Project True-up'!H20+'6A-Project True-up'!I20</f>
        <v>15454.528576415847</v>
      </c>
      <c r="E43" s="657">
        <v>17</v>
      </c>
      <c r="F43" s="874">
        <f t="shared" ref="F43:F61" si="0">+F42</f>
        <v>3.2117647058823523E-3</v>
      </c>
      <c r="G43" s="882">
        <f t="shared" ref="G43:G50" si="1">+D43*E43*F43</f>
        <v>843.81726027230513</v>
      </c>
      <c r="H43" s="873"/>
      <c r="I43" s="859"/>
      <c r="J43" s="873"/>
      <c r="K43" s="656"/>
      <c r="L43" s="656"/>
      <c r="M43" s="835"/>
      <c r="N43" s="835"/>
      <c r="O43" s="835"/>
      <c r="P43" s="719"/>
      <c r="Q43" s="878"/>
    </row>
    <row r="44" spans="1:17">
      <c r="A44" s="782" t="s">
        <v>758</v>
      </c>
      <c r="B44" s="876" t="s">
        <v>1562</v>
      </c>
      <c r="C44" s="876" t="str">
        <f>+'6A-Project True-up'!C21</f>
        <v>B0211</v>
      </c>
      <c r="D44" s="657">
        <f>+'6A-Project True-up'!H21+'6A-Project True-up'!I21</f>
        <v>26549.307195538189</v>
      </c>
      <c r="E44" s="657">
        <v>17</v>
      </c>
      <c r="F44" s="874">
        <f t="shared" si="0"/>
        <v>3.2117647058823523E-3</v>
      </c>
      <c r="G44" s="882">
        <f t="shared" si="1"/>
        <v>1449.5921728763849</v>
      </c>
      <c r="H44" s="873"/>
      <c r="I44" s="859"/>
      <c r="J44" s="873"/>
      <c r="K44" s="656"/>
      <c r="L44" s="656"/>
      <c r="M44" s="835"/>
      <c r="N44" s="835"/>
      <c r="O44" s="835"/>
      <c r="P44" s="719"/>
      <c r="Q44" s="878"/>
    </row>
    <row r="45" spans="1:17">
      <c r="A45" s="782" t="s">
        <v>773</v>
      </c>
      <c r="B45" s="876" t="s">
        <v>1564</v>
      </c>
      <c r="C45" s="876" t="str">
        <f>+'6A-Project True-up'!C22</f>
        <v>B0210.A</v>
      </c>
      <c r="D45" s="657">
        <f>+'6A-Project True-up'!H22+'6A-Project True-up'!I22</f>
        <v>53100.586352926446</v>
      </c>
      <c r="E45" s="657">
        <v>17</v>
      </c>
      <c r="F45" s="874">
        <f t="shared" si="0"/>
        <v>3.2117647058823523E-3</v>
      </c>
      <c r="G45" s="882">
        <f t="shared" si="1"/>
        <v>2899.2920148697835</v>
      </c>
      <c r="H45" s="873"/>
      <c r="I45" s="859"/>
      <c r="J45" s="873"/>
      <c r="K45" s="656"/>
      <c r="L45" s="656"/>
      <c r="M45" s="835"/>
      <c r="N45" s="835"/>
      <c r="O45" s="835"/>
      <c r="P45" s="719"/>
      <c r="Q45" s="878"/>
    </row>
    <row r="46" spans="1:17">
      <c r="A46" s="782" t="s">
        <v>774</v>
      </c>
      <c r="B46" s="876" t="s">
        <v>1566</v>
      </c>
      <c r="C46" s="876" t="str">
        <f>+'6A-Project True-up'!C23</f>
        <v>B0210.B</v>
      </c>
      <c r="D46" s="657">
        <f>+'6A-Project True-up'!H23+'6A-Project True-up'!I23</f>
        <v>37862.673373463913</v>
      </c>
      <c r="E46" s="657">
        <v>17</v>
      </c>
      <c r="F46" s="874">
        <f t="shared" si="0"/>
        <v>3.2117647058823523E-3</v>
      </c>
      <c r="G46" s="882">
        <f t="shared" si="1"/>
        <v>2067.3019661911294</v>
      </c>
      <c r="H46" s="873"/>
      <c r="I46" s="859"/>
      <c r="J46" s="873"/>
      <c r="K46" s="656"/>
      <c r="L46" s="656"/>
      <c r="M46" s="835"/>
      <c r="N46" s="835"/>
      <c r="O46" s="835"/>
      <c r="P46" s="719"/>
      <c r="Q46" s="878"/>
    </row>
    <row r="47" spans="1:17">
      <c r="A47" s="782" t="s">
        <v>775</v>
      </c>
      <c r="B47" s="876" t="s">
        <v>1568</v>
      </c>
      <c r="C47" s="876" t="str">
        <f>+'6A-Project True-up'!C24</f>
        <v>B0277</v>
      </c>
      <c r="D47" s="657">
        <f>+'6A-Project True-up'!H24+'6A-Project True-up'!I24</f>
        <v>14217.403501203051</v>
      </c>
      <c r="E47" s="657">
        <v>17</v>
      </c>
      <c r="F47" s="874">
        <f t="shared" si="0"/>
        <v>3.2117647058823523E-3</v>
      </c>
      <c r="G47" s="882">
        <f t="shared" si="1"/>
        <v>776.27023116568648</v>
      </c>
      <c r="H47" s="873"/>
      <c r="I47" s="859"/>
      <c r="J47" s="873"/>
      <c r="K47" s="656"/>
      <c r="L47" s="656"/>
      <c r="M47" s="835"/>
      <c r="N47" s="835"/>
      <c r="O47" s="835"/>
      <c r="P47" s="719"/>
      <c r="Q47" s="878"/>
    </row>
    <row r="48" spans="1:17">
      <c r="A48" s="782" t="s">
        <v>776</v>
      </c>
      <c r="B48" s="876" t="s">
        <v>1570</v>
      </c>
      <c r="C48" s="876" t="str">
        <f>+'6A-Project True-up'!C25</f>
        <v>B1398.5</v>
      </c>
      <c r="D48" s="657">
        <f>+'6A-Project True-up'!H25+'6A-Project True-up'!I25</f>
        <v>8896.4344978480076</v>
      </c>
      <c r="E48" s="657">
        <v>17</v>
      </c>
      <c r="F48" s="874">
        <f t="shared" si="0"/>
        <v>3.2117647058823523E-3</v>
      </c>
      <c r="G48" s="882">
        <f t="shared" si="1"/>
        <v>485.7453235825011</v>
      </c>
      <c r="H48" s="873"/>
      <c r="I48" s="859"/>
      <c r="J48" s="873"/>
      <c r="K48" s="656"/>
      <c r="L48" s="656"/>
      <c r="M48" s="835"/>
      <c r="N48" s="835"/>
      <c r="O48" s="835"/>
      <c r="P48" s="719"/>
      <c r="Q48" s="878"/>
    </row>
    <row r="49" spans="1:17">
      <c r="A49" s="782" t="s">
        <v>777</v>
      </c>
      <c r="B49" s="876" t="s">
        <v>1572</v>
      </c>
      <c r="C49" s="876" t="str">
        <f>+'6A-Project True-up'!C26</f>
        <v>B1398.3.1</v>
      </c>
      <c r="D49" s="657">
        <f>+'6A-Project True-up'!H26+'6A-Project True-up'!I26</f>
        <v>28175.851371274563</v>
      </c>
      <c r="E49" s="657">
        <v>17</v>
      </c>
      <c r="F49" s="874">
        <f t="shared" si="0"/>
        <v>3.2117647058823523E-3</v>
      </c>
      <c r="G49" s="882">
        <f t="shared" si="1"/>
        <v>1538.4014848715908</v>
      </c>
      <c r="H49" s="873"/>
      <c r="I49" s="859"/>
      <c r="J49" s="873"/>
      <c r="K49" s="656"/>
      <c r="L49" s="656"/>
      <c r="M49" s="835"/>
      <c r="N49" s="835"/>
      <c r="O49" s="835"/>
      <c r="P49" s="719"/>
      <c r="Q49" s="878"/>
    </row>
    <row r="50" spans="1:17">
      <c r="A50" s="782" t="s">
        <v>778</v>
      </c>
      <c r="B50" s="876" t="s">
        <v>1574</v>
      </c>
      <c r="C50" s="876" t="str">
        <f>+'6A-Project True-up'!C27</f>
        <v>B1600</v>
      </c>
      <c r="D50" s="657">
        <f>+'6A-Project True-up'!H27+'6A-Project True-up'!I27</f>
        <v>32868.555894663732</v>
      </c>
      <c r="E50" s="657">
        <v>17</v>
      </c>
      <c r="F50" s="874">
        <f t="shared" si="0"/>
        <v>3.2117647058823523E-3</v>
      </c>
      <c r="G50" s="882">
        <f t="shared" si="1"/>
        <v>1794.6231518486395</v>
      </c>
      <c r="H50" s="873"/>
      <c r="I50" s="859"/>
      <c r="J50" s="873"/>
      <c r="K50" s="656"/>
      <c r="L50" s="656"/>
      <c r="M50" s="835"/>
      <c r="N50" s="835"/>
      <c r="O50" s="835"/>
      <c r="P50" s="719"/>
      <c r="Q50" s="878"/>
    </row>
    <row r="51" spans="1:17">
      <c r="A51" s="782" t="s">
        <v>779</v>
      </c>
      <c r="B51" s="876" t="s">
        <v>1805</v>
      </c>
      <c r="C51" s="876"/>
      <c r="D51" s="657">
        <f>+'6A-Project True-up'!H28+'6A-Project True-up'!I28</f>
        <v>-1447089</v>
      </c>
      <c r="E51" s="657">
        <v>17</v>
      </c>
      <c r="F51" s="874">
        <f t="shared" si="0"/>
        <v>3.2117647058823523E-3</v>
      </c>
      <c r="G51" s="882">
        <f t="shared" ref="G51:G58" si="2">+D51*E51*F51</f>
        <v>-79011.059399999984</v>
      </c>
      <c r="H51" s="873"/>
      <c r="I51" s="859"/>
      <c r="J51" s="873"/>
      <c r="K51" s="656"/>
      <c r="L51" s="656"/>
      <c r="M51" s="835"/>
      <c r="N51" s="835"/>
      <c r="O51" s="835"/>
      <c r="P51" s="719"/>
      <c r="Q51" s="878"/>
    </row>
    <row r="52" spans="1:17">
      <c r="A52" s="782" t="s">
        <v>780</v>
      </c>
      <c r="B52" s="876"/>
      <c r="C52" s="876"/>
      <c r="D52" s="657"/>
      <c r="E52" s="657">
        <v>17</v>
      </c>
      <c r="F52" s="874">
        <f t="shared" si="0"/>
        <v>3.2117647058823523E-3</v>
      </c>
      <c r="G52" s="882">
        <f t="shared" si="2"/>
        <v>0</v>
      </c>
      <c r="H52" s="873"/>
      <c r="I52" s="859"/>
      <c r="J52" s="873"/>
      <c r="K52" s="656"/>
      <c r="L52" s="656"/>
      <c r="M52" s="835"/>
      <c r="N52" s="835"/>
      <c r="O52" s="835"/>
      <c r="P52" s="719"/>
      <c r="Q52" s="878"/>
    </row>
    <row r="53" spans="1:17">
      <c r="A53" s="782" t="s">
        <v>781</v>
      </c>
      <c r="B53" s="876"/>
      <c r="C53" s="876"/>
      <c r="D53" s="657">
        <f>+'6A-Project True-up'!H29+'6A-Project True-up'!I29</f>
        <v>0</v>
      </c>
      <c r="E53" s="657">
        <v>17</v>
      </c>
      <c r="F53" s="874">
        <f t="shared" si="0"/>
        <v>3.2117647058823523E-3</v>
      </c>
      <c r="G53" s="882">
        <f t="shared" si="2"/>
        <v>0</v>
      </c>
      <c r="H53" s="873"/>
      <c r="I53" s="859"/>
      <c r="J53" s="873"/>
      <c r="K53" s="656"/>
      <c r="L53" s="656"/>
      <c r="M53" s="835"/>
      <c r="N53" s="835"/>
      <c r="O53" s="835"/>
      <c r="P53" s="719"/>
      <c r="Q53" s="878"/>
    </row>
    <row r="54" spans="1:17">
      <c r="A54" s="782" t="s">
        <v>782</v>
      </c>
      <c r="B54" s="876"/>
      <c r="C54" s="876"/>
      <c r="D54" s="657">
        <f>+'6A-Project True-up'!H31+'6A-Project True-up'!I31</f>
        <v>0</v>
      </c>
      <c r="E54" s="657">
        <v>17</v>
      </c>
      <c r="F54" s="874">
        <f t="shared" si="0"/>
        <v>3.2117647058823523E-3</v>
      </c>
      <c r="G54" s="882">
        <f t="shared" si="2"/>
        <v>0</v>
      </c>
      <c r="H54" s="873"/>
      <c r="I54" s="859"/>
      <c r="J54" s="873"/>
      <c r="K54" s="656"/>
      <c r="L54" s="656"/>
      <c r="M54" s="835"/>
      <c r="N54" s="835"/>
      <c r="O54" s="835"/>
      <c r="P54" s="719"/>
      <c r="Q54" s="878"/>
    </row>
    <row r="55" spans="1:17">
      <c r="A55" s="782" t="s">
        <v>783</v>
      </c>
      <c r="B55" s="876"/>
      <c r="C55" s="876"/>
      <c r="D55" s="657">
        <f>+'6A-Project True-up'!H32+'6A-Project True-up'!I32</f>
        <v>0</v>
      </c>
      <c r="E55" s="657">
        <v>17</v>
      </c>
      <c r="F55" s="874">
        <f t="shared" si="0"/>
        <v>3.2117647058823523E-3</v>
      </c>
      <c r="G55" s="882">
        <f t="shared" si="2"/>
        <v>0</v>
      </c>
      <c r="H55" s="873"/>
      <c r="I55" s="859"/>
      <c r="J55" s="873"/>
      <c r="K55" s="656"/>
      <c r="L55" s="656"/>
      <c r="M55" s="835"/>
      <c r="N55" s="835"/>
      <c r="O55" s="835"/>
      <c r="P55" s="719"/>
      <c r="Q55" s="878"/>
    </row>
    <row r="56" spans="1:17">
      <c r="A56" s="782" t="s">
        <v>784</v>
      </c>
      <c r="B56" s="876"/>
      <c r="C56" s="876"/>
      <c r="D56" s="657">
        <f>+'6A-Project True-up'!H33+'6A-Project True-up'!I33</f>
        <v>0</v>
      </c>
      <c r="E56" s="657">
        <v>17</v>
      </c>
      <c r="F56" s="874">
        <f t="shared" si="0"/>
        <v>3.2117647058823523E-3</v>
      </c>
      <c r="G56" s="882">
        <f t="shared" si="2"/>
        <v>0</v>
      </c>
      <c r="H56" s="873"/>
      <c r="I56" s="859"/>
      <c r="J56" s="873"/>
      <c r="K56" s="656"/>
      <c r="L56" s="656"/>
      <c r="M56" s="835"/>
      <c r="N56" s="835"/>
      <c r="O56" s="835"/>
      <c r="P56" s="719"/>
      <c r="Q56" s="878"/>
    </row>
    <row r="57" spans="1:17">
      <c r="A57" s="782" t="s">
        <v>785</v>
      </c>
      <c r="B57" s="876"/>
      <c r="C57" s="876"/>
      <c r="D57" s="657">
        <f>+'6A-Project True-up'!H34+'6A-Project True-up'!I34</f>
        <v>0</v>
      </c>
      <c r="E57" s="657">
        <v>17</v>
      </c>
      <c r="F57" s="874">
        <f t="shared" si="0"/>
        <v>3.2117647058823523E-3</v>
      </c>
      <c r="G57" s="882">
        <f t="shared" si="2"/>
        <v>0</v>
      </c>
      <c r="H57" s="873"/>
      <c r="I57" s="859"/>
      <c r="J57" s="873"/>
      <c r="K57" s="656"/>
      <c r="L57" s="656"/>
      <c r="M57" s="835"/>
      <c r="N57" s="835"/>
      <c r="O57" s="835"/>
      <c r="P57" s="719"/>
      <c r="Q57" s="878"/>
    </row>
    <row r="58" spans="1:17">
      <c r="A58" s="782" t="s">
        <v>1258</v>
      </c>
      <c r="B58" s="876"/>
      <c r="C58" s="876"/>
      <c r="D58" s="657">
        <f>+'6A-Project True-up'!H35+'6A-Project True-up'!I35</f>
        <v>0</v>
      </c>
      <c r="E58" s="657">
        <v>17</v>
      </c>
      <c r="F58" s="874">
        <f t="shared" si="0"/>
        <v>3.2117647058823523E-3</v>
      </c>
      <c r="G58" s="882">
        <f t="shared" si="2"/>
        <v>0</v>
      </c>
      <c r="H58" s="873"/>
      <c r="I58" s="835"/>
      <c r="J58" s="835"/>
      <c r="K58" s="656"/>
      <c r="L58" s="656"/>
      <c r="M58" s="835"/>
      <c r="N58" s="835"/>
      <c r="O58" s="835"/>
      <c r="P58" s="719"/>
      <c r="Q58" s="878"/>
    </row>
    <row r="59" spans="1:17">
      <c r="A59" s="782" t="s">
        <v>1287</v>
      </c>
      <c r="B59" s="876"/>
      <c r="C59" s="876"/>
      <c r="D59" s="657">
        <f>+'6A-Project True-up'!H36+'6A-Project True-up'!I36</f>
        <v>0</v>
      </c>
      <c r="E59" s="657">
        <v>17</v>
      </c>
      <c r="F59" s="874">
        <f t="shared" si="0"/>
        <v>3.2117647058823523E-3</v>
      </c>
      <c r="G59" s="882">
        <f t="shared" ref="G59" si="3">+D59*E59*F59</f>
        <v>0</v>
      </c>
      <c r="H59" s="873"/>
      <c r="I59" s="835"/>
      <c r="J59" s="835"/>
      <c r="K59" s="656"/>
      <c r="L59" s="656"/>
      <c r="M59" s="835"/>
      <c r="N59" s="835"/>
      <c r="O59" s="835"/>
      <c r="P59" s="719"/>
      <c r="Q59" s="878"/>
    </row>
    <row r="60" spans="1:17">
      <c r="A60" s="782" t="s">
        <v>1288</v>
      </c>
      <c r="B60" s="876"/>
      <c r="C60" s="876"/>
      <c r="D60" s="657">
        <f>+'6A-Project True-up'!H37+'6A-Project True-up'!I37</f>
        <v>0</v>
      </c>
      <c r="E60" s="657">
        <v>17</v>
      </c>
      <c r="F60" s="874">
        <f t="shared" si="0"/>
        <v>3.2117647058823523E-3</v>
      </c>
      <c r="G60" s="882">
        <f t="shared" ref="G60:G61" si="4">+D60*E60*F60</f>
        <v>0</v>
      </c>
      <c r="H60" s="873"/>
      <c r="I60" s="835"/>
      <c r="J60" s="835"/>
      <c r="K60" s="656"/>
      <c r="L60" s="656"/>
      <c r="M60" s="835"/>
      <c r="N60" s="835"/>
      <c r="O60" s="835"/>
      <c r="P60" s="719"/>
      <c r="Q60" s="878"/>
    </row>
    <row r="61" spans="1:17">
      <c r="A61" s="782" t="s">
        <v>1289</v>
      </c>
      <c r="B61" s="876"/>
      <c r="C61" s="876"/>
      <c r="D61" s="873">
        <f>+'6A-Project True-up'!I39</f>
        <v>0</v>
      </c>
      <c r="E61" s="657">
        <v>17</v>
      </c>
      <c r="F61" s="874">
        <f t="shared" si="0"/>
        <v>3.2117647058823523E-3</v>
      </c>
      <c r="G61" s="882">
        <f t="shared" si="4"/>
        <v>0</v>
      </c>
      <c r="H61" s="873"/>
      <c r="K61" s="656"/>
      <c r="L61" s="656"/>
      <c r="M61" s="835"/>
      <c r="N61" s="835"/>
      <c r="O61" s="835"/>
      <c r="P61" s="719"/>
      <c r="Q61" s="878"/>
    </row>
    <row r="62" spans="1:17">
      <c r="A62" s="782"/>
      <c r="B62" s="876"/>
      <c r="C62" s="876"/>
      <c r="D62" s="873"/>
      <c r="E62" s="657"/>
      <c r="F62" s="874"/>
      <c r="G62" s="875"/>
      <c r="H62" s="873"/>
      <c r="K62" s="656"/>
      <c r="L62" s="656"/>
      <c r="M62" s="835"/>
      <c r="N62" s="835"/>
      <c r="O62" s="835"/>
      <c r="P62" s="719"/>
      <c r="Q62" s="878"/>
    </row>
    <row r="63" spans="1:17">
      <c r="A63" s="782"/>
      <c r="B63" s="876"/>
      <c r="C63" s="876"/>
      <c r="D63" s="873"/>
      <c r="E63" s="657"/>
      <c r="F63" s="874"/>
      <c r="G63" s="875"/>
      <c r="H63" s="873"/>
      <c r="K63" s="656"/>
      <c r="L63" s="656"/>
      <c r="M63" s="835"/>
      <c r="N63" s="835"/>
      <c r="O63" s="835"/>
      <c r="P63" s="719"/>
      <c r="Q63" s="878"/>
    </row>
    <row r="64" spans="1:17">
      <c r="A64" s="782"/>
      <c r="B64" s="876"/>
      <c r="C64" s="876"/>
      <c r="D64" s="873"/>
      <c r="E64" s="657"/>
      <c r="F64" s="874"/>
      <c r="G64" s="875"/>
      <c r="H64" s="873"/>
      <c r="K64" s="656"/>
      <c r="L64" s="656"/>
      <c r="M64" s="835"/>
      <c r="N64" s="835"/>
      <c r="O64" s="835"/>
      <c r="P64" s="719"/>
      <c r="Q64" s="878"/>
    </row>
    <row r="65" spans="1:17">
      <c r="A65" s="782"/>
      <c r="B65" s="876"/>
      <c r="C65" s="876"/>
      <c r="D65" s="873"/>
      <c r="E65" s="657"/>
      <c r="F65" s="874"/>
      <c r="G65" s="875"/>
      <c r="H65" s="873"/>
      <c r="K65" s="656"/>
      <c r="L65" s="656"/>
      <c r="M65" s="835"/>
      <c r="N65" s="835"/>
      <c r="O65" s="835"/>
      <c r="P65" s="719"/>
      <c r="Q65" s="878"/>
    </row>
    <row r="66" spans="1:17">
      <c r="A66" s="782"/>
      <c r="B66" s="1262"/>
      <c r="C66" s="877"/>
      <c r="D66" s="873"/>
      <c r="E66" s="657"/>
      <c r="F66" s="874"/>
      <c r="G66" s="875"/>
      <c r="H66" s="873"/>
      <c r="K66" s="656"/>
      <c r="L66" s="656"/>
      <c r="M66" s="835"/>
      <c r="N66" s="835"/>
      <c r="O66" s="835"/>
      <c r="P66" s="719"/>
      <c r="Q66" s="878"/>
    </row>
    <row r="67" spans="1:17">
      <c r="A67" s="782"/>
      <c r="B67" s="1262"/>
      <c r="C67" s="757"/>
      <c r="D67" s="873"/>
      <c r="E67" s="657"/>
      <c r="F67" s="874"/>
      <c r="G67" s="875"/>
      <c r="H67" s="873"/>
      <c r="K67" s="656"/>
      <c r="L67" s="656"/>
      <c r="M67" s="835"/>
      <c r="N67" s="835"/>
      <c r="O67" s="835"/>
      <c r="P67" s="719"/>
      <c r="Q67" s="878"/>
    </row>
    <row r="68" spans="1:17">
      <c r="A68" s="782"/>
      <c r="B68" s="1262"/>
      <c r="C68" s="757"/>
      <c r="D68" s="873"/>
      <c r="E68" s="657"/>
      <c r="F68" s="874"/>
      <c r="G68" s="875"/>
      <c r="H68" s="873"/>
      <c r="K68" s="656"/>
      <c r="L68" s="656"/>
      <c r="M68" s="835"/>
      <c r="N68" s="835"/>
      <c r="O68" s="835"/>
      <c r="P68" s="719"/>
      <c r="Q68" s="878"/>
    </row>
    <row r="69" spans="1:17">
      <c r="A69" s="782"/>
      <c r="B69" s="1262"/>
      <c r="C69" s="877"/>
      <c r="D69" s="873"/>
      <c r="E69" s="657"/>
      <c r="F69" s="874"/>
      <c r="G69" s="875"/>
      <c r="H69" s="873"/>
      <c r="K69" s="656"/>
      <c r="L69" s="656"/>
      <c r="M69" s="835"/>
      <c r="N69" s="835"/>
      <c r="O69" s="835"/>
      <c r="P69" s="719"/>
      <c r="Q69" s="878"/>
    </row>
    <row r="70" spans="1:17">
      <c r="A70" s="782">
        <v>22</v>
      </c>
      <c r="B70" s="1263" t="s">
        <v>44</v>
      </c>
      <c r="C70" s="879"/>
      <c r="D70" s="883">
        <f>SUM(D41:D69)</f>
        <v>1799845.7624550359</v>
      </c>
      <c r="E70" s="880"/>
      <c r="F70" s="880"/>
      <c r="G70" s="884">
        <f>SUM(G41:G69)</f>
        <v>98271.578630044954</v>
      </c>
      <c r="H70" s="873"/>
      <c r="K70" s="656"/>
      <c r="L70" s="656"/>
      <c r="M70" s="835"/>
      <c r="N70" s="835"/>
      <c r="O70" s="835"/>
      <c r="P70" s="719"/>
      <c r="Q70" s="878"/>
    </row>
    <row r="71" spans="1:17">
      <c r="A71" s="782"/>
      <c r="B71" s="859"/>
      <c r="C71" s="859"/>
      <c r="D71" s="860"/>
      <c r="E71" s="881"/>
      <c r="F71" s="859"/>
      <c r="G71" s="881"/>
      <c r="H71" s="860"/>
      <c r="K71" s="859"/>
      <c r="L71" s="859"/>
      <c r="M71" s="835"/>
      <c r="N71" s="835"/>
      <c r="O71" s="835"/>
      <c r="P71" s="719"/>
      <c r="Q71" s="835"/>
    </row>
    <row r="72" spans="1:17">
      <c r="A72" s="782"/>
      <c r="B72" s="858"/>
      <c r="C72" s="858"/>
      <c r="D72" s="873"/>
      <c r="E72" s="873"/>
      <c r="F72" s="873"/>
      <c r="G72" s="873"/>
      <c r="H72" s="873"/>
      <c r="K72" s="873"/>
      <c r="L72" s="873"/>
      <c r="M72" s="835"/>
      <c r="N72" s="835"/>
      <c r="O72" s="835"/>
      <c r="P72" s="835"/>
      <c r="Q72" s="835"/>
    </row>
    <row r="73" spans="1:17">
      <c r="A73" s="782"/>
      <c r="B73" s="858"/>
      <c r="C73" s="858"/>
      <c r="D73" s="813"/>
      <c r="E73" s="813"/>
      <c r="F73" s="813"/>
      <c r="G73" s="813"/>
      <c r="H73" s="813"/>
      <c r="K73" s="813"/>
      <c r="L73" s="813"/>
    </row>
    <row r="74" spans="1:17">
      <c r="A74" s="782"/>
      <c r="B74" s="858"/>
      <c r="C74" s="858"/>
      <c r="D74" s="813"/>
      <c r="E74" s="813"/>
      <c r="F74" s="813"/>
      <c r="G74" s="813"/>
      <c r="H74" s="813"/>
      <c r="K74" s="813"/>
      <c r="L74" s="813"/>
    </row>
    <row r="75" spans="1:17">
      <c r="A75" s="782"/>
      <c r="B75" s="858"/>
      <c r="C75" s="858"/>
      <c r="D75" s="813"/>
      <c r="E75" s="813"/>
      <c r="F75" s="813"/>
      <c r="G75" s="813"/>
      <c r="H75" s="813"/>
      <c r="K75" s="813"/>
      <c r="L75" s="813"/>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46B3-EB52-4458-8564-291632EA1398}">
  <sheetPr>
    <pageSetUpPr fitToPage="1"/>
  </sheetPr>
  <dimension ref="A1:BB318"/>
  <sheetViews>
    <sheetView topLeftCell="L92" zoomScale="90" zoomScaleNormal="90" zoomScaleSheetLayoutView="100" workbookViewId="0">
      <selection activeCell="L128" sqref="L128"/>
    </sheetView>
  </sheetViews>
  <sheetFormatPr defaultColWidth="9.1796875" defaultRowHeight="12.5"/>
  <cols>
    <col min="1" max="1" width="9.26953125" style="1539" bestFit="1" customWidth="1"/>
    <col min="2" max="2" width="27.54296875" style="1539" customWidth="1"/>
    <col min="3" max="3" width="15.1796875" style="1539" customWidth="1"/>
    <col min="4" max="4" width="13" style="1544" customWidth="1"/>
    <col min="5" max="5" width="13.453125" style="1539" customWidth="1"/>
    <col min="6" max="6" width="12.7265625" style="1539" customWidth="1"/>
    <col min="7" max="7" width="9.81640625" style="1539" bestFit="1" customWidth="1"/>
    <col min="8" max="8" width="9.81640625" style="1545" bestFit="1" customWidth="1"/>
    <col min="9" max="9" width="11.1796875" style="1539" bestFit="1" customWidth="1"/>
    <col min="10" max="10" width="12.7265625" style="1539" customWidth="1"/>
    <col min="11" max="11" width="10" style="1539" bestFit="1" customWidth="1"/>
    <col min="12" max="12" width="11.453125" style="1545" customWidth="1"/>
    <col min="13" max="14" width="12.26953125" style="1539" customWidth="1"/>
    <col min="15" max="15" width="12.81640625" style="1539" customWidth="1"/>
    <col min="16" max="16" width="12.453125" style="1539" customWidth="1"/>
    <col min="17" max="18" width="12.26953125" style="1539" customWidth="1"/>
    <col min="19" max="19" width="12.81640625" style="1539" customWidth="1"/>
    <col min="20" max="20" width="12.453125" style="1539" customWidth="1"/>
    <col min="21" max="21" width="12" style="1539" customWidth="1"/>
    <col min="22" max="22" width="12.54296875" style="1539" customWidth="1"/>
    <col min="23" max="23" width="11.26953125" style="1539" customWidth="1"/>
    <col min="24" max="24" width="11.7265625" style="1539" customWidth="1"/>
    <col min="25" max="25" width="12" style="1539" customWidth="1"/>
    <col min="26" max="26" width="12.54296875" style="1539" customWidth="1"/>
    <col min="27" max="27" width="11.26953125" style="1539" customWidth="1"/>
    <col min="28" max="28" width="10.26953125" style="1539" customWidth="1"/>
    <col min="29" max="29" width="12" style="1539" customWidth="1"/>
    <col min="30" max="30" width="12.54296875" style="1539" customWidth="1"/>
    <col min="31" max="31" width="11.26953125" style="1539" customWidth="1"/>
    <col min="32" max="32" width="10.26953125" style="1539" customWidth="1"/>
    <col min="33" max="33" width="12" style="1539" customWidth="1"/>
    <col min="34" max="34" width="12.54296875" style="1539" customWidth="1"/>
    <col min="35" max="35" width="11.26953125" style="1539" customWidth="1"/>
    <col min="36" max="36" width="12.81640625" style="1539" customWidth="1"/>
    <col min="37" max="37" width="12" style="1539" customWidth="1"/>
    <col min="38" max="38" width="12.54296875" style="1539" customWidth="1"/>
    <col min="39" max="39" width="11.26953125" style="1539" customWidth="1"/>
    <col min="40" max="40" width="11.7265625" style="1539" customWidth="1"/>
    <col min="41" max="43" width="10.26953125" style="1539" customWidth="1"/>
    <col min="44" max="44" width="12" style="1539" customWidth="1"/>
    <col min="45" max="48" width="10.26953125" style="1539" customWidth="1"/>
    <col min="49" max="49" width="13.7265625" style="1539" bestFit="1" customWidth="1"/>
    <col min="50" max="50" width="21.81640625" style="1539" customWidth="1"/>
    <col min="51" max="51" width="18.453125" style="1539" customWidth="1"/>
    <col min="52" max="52" width="12.7265625" style="1539" customWidth="1"/>
    <col min="53" max="53" width="13.26953125" style="1539" bestFit="1" customWidth="1"/>
    <col min="54" max="54" width="10.54296875" style="1539" bestFit="1" customWidth="1"/>
    <col min="55" max="16384" width="9.1796875" style="1539"/>
  </cols>
  <sheetData>
    <row r="1" spans="1:51" ht="18">
      <c r="C1" s="1540" t="str">
        <f>'ATT H-1A'!A4</f>
        <v>Atlantic City Electric Company</v>
      </c>
      <c r="D1" s="1541"/>
      <c r="E1" s="1541"/>
      <c r="F1" s="1541"/>
      <c r="G1" s="1541"/>
      <c r="H1" s="1541"/>
      <c r="I1" s="1541"/>
      <c r="J1" s="1541"/>
      <c r="K1" s="1541"/>
      <c r="L1" s="1541"/>
      <c r="M1" s="1541"/>
      <c r="N1" s="1541"/>
      <c r="O1" s="1541"/>
      <c r="P1" s="1541"/>
    </row>
    <row r="3" spans="1:51" ht="15.5">
      <c r="C3" s="1542" t="s">
        <v>5</v>
      </c>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1542"/>
      <c r="AO3" s="1542"/>
      <c r="AP3" s="1542"/>
      <c r="AQ3" s="1542"/>
      <c r="AR3" s="1542"/>
      <c r="AS3" s="1542"/>
      <c r="AT3" s="1542"/>
      <c r="AU3" s="1542"/>
      <c r="AV3" s="1542"/>
      <c r="AW3" s="1542"/>
      <c r="AX3" s="1542"/>
      <c r="AY3" s="1542"/>
    </row>
    <row r="5" spans="1:51" ht="13">
      <c r="C5" s="1543"/>
    </row>
    <row r="8" spans="1:51">
      <c r="A8" s="1539">
        <v>1</v>
      </c>
      <c r="C8" s="1539" t="s">
        <v>6</v>
      </c>
    </row>
    <row r="10" spans="1:51" ht="13">
      <c r="A10" s="1539">
        <v>2</v>
      </c>
      <c r="C10" s="1546" t="s">
        <v>7</v>
      </c>
    </row>
    <row r="11" spans="1:51" ht="13">
      <c r="A11" s="1539">
        <v>3</v>
      </c>
      <c r="C11" s="1546"/>
      <c r="D11" s="1544" t="s">
        <v>8</v>
      </c>
    </row>
    <row r="12" spans="1:51">
      <c r="A12" s="1539">
        <v>4</v>
      </c>
      <c r="C12" s="1544" t="s">
        <v>9</v>
      </c>
      <c r="D12" s="1544">
        <f>+'ATT H-1A'!A264</f>
        <v>137</v>
      </c>
      <c r="E12" s="1547">
        <f>+'ATT H-1A'!C264</f>
        <v>0</v>
      </c>
      <c r="H12" s="1548"/>
      <c r="K12" s="14">
        <f>+'ATT H-1A'!H301</f>
        <v>8.8191266254682085E-2</v>
      </c>
    </row>
    <row r="13" spans="1:51">
      <c r="A13" s="1539">
        <v>5</v>
      </c>
      <c r="C13" s="1544" t="s">
        <v>10</v>
      </c>
      <c r="D13" s="1544">
        <f>+'ATT H-1A'!A274</f>
        <v>0</v>
      </c>
      <c r="E13" s="1547">
        <f>+'ATT H-1A'!C274</f>
        <v>0</v>
      </c>
      <c r="H13" s="1548"/>
      <c r="K13" s="14">
        <f>+'ATT H-1A'!H311</f>
        <v>9.3755379370300096E-2</v>
      </c>
    </row>
    <row r="14" spans="1:51">
      <c r="A14" s="1539">
        <v>6</v>
      </c>
      <c r="C14" s="1544" t="s">
        <v>11</v>
      </c>
      <c r="E14" s="1539" t="s">
        <v>12</v>
      </c>
      <c r="H14" s="1548"/>
      <c r="K14" s="14">
        <f>+K13-K12</f>
        <v>5.5641131156180107E-3</v>
      </c>
    </row>
    <row r="15" spans="1:51">
      <c r="H15" s="1548"/>
      <c r="K15" s="14"/>
    </row>
    <row r="16" spans="1:51" ht="13">
      <c r="A16" s="1539">
        <v>7</v>
      </c>
      <c r="C16" s="1546" t="s">
        <v>13</v>
      </c>
      <c r="H16" s="1548"/>
      <c r="K16" s="14"/>
    </row>
    <row r="17" spans="1:51" ht="13">
      <c r="C17" s="1546"/>
      <c r="H17" s="1548"/>
      <c r="K17" s="14"/>
    </row>
    <row r="18" spans="1:51">
      <c r="A18" s="1539">
        <v>8</v>
      </c>
      <c r="C18" s="1544" t="s">
        <v>14</v>
      </c>
      <c r="D18" s="1544">
        <f>+'ATT H-1A'!A265</f>
        <v>0</v>
      </c>
      <c r="E18" s="1547">
        <f>+'ATT H-1A'!C265</f>
        <v>0</v>
      </c>
      <c r="H18" s="1548"/>
      <c r="K18" s="14">
        <f>+'ATT H-1A'!H302</f>
        <v>2.496584454583288E-2</v>
      </c>
    </row>
    <row r="19" spans="1:51">
      <c r="C19" s="1544"/>
      <c r="E19" s="1547"/>
      <c r="H19" s="1548"/>
      <c r="N19" s="14"/>
      <c r="R19" s="14"/>
    </row>
    <row r="20" spans="1:51" ht="15.5">
      <c r="C20" s="1549"/>
    </row>
    <row r="21" spans="1:51" ht="13">
      <c r="A21" s="1539">
        <v>9</v>
      </c>
      <c r="C21" s="1543" t="s">
        <v>15</v>
      </c>
    </row>
    <row r="22" spans="1:51" ht="13">
      <c r="A22" s="1539">
        <v>10</v>
      </c>
      <c r="C22" s="1543" t="s">
        <v>16</v>
      </c>
    </row>
    <row r="23" spans="1:51" ht="25.5" customHeight="1" thickBot="1">
      <c r="A23" s="1539">
        <v>11</v>
      </c>
      <c r="C23" s="1874" t="s">
        <v>17</v>
      </c>
      <c r="D23" s="1875"/>
      <c r="E23" s="1875"/>
      <c r="F23" s="1875"/>
      <c r="G23" s="1875"/>
      <c r="H23" s="1875"/>
      <c r="I23" s="1875"/>
      <c r="J23" s="1875"/>
      <c r="K23" s="1875"/>
      <c r="L23" s="1875"/>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c r="AO23" s="1875"/>
      <c r="AP23" s="1875"/>
      <c r="AQ23" s="1875"/>
      <c r="AR23" s="1875"/>
      <c r="AS23" s="1875"/>
      <c r="AT23" s="1875"/>
      <c r="AU23" s="1875"/>
      <c r="AV23" s="1875"/>
      <c r="AW23" s="1875"/>
      <c r="AX23" s="1550"/>
      <c r="AY23" s="1550"/>
    </row>
    <row r="24" spans="1:51" ht="13">
      <c r="C24" s="1551" t="s">
        <v>18</v>
      </c>
      <c r="D24" s="1552"/>
      <c r="E24" s="1876" t="s">
        <v>1576</v>
      </c>
      <c r="F24" s="1877"/>
      <c r="G24" s="1877"/>
      <c r="H24" s="1878"/>
      <c r="I24" s="1876" t="s">
        <v>1577</v>
      </c>
      <c r="J24" s="1877"/>
      <c r="K24" s="1877"/>
      <c r="L24" s="1878"/>
      <c r="M24" s="1876" t="s">
        <v>1578</v>
      </c>
      <c r="N24" s="1877"/>
      <c r="O24" s="1877"/>
      <c r="P24" s="1878"/>
      <c r="Q24" s="1876" t="s">
        <v>1579</v>
      </c>
      <c r="R24" s="1877"/>
      <c r="S24" s="1877"/>
      <c r="T24" s="1878"/>
      <c r="U24" s="1553" t="s">
        <v>1580</v>
      </c>
      <c r="V24" s="1554"/>
      <c r="W24" s="1554"/>
      <c r="X24" s="1555"/>
      <c r="Y24" s="1556" t="s">
        <v>1581</v>
      </c>
      <c r="Z24" s="1557"/>
      <c r="AA24" s="1557"/>
      <c r="AB24" s="1558"/>
      <c r="AC24" s="1556" t="s">
        <v>1582</v>
      </c>
      <c r="AD24" s="1557"/>
      <c r="AE24" s="1557"/>
      <c r="AF24" s="1558"/>
      <c r="AG24" s="1556" t="s">
        <v>1583</v>
      </c>
      <c r="AH24" s="1557"/>
      <c r="AI24" s="1557"/>
      <c r="AJ24" s="1558"/>
      <c r="AK24" s="1876" t="s">
        <v>1584</v>
      </c>
      <c r="AL24" s="1879"/>
      <c r="AM24" s="1879"/>
      <c r="AN24" s="1880"/>
      <c r="AO24" s="1881" t="s">
        <v>1808</v>
      </c>
      <c r="AP24" s="1882"/>
      <c r="AQ24" s="1882"/>
      <c r="AR24" s="1883"/>
      <c r="AS24" s="1881" t="s">
        <v>1809</v>
      </c>
      <c r="AT24" s="1882"/>
      <c r="AU24" s="1882"/>
      <c r="AV24" s="1883"/>
      <c r="AW24" s="1557"/>
      <c r="AX24" s="1551"/>
      <c r="AY24" s="1559"/>
    </row>
    <row r="25" spans="1:51" ht="37.5">
      <c r="A25" s="1539">
        <v>12</v>
      </c>
      <c r="B25" s="17" t="s">
        <v>19</v>
      </c>
      <c r="C25" s="1560" t="s">
        <v>20</v>
      </c>
      <c r="D25" s="1561" t="s">
        <v>21</v>
      </c>
      <c r="E25" s="1562" t="s">
        <v>22</v>
      </c>
      <c r="F25" s="1544"/>
      <c r="G25" s="1544"/>
      <c r="H25" s="1563"/>
      <c r="I25" s="1562" t="s">
        <v>22</v>
      </c>
      <c r="J25" s="1564"/>
      <c r="K25" s="1564"/>
      <c r="L25" s="1565"/>
      <c r="M25" s="1562" t="s">
        <v>22</v>
      </c>
      <c r="N25" s="1544"/>
      <c r="O25" s="1544"/>
      <c r="P25" s="1563"/>
      <c r="Q25" s="1562" t="s">
        <v>22</v>
      </c>
      <c r="R25" s="1544"/>
      <c r="S25" s="1544"/>
      <c r="T25" s="1563"/>
      <c r="U25" s="1566" t="s">
        <v>22</v>
      </c>
      <c r="V25" s="1567"/>
      <c r="W25" s="1567"/>
      <c r="X25" s="1568"/>
      <c r="Y25" s="1566" t="s">
        <v>23</v>
      </c>
      <c r="Z25" s="1567"/>
      <c r="AA25" s="1567"/>
      <c r="AB25" s="1568"/>
      <c r="AC25" s="1566" t="s">
        <v>22</v>
      </c>
      <c r="AD25" s="1567"/>
      <c r="AE25" s="1567"/>
      <c r="AF25" s="1568"/>
      <c r="AG25" s="1566" t="s">
        <v>22</v>
      </c>
      <c r="AH25" s="1567"/>
      <c r="AI25" s="1567"/>
      <c r="AJ25" s="1568"/>
      <c r="AK25" s="1566" t="s">
        <v>22</v>
      </c>
      <c r="AL25" s="1567"/>
      <c r="AM25" s="1567"/>
      <c r="AN25" s="1568"/>
      <c r="AO25" s="146" t="s">
        <v>22</v>
      </c>
      <c r="AP25" s="1619"/>
      <c r="AQ25" s="1619"/>
      <c r="AR25" s="1717"/>
      <c r="AS25" s="146" t="s">
        <v>22</v>
      </c>
      <c r="AT25" s="1619"/>
      <c r="AU25" s="1619"/>
      <c r="AV25" s="1717"/>
      <c r="AW25" s="1567"/>
      <c r="AX25" s="1560"/>
      <c r="AY25" s="1569"/>
    </row>
    <row r="26" spans="1:51" ht="13">
      <c r="A26" s="1539">
        <v>13</v>
      </c>
      <c r="B26" s="1539" t="s">
        <v>24</v>
      </c>
      <c r="C26" s="1560" t="s">
        <v>25</v>
      </c>
      <c r="D26" s="1561"/>
      <c r="E26" s="1562">
        <v>35</v>
      </c>
      <c r="F26" s="1570"/>
      <c r="G26" s="1570"/>
      <c r="H26" s="24"/>
      <c r="I26" s="1562">
        <v>35</v>
      </c>
      <c r="J26" s="1570"/>
      <c r="K26" s="1570"/>
      <c r="L26" s="24"/>
      <c r="M26" s="1562">
        <v>35</v>
      </c>
      <c r="N26" s="1570"/>
      <c r="O26" s="1570"/>
      <c r="P26" s="1561"/>
      <c r="Q26" s="1562">
        <v>35</v>
      </c>
      <c r="R26" s="1570"/>
      <c r="S26" s="1570"/>
      <c r="T26" s="1561"/>
      <c r="U26" s="1562">
        <v>35</v>
      </c>
      <c r="V26" s="1570"/>
      <c r="W26" s="1570"/>
      <c r="X26" s="1561"/>
      <c r="Y26" s="1562">
        <v>35</v>
      </c>
      <c r="Z26" s="1570"/>
      <c r="AA26" s="1570"/>
      <c r="AB26" s="1561"/>
      <c r="AC26" s="1562">
        <v>35</v>
      </c>
      <c r="AD26" s="1570"/>
      <c r="AE26" s="1570"/>
      <c r="AF26" s="1561"/>
      <c r="AG26" s="1562">
        <v>35</v>
      </c>
      <c r="AH26" s="1570"/>
      <c r="AI26" s="1570"/>
      <c r="AJ26" s="1561"/>
      <c r="AK26" s="1562">
        <v>35</v>
      </c>
      <c r="AL26" s="1570"/>
      <c r="AM26" s="1570"/>
      <c r="AN26" s="1561"/>
      <c r="AO26" s="1718">
        <v>35</v>
      </c>
      <c r="AP26" s="1719"/>
      <c r="AQ26" s="1719"/>
      <c r="AR26" s="1720"/>
      <c r="AS26" s="1718">
        <v>35</v>
      </c>
      <c r="AT26" s="1719"/>
      <c r="AU26" s="1719"/>
      <c r="AV26" s="1720"/>
      <c r="AW26" s="1570"/>
      <c r="AX26" s="1560"/>
      <c r="AY26" s="1569"/>
    </row>
    <row r="27" spans="1:51" ht="50">
      <c r="A27" s="1539">
        <v>14</v>
      </c>
      <c r="B27" s="17" t="s">
        <v>26</v>
      </c>
      <c r="C27" s="1560" t="s">
        <v>27</v>
      </c>
      <c r="D27" s="1561" t="s">
        <v>21</v>
      </c>
      <c r="E27" s="1562" t="s">
        <v>23</v>
      </c>
      <c r="F27" s="1570"/>
      <c r="G27" s="1570"/>
      <c r="H27" s="24"/>
      <c r="I27" s="1562" t="s">
        <v>23</v>
      </c>
      <c r="J27" s="1570"/>
      <c r="K27" s="1570"/>
      <c r="L27" s="24"/>
      <c r="M27" s="1562" t="s">
        <v>23</v>
      </c>
      <c r="N27" s="1570"/>
      <c r="O27" s="1570"/>
      <c r="P27" s="1561"/>
      <c r="Q27" s="1562" t="s">
        <v>23</v>
      </c>
      <c r="R27" s="1570"/>
      <c r="S27" s="1570"/>
      <c r="T27" s="1561"/>
      <c r="U27" s="1562" t="s">
        <v>23</v>
      </c>
      <c r="V27" s="1570"/>
      <c r="W27" s="1570"/>
      <c r="X27" s="1561"/>
      <c r="Y27" s="1562" t="s">
        <v>23</v>
      </c>
      <c r="Z27" s="1570"/>
      <c r="AA27" s="1570"/>
      <c r="AB27" s="1561"/>
      <c r="AC27" s="1562" t="s">
        <v>23</v>
      </c>
      <c r="AD27" s="1570"/>
      <c r="AE27" s="1570"/>
      <c r="AF27" s="1561"/>
      <c r="AG27" s="1562" t="s">
        <v>23</v>
      </c>
      <c r="AH27" s="1570"/>
      <c r="AI27" s="1570"/>
      <c r="AJ27" s="1561"/>
      <c r="AK27" s="1562" t="s">
        <v>23</v>
      </c>
      <c r="AL27" s="1570"/>
      <c r="AM27" s="1570"/>
      <c r="AN27" s="1561"/>
      <c r="AO27" s="1718" t="s">
        <v>23</v>
      </c>
      <c r="AP27" s="1719"/>
      <c r="AQ27" s="1719"/>
      <c r="AR27" s="1720"/>
      <c r="AS27" s="1718" t="s">
        <v>23</v>
      </c>
      <c r="AT27" s="1719"/>
      <c r="AU27" s="1719"/>
      <c r="AV27" s="1720"/>
      <c r="AW27" s="1570"/>
      <c r="AX27" s="1560"/>
      <c r="AY27" s="1569"/>
    </row>
    <row r="28" spans="1:51" ht="13">
      <c r="A28" s="1539">
        <v>15</v>
      </c>
      <c r="B28" s="17" t="s">
        <v>28</v>
      </c>
      <c r="C28" s="1560" t="s">
        <v>29</v>
      </c>
      <c r="D28" s="1561"/>
      <c r="E28" s="1562">
        <v>150</v>
      </c>
      <c r="F28" s="1570"/>
      <c r="G28" s="1570"/>
      <c r="H28" s="24"/>
      <c r="I28" s="1562">
        <v>0</v>
      </c>
      <c r="J28" s="1570"/>
      <c r="K28" s="1570"/>
      <c r="L28" s="24"/>
      <c r="M28" s="1562">
        <v>0</v>
      </c>
      <c r="N28" s="1570"/>
      <c r="O28" s="1570"/>
      <c r="P28" s="1561"/>
      <c r="Q28" s="1562">
        <v>150</v>
      </c>
      <c r="R28" s="1570"/>
      <c r="S28" s="1570"/>
      <c r="T28" s="1561"/>
      <c r="U28" s="1562">
        <v>150</v>
      </c>
      <c r="V28" s="1570"/>
      <c r="W28" s="1570"/>
      <c r="X28" s="1561"/>
      <c r="Y28" s="1562">
        <v>150</v>
      </c>
      <c r="Z28" s="1570"/>
      <c r="AA28" s="1570"/>
      <c r="AB28" s="1561"/>
      <c r="AC28" s="1562">
        <v>0</v>
      </c>
      <c r="AD28" s="1570"/>
      <c r="AE28" s="1570"/>
      <c r="AF28" s="1561"/>
      <c r="AG28" s="1562">
        <v>0</v>
      </c>
      <c r="AH28" s="1570"/>
      <c r="AI28" s="1570"/>
      <c r="AJ28" s="1561"/>
      <c r="AK28" s="1562">
        <v>0</v>
      </c>
      <c r="AL28" s="1570"/>
      <c r="AM28" s="1570"/>
      <c r="AN28" s="1561"/>
      <c r="AO28" s="1718">
        <v>0</v>
      </c>
      <c r="AP28" s="1719"/>
      <c r="AQ28" s="1719"/>
      <c r="AR28" s="1720"/>
      <c r="AS28" s="1718">
        <v>0</v>
      </c>
      <c r="AT28" s="1719"/>
      <c r="AU28" s="1719"/>
      <c r="AV28" s="1720"/>
      <c r="AW28" s="1570"/>
      <c r="AX28" s="1560"/>
      <c r="AY28" s="1569"/>
    </row>
    <row r="29" spans="1:51" ht="37.5">
      <c r="A29" s="1539">
        <v>16</v>
      </c>
      <c r="B29" s="17" t="s">
        <v>30</v>
      </c>
      <c r="C29" s="1560" t="s">
        <v>31</v>
      </c>
      <c r="D29" s="1561"/>
      <c r="E29" s="1571">
        <f>K12</f>
        <v>8.8191266254682085E-2</v>
      </c>
      <c r="F29" s="1572"/>
      <c r="G29" s="1573">
        <f>+E30-E29</f>
        <v>8.3461696734270091E-3</v>
      </c>
      <c r="H29" s="25"/>
      <c r="I29" s="1571">
        <f>$K$12</f>
        <v>8.8191266254682085E-2</v>
      </c>
      <c r="J29" s="1572"/>
      <c r="K29" s="1572"/>
      <c r="L29" s="25"/>
      <c r="M29" s="1571">
        <f>$K$12</f>
        <v>8.8191266254682085E-2</v>
      </c>
      <c r="N29" s="1570"/>
      <c r="O29" s="1570"/>
      <c r="P29" s="1561"/>
      <c r="Q29" s="1571">
        <f>$K$12</f>
        <v>8.8191266254682085E-2</v>
      </c>
      <c r="R29" s="1570"/>
      <c r="S29" s="1570"/>
      <c r="T29" s="1561"/>
      <c r="U29" s="1571">
        <f>$K$12</f>
        <v>8.8191266254682085E-2</v>
      </c>
      <c r="V29" s="1572"/>
      <c r="W29" s="1572"/>
      <c r="X29" s="1569"/>
      <c r="Y29" s="1571">
        <f>$K$12</f>
        <v>8.8191266254682085E-2</v>
      </c>
      <c r="Z29" s="1572"/>
      <c r="AA29" s="1572"/>
      <c r="AB29" s="1569"/>
      <c r="AC29" s="1571">
        <f>$K$12</f>
        <v>8.8191266254682085E-2</v>
      </c>
      <c r="AD29" s="1572"/>
      <c r="AE29" s="1572"/>
      <c r="AF29" s="1569"/>
      <c r="AG29" s="1571">
        <f>$K$12</f>
        <v>8.8191266254682085E-2</v>
      </c>
      <c r="AH29" s="1572"/>
      <c r="AI29" s="1572"/>
      <c r="AJ29" s="1569"/>
      <c r="AK29" s="1571">
        <f>$K$12</f>
        <v>8.8191266254682085E-2</v>
      </c>
      <c r="AL29" s="1572"/>
      <c r="AM29" s="1572"/>
      <c r="AN29" s="1569"/>
      <c r="AO29" s="1721">
        <f>$K$12</f>
        <v>8.8191266254682085E-2</v>
      </c>
      <c r="AP29" s="43"/>
      <c r="AQ29" s="43"/>
      <c r="AR29" s="22"/>
      <c r="AS29" s="1721">
        <f>$K$12</f>
        <v>8.8191266254682085E-2</v>
      </c>
      <c r="AT29" s="43"/>
      <c r="AU29" s="43"/>
      <c r="AV29" s="22"/>
      <c r="AW29" s="1572"/>
      <c r="AX29" s="1560"/>
      <c r="AY29" s="1569"/>
    </row>
    <row r="30" spans="1:51" ht="25">
      <c r="A30" s="1539">
        <v>17</v>
      </c>
      <c r="B30" s="17" t="s">
        <v>32</v>
      </c>
      <c r="C30" s="1560" t="s">
        <v>33</v>
      </c>
      <c r="D30" s="1574"/>
      <c r="E30" s="1575">
        <f>+$K14*E28/100+E29</f>
        <v>9.6537435928109094E-2</v>
      </c>
      <c r="F30" s="1576"/>
      <c r="G30" s="1576"/>
      <c r="H30" s="1577"/>
      <c r="I30" s="1575">
        <f>+$K14*I28/100+I29</f>
        <v>8.8191266254682085E-2</v>
      </c>
      <c r="J30" s="1576"/>
      <c r="K30" s="1576"/>
      <c r="L30" s="1577"/>
      <c r="M30" s="1575">
        <f>+$K14*M28/100+M29</f>
        <v>8.8191266254682085E-2</v>
      </c>
      <c r="N30" s="1572"/>
      <c r="O30" s="1572"/>
      <c r="P30" s="1569"/>
      <c r="Q30" s="1575">
        <f>+$K14*Q28/100+Q29</f>
        <v>9.6537435928109094E-2</v>
      </c>
      <c r="R30" s="1572"/>
      <c r="S30" s="1572"/>
      <c r="T30" s="1569"/>
      <c r="U30" s="1575">
        <f>+$K14*U28/100+U29</f>
        <v>9.6537435928109094E-2</v>
      </c>
      <c r="V30" s="1572"/>
      <c r="W30" s="1572"/>
      <c r="X30" s="1569"/>
      <c r="Y30" s="1575">
        <f>+$K14*Y28/100+Y29</f>
        <v>9.6537435928109094E-2</v>
      </c>
      <c r="Z30" s="1572"/>
      <c r="AA30" s="1572"/>
      <c r="AB30" s="1569"/>
      <c r="AC30" s="1575">
        <f>+$K14*AC28/100+AC29</f>
        <v>8.8191266254682085E-2</v>
      </c>
      <c r="AD30" s="1572"/>
      <c r="AE30" s="1572"/>
      <c r="AF30" s="1569"/>
      <c r="AG30" s="1575">
        <f>+$K14*AG28/100+AG29</f>
        <v>8.8191266254682085E-2</v>
      </c>
      <c r="AH30" s="1572"/>
      <c r="AI30" s="1572"/>
      <c r="AJ30" s="1569"/>
      <c r="AK30" s="1575">
        <f>+$K14*AK28/100+AK29</f>
        <v>8.8191266254682085E-2</v>
      </c>
      <c r="AL30" s="1572"/>
      <c r="AM30" s="1572"/>
      <c r="AN30" s="1569"/>
      <c r="AO30" s="1575">
        <f>+$K14*AO28/100+AO29</f>
        <v>8.8191266254682085E-2</v>
      </c>
      <c r="AP30" s="43"/>
      <c r="AQ30" s="43"/>
      <c r="AR30" s="22"/>
      <c r="AS30" s="1575">
        <f>+$K14*AS28/100+AS29</f>
        <v>8.8191266254682085E-2</v>
      </c>
      <c r="AT30" s="43"/>
      <c r="AU30" s="43"/>
      <c r="AV30" s="22"/>
      <c r="AW30" s="1572"/>
      <c r="AX30" s="1560"/>
      <c r="AY30" s="1569"/>
    </row>
    <row r="31" spans="1:51" ht="25.5">
      <c r="A31" s="1539">
        <v>18</v>
      </c>
      <c r="B31" s="1578" t="s">
        <v>34</v>
      </c>
      <c r="C31" s="1560" t="s">
        <v>35</v>
      </c>
      <c r="D31" s="1561"/>
      <c r="E31" s="1579">
        <v>4854660</v>
      </c>
      <c r="F31" s="1580" t="s">
        <v>1585</v>
      </c>
      <c r="G31" s="1580"/>
      <c r="H31" s="1581"/>
      <c r="I31" s="26">
        <v>7878071</v>
      </c>
      <c r="J31" s="27"/>
      <c r="K31" s="27"/>
      <c r="L31" s="25"/>
      <c r="M31" s="26">
        <v>13722120</v>
      </c>
      <c r="N31" s="27"/>
      <c r="O31" s="27"/>
      <c r="P31" s="25"/>
      <c r="Q31" s="26">
        <v>26046638</v>
      </c>
      <c r="R31" s="27"/>
      <c r="S31" s="27"/>
      <c r="T31" s="25"/>
      <c r="U31" s="26">
        <v>18572212</v>
      </c>
      <c r="V31" s="27"/>
      <c r="W31" s="27"/>
      <c r="X31" s="25"/>
      <c r="Y31" s="26">
        <v>6759777</v>
      </c>
      <c r="Z31" s="27"/>
      <c r="AA31" s="27"/>
      <c r="AB31" s="25"/>
      <c r="AC31" s="26">
        <v>4045398</v>
      </c>
      <c r="AD31" s="27"/>
      <c r="AE31" s="27"/>
      <c r="AF31" s="25"/>
      <c r="AG31" s="26">
        <v>13176210</v>
      </c>
      <c r="AH31" s="27"/>
      <c r="AI31" s="27"/>
      <c r="AJ31" s="25"/>
      <c r="AK31" s="26">
        <v>14841978</v>
      </c>
      <c r="AL31" s="27"/>
      <c r="AM31" s="27"/>
      <c r="AN31" s="25"/>
      <c r="AO31" s="26">
        <v>13000000</v>
      </c>
      <c r="AP31" s="27"/>
      <c r="AQ31" s="27"/>
      <c r="AR31" s="25"/>
      <c r="AS31" s="26">
        <f>0.07*1000000</f>
        <v>70000</v>
      </c>
      <c r="AT31" s="27"/>
      <c r="AU31" s="27"/>
      <c r="AV31" s="25"/>
      <c r="AW31" s="27"/>
      <c r="AX31" s="1560"/>
      <c r="AY31" s="1569"/>
    </row>
    <row r="32" spans="1:51" ht="13">
      <c r="A32" s="1539">
        <v>19</v>
      </c>
      <c r="B32" s="1582" t="s">
        <v>36</v>
      </c>
      <c r="C32" s="1560" t="s">
        <v>1586</v>
      </c>
      <c r="D32" s="1561"/>
      <c r="E32" s="29">
        <f>IF(E31=0,0,E31/E26)</f>
        <v>138704.57142857142</v>
      </c>
      <c r="F32" s="27"/>
      <c r="G32" s="27"/>
      <c r="H32" s="25"/>
      <c r="I32" s="29">
        <f>IF(I31=0,0,I31/I26)</f>
        <v>225087.74285714285</v>
      </c>
      <c r="J32" s="27"/>
      <c r="K32" s="27"/>
      <c r="L32" s="25"/>
      <c r="M32" s="29">
        <f>IF(M26=0,0,M31/M26)</f>
        <v>392060.57142857142</v>
      </c>
      <c r="N32" s="27"/>
      <c r="O32" s="27"/>
      <c r="P32" s="25"/>
      <c r="Q32" s="29">
        <f>IF(Q31=0,0,Q31/Q26)</f>
        <v>744189.65714285709</v>
      </c>
      <c r="R32" s="27"/>
      <c r="S32" s="27"/>
      <c r="T32" s="25"/>
      <c r="U32" s="29">
        <f>IF(U31=0,0,U31/U26)</f>
        <v>530634.62857142859</v>
      </c>
      <c r="V32" s="27"/>
      <c r="W32" s="27"/>
      <c r="X32" s="25"/>
      <c r="Y32" s="29">
        <f>IF(Y31=0,0,Y31/Y26)</f>
        <v>193136.48571428572</v>
      </c>
      <c r="Z32" s="27"/>
      <c r="AA32" s="27"/>
      <c r="AB32" s="25"/>
      <c r="AC32" s="29">
        <f>IF(AC31=0,0,AC31/AC26)</f>
        <v>115582.8</v>
      </c>
      <c r="AD32" s="27"/>
      <c r="AE32" s="27"/>
      <c r="AF32" s="25"/>
      <c r="AG32" s="29">
        <f>IF(AG31=0,0,AG31/AG26)</f>
        <v>376463.14285714284</v>
      </c>
      <c r="AH32" s="27"/>
      <c r="AI32" s="27"/>
      <c r="AJ32" s="25"/>
      <c r="AK32" s="29">
        <f>IF(AK31=0,0,AK31/AK26)</f>
        <v>424056.51428571431</v>
      </c>
      <c r="AL32" s="27"/>
      <c r="AM32" s="27"/>
      <c r="AN32" s="25"/>
      <c r="AO32" s="29">
        <f>IF(AO31=0,0,AO31/AO26)</f>
        <v>371428.57142857142</v>
      </c>
      <c r="AP32" s="27"/>
      <c r="AQ32" s="27"/>
      <c r="AR32" s="25"/>
      <c r="AS32" s="29">
        <f>IF(AS31=0,0,AS31/AS26)</f>
        <v>2000</v>
      </c>
      <c r="AT32" s="27"/>
      <c r="AU32" s="27"/>
      <c r="AV32" s="25"/>
      <c r="AW32" s="27"/>
      <c r="AX32" s="1560"/>
      <c r="AY32" s="1569"/>
    </row>
    <row r="33" spans="1:52" ht="27" customHeight="1">
      <c r="A33" s="1539">
        <f>+A32+1</f>
        <v>20</v>
      </c>
      <c r="B33" s="17" t="s">
        <v>37</v>
      </c>
      <c r="C33" s="1872" t="s">
        <v>38</v>
      </c>
      <c r="D33" s="1873"/>
      <c r="E33" s="1583">
        <v>6</v>
      </c>
      <c r="F33" s="1584"/>
      <c r="G33" s="1584"/>
      <c r="H33" s="1585"/>
      <c r="I33" s="1583">
        <v>6</v>
      </c>
      <c r="J33" s="1584"/>
      <c r="K33" s="1584"/>
      <c r="L33" s="1585"/>
      <c r="M33" s="1583">
        <v>9</v>
      </c>
      <c r="N33" s="1584"/>
      <c r="O33" s="1584"/>
      <c r="P33" s="1585"/>
      <c r="Q33" s="1583">
        <v>7</v>
      </c>
      <c r="R33" s="1261"/>
      <c r="S33" s="1261"/>
      <c r="T33" s="1260"/>
      <c r="U33" s="26">
        <v>7</v>
      </c>
      <c r="V33" s="1261"/>
      <c r="W33" s="1261"/>
      <c r="X33" s="1260"/>
      <c r="Y33" s="26">
        <v>2</v>
      </c>
      <c r="Z33" s="1261"/>
      <c r="AA33" s="1261"/>
      <c r="AB33" s="1260"/>
      <c r="AC33" s="26">
        <v>5</v>
      </c>
      <c r="AD33" s="1261"/>
      <c r="AE33" s="1261"/>
      <c r="AF33" s="1260"/>
      <c r="AG33" s="26">
        <v>5</v>
      </c>
      <c r="AH33" s="1261"/>
      <c r="AI33" s="1261"/>
      <c r="AJ33" s="1260"/>
      <c r="AK33" s="26">
        <v>6</v>
      </c>
      <c r="AL33" s="1261"/>
      <c r="AM33" s="1261"/>
      <c r="AN33" s="1260"/>
      <c r="AO33" s="26">
        <v>1</v>
      </c>
      <c r="AP33" s="1261"/>
      <c r="AQ33" s="1261"/>
      <c r="AR33" s="1260"/>
      <c r="AS33" s="26">
        <v>3</v>
      </c>
      <c r="AT33" s="1261"/>
      <c r="AU33" s="1261"/>
      <c r="AV33" s="1260"/>
      <c r="AW33" s="1261"/>
      <c r="AX33" s="1560"/>
      <c r="AY33" s="1569"/>
    </row>
    <row r="34" spans="1:52" ht="13.5" thickBot="1">
      <c r="C34" s="1586"/>
      <c r="D34" s="1587"/>
      <c r="E34" s="34"/>
      <c r="F34" s="35"/>
      <c r="G34" s="35"/>
      <c r="H34" s="36"/>
      <c r="I34" s="34"/>
      <c r="J34" s="35"/>
      <c r="K34" s="35"/>
      <c r="L34" s="36"/>
      <c r="M34" s="34"/>
      <c r="N34" s="35"/>
      <c r="O34" s="35"/>
      <c r="P34" s="36"/>
      <c r="Q34" s="34"/>
      <c r="R34" s="35"/>
      <c r="S34" s="35"/>
      <c r="T34" s="36"/>
      <c r="U34" s="34"/>
      <c r="V34" s="35"/>
      <c r="W34" s="35"/>
      <c r="X34" s="36"/>
      <c r="Y34" s="34"/>
      <c r="Z34" s="35"/>
      <c r="AA34" s="35"/>
      <c r="AB34" s="36"/>
      <c r="AC34" s="34"/>
      <c r="AD34" s="35"/>
      <c r="AE34" s="35"/>
      <c r="AF34" s="36"/>
      <c r="AG34" s="34"/>
      <c r="AH34" s="35"/>
      <c r="AI34" s="35"/>
      <c r="AJ34" s="36"/>
      <c r="AK34" s="34"/>
      <c r="AL34" s="35"/>
      <c r="AM34" s="35"/>
      <c r="AN34" s="36"/>
      <c r="AO34" s="34"/>
      <c r="AP34" s="35"/>
      <c r="AQ34" s="35"/>
      <c r="AR34" s="36"/>
      <c r="AS34" s="34"/>
      <c r="AT34" s="35"/>
      <c r="AU34" s="35"/>
      <c r="AV34" s="36"/>
      <c r="AW34" s="35"/>
      <c r="AX34" s="1586"/>
      <c r="AY34" s="1588"/>
    </row>
    <row r="35" spans="1:52" ht="13">
      <c r="C35" s="1551"/>
      <c r="D35" s="1589" t="s">
        <v>39</v>
      </c>
      <c r="E35" s="1590" t="s">
        <v>40</v>
      </c>
      <c r="F35" s="1590" t="s">
        <v>41</v>
      </c>
      <c r="G35" s="1590" t="s">
        <v>42</v>
      </c>
      <c r="H35" s="1591" t="s">
        <v>43</v>
      </c>
      <c r="I35" s="1590" t="s">
        <v>40</v>
      </c>
      <c r="J35" s="1590" t="s">
        <v>41</v>
      </c>
      <c r="K35" s="1590" t="s">
        <v>42</v>
      </c>
      <c r="L35" s="1592" t="s">
        <v>43</v>
      </c>
      <c r="M35" s="1593" t="s">
        <v>40</v>
      </c>
      <c r="N35" s="1590" t="s">
        <v>41</v>
      </c>
      <c r="O35" s="1590" t="s">
        <v>42</v>
      </c>
      <c r="P35" s="1592" t="s">
        <v>43</v>
      </c>
      <c r="Q35" s="1593" t="s">
        <v>40</v>
      </c>
      <c r="R35" s="1590" t="s">
        <v>41</v>
      </c>
      <c r="S35" s="1590" t="s">
        <v>42</v>
      </c>
      <c r="T35" s="1592" t="s">
        <v>43</v>
      </c>
      <c r="U35" s="1593" t="s">
        <v>40</v>
      </c>
      <c r="V35" s="1590" t="s">
        <v>41</v>
      </c>
      <c r="W35" s="1590" t="s">
        <v>42</v>
      </c>
      <c r="X35" s="1592" t="s">
        <v>43</v>
      </c>
      <c r="Y35" s="1593" t="s">
        <v>40</v>
      </c>
      <c r="Z35" s="1590" t="s">
        <v>41</v>
      </c>
      <c r="AA35" s="1590" t="s">
        <v>42</v>
      </c>
      <c r="AB35" s="1592" t="s">
        <v>43</v>
      </c>
      <c r="AC35" s="1593" t="s">
        <v>40</v>
      </c>
      <c r="AD35" s="1590" t="s">
        <v>41</v>
      </c>
      <c r="AE35" s="1590" t="s">
        <v>42</v>
      </c>
      <c r="AF35" s="1592" t="s">
        <v>43</v>
      </c>
      <c r="AG35" s="1593" t="s">
        <v>40</v>
      </c>
      <c r="AH35" s="1590" t="s">
        <v>41</v>
      </c>
      <c r="AI35" s="1590" t="s">
        <v>42</v>
      </c>
      <c r="AJ35" s="1592" t="s">
        <v>43</v>
      </c>
      <c r="AK35" s="1593" t="s">
        <v>40</v>
      </c>
      <c r="AL35" s="1590" t="s">
        <v>41</v>
      </c>
      <c r="AM35" s="1590" t="s">
        <v>42</v>
      </c>
      <c r="AN35" s="1592" t="s">
        <v>43</v>
      </c>
      <c r="AO35" s="1714" t="s">
        <v>40</v>
      </c>
      <c r="AP35" s="1715" t="s">
        <v>41</v>
      </c>
      <c r="AQ35" s="1715" t="s">
        <v>42</v>
      </c>
      <c r="AR35" s="1716" t="s">
        <v>43</v>
      </c>
      <c r="AS35" s="1714" t="s">
        <v>40</v>
      </c>
      <c r="AT35" s="1715" t="s">
        <v>41</v>
      </c>
      <c r="AU35" s="1715" t="s">
        <v>42</v>
      </c>
      <c r="AV35" s="1716" t="s">
        <v>43</v>
      </c>
      <c r="AW35" s="1589" t="s">
        <v>44</v>
      </c>
      <c r="AX35" s="1567" t="s">
        <v>45</v>
      </c>
      <c r="AY35" s="1568" t="s">
        <v>46</v>
      </c>
    </row>
    <row r="36" spans="1:52" ht="12.75" hidden="1" customHeight="1">
      <c r="A36" s="1539">
        <f>+A33+1</f>
        <v>21</v>
      </c>
      <c r="C36" s="1560" t="str">
        <f>+C29</f>
        <v>Base FCR</v>
      </c>
      <c r="D36" s="1594">
        <v>2008</v>
      </c>
      <c r="E36" s="1595"/>
      <c r="F36" s="27"/>
      <c r="G36" s="1595">
        <v>0</v>
      </c>
      <c r="H36" s="25">
        <v>0</v>
      </c>
      <c r="I36" s="1595"/>
      <c r="J36" s="1261"/>
      <c r="K36" s="1595">
        <v>0</v>
      </c>
      <c r="L36" s="1260">
        <v>0</v>
      </c>
      <c r="M36" s="1595">
        <v>13722120</v>
      </c>
      <c r="N36" s="1261">
        <v>98015.142857142855</v>
      </c>
      <c r="O36" s="1595">
        <v>13624104.857142856</v>
      </c>
      <c r="P36" s="1260">
        <v>605809.1932136229</v>
      </c>
      <c r="Q36" s="1595">
        <v>26046638</v>
      </c>
      <c r="R36" s="1261">
        <v>310079.02380952379</v>
      </c>
      <c r="S36" s="1595">
        <v>25736558.976190478</v>
      </c>
      <c r="T36" s="1260">
        <v>1748948.4022156682</v>
      </c>
      <c r="U36" s="1595">
        <v>18572212</v>
      </c>
      <c r="V36" s="1261">
        <v>221097.76190476189</v>
      </c>
      <c r="W36" s="1595">
        <v>18351114.238095239</v>
      </c>
      <c r="X36" s="1260">
        <v>1247064.6116788916</v>
      </c>
      <c r="Y36" s="1560"/>
      <c r="Z36" s="1572"/>
      <c r="AA36" s="1572"/>
      <c r="AB36" s="25"/>
      <c r="AC36" s="1560"/>
      <c r="AD36" s="1572"/>
      <c r="AE36" s="1572"/>
      <c r="AF36" s="25"/>
      <c r="AG36" s="1560"/>
      <c r="AH36" s="1572"/>
      <c r="AI36" s="1572"/>
      <c r="AJ36" s="25"/>
      <c r="AK36" s="1560"/>
      <c r="AL36" s="1572"/>
      <c r="AM36" s="1572"/>
      <c r="AN36" s="25"/>
      <c r="AO36" s="1560"/>
      <c r="AP36" s="1572"/>
      <c r="AQ36" s="1572"/>
      <c r="AR36" s="25"/>
      <c r="AS36" s="1560"/>
      <c r="AT36" s="1572"/>
      <c r="AU36" s="1572"/>
      <c r="AV36" s="25"/>
      <c r="AW36" s="1596">
        <f t="shared" ref="AW36:AW41" si="0">+X36+T36+P36+L36+H36</f>
        <v>3601822.2071081828</v>
      </c>
      <c r="AX36" s="1572"/>
      <c r="AY36" s="1597">
        <f>+AW36</f>
        <v>3601822.2071081828</v>
      </c>
    </row>
    <row r="37" spans="1:52" ht="12.75" hidden="1" customHeight="1">
      <c r="A37" s="1539">
        <f>+A36+1</f>
        <v>22</v>
      </c>
      <c r="C37" s="1560" t="s">
        <v>47</v>
      </c>
      <c r="D37" s="1594">
        <v>2008</v>
      </c>
      <c r="E37" s="1595"/>
      <c r="F37" s="27"/>
      <c r="G37" s="1595">
        <v>0</v>
      </c>
      <c r="H37" s="25">
        <v>0</v>
      </c>
      <c r="I37" s="1595"/>
      <c r="J37" s="1261"/>
      <c r="K37" s="1595">
        <v>0</v>
      </c>
      <c r="L37" s="1260">
        <v>0</v>
      </c>
      <c r="M37" s="1595">
        <v>13722120</v>
      </c>
      <c r="N37" s="1261">
        <v>98015.142857142855</v>
      </c>
      <c r="O37" s="1595">
        <v>13624104.857142856</v>
      </c>
      <c r="P37" s="1260">
        <v>605809.1932136229</v>
      </c>
      <c r="Q37" s="1595">
        <v>26046638</v>
      </c>
      <c r="R37" s="1261">
        <v>310079.02380952379</v>
      </c>
      <c r="S37" s="1595">
        <v>25736558.976190478</v>
      </c>
      <c r="T37" s="1260">
        <v>1882305.814125001</v>
      </c>
      <c r="U37" s="1595">
        <v>18572212</v>
      </c>
      <c r="V37" s="1261">
        <v>221097.76190476189</v>
      </c>
      <c r="W37" s="1595">
        <v>18351114.238095239</v>
      </c>
      <c r="X37" s="1260">
        <v>1342153.3569423475</v>
      </c>
      <c r="Y37" s="1560"/>
      <c r="Z37" s="1572"/>
      <c r="AA37" s="1572"/>
      <c r="AB37" s="25"/>
      <c r="AC37" s="1560"/>
      <c r="AD37" s="1572"/>
      <c r="AE37" s="1572"/>
      <c r="AF37" s="25"/>
      <c r="AG37" s="1560"/>
      <c r="AH37" s="1572"/>
      <c r="AI37" s="1572"/>
      <c r="AJ37" s="25"/>
      <c r="AK37" s="1560"/>
      <c r="AL37" s="1572"/>
      <c r="AM37" s="1572"/>
      <c r="AN37" s="25"/>
      <c r="AO37" s="1560"/>
      <c r="AP37" s="1572"/>
      <c r="AQ37" s="1572"/>
      <c r="AR37" s="25"/>
      <c r="AS37" s="1560"/>
      <c r="AT37" s="1572"/>
      <c r="AU37" s="1572"/>
      <c r="AV37" s="25"/>
      <c r="AW37" s="1596">
        <f t="shared" si="0"/>
        <v>3830268.3642809717</v>
      </c>
      <c r="AX37" s="1598">
        <f>+AW37</f>
        <v>3830268.3642809717</v>
      </c>
      <c r="AY37" s="1569"/>
    </row>
    <row r="38" spans="1:52" ht="12.75" hidden="1" customHeight="1">
      <c r="A38" s="1539">
        <f t="shared" ref="A38:A77" si="1">+A37+1</f>
        <v>23</v>
      </c>
      <c r="C38" s="1560" t="str">
        <f>+C36</f>
        <v>Base FCR</v>
      </c>
      <c r="D38" s="1594">
        <f t="shared" ref="D38:D75" si="2">+D36+1</f>
        <v>2009</v>
      </c>
      <c r="E38" s="1595">
        <v>4854660</v>
      </c>
      <c r="F38" s="27">
        <v>69352.28571428571</v>
      </c>
      <c r="G38" s="1595">
        <v>4785307.7142857146</v>
      </c>
      <c r="H38" s="25">
        <v>604422.47460055421</v>
      </c>
      <c r="I38" s="1595">
        <v>7878071</v>
      </c>
      <c r="J38" s="1261">
        <v>112543.87142857142</v>
      </c>
      <c r="K38" s="1595">
        <v>7765527.1285714284</v>
      </c>
      <c r="L38" s="1260">
        <v>980847.92115181335</v>
      </c>
      <c r="M38" s="1595">
        <v>13624104.857142856</v>
      </c>
      <c r="N38" s="1595">
        <v>392060.57142857142</v>
      </c>
      <c r="O38" s="1595">
        <v>13232044.285714285</v>
      </c>
      <c r="P38" s="1260">
        <v>1871604.3872154376</v>
      </c>
      <c r="Q38" s="1595">
        <v>25736558.976190478</v>
      </c>
      <c r="R38" s="1595">
        <v>744189.65714285709</v>
      </c>
      <c r="S38" s="1595">
        <v>24992369.319047622</v>
      </c>
      <c r="T38" s="1260">
        <v>3538716.6908665984</v>
      </c>
      <c r="U38" s="1595">
        <v>18351114.238095239</v>
      </c>
      <c r="V38" s="1595">
        <v>530634.62857142859</v>
      </c>
      <c r="W38" s="1595">
        <v>17820479.60952381</v>
      </c>
      <c r="X38" s="1260">
        <v>2523235.3054821482</v>
      </c>
      <c r="Y38" s="1595"/>
      <c r="Z38" s="27"/>
      <c r="AA38" s="1595"/>
      <c r="AB38" s="25"/>
      <c r="AC38" s="1595"/>
      <c r="AD38" s="27"/>
      <c r="AE38" s="1595"/>
      <c r="AF38" s="25"/>
      <c r="AG38" s="1595"/>
      <c r="AH38" s="27"/>
      <c r="AI38" s="1595"/>
      <c r="AJ38" s="25"/>
      <c r="AK38" s="1595"/>
      <c r="AL38" s="27"/>
      <c r="AM38" s="1595"/>
      <c r="AN38" s="25"/>
      <c r="AO38" s="1595"/>
      <c r="AP38" s="27"/>
      <c r="AQ38" s="1595"/>
      <c r="AR38" s="25"/>
      <c r="AS38" s="1595"/>
      <c r="AT38" s="27"/>
      <c r="AU38" s="1595"/>
      <c r="AV38" s="25"/>
      <c r="AW38" s="1596">
        <f t="shared" si="0"/>
        <v>9518826.7793165501</v>
      </c>
      <c r="AX38" s="1572"/>
      <c r="AY38" s="1597">
        <f>+AW38</f>
        <v>9518826.7793165501</v>
      </c>
    </row>
    <row r="39" spans="1:52" ht="12.75" hidden="1" customHeight="1">
      <c r="A39" s="1539">
        <f t="shared" si="1"/>
        <v>24</v>
      </c>
      <c r="C39" s="1560" t="str">
        <f>+C37</f>
        <v>W Increased ROE</v>
      </c>
      <c r="D39" s="1594">
        <f t="shared" si="2"/>
        <v>2009</v>
      </c>
      <c r="E39" s="1595">
        <v>4854660</v>
      </c>
      <c r="F39" s="1595">
        <v>69352.28571428571</v>
      </c>
      <c r="G39" s="1595">
        <v>4785307.7142857146</v>
      </c>
      <c r="H39" s="25">
        <v>654013.8945380277</v>
      </c>
      <c r="I39" s="1595">
        <v>7878071</v>
      </c>
      <c r="J39" s="1261">
        <v>112543.87142857142</v>
      </c>
      <c r="K39" s="1595">
        <v>7765527.1285714284</v>
      </c>
      <c r="L39" s="1260">
        <v>980847.92115181335</v>
      </c>
      <c r="M39" s="1595">
        <v>13624104.857142856</v>
      </c>
      <c r="N39" s="1261">
        <v>392060.57142857142</v>
      </c>
      <c r="O39" s="1595">
        <v>13232044.285714285</v>
      </c>
      <c r="P39" s="1260">
        <v>1871604.3872154376</v>
      </c>
      <c r="Q39" s="1595">
        <v>25736558.976190478</v>
      </c>
      <c r="R39" s="1261">
        <v>744189.65714285709</v>
      </c>
      <c r="S39" s="1595">
        <v>24992369.319047622</v>
      </c>
      <c r="T39" s="1260">
        <v>3797719.2788158082</v>
      </c>
      <c r="U39" s="1595">
        <v>18351114.238095239</v>
      </c>
      <c r="V39" s="1261">
        <v>530634.62857142859</v>
      </c>
      <c r="W39" s="1595">
        <v>17820479.60952381</v>
      </c>
      <c r="X39" s="1260">
        <v>2707913.687849246</v>
      </c>
      <c r="Y39" s="1595"/>
      <c r="Z39" s="1595"/>
      <c r="AA39" s="1595"/>
      <c r="AB39" s="25"/>
      <c r="AC39" s="1595"/>
      <c r="AD39" s="1595"/>
      <c r="AE39" s="1595"/>
      <c r="AF39" s="25"/>
      <c r="AG39" s="1595"/>
      <c r="AH39" s="1595"/>
      <c r="AI39" s="1595"/>
      <c r="AJ39" s="25"/>
      <c r="AK39" s="1595"/>
      <c r="AL39" s="1595"/>
      <c r="AM39" s="1595"/>
      <c r="AN39" s="25"/>
      <c r="AO39" s="1595"/>
      <c r="AP39" s="1595"/>
      <c r="AQ39" s="1595"/>
      <c r="AR39" s="25"/>
      <c r="AS39" s="1595"/>
      <c r="AT39" s="1595"/>
      <c r="AU39" s="1595"/>
      <c r="AV39" s="25"/>
      <c r="AW39" s="1596">
        <f t="shared" si="0"/>
        <v>10012099.169570332</v>
      </c>
      <c r="AX39" s="1598">
        <f>+AW39</f>
        <v>10012099.169570332</v>
      </c>
      <c r="AY39" s="1569"/>
      <c r="AZ39" s="1599"/>
    </row>
    <row r="40" spans="1:52" ht="12.75" hidden="1" customHeight="1">
      <c r="A40" s="1539">
        <f t="shared" si="1"/>
        <v>25</v>
      </c>
      <c r="C40" s="1560" t="str">
        <f t="shared" ref="C40:C75" si="3">+C38</f>
        <v>Base FCR</v>
      </c>
      <c r="D40" s="1594">
        <f t="shared" si="2"/>
        <v>2010</v>
      </c>
      <c r="E40" s="1595">
        <v>4785307.7142857146</v>
      </c>
      <c r="F40" s="1595">
        <v>138704.57142857142</v>
      </c>
      <c r="G40" s="1595">
        <v>4646603.1428571427</v>
      </c>
      <c r="H40" s="25">
        <v>658265.47947755677</v>
      </c>
      <c r="I40" s="1595">
        <v>7765527.1285714284</v>
      </c>
      <c r="J40" s="1595">
        <v>225087.74285714285</v>
      </c>
      <c r="K40" s="1595">
        <v>7540439.3857142851</v>
      </c>
      <c r="L40" s="25">
        <v>1068223.5592550735</v>
      </c>
      <c r="M40" s="1600">
        <v>13232044.285714285</v>
      </c>
      <c r="N40" s="1595">
        <v>392060.57142857142</v>
      </c>
      <c r="O40" s="1595">
        <v>12839983.714285715</v>
      </c>
      <c r="P40" s="25">
        <v>1827766.0519328637</v>
      </c>
      <c r="Q40" s="1600">
        <v>24992369.319047622</v>
      </c>
      <c r="R40" s="1595">
        <v>744189.65714285709</v>
      </c>
      <c r="S40" s="1595">
        <v>24248179.661904767</v>
      </c>
      <c r="T40" s="25">
        <v>3455504.9677780503</v>
      </c>
      <c r="U40" s="1600">
        <v>17820479.60952381</v>
      </c>
      <c r="V40" s="1595">
        <v>530634.62857142859</v>
      </c>
      <c r="W40" s="1595">
        <v>17289844.980952382</v>
      </c>
      <c r="X40" s="25">
        <v>2463902.2828446077</v>
      </c>
      <c r="Y40" s="1595">
        <v>6759777</v>
      </c>
      <c r="Z40" s="27">
        <v>160947.07142857142</v>
      </c>
      <c r="AA40" s="1595">
        <v>6598829.9285714282</v>
      </c>
      <c r="AB40" s="1260">
        <v>1068486.5704335223</v>
      </c>
      <c r="AC40" s="1595"/>
      <c r="AD40" s="27"/>
      <c r="AE40" s="1595"/>
      <c r="AF40" s="1260"/>
      <c r="AG40" s="1595"/>
      <c r="AH40" s="27"/>
      <c r="AI40" s="1595"/>
      <c r="AJ40" s="1260"/>
      <c r="AK40" s="1595"/>
      <c r="AL40" s="27"/>
      <c r="AM40" s="1595"/>
      <c r="AN40" s="1260"/>
      <c r="AO40" s="1595"/>
      <c r="AP40" s="27"/>
      <c r="AQ40" s="1595"/>
      <c r="AR40" s="1260"/>
      <c r="AS40" s="1595"/>
      <c r="AT40" s="27"/>
      <c r="AU40" s="1595"/>
      <c r="AV40" s="1260"/>
      <c r="AW40" s="1596">
        <f t="shared" si="0"/>
        <v>9473662.3412881512</v>
      </c>
      <c r="AX40" s="1572"/>
      <c r="AY40" s="1597">
        <f>+AW40</f>
        <v>9473662.3412881512</v>
      </c>
    </row>
    <row r="41" spans="1:52" ht="12.75" hidden="1" customHeight="1">
      <c r="A41" s="1539">
        <f t="shared" si="1"/>
        <v>26</v>
      </c>
      <c r="C41" s="1560" t="str">
        <f t="shared" si="3"/>
        <v>W Increased ROE</v>
      </c>
      <c r="D41" s="1594">
        <f t="shared" si="2"/>
        <v>2010</v>
      </c>
      <c r="E41" s="1595">
        <v>4785307.7142857146</v>
      </c>
      <c r="F41" s="1595">
        <v>138704.57142857142</v>
      </c>
      <c r="G41" s="1595">
        <v>4646603.1428571427</v>
      </c>
      <c r="H41" s="25">
        <v>706419.46695307456</v>
      </c>
      <c r="I41" s="1595">
        <v>7765527.1285714284</v>
      </c>
      <c r="J41" s="1595">
        <v>225087.74285714285</v>
      </c>
      <c r="K41" s="1595">
        <v>7540439.3857142851</v>
      </c>
      <c r="L41" s="25">
        <v>1068223.5592550735</v>
      </c>
      <c r="M41" s="1600">
        <v>13232044.285714285</v>
      </c>
      <c r="N41" s="1595">
        <v>392060.57142857142</v>
      </c>
      <c r="O41" s="1595">
        <v>12839983.714285715</v>
      </c>
      <c r="P41" s="25">
        <v>1827766.0519328637</v>
      </c>
      <c r="Q41" s="1600">
        <v>24992369.319047622</v>
      </c>
      <c r="R41" s="1595">
        <v>744189.65714285709</v>
      </c>
      <c r="S41" s="1595">
        <v>24248179.661904767</v>
      </c>
      <c r="T41" s="25">
        <v>3706795.319857805</v>
      </c>
      <c r="U41" s="1600">
        <v>17820479.60952381</v>
      </c>
      <c r="V41" s="1595">
        <v>530634.62857142859</v>
      </c>
      <c r="W41" s="1595">
        <v>17289844.980952382</v>
      </c>
      <c r="X41" s="25">
        <v>2643081.5570518915</v>
      </c>
      <c r="Y41" s="1595">
        <v>6759777</v>
      </c>
      <c r="Z41" s="1595">
        <v>160947.07142857142</v>
      </c>
      <c r="AA41" s="1595">
        <v>6598829.9285714282</v>
      </c>
      <c r="AB41" s="1260">
        <v>1139692.0871697967</v>
      </c>
      <c r="AC41" s="1595"/>
      <c r="AD41" s="1595"/>
      <c r="AE41" s="1595"/>
      <c r="AF41" s="1260"/>
      <c r="AG41" s="1595"/>
      <c r="AH41" s="1595"/>
      <c r="AI41" s="1595"/>
      <c r="AJ41" s="1260"/>
      <c r="AK41" s="1595"/>
      <c r="AL41" s="1595"/>
      <c r="AM41" s="1595"/>
      <c r="AN41" s="1260"/>
      <c r="AO41" s="1595"/>
      <c r="AP41" s="1595"/>
      <c r="AQ41" s="1595"/>
      <c r="AR41" s="1260"/>
      <c r="AS41" s="1595"/>
      <c r="AT41" s="1595"/>
      <c r="AU41" s="1595"/>
      <c r="AV41" s="1260"/>
      <c r="AW41" s="1596">
        <f t="shared" si="0"/>
        <v>9952285.9550507087</v>
      </c>
      <c r="AX41" s="1598">
        <f>+AW41</f>
        <v>9952285.9550507087</v>
      </c>
      <c r="AY41" s="1569"/>
      <c r="AZ41" s="1601"/>
    </row>
    <row r="42" spans="1:52" ht="13" hidden="1">
      <c r="A42" s="1539">
        <f t="shared" si="1"/>
        <v>27</v>
      </c>
      <c r="C42" s="1560" t="str">
        <f t="shared" si="3"/>
        <v>Base FCR</v>
      </c>
      <c r="D42" s="1594">
        <f t="shared" si="2"/>
        <v>2011</v>
      </c>
      <c r="E42" s="1595">
        <v>4646603.1428571427</v>
      </c>
      <c r="F42" s="1595">
        <v>138704.57142857142</v>
      </c>
      <c r="G42" s="1595">
        <v>4507898.5714285709</v>
      </c>
      <c r="H42" s="25">
        <v>724371.60599023197</v>
      </c>
      <c r="I42" s="1595">
        <v>7540439.3857142851</v>
      </c>
      <c r="J42" s="1595">
        <v>225087.74285714285</v>
      </c>
      <c r="K42" s="1595">
        <v>7315351.6428571418</v>
      </c>
      <c r="L42" s="25">
        <v>1175499.611172579</v>
      </c>
      <c r="M42" s="1600">
        <v>12839983.714285715</v>
      </c>
      <c r="N42" s="1595">
        <v>392060.57142857142</v>
      </c>
      <c r="O42" s="1595">
        <v>12447923.142857144</v>
      </c>
      <c r="P42" s="25">
        <v>2009297.0992722472</v>
      </c>
      <c r="Q42" s="1600">
        <v>24248179.661904767</v>
      </c>
      <c r="R42" s="1595">
        <v>744189.65714285709</v>
      </c>
      <c r="S42" s="1595">
        <v>23503990.004761912</v>
      </c>
      <c r="T42" s="25">
        <v>3797832.4816959109</v>
      </c>
      <c r="U42" s="1600">
        <v>17289844.980952382</v>
      </c>
      <c r="V42" s="1595">
        <v>530634.62857142859</v>
      </c>
      <c r="W42" s="1595">
        <v>16759210.352380954</v>
      </c>
      <c r="X42" s="25">
        <v>2707994.4056711877</v>
      </c>
      <c r="Y42" s="1600">
        <v>6598829.9285714282</v>
      </c>
      <c r="Z42" s="1595">
        <v>193136.48571428572</v>
      </c>
      <c r="AA42" s="1595">
        <v>6405693.4428571425</v>
      </c>
      <c r="AB42" s="25">
        <v>1025365.3887262535</v>
      </c>
      <c r="AC42" s="1600"/>
      <c r="AD42" s="1595"/>
      <c r="AE42" s="1595"/>
      <c r="AF42" s="25"/>
      <c r="AG42" s="1600"/>
      <c r="AH42" s="1595"/>
      <c r="AI42" s="1595"/>
      <c r="AJ42" s="25"/>
      <c r="AK42" s="1600"/>
      <c r="AL42" s="1595"/>
      <c r="AM42" s="1595"/>
      <c r="AN42" s="25"/>
      <c r="AO42" s="1600"/>
      <c r="AP42" s="1595"/>
      <c r="AQ42" s="1595"/>
      <c r="AR42" s="25"/>
      <c r="AS42" s="1600"/>
      <c r="AT42" s="1595"/>
      <c r="AU42" s="1595"/>
      <c r="AV42" s="25"/>
      <c r="AW42" s="1602">
        <v>11440360.59252841</v>
      </c>
      <c r="AX42" s="1572"/>
      <c r="AY42" s="1597">
        <v>11440360.59252841</v>
      </c>
      <c r="AZ42" s="1599"/>
    </row>
    <row r="43" spans="1:52" ht="13" hidden="1">
      <c r="A43" s="1539">
        <f t="shared" si="1"/>
        <v>28</v>
      </c>
      <c r="C43" s="1560" t="str">
        <f t="shared" si="3"/>
        <v>W Increased ROE</v>
      </c>
      <c r="D43" s="1594">
        <f t="shared" si="2"/>
        <v>2011</v>
      </c>
      <c r="E43" s="1595">
        <v>4646603.1428571427</v>
      </c>
      <c r="F43" s="1595">
        <v>138704.57142857142</v>
      </c>
      <c r="G43" s="1595">
        <v>4507898.5714285709</v>
      </c>
      <c r="H43" s="25">
        <v>768454.1853166935</v>
      </c>
      <c r="I43" s="1595">
        <v>7540439.3857142851</v>
      </c>
      <c r="J43" s="1595">
        <v>225087.74285714285</v>
      </c>
      <c r="K43" s="1595">
        <v>7315351.6428571418</v>
      </c>
      <c r="L43" s="25">
        <v>1175499.611172579</v>
      </c>
      <c r="M43" s="1600">
        <v>12839983.714285715</v>
      </c>
      <c r="N43" s="1595">
        <v>392060.57142857142</v>
      </c>
      <c r="O43" s="1595">
        <v>12447923.142857144</v>
      </c>
      <c r="P43" s="25">
        <v>2009297.0992722472</v>
      </c>
      <c r="Q43" s="1600">
        <v>24248179.661904767</v>
      </c>
      <c r="R43" s="1595">
        <v>744189.65714285709</v>
      </c>
      <c r="S43" s="1595">
        <v>23503990.004761912</v>
      </c>
      <c r="T43" s="25">
        <v>4027677.1615297184</v>
      </c>
      <c r="U43" s="1600">
        <v>17289844.980952382</v>
      </c>
      <c r="V43" s="1595">
        <v>530634.62857142859</v>
      </c>
      <c r="W43" s="1595">
        <v>16759210.352380954</v>
      </c>
      <c r="X43" s="25">
        <v>2871882.1258808207</v>
      </c>
      <c r="Y43" s="1600">
        <v>6598829.9285714282</v>
      </c>
      <c r="Z43" s="1595">
        <v>193136.48571428572</v>
      </c>
      <c r="AA43" s="1595">
        <v>6405693.4428571425</v>
      </c>
      <c r="AB43" s="25">
        <v>1088006.4364032107</v>
      </c>
      <c r="AC43" s="1600"/>
      <c r="AD43" s="1595"/>
      <c r="AE43" s="1595"/>
      <c r="AF43" s="25"/>
      <c r="AG43" s="1600"/>
      <c r="AH43" s="1595"/>
      <c r="AI43" s="1595"/>
      <c r="AJ43" s="25"/>
      <c r="AK43" s="1600"/>
      <c r="AL43" s="1595"/>
      <c r="AM43" s="1595"/>
      <c r="AN43" s="25"/>
      <c r="AO43" s="1600"/>
      <c r="AP43" s="1595"/>
      <c r="AQ43" s="1595"/>
      <c r="AR43" s="25"/>
      <c r="AS43" s="1600"/>
      <c r="AT43" s="1595"/>
      <c r="AU43" s="1595"/>
      <c r="AV43" s="25"/>
      <c r="AW43" s="1602">
        <v>11940816.61957527</v>
      </c>
      <c r="AX43" s="1598">
        <v>11940816.61957527</v>
      </c>
      <c r="AY43" s="1569"/>
      <c r="AZ43" s="1599"/>
    </row>
    <row r="44" spans="1:52" ht="13" hidden="1">
      <c r="A44" s="1539">
        <f t="shared" si="1"/>
        <v>29</v>
      </c>
      <c r="C44" s="1560" t="str">
        <f t="shared" si="3"/>
        <v>Base FCR</v>
      </c>
      <c r="D44" s="1594">
        <f t="shared" si="2"/>
        <v>2012</v>
      </c>
      <c r="E44" s="1595">
        <v>4507898.5714285709</v>
      </c>
      <c r="F44" s="1595">
        <v>138704.57142857142</v>
      </c>
      <c r="G44" s="1595">
        <v>4369193.9999999991</v>
      </c>
      <c r="H44" s="25">
        <v>711157.72630461515</v>
      </c>
      <c r="I44" s="1595">
        <v>7315351.6428571418</v>
      </c>
      <c r="J44" s="1595">
        <v>225087.74285714285</v>
      </c>
      <c r="K44" s="1595">
        <v>7090263.8999999985</v>
      </c>
      <c r="L44" s="25">
        <v>1154056.3211484069</v>
      </c>
      <c r="M44" s="1600">
        <v>12447923.142857144</v>
      </c>
      <c r="N44" s="1595">
        <v>392060.57142857142</v>
      </c>
      <c r="O44" s="1595">
        <v>12055862.571428573</v>
      </c>
      <c r="P44" s="25">
        <v>1971623.4298794207</v>
      </c>
      <c r="Q44" s="1600">
        <v>23503990.004761912</v>
      </c>
      <c r="R44" s="1595">
        <v>744189.65714285709</v>
      </c>
      <c r="S44" s="1595">
        <v>22759800.347619057</v>
      </c>
      <c r="T44" s="25">
        <v>3726185.7674880158</v>
      </c>
      <c r="U44" s="1600">
        <v>16759210.352380954</v>
      </c>
      <c r="V44" s="1595">
        <v>530634.62857142859</v>
      </c>
      <c r="W44" s="1595">
        <v>16228575.723809525</v>
      </c>
      <c r="X44" s="25">
        <v>2656907.6602197234</v>
      </c>
      <c r="Y44" s="1600">
        <v>6405693.4428571425</v>
      </c>
      <c r="Z44" s="1595">
        <v>193136.48571428572</v>
      </c>
      <c r="AA44" s="1595">
        <v>6212556.9571428569</v>
      </c>
      <c r="AB44" s="25">
        <v>1007107.6277518201</v>
      </c>
      <c r="AC44" s="1600"/>
      <c r="AD44" s="1595"/>
      <c r="AE44" s="1595"/>
      <c r="AF44" s="25"/>
      <c r="AG44" s="1600"/>
      <c r="AH44" s="1595"/>
      <c r="AI44" s="1595"/>
      <c r="AJ44" s="25"/>
      <c r="AK44" s="1600"/>
      <c r="AL44" s="1595"/>
      <c r="AM44" s="1595"/>
      <c r="AN44" s="25"/>
      <c r="AO44" s="1600"/>
      <c r="AP44" s="1595"/>
      <c r="AQ44" s="1595"/>
      <c r="AR44" s="25"/>
      <c r="AS44" s="1600"/>
      <c r="AT44" s="1595"/>
      <c r="AU44" s="1595"/>
      <c r="AV44" s="25"/>
      <c r="AW44" s="1602">
        <v>11227038.532792002</v>
      </c>
      <c r="AX44" s="1572"/>
      <c r="AY44" s="1597">
        <v>11227038.532792002</v>
      </c>
      <c r="AZ44" s="1599"/>
    </row>
    <row r="45" spans="1:52" ht="13" hidden="1">
      <c r="A45" s="1539">
        <f t="shared" si="1"/>
        <v>30</v>
      </c>
      <c r="C45" s="1560" t="str">
        <f t="shared" si="3"/>
        <v>W Increased ROE</v>
      </c>
      <c r="D45" s="1594">
        <f t="shared" si="2"/>
        <v>2012</v>
      </c>
      <c r="E45" s="1595">
        <v>4507898.5714285709</v>
      </c>
      <c r="F45" s="1595">
        <v>138704.57142857142</v>
      </c>
      <c r="G45" s="1595">
        <v>4369193.9999999991</v>
      </c>
      <c r="H45" s="25">
        <v>753764.35658099083</v>
      </c>
      <c r="I45" s="1595">
        <v>7315351.6428571418</v>
      </c>
      <c r="J45" s="1595">
        <v>225087.74285714285</v>
      </c>
      <c r="K45" s="1595">
        <v>7090263.8999999985</v>
      </c>
      <c r="L45" s="25">
        <v>1154056.3211484069</v>
      </c>
      <c r="M45" s="1600">
        <v>12447923.142857144</v>
      </c>
      <c r="N45" s="1595">
        <v>392060.57142857142</v>
      </c>
      <c r="O45" s="1595">
        <v>12055862.571428573</v>
      </c>
      <c r="P45" s="25">
        <v>1971623.4298794207</v>
      </c>
      <c r="Q45" s="1600">
        <v>23503990.004761912</v>
      </c>
      <c r="R45" s="1595">
        <v>744189.65714285709</v>
      </c>
      <c r="S45" s="1595">
        <v>22759800.347619057</v>
      </c>
      <c r="T45" s="25">
        <v>3948130.22648323</v>
      </c>
      <c r="U45" s="1600">
        <v>16759210.352380954</v>
      </c>
      <c r="V45" s="1595">
        <v>530634.62857142859</v>
      </c>
      <c r="W45" s="1595">
        <v>16228575.723809525</v>
      </c>
      <c r="X45" s="25">
        <v>2815162.2320644427</v>
      </c>
      <c r="Y45" s="1600">
        <v>6405693.4428571425</v>
      </c>
      <c r="Z45" s="1595">
        <v>193136.48571428572</v>
      </c>
      <c r="AA45" s="1595">
        <v>6212556.9571428569</v>
      </c>
      <c r="AB45" s="25">
        <v>1067689.9954251053</v>
      </c>
      <c r="AC45" s="1600"/>
      <c r="AD45" s="1595"/>
      <c r="AE45" s="1595"/>
      <c r="AF45" s="25"/>
      <c r="AG45" s="1600"/>
      <c r="AH45" s="1595"/>
      <c r="AI45" s="1595"/>
      <c r="AJ45" s="25"/>
      <c r="AK45" s="1600"/>
      <c r="AL45" s="1595"/>
      <c r="AM45" s="1595"/>
      <c r="AN45" s="25"/>
      <c r="AO45" s="1600"/>
      <c r="AP45" s="1595"/>
      <c r="AQ45" s="1595"/>
      <c r="AR45" s="25"/>
      <c r="AS45" s="1600"/>
      <c r="AT45" s="1595"/>
      <c r="AU45" s="1595"/>
      <c r="AV45" s="25"/>
      <c r="AW45" s="1602">
        <v>11710426.561581597</v>
      </c>
      <c r="AX45" s="1598">
        <v>11710426.561581597</v>
      </c>
      <c r="AY45" s="1569"/>
    </row>
    <row r="46" spans="1:52" ht="13" hidden="1">
      <c r="A46" s="1539">
        <f t="shared" si="1"/>
        <v>31</v>
      </c>
      <c r="C46" s="1560" t="str">
        <f t="shared" si="3"/>
        <v>Base FCR</v>
      </c>
      <c r="D46" s="1594">
        <f t="shared" si="2"/>
        <v>2013</v>
      </c>
      <c r="E46" s="1595">
        <v>4369193.9999999991</v>
      </c>
      <c r="F46" s="1595">
        <v>138704.57142857142</v>
      </c>
      <c r="G46" s="1595">
        <v>4230489.4285714272</v>
      </c>
      <c r="H46" s="25">
        <v>654304.47924942314</v>
      </c>
      <c r="I46" s="1595">
        <v>7090263.8999999985</v>
      </c>
      <c r="J46" s="1595">
        <v>225087.74285714285</v>
      </c>
      <c r="K46" s="1595">
        <v>6865176.1571428552</v>
      </c>
      <c r="L46" s="25">
        <v>1061795.7062173216</v>
      </c>
      <c r="M46" s="1600">
        <v>12055862.571428573</v>
      </c>
      <c r="N46" s="1595">
        <v>392060.57142857142</v>
      </c>
      <c r="O46" s="1595">
        <v>11663802.000000002</v>
      </c>
      <c r="P46" s="25">
        <v>1813611.2779319216</v>
      </c>
      <c r="Q46" s="1600">
        <v>22759800.347619057</v>
      </c>
      <c r="R46" s="1595">
        <v>744189.65714285709</v>
      </c>
      <c r="S46" s="1595">
        <v>22015610.690476201</v>
      </c>
      <c r="T46" s="25">
        <v>3427389.0916968002</v>
      </c>
      <c r="U46" s="1600">
        <v>16228575.723809525</v>
      </c>
      <c r="V46" s="1595">
        <v>530634.62857142859</v>
      </c>
      <c r="W46" s="1595">
        <v>15697941.095238097</v>
      </c>
      <c r="X46" s="25">
        <v>2443854.6278978651</v>
      </c>
      <c r="Y46" s="1600">
        <v>6212556.9571428569</v>
      </c>
      <c r="Z46" s="1595">
        <v>193136.48571428572</v>
      </c>
      <c r="AA46" s="1595">
        <v>6019420.4714285713</v>
      </c>
      <c r="AB46" s="25">
        <v>926766.17386400013</v>
      </c>
      <c r="AC46" s="1600"/>
      <c r="AD46" s="1595"/>
      <c r="AE46" s="1595"/>
      <c r="AF46" s="25"/>
      <c r="AG46" s="1600"/>
      <c r="AH46" s="1595"/>
      <c r="AI46" s="1595"/>
      <c r="AJ46" s="25"/>
      <c r="AK46" s="1600"/>
      <c r="AL46" s="1595"/>
      <c r="AM46" s="1595"/>
      <c r="AN46" s="25"/>
      <c r="AO46" s="1600"/>
      <c r="AP46" s="1595"/>
      <c r="AQ46" s="1595"/>
      <c r="AR46" s="25"/>
      <c r="AS46" s="1600"/>
      <c r="AT46" s="1595"/>
      <c r="AU46" s="1595"/>
      <c r="AV46" s="25"/>
      <c r="AW46" s="1602">
        <v>10327721.356857331</v>
      </c>
      <c r="AX46" s="1572"/>
      <c r="AY46" s="1597">
        <f>+AW46</f>
        <v>10327721.356857331</v>
      </c>
    </row>
    <row r="47" spans="1:52" ht="13" hidden="1">
      <c r="A47" s="1539">
        <f t="shared" si="1"/>
        <v>32</v>
      </c>
      <c r="C47" s="1560" t="str">
        <f t="shared" si="3"/>
        <v>W Increased ROE</v>
      </c>
      <c r="D47" s="1594">
        <f t="shared" si="2"/>
        <v>2013</v>
      </c>
      <c r="E47" s="1595">
        <v>4369193.9999999991</v>
      </c>
      <c r="F47" s="1595">
        <v>138704.57142857142</v>
      </c>
      <c r="G47" s="1595">
        <v>4230489.4285714272</v>
      </c>
      <c r="H47" s="25">
        <v>694414.99211606081</v>
      </c>
      <c r="I47" s="1595">
        <v>7090263.8999999985</v>
      </c>
      <c r="J47" s="1595">
        <v>225087.74285714285</v>
      </c>
      <c r="K47" s="1595">
        <v>6865176.1571428552</v>
      </c>
      <c r="L47" s="25">
        <v>1061795.7062173216</v>
      </c>
      <c r="M47" s="1600">
        <v>12055862.571428573</v>
      </c>
      <c r="N47" s="1595">
        <v>392060.57142857142</v>
      </c>
      <c r="O47" s="1595">
        <v>11663802.000000002</v>
      </c>
      <c r="P47" s="25">
        <v>1813611.2779319216</v>
      </c>
      <c r="Q47" s="1600">
        <v>22759800.347619057</v>
      </c>
      <c r="R47" s="1595">
        <v>744189.65714285709</v>
      </c>
      <c r="S47" s="1595">
        <v>22015610.690476201</v>
      </c>
      <c r="T47" s="25">
        <v>3636125.5631564218</v>
      </c>
      <c r="U47" s="1600">
        <v>16228575.723809525</v>
      </c>
      <c r="V47" s="1595">
        <v>530634.62857142859</v>
      </c>
      <c r="W47" s="1595">
        <v>15697941.095238097</v>
      </c>
      <c r="X47" s="25">
        <v>2592691.4182767244</v>
      </c>
      <c r="Y47" s="1600">
        <v>6212556.9571428569</v>
      </c>
      <c r="Z47" s="1595">
        <v>193136.48571428572</v>
      </c>
      <c r="AA47" s="1595">
        <v>6019420.4714285713</v>
      </c>
      <c r="AB47" s="25">
        <v>983838.06739913381</v>
      </c>
      <c r="AC47" s="1600"/>
      <c r="AD47" s="1595"/>
      <c r="AE47" s="1595"/>
      <c r="AF47" s="25"/>
      <c r="AG47" s="1600"/>
      <c r="AH47" s="1595"/>
      <c r="AI47" s="1595"/>
      <c r="AJ47" s="25"/>
      <c r="AK47" s="1600"/>
      <c r="AL47" s="1595"/>
      <c r="AM47" s="1595"/>
      <c r="AN47" s="25"/>
      <c r="AO47" s="1600"/>
      <c r="AP47" s="1595"/>
      <c r="AQ47" s="1595"/>
      <c r="AR47" s="25"/>
      <c r="AS47" s="1600"/>
      <c r="AT47" s="1595"/>
      <c r="AU47" s="1595"/>
      <c r="AV47" s="25"/>
      <c r="AW47" s="1602">
        <v>10782477.025097582</v>
      </c>
      <c r="AX47" s="1598">
        <f>+AW47</f>
        <v>10782477.025097582</v>
      </c>
      <c r="AY47" s="1569"/>
      <c r="AZ47" s="1599"/>
    </row>
    <row r="48" spans="1:52" ht="13" hidden="1">
      <c r="A48" s="1539">
        <f t="shared" si="1"/>
        <v>33</v>
      </c>
      <c r="C48" s="1560" t="str">
        <f t="shared" si="3"/>
        <v>Base FCR</v>
      </c>
      <c r="D48" s="1594">
        <f t="shared" si="2"/>
        <v>2014</v>
      </c>
      <c r="E48" s="1595">
        <v>4230489.4285714272</v>
      </c>
      <c r="F48" s="1595">
        <v>138704.57142857142</v>
      </c>
      <c r="G48" s="1595">
        <v>4091784.8571428559</v>
      </c>
      <c r="H48" s="25">
        <v>622701.96133218415</v>
      </c>
      <c r="I48" s="1595">
        <v>6865176.1571428552</v>
      </c>
      <c r="J48" s="1595">
        <v>225087.74285714285</v>
      </c>
      <c r="K48" s="1595">
        <v>6640088.4142857119</v>
      </c>
      <c r="L48" s="25">
        <v>1010511.6039463527</v>
      </c>
      <c r="M48" s="1600">
        <v>11663802.000000002</v>
      </c>
      <c r="N48" s="1595">
        <v>392060.57142857142</v>
      </c>
      <c r="O48" s="1595">
        <v>11271741.428571431</v>
      </c>
      <c r="P48" s="25">
        <v>1725340.2089377544</v>
      </c>
      <c r="Q48" s="1600">
        <v>22015610.690476201</v>
      </c>
      <c r="R48" s="1595">
        <v>744189.65714285709</v>
      </c>
      <c r="S48" s="1595">
        <v>21271421.033333346</v>
      </c>
      <c r="T48" s="25">
        <v>3260282.9071831317</v>
      </c>
      <c r="U48" s="1600">
        <v>15697941.095238097</v>
      </c>
      <c r="V48" s="1595">
        <v>530634.62857142859</v>
      </c>
      <c r="W48" s="1595">
        <v>15167306.466666669</v>
      </c>
      <c r="X48" s="25">
        <v>2324701.7650485802</v>
      </c>
      <c r="Y48" s="1600">
        <v>6019420.4714285713</v>
      </c>
      <c r="Z48" s="1595">
        <v>193136.48571428572</v>
      </c>
      <c r="AA48" s="1595">
        <v>5826283.9857142856</v>
      </c>
      <c r="AB48" s="25">
        <v>882299.36704230588</v>
      </c>
      <c r="AC48" s="1600"/>
      <c r="AD48" s="1595"/>
      <c r="AE48" s="1595"/>
      <c r="AF48" s="25"/>
      <c r="AG48" s="1600"/>
      <c r="AH48" s="1595"/>
      <c r="AI48" s="1595"/>
      <c r="AJ48" s="25"/>
      <c r="AK48" s="1600"/>
      <c r="AL48" s="1595"/>
      <c r="AM48" s="1595"/>
      <c r="AN48" s="25"/>
      <c r="AO48" s="1600"/>
      <c r="AP48" s="1595"/>
      <c r="AQ48" s="1595"/>
      <c r="AR48" s="25"/>
      <c r="AS48" s="1600"/>
      <c r="AT48" s="1595"/>
      <c r="AU48" s="1595"/>
      <c r="AV48" s="25"/>
      <c r="AW48" s="1602">
        <f>+AB48+X48+T48+P48+L48+H48</f>
        <v>9825837.8134903088</v>
      </c>
      <c r="AX48" s="1572"/>
      <c r="AY48" s="1597">
        <f>+AW48</f>
        <v>9825837.8134903088</v>
      </c>
    </row>
    <row r="49" spans="1:54" ht="13" hidden="1">
      <c r="A49" s="1539">
        <f t="shared" si="1"/>
        <v>34</v>
      </c>
      <c r="C49" s="1560" t="str">
        <f t="shared" si="3"/>
        <v>W Increased ROE</v>
      </c>
      <c r="D49" s="1594">
        <f t="shared" si="2"/>
        <v>2014</v>
      </c>
      <c r="E49" s="1595">
        <v>4230489.4285714272</v>
      </c>
      <c r="F49" s="1595">
        <v>138704.57142857142</v>
      </c>
      <c r="G49" s="1595">
        <v>4091784.8571428559</v>
      </c>
      <c r="H49" s="25">
        <v>661363.83044789499</v>
      </c>
      <c r="I49" s="1595">
        <v>6865176.1571428552</v>
      </c>
      <c r="J49" s="1595">
        <v>225087.74285714285</v>
      </c>
      <c r="K49" s="1595">
        <v>6640088.4142857119</v>
      </c>
      <c r="L49" s="25">
        <v>1010511.6039463527</v>
      </c>
      <c r="M49" s="1600">
        <v>11663802.000000002</v>
      </c>
      <c r="N49" s="1595">
        <v>392060.57142857142</v>
      </c>
      <c r="O49" s="1595">
        <v>11271741.428571431</v>
      </c>
      <c r="P49" s="25">
        <v>1725340.2089377544</v>
      </c>
      <c r="Q49" s="1600">
        <v>22015610.690476201</v>
      </c>
      <c r="R49" s="1595">
        <v>744189.65714285709</v>
      </c>
      <c r="S49" s="1595">
        <v>21271421.033333346</v>
      </c>
      <c r="T49" s="25">
        <v>3461269.2553437133</v>
      </c>
      <c r="U49" s="1600">
        <v>15697941.095238097</v>
      </c>
      <c r="V49" s="1595">
        <v>530634.62857142859</v>
      </c>
      <c r="W49" s="1595">
        <v>15167306.466666669</v>
      </c>
      <c r="X49" s="25">
        <v>2468012.4321352169</v>
      </c>
      <c r="Y49" s="1600">
        <v>6019420.4714285713</v>
      </c>
      <c r="Z49" s="1595">
        <v>193136.48571428572</v>
      </c>
      <c r="AA49" s="1595">
        <v>5826283.9857142856</v>
      </c>
      <c r="AB49" s="25">
        <v>937349.92242364003</v>
      </c>
      <c r="AC49" s="1600"/>
      <c r="AD49" s="1595"/>
      <c r="AE49" s="1595"/>
      <c r="AF49" s="25"/>
      <c r="AG49" s="1600"/>
      <c r="AH49" s="1595"/>
      <c r="AI49" s="1595"/>
      <c r="AJ49" s="25"/>
      <c r="AK49" s="1600"/>
      <c r="AL49" s="1595"/>
      <c r="AM49" s="1595"/>
      <c r="AN49" s="25"/>
      <c r="AO49" s="1600"/>
      <c r="AP49" s="1595"/>
      <c r="AQ49" s="1595"/>
      <c r="AR49" s="25"/>
      <c r="AS49" s="1600"/>
      <c r="AT49" s="1595"/>
      <c r="AU49" s="1595"/>
      <c r="AV49" s="25"/>
      <c r="AW49" s="1602">
        <f>+AB49+X49+T49+P49+L49+H49</f>
        <v>10263847.253234573</v>
      </c>
      <c r="AX49" s="1598">
        <f>+AW49</f>
        <v>10263847.253234573</v>
      </c>
      <c r="AY49" s="1569"/>
      <c r="AZ49" s="1599"/>
    </row>
    <row r="50" spans="1:54" ht="13" hidden="1">
      <c r="A50" s="1539">
        <f t="shared" si="1"/>
        <v>35</v>
      </c>
      <c r="C50" s="1560" t="str">
        <f t="shared" si="3"/>
        <v>Base FCR</v>
      </c>
      <c r="D50" s="1594">
        <f t="shared" si="2"/>
        <v>2015</v>
      </c>
      <c r="E50" s="1595">
        <v>4091784.8571428559</v>
      </c>
      <c r="F50" s="1595">
        <v>138704.57142857142</v>
      </c>
      <c r="G50" s="1595">
        <v>3953080.2857142845</v>
      </c>
      <c r="H50" s="25">
        <v>625383.57977263792</v>
      </c>
      <c r="I50" s="1595">
        <v>6640088.4142857119</v>
      </c>
      <c r="J50" s="1595">
        <v>225087.74285714285</v>
      </c>
      <c r="K50" s="1595">
        <v>6415000.6714285687</v>
      </c>
      <c r="L50" s="25">
        <v>1014863.294995531</v>
      </c>
      <c r="M50" s="1600">
        <v>11271741.428571431</v>
      </c>
      <c r="N50" s="1595">
        <v>392060.57142857142</v>
      </c>
      <c r="O50" s="1595">
        <v>10879680.85714286</v>
      </c>
      <c r="P50" s="25">
        <v>1731500.1749673772</v>
      </c>
      <c r="Q50" s="1600">
        <v>21271421.033333346</v>
      </c>
      <c r="R50" s="1595">
        <v>744189.65714285709</v>
      </c>
      <c r="S50" s="1595">
        <v>20527231.376190491</v>
      </c>
      <c r="T50" s="25">
        <v>3271376.5312157837</v>
      </c>
      <c r="U50" s="1600">
        <v>15167306.466666669</v>
      </c>
      <c r="V50" s="1595">
        <v>530634.62857142859</v>
      </c>
      <c r="W50" s="1595">
        <v>14636671.83809524</v>
      </c>
      <c r="X50" s="25">
        <v>2332611.9274803959</v>
      </c>
      <c r="Y50" s="1600">
        <v>5826283.9857142856</v>
      </c>
      <c r="Z50" s="1595">
        <v>193136.48571428572</v>
      </c>
      <c r="AA50" s="1595">
        <v>5633147.5</v>
      </c>
      <c r="AB50" s="25">
        <v>886655.06894753466</v>
      </c>
      <c r="AC50" s="1595">
        <v>4127104.4899999998</v>
      </c>
      <c r="AD50" s="27">
        <v>68785.074833333332</v>
      </c>
      <c r="AE50" s="1595">
        <v>4058319.4151666663</v>
      </c>
      <c r="AF50" s="1260">
        <v>610056.76330008102</v>
      </c>
      <c r="AG50" s="1595">
        <v>12794561</v>
      </c>
      <c r="AH50" s="27">
        <v>213242.68333333335</v>
      </c>
      <c r="AI50" s="1595">
        <v>12581318.316666666</v>
      </c>
      <c r="AJ50" s="1260">
        <v>1891255.3560051606</v>
      </c>
      <c r="AK50" s="1595"/>
      <c r="AL50" s="27"/>
      <c r="AM50" s="1595"/>
      <c r="AN50" s="1260"/>
      <c r="AO50" s="1595"/>
      <c r="AP50" s="27"/>
      <c r="AQ50" s="1595"/>
      <c r="AR50" s="1260"/>
      <c r="AS50" s="1595"/>
      <c r="AT50" s="27"/>
      <c r="AU50" s="1595"/>
      <c r="AV50" s="1260"/>
      <c r="AW50" s="1602">
        <f>+AB50+X50+T50+P50+L50+H50+AF50+AJ50</f>
        <v>12363702.696684502</v>
      </c>
      <c r="AX50" s="1572"/>
      <c r="AY50" s="1597">
        <f>+AW50</f>
        <v>12363702.696684502</v>
      </c>
    </row>
    <row r="51" spans="1:54" ht="13" hidden="1">
      <c r="A51" s="1539">
        <f t="shared" si="1"/>
        <v>36</v>
      </c>
      <c r="C51" s="1560" t="str">
        <f t="shared" si="3"/>
        <v>W Increased ROE</v>
      </c>
      <c r="D51" s="1594">
        <f t="shared" si="2"/>
        <v>2015</v>
      </c>
      <c r="E51" s="1595">
        <v>4091784.8571428559</v>
      </c>
      <c r="F51" s="1595">
        <v>138704.57142857142</v>
      </c>
      <c r="G51" s="1595">
        <v>3953080.2857142845</v>
      </c>
      <c r="H51" s="25">
        <v>664237.14409720595</v>
      </c>
      <c r="I51" s="1595">
        <v>6640088.4142857119</v>
      </c>
      <c r="J51" s="1595">
        <v>225087.74285714285</v>
      </c>
      <c r="K51" s="1595">
        <v>6415000.6714285687</v>
      </c>
      <c r="L51" s="25">
        <v>1014863.294995531</v>
      </c>
      <c r="M51" s="1600">
        <v>11271741.428571431</v>
      </c>
      <c r="N51" s="1595">
        <v>392060.57142857142</v>
      </c>
      <c r="O51" s="1595">
        <v>10879680.85714286</v>
      </c>
      <c r="P51" s="25">
        <v>1731500.1749673772</v>
      </c>
      <c r="Q51" s="1600">
        <v>21271421.033333346</v>
      </c>
      <c r="R51" s="1595">
        <v>744189.65714285709</v>
      </c>
      <c r="S51" s="1595">
        <v>20527231.376190491</v>
      </c>
      <c r="T51" s="25">
        <v>3473132.1362214121</v>
      </c>
      <c r="U51" s="1600">
        <v>15167306.466666669</v>
      </c>
      <c r="V51" s="1595">
        <v>530634.62857142859</v>
      </c>
      <c r="W51" s="1595">
        <v>14636671.83809524</v>
      </c>
      <c r="X51" s="25">
        <v>2476471.1030236194</v>
      </c>
      <c r="Y51" s="1600">
        <v>5826283.9857142856</v>
      </c>
      <c r="Z51" s="1595">
        <v>193136.48571428572</v>
      </c>
      <c r="AA51" s="1595">
        <v>5633147.5</v>
      </c>
      <c r="AB51" s="25">
        <v>942021.4776521537</v>
      </c>
      <c r="AC51" s="1595">
        <v>4127104.4899999998</v>
      </c>
      <c r="AD51" s="1595">
        <v>68785.074833333332</v>
      </c>
      <c r="AE51" s="1595">
        <v>4058319.4151666663</v>
      </c>
      <c r="AF51" s="1260">
        <v>610056.76330008102</v>
      </c>
      <c r="AG51" s="1595">
        <v>12794561</v>
      </c>
      <c r="AH51" s="1595">
        <v>213242.68333333335</v>
      </c>
      <c r="AI51" s="1595">
        <v>12581318.316666666</v>
      </c>
      <c r="AJ51" s="1260">
        <v>1891255.3560051606</v>
      </c>
      <c r="AK51" s="1595"/>
      <c r="AL51" s="1595"/>
      <c r="AM51" s="1595"/>
      <c r="AN51" s="1260"/>
      <c r="AO51" s="1595"/>
      <c r="AP51" s="1595"/>
      <c r="AQ51" s="1595"/>
      <c r="AR51" s="1260"/>
      <c r="AS51" s="1595"/>
      <c r="AT51" s="1595"/>
      <c r="AU51" s="1595"/>
      <c r="AV51" s="1260"/>
      <c r="AW51" s="1602">
        <f>+AB51+X51+T51+P51+L51+H51+AF51+AJ51</f>
        <v>12803537.450262541</v>
      </c>
      <c r="AX51" s="1598">
        <f>+AW51</f>
        <v>12803537.450262541</v>
      </c>
      <c r="AY51" s="1569"/>
      <c r="AZ51" s="1599"/>
      <c r="BA51" s="1599"/>
    </row>
    <row r="52" spans="1:54" ht="13" hidden="1">
      <c r="A52" s="1539">
        <f t="shared" si="1"/>
        <v>37</v>
      </c>
      <c r="C52" s="1560" t="str">
        <f t="shared" si="3"/>
        <v>Base FCR</v>
      </c>
      <c r="D52" s="1594">
        <f t="shared" si="2"/>
        <v>2016</v>
      </c>
      <c r="E52" s="1595">
        <v>3953080.2857142845</v>
      </c>
      <c r="F52" s="1595">
        <v>138704.57142857142</v>
      </c>
      <c r="G52" s="1595">
        <v>3814375.7142857132</v>
      </c>
      <c r="H52" s="25">
        <v>561127.25376284029</v>
      </c>
      <c r="I52" s="1595">
        <v>6415000.6714285687</v>
      </c>
      <c r="J52" s="1595">
        <v>225087.74285714285</v>
      </c>
      <c r="K52" s="1595">
        <v>6189912.9285714254</v>
      </c>
      <c r="L52" s="25">
        <v>910589.07218603813</v>
      </c>
      <c r="M52" s="1600">
        <v>10879680.85714286</v>
      </c>
      <c r="N52" s="1595">
        <v>392060.57142857142</v>
      </c>
      <c r="O52" s="1595">
        <v>10487620.285714289</v>
      </c>
      <c r="P52" s="25">
        <v>1553511.1007517767</v>
      </c>
      <c r="Q52" s="1600">
        <v>20527231.376190491</v>
      </c>
      <c r="R52" s="1595">
        <v>744189.65714285709</v>
      </c>
      <c r="S52" s="1595">
        <v>19783041.719047636</v>
      </c>
      <c r="T52" s="25">
        <v>2935060.7651967099</v>
      </c>
      <c r="U52" s="1600">
        <v>14636671.83809524</v>
      </c>
      <c r="V52" s="1595">
        <v>530634.62857142859</v>
      </c>
      <c r="W52" s="1595">
        <v>14106037.209523812</v>
      </c>
      <c r="X52" s="25">
        <v>2092806.4022740859</v>
      </c>
      <c r="Y52" s="1600">
        <v>5633147.5</v>
      </c>
      <c r="Z52" s="1595">
        <v>193136.48571428572</v>
      </c>
      <c r="AA52" s="1595">
        <v>5440011.0142857144</v>
      </c>
      <c r="AB52" s="25">
        <v>795589.99756317353</v>
      </c>
      <c r="AC52" s="1600">
        <v>4058319.4151666663</v>
      </c>
      <c r="AD52" s="1595">
        <v>115582.8</v>
      </c>
      <c r="AE52" s="1595">
        <v>3942736.6151666665</v>
      </c>
      <c r="AF52" s="25">
        <v>552220.79831740586</v>
      </c>
      <c r="AG52" s="1600">
        <v>12581318.316666666</v>
      </c>
      <c r="AH52" s="1595">
        <v>376463.14285714284</v>
      </c>
      <c r="AI52" s="1595">
        <v>12204855.173809523</v>
      </c>
      <c r="AJ52" s="25">
        <v>1728088.689526015</v>
      </c>
      <c r="AK52" s="1595">
        <v>13621157</v>
      </c>
      <c r="AL52" s="27">
        <v>194587.95714285714</v>
      </c>
      <c r="AM52" s="1595">
        <v>13426569.042857142</v>
      </c>
      <c r="AN52" s="1260">
        <v>1061960.3692415874</v>
      </c>
      <c r="AO52" s="1595">
        <v>13621157</v>
      </c>
      <c r="AP52" s="27">
        <v>194587.95714285714</v>
      </c>
      <c r="AQ52" s="1595">
        <v>13426569.042857142</v>
      </c>
      <c r="AR52" s="1260">
        <v>1061960.3692415874</v>
      </c>
      <c r="AS52" s="1595">
        <v>13621157</v>
      </c>
      <c r="AT52" s="27">
        <v>194587.95714285714</v>
      </c>
      <c r="AU52" s="1595">
        <v>13426569.042857142</v>
      </c>
      <c r="AV52" s="1260">
        <v>1061960.3692415874</v>
      </c>
      <c r="AW52" s="1602">
        <f>H52+L52+P52+T52+X52+AB52+AF52+AJ52+AN52</f>
        <v>12190954.448819634</v>
      </c>
      <c r="AX52" s="1572"/>
      <c r="AY52" s="1597">
        <f>+AW52</f>
        <v>12190954.448819634</v>
      </c>
      <c r="AZ52" s="1599"/>
      <c r="BA52" s="1599"/>
    </row>
    <row r="53" spans="1:54" ht="13" hidden="1">
      <c r="A53" s="1539">
        <f t="shared" si="1"/>
        <v>38</v>
      </c>
      <c r="C53" s="1560" t="str">
        <f t="shared" si="3"/>
        <v>W Increased ROE</v>
      </c>
      <c r="D53" s="1594">
        <f t="shared" si="2"/>
        <v>2016</v>
      </c>
      <c r="E53" s="1595">
        <v>3953080.2857142845</v>
      </c>
      <c r="F53" s="1595">
        <v>138704.57142857142</v>
      </c>
      <c r="G53" s="1595">
        <v>3814375.7142857132</v>
      </c>
      <c r="H53" s="25">
        <v>596772.02049812861</v>
      </c>
      <c r="I53" s="1595">
        <v>6415000.6714285687</v>
      </c>
      <c r="J53" s="1595">
        <v>225087.74285714285</v>
      </c>
      <c r="K53" s="1595">
        <v>6189912.9285714254</v>
      </c>
      <c r="L53" s="25">
        <v>910589.07218603813</v>
      </c>
      <c r="M53" s="1600">
        <v>10879680.85714286</v>
      </c>
      <c r="N53" s="1595">
        <v>392060.57142857142</v>
      </c>
      <c r="O53" s="1595">
        <v>10487620.285714289</v>
      </c>
      <c r="P53" s="25">
        <v>1553511.1007517767</v>
      </c>
      <c r="Q53" s="1600">
        <v>20527231.376190491</v>
      </c>
      <c r="R53" s="1595">
        <v>744189.65714285709</v>
      </c>
      <c r="S53" s="1595">
        <v>19783041.719047636</v>
      </c>
      <c r="T53" s="25">
        <v>3119930.3114107698</v>
      </c>
      <c r="U53" s="1600">
        <v>14636671.83809524</v>
      </c>
      <c r="V53" s="1595">
        <v>530634.62857142859</v>
      </c>
      <c r="W53" s="1595">
        <v>14106037.209523812</v>
      </c>
      <c r="X53" s="25">
        <v>2224625.1961096404</v>
      </c>
      <c r="Y53" s="1600">
        <v>5633147.5</v>
      </c>
      <c r="Z53" s="1595">
        <v>193136.48571428572</v>
      </c>
      <c r="AA53" s="1595">
        <v>5440011.0142857144</v>
      </c>
      <c r="AB53" s="25">
        <v>846426.08141180547</v>
      </c>
      <c r="AC53" s="1600">
        <v>4058319.4151666663</v>
      </c>
      <c r="AD53" s="1595">
        <v>115582.8</v>
      </c>
      <c r="AE53" s="1595">
        <v>3942736.6151666665</v>
      </c>
      <c r="AF53" s="25">
        <v>552220.79831740586</v>
      </c>
      <c r="AG53" s="1600">
        <v>12581318.316666666</v>
      </c>
      <c r="AH53" s="1595">
        <v>376463.14285714284</v>
      </c>
      <c r="AI53" s="1595">
        <v>12204855.173809523</v>
      </c>
      <c r="AJ53" s="25">
        <v>1728088.689526015</v>
      </c>
      <c r="AK53" s="1595">
        <v>13621157</v>
      </c>
      <c r="AL53" s="1595">
        <v>194587.95714285714</v>
      </c>
      <c r="AM53" s="1595">
        <v>13426569.042857142</v>
      </c>
      <c r="AN53" s="1260">
        <v>1061960.3692415874</v>
      </c>
      <c r="AO53" s="1595">
        <v>13621157</v>
      </c>
      <c r="AP53" s="1595">
        <v>194587.95714285714</v>
      </c>
      <c r="AQ53" s="1595">
        <v>13426569.042857142</v>
      </c>
      <c r="AR53" s="1260">
        <v>1061960.3692415874</v>
      </c>
      <c r="AS53" s="1595">
        <v>13621157</v>
      </c>
      <c r="AT53" s="1595">
        <v>194587.95714285714</v>
      </c>
      <c r="AU53" s="1595">
        <v>13426569.042857142</v>
      </c>
      <c r="AV53" s="1260">
        <v>1061960.3692415874</v>
      </c>
      <c r="AW53" s="1602">
        <f>H53+L53+P53+T53+X53+AB53+AF53+AJ53+AN53</f>
        <v>12594123.639453169</v>
      </c>
      <c r="AX53" s="1598">
        <f>+AW53</f>
        <v>12594123.639453169</v>
      </c>
      <c r="AY53" s="1569"/>
      <c r="AZ53" s="1599"/>
      <c r="BA53" s="1599"/>
    </row>
    <row r="54" spans="1:54" ht="13" hidden="1">
      <c r="A54" s="1539">
        <v>39</v>
      </c>
      <c r="C54" s="1560" t="s">
        <v>31</v>
      </c>
      <c r="D54" s="1594">
        <v>2017</v>
      </c>
      <c r="E54" s="1595">
        <v>3814375.7142857132</v>
      </c>
      <c r="F54" s="1595">
        <v>138704.57142857142</v>
      </c>
      <c r="G54" s="1595">
        <v>3675671.1428571418</v>
      </c>
      <c r="H54" s="25">
        <v>540960.18987904279</v>
      </c>
      <c r="I54" s="1595">
        <v>6189912.9285714254</v>
      </c>
      <c r="J54" s="1595">
        <v>225087.74285714285</v>
      </c>
      <c r="K54" s="1595">
        <v>5964825.1857142821</v>
      </c>
      <c r="L54" s="25">
        <v>877862.25689143606</v>
      </c>
      <c r="M54" s="1600">
        <v>10487620.285714289</v>
      </c>
      <c r="N54" s="1595">
        <v>392060.57142857142</v>
      </c>
      <c r="O54" s="1595">
        <v>10095559.714285718</v>
      </c>
      <c r="P54" s="25">
        <v>1496891.6236747215</v>
      </c>
      <c r="Q54" s="1600">
        <v>19783041.719047636</v>
      </c>
      <c r="R54" s="1595">
        <v>744189.65714285709</v>
      </c>
      <c r="S54" s="1595">
        <v>19038852.061904781</v>
      </c>
      <c r="T54" s="25">
        <v>2827750.703029979</v>
      </c>
      <c r="U54" s="1600">
        <v>14106037.209523812</v>
      </c>
      <c r="V54" s="1595">
        <v>530634.62857142859</v>
      </c>
      <c r="W54" s="1595">
        <v>13575402.580952384</v>
      </c>
      <c r="X54" s="25">
        <v>2016290.3765093132</v>
      </c>
      <c r="Y54" s="1600">
        <v>5440011.0142857144</v>
      </c>
      <c r="Z54" s="1595">
        <v>193136.48571428572</v>
      </c>
      <c r="AA54" s="1595">
        <v>5246874.5285714287</v>
      </c>
      <c r="AB54" s="25">
        <v>767340.40015423298</v>
      </c>
      <c r="AC54" s="1600">
        <v>3942736.6151666665</v>
      </c>
      <c r="AD54" s="1595">
        <v>115582.8</v>
      </c>
      <c r="AE54" s="1595">
        <v>3827153.8151666666</v>
      </c>
      <c r="AF54" s="25">
        <v>534416.27693294501</v>
      </c>
      <c r="AG54" s="1600">
        <v>12204855.173809523</v>
      </c>
      <c r="AH54" s="1595">
        <v>376463.14285714284</v>
      </c>
      <c r="AI54" s="1595">
        <v>11828392.030952379</v>
      </c>
      <c r="AJ54" s="25">
        <v>1670930.7289826246</v>
      </c>
      <c r="AK54" s="1600">
        <v>14647390.042857142</v>
      </c>
      <c r="AL54" s="1595">
        <v>424056.51428571431</v>
      </c>
      <c r="AM54" s="1595">
        <v>14223333.528571429</v>
      </c>
      <c r="AN54" s="25">
        <v>1980620.0920913997</v>
      </c>
      <c r="AO54" s="1600">
        <v>14647390.042857142</v>
      </c>
      <c r="AP54" s="1595">
        <v>424056.51428571431</v>
      </c>
      <c r="AQ54" s="1595">
        <v>14223333.528571429</v>
      </c>
      <c r="AR54" s="25">
        <v>1980620.0920913997</v>
      </c>
      <c r="AS54" s="1600">
        <v>14647390.042857142</v>
      </c>
      <c r="AT54" s="1595">
        <v>424056.51428571431</v>
      </c>
      <c r="AU54" s="1595">
        <v>14223333.528571429</v>
      </c>
      <c r="AV54" s="25">
        <v>1980620.0920913997</v>
      </c>
      <c r="AW54" s="1602">
        <v>12713062.648145698</v>
      </c>
      <c r="AX54" s="1572"/>
      <c r="AY54" s="1597">
        <v>12713062.648145698</v>
      </c>
      <c r="BA54" s="1599"/>
      <c r="BB54" s="1599"/>
    </row>
    <row r="55" spans="1:54" ht="13" hidden="1">
      <c r="A55" s="1539">
        <v>40</v>
      </c>
      <c r="C55" s="1560" t="s">
        <v>47</v>
      </c>
      <c r="D55" s="1594">
        <v>2017</v>
      </c>
      <c r="E55" s="1595">
        <v>3814375.7142857132</v>
      </c>
      <c r="F55" s="1595">
        <v>138704.57142857142</v>
      </c>
      <c r="G55" s="1595">
        <v>3675671.1428571418</v>
      </c>
      <c r="H55" s="25">
        <v>573924.99717319966</v>
      </c>
      <c r="I55" s="1595">
        <v>6189912.9285714254</v>
      </c>
      <c r="J55" s="1595">
        <v>225087.74285714285</v>
      </c>
      <c r="K55" s="1595">
        <v>5964825.1857142821</v>
      </c>
      <c r="L55" s="25">
        <v>877862.25689143606</v>
      </c>
      <c r="M55" s="1600">
        <v>10487620.285714289</v>
      </c>
      <c r="N55" s="1595">
        <v>392060.57142857142</v>
      </c>
      <c r="O55" s="1595">
        <v>10095559.714285718</v>
      </c>
      <c r="P55" s="25">
        <v>1496891.6236747215</v>
      </c>
      <c r="Q55" s="1600">
        <v>19783041.719047636</v>
      </c>
      <c r="R55" s="1595">
        <v>744189.65714285709</v>
      </c>
      <c r="S55" s="1595">
        <v>19038852.061904781</v>
      </c>
      <c r="T55" s="25">
        <v>2998498.3202487496</v>
      </c>
      <c r="U55" s="1600">
        <v>14106037.209523812</v>
      </c>
      <c r="V55" s="1595">
        <v>530634.62857142859</v>
      </c>
      <c r="W55" s="1595">
        <v>13575402.580952384</v>
      </c>
      <c r="X55" s="25">
        <v>2138039.7149645048</v>
      </c>
      <c r="Y55" s="1600">
        <v>5440011.0142857144</v>
      </c>
      <c r="Z55" s="1595">
        <v>193136.48571428572</v>
      </c>
      <c r="AA55" s="1595">
        <v>5246874.5285714287</v>
      </c>
      <c r="AB55" s="25">
        <v>814396.35293365701</v>
      </c>
      <c r="AC55" s="1600">
        <v>3942736.6151666665</v>
      </c>
      <c r="AD55" s="1595">
        <v>115582.8</v>
      </c>
      <c r="AE55" s="1595">
        <v>3827153.8151666666</v>
      </c>
      <c r="AF55" s="25">
        <v>534416.27693294501</v>
      </c>
      <c r="AG55" s="1600">
        <v>12204855.173809523</v>
      </c>
      <c r="AH55" s="1595">
        <v>376463.14285714284</v>
      </c>
      <c r="AI55" s="1595">
        <v>11828392.030952379</v>
      </c>
      <c r="AJ55" s="25">
        <v>1670930.7289826246</v>
      </c>
      <c r="AK55" s="1600">
        <v>14647390.042857142</v>
      </c>
      <c r="AL55" s="1595">
        <v>424056.51428571431</v>
      </c>
      <c r="AM55" s="1595">
        <v>14223333.528571429</v>
      </c>
      <c r="AN55" s="25">
        <v>1980620.0920913997</v>
      </c>
      <c r="AO55" s="1600">
        <v>14647390.042857142</v>
      </c>
      <c r="AP55" s="1595">
        <v>424056.51428571431</v>
      </c>
      <c r="AQ55" s="1595">
        <v>14223333.528571429</v>
      </c>
      <c r="AR55" s="25">
        <v>1980620.0920913997</v>
      </c>
      <c r="AS55" s="1600">
        <v>14647390.042857142</v>
      </c>
      <c r="AT55" s="1595">
        <v>424056.51428571431</v>
      </c>
      <c r="AU55" s="1595">
        <v>14223333.528571429</v>
      </c>
      <c r="AV55" s="25">
        <v>1980620.0920913997</v>
      </c>
      <c r="AW55" s="1602">
        <v>13085580.363893237</v>
      </c>
      <c r="AX55" s="1598">
        <v>13085580.363893237</v>
      </c>
      <c r="AY55" s="1569"/>
      <c r="BA55" s="1599"/>
    </row>
    <row r="56" spans="1:54" ht="13" hidden="1">
      <c r="A56" s="1539">
        <f t="shared" si="1"/>
        <v>41</v>
      </c>
      <c r="C56" s="1560" t="str">
        <f t="shared" si="3"/>
        <v>Base FCR</v>
      </c>
      <c r="D56" s="1594">
        <f t="shared" si="2"/>
        <v>2018</v>
      </c>
      <c r="E56" s="1595">
        <v>3675671.1428571418</v>
      </c>
      <c r="F56" s="1595">
        <v>138704.57142857142</v>
      </c>
      <c r="G56" s="1595">
        <v>3536966.5714285704</v>
      </c>
      <c r="H56" s="25">
        <v>476074.62410992192</v>
      </c>
      <c r="I56" s="1595">
        <v>5964825.1857142821</v>
      </c>
      <c r="J56" s="1595">
        <v>225087.74285714285</v>
      </c>
      <c r="K56" s="1595">
        <v>5739737.4428571388</v>
      </c>
      <c r="L56" s="25">
        <v>772566.91303536715</v>
      </c>
      <c r="M56" s="1600">
        <v>10095559.714285718</v>
      </c>
      <c r="N56" s="1595">
        <v>392060.57142857142</v>
      </c>
      <c r="O56" s="1595">
        <v>9703499.1428571474</v>
      </c>
      <c r="P56" s="25">
        <v>1317619.224841835</v>
      </c>
      <c r="Q56" s="1600">
        <v>19038852.061904781</v>
      </c>
      <c r="R56" s="1595">
        <v>744189.65714285709</v>
      </c>
      <c r="S56" s="1595">
        <v>18294662.404761925</v>
      </c>
      <c r="T56" s="25">
        <v>2489207.9078494711</v>
      </c>
      <c r="U56" s="1600">
        <v>13575402.580952384</v>
      </c>
      <c r="V56" s="1595">
        <v>530634.62857142859</v>
      </c>
      <c r="W56" s="1595">
        <v>13044767.952380955</v>
      </c>
      <c r="X56" s="25">
        <v>1774896.8975058051</v>
      </c>
      <c r="Y56" s="1600">
        <v>5246874.5285714287</v>
      </c>
      <c r="Z56" s="1595">
        <v>193136.48571428572</v>
      </c>
      <c r="AA56" s="1595">
        <v>5053738.0428571431</v>
      </c>
      <c r="AB56" s="25">
        <v>675182.28267747932</v>
      </c>
      <c r="AC56" s="1600">
        <v>3827153.8151666666</v>
      </c>
      <c r="AD56" s="1595">
        <v>115582.8</v>
      </c>
      <c r="AE56" s="1595">
        <v>3711571.0151666668</v>
      </c>
      <c r="AF56" s="25">
        <v>469607.32458339265</v>
      </c>
      <c r="AG56" s="1600">
        <v>11828392.030952379</v>
      </c>
      <c r="AH56" s="1595">
        <v>376463.14285714284</v>
      </c>
      <c r="AI56" s="1595">
        <v>11451928.888095235</v>
      </c>
      <c r="AJ56" s="25">
        <v>1468794.0355178835</v>
      </c>
      <c r="AK56" s="1600">
        <v>14223333.528571429</v>
      </c>
      <c r="AL56" s="1595">
        <v>424056.51428571431</v>
      </c>
      <c r="AM56" s="1595">
        <v>13799277.014285715</v>
      </c>
      <c r="AN56" s="25">
        <v>1740286.8826699406</v>
      </c>
      <c r="AO56" s="1600">
        <v>14223333.528571429</v>
      </c>
      <c r="AP56" s="1595">
        <v>424056.51428571431</v>
      </c>
      <c r="AQ56" s="1595">
        <v>13799277.014285715</v>
      </c>
      <c r="AR56" s="25">
        <v>1740286.8826699406</v>
      </c>
      <c r="AS56" s="1600">
        <v>14223333.528571429</v>
      </c>
      <c r="AT56" s="1595">
        <v>424056.51428571431</v>
      </c>
      <c r="AU56" s="1595">
        <v>13799277.014285715</v>
      </c>
      <c r="AV56" s="25">
        <v>1740286.8826699406</v>
      </c>
      <c r="AW56" s="1602">
        <f>H56+L56+P56+T56+X56+AB56+AF56+AJ56+AN56</f>
        <v>11184236.092791095</v>
      </c>
      <c r="AX56" s="1572"/>
      <c r="AY56" s="1597">
        <f>+AW56</f>
        <v>11184236.092791095</v>
      </c>
      <c r="BA56" s="1599"/>
      <c r="BB56" s="1599"/>
    </row>
    <row r="57" spans="1:54" ht="13" hidden="1">
      <c r="A57" s="1539">
        <f t="shared" si="1"/>
        <v>42</v>
      </c>
      <c r="C57" s="1560" t="str">
        <f t="shared" si="3"/>
        <v>W Increased ROE</v>
      </c>
      <c r="D57" s="1594">
        <f t="shared" si="2"/>
        <v>2018</v>
      </c>
      <c r="E57" s="1595">
        <v>3675671.1428571418</v>
      </c>
      <c r="F57" s="1595">
        <v>138704.57142857142</v>
      </c>
      <c r="G57" s="1595">
        <v>3536966.5714285704</v>
      </c>
      <c r="H57" s="25">
        <v>501689.62916241743</v>
      </c>
      <c r="I57" s="1595">
        <v>5964825.1857142821</v>
      </c>
      <c r="J57" s="1595">
        <v>225087.74285714285</v>
      </c>
      <c r="K57" s="1595">
        <v>5739737.4428571388</v>
      </c>
      <c r="L57" s="25">
        <v>772566.91303536715</v>
      </c>
      <c r="M57" s="1600">
        <v>10095559.714285718</v>
      </c>
      <c r="N57" s="1595">
        <v>392060.57142857142</v>
      </c>
      <c r="O57" s="1595">
        <v>9703499.1428571474</v>
      </c>
      <c r="P57" s="25">
        <v>1317619.224841835</v>
      </c>
      <c r="Q57" s="1600">
        <v>19038852.061904781</v>
      </c>
      <c r="R57" s="1595">
        <v>744189.65714285709</v>
      </c>
      <c r="S57" s="1595">
        <v>18294662.404761925</v>
      </c>
      <c r="T57" s="25">
        <v>2621699.3692382062</v>
      </c>
      <c r="U57" s="1600">
        <v>13575402.580952384</v>
      </c>
      <c r="V57" s="1595">
        <v>530634.62857142859</v>
      </c>
      <c r="W57" s="1595">
        <v>13044767.952380955</v>
      </c>
      <c r="X57" s="25">
        <v>1869368.18816149</v>
      </c>
      <c r="Y57" s="1600">
        <v>5246874.5285714287</v>
      </c>
      <c r="Z57" s="1595">
        <v>193136.48571428572</v>
      </c>
      <c r="AA57" s="1595">
        <v>5053738.0428571431</v>
      </c>
      <c r="AB57" s="25">
        <v>711781.87243540271</v>
      </c>
      <c r="AC57" s="1600">
        <v>3827153.8151666666</v>
      </c>
      <c r="AD57" s="1595">
        <v>115582.8</v>
      </c>
      <c r="AE57" s="1595">
        <v>3711571.0151666668</v>
      </c>
      <c r="AF57" s="25">
        <v>469607.32458339265</v>
      </c>
      <c r="AG57" s="1600">
        <v>11828392.030952379</v>
      </c>
      <c r="AH57" s="1595">
        <v>376463.14285714284</v>
      </c>
      <c r="AI57" s="1595">
        <v>11451928.888095235</v>
      </c>
      <c r="AJ57" s="25">
        <v>1468794.0355178835</v>
      </c>
      <c r="AK57" s="1600">
        <v>14223333.528571429</v>
      </c>
      <c r="AL57" s="1595">
        <v>424056.51428571431</v>
      </c>
      <c r="AM57" s="1595">
        <v>13799277.014285715</v>
      </c>
      <c r="AN57" s="25">
        <v>1740286.8826699406</v>
      </c>
      <c r="AO57" s="1600">
        <v>14223333.528571429</v>
      </c>
      <c r="AP57" s="1595">
        <v>424056.51428571431</v>
      </c>
      <c r="AQ57" s="1595">
        <v>13799277.014285715</v>
      </c>
      <c r="AR57" s="25">
        <v>1740286.8826699406</v>
      </c>
      <c r="AS57" s="1600">
        <v>14223333.528571429</v>
      </c>
      <c r="AT57" s="1595">
        <v>424056.51428571431</v>
      </c>
      <c r="AU57" s="1595">
        <v>13799277.014285715</v>
      </c>
      <c r="AV57" s="25">
        <v>1740286.8826699406</v>
      </c>
      <c r="AW57" s="1602">
        <f>H57+L57+P57+T57+X57+AB57+AF57+AJ57+AN57</f>
        <v>11473413.439645935</v>
      </c>
      <c r="AX57" s="1598">
        <f>+AW57</f>
        <v>11473413.439645935</v>
      </c>
      <c r="AY57" s="1569"/>
    </row>
    <row r="58" spans="1:54" ht="13" hidden="1">
      <c r="A58" s="1539">
        <f t="shared" si="1"/>
        <v>43</v>
      </c>
      <c r="C58" s="1560" t="str">
        <f t="shared" si="3"/>
        <v>Base FCR</v>
      </c>
      <c r="D58" s="1594">
        <f t="shared" si="2"/>
        <v>2019</v>
      </c>
      <c r="E58" s="1595">
        <f>+G57</f>
        <v>3536966.5714285704</v>
      </c>
      <c r="F58" s="1595">
        <f>+E$32</f>
        <v>138704.57142857142</v>
      </c>
      <c r="G58" s="1595">
        <f t="shared" ref="G58:G75" si="4">+E58-F58</f>
        <v>3398261.9999999991</v>
      </c>
      <c r="H58" s="25">
        <f>+E$29*G58+F58</f>
        <v>438401.60027373978</v>
      </c>
      <c r="I58" s="1595">
        <f>+K57</f>
        <v>5739737.4428571388</v>
      </c>
      <c r="J58" s="1595">
        <f>+I$32</f>
        <v>225087.74285714285</v>
      </c>
      <c r="K58" s="1595">
        <f t="shared" ref="K58:K75" si="5">+I58-J58</f>
        <v>5514649.6999999955</v>
      </c>
      <c r="L58" s="25">
        <f>+I$29*K58+J58</f>
        <v>711431.68285114516</v>
      </c>
      <c r="M58" s="1600">
        <f>+O57</f>
        <v>9703499.1428571474</v>
      </c>
      <c r="N58" s="1595">
        <f>+M$32</f>
        <v>392060.57142857142</v>
      </c>
      <c r="O58" s="1595">
        <f t="shared" ref="O58:O75" si="6">+M58-N58</f>
        <v>9311438.5714285765</v>
      </c>
      <c r="P58" s="25">
        <f>+M$29*O58+N58</f>
        <v>1213248.1296955456</v>
      </c>
      <c r="Q58" s="1600">
        <f>+S57</f>
        <v>18294662.404761925</v>
      </c>
      <c r="R58" s="1595">
        <f>+Q$32</f>
        <v>744189.65714285709</v>
      </c>
      <c r="S58" s="1595">
        <f t="shared" ref="S58:S75" si="7">+Q58-R58</f>
        <v>17550472.74761907</v>
      </c>
      <c r="T58" s="25">
        <f>+Q$29*S58+R58</f>
        <v>2291988.0721236723</v>
      </c>
      <c r="U58" s="1600">
        <f>+W57</f>
        <v>13044767.952380955</v>
      </c>
      <c r="V58" s="1595">
        <f>+U$32</f>
        <v>530634.62857142859</v>
      </c>
      <c r="W58" s="1595">
        <f t="shared" ref="W58:W75" si="8">+U58-V58</f>
        <v>12514133.323809527</v>
      </c>
      <c r="X58" s="25">
        <f>+U$29*W58+V58</f>
        <v>1634271.8924781042</v>
      </c>
      <c r="Y58" s="1600">
        <f>+AA57</f>
        <v>5053738.0428571431</v>
      </c>
      <c r="Z58" s="1595">
        <f>+Y$32</f>
        <v>193136.48571428572</v>
      </c>
      <c r="AA58" s="1595">
        <f t="shared" ref="AA58:AA75" si="9">+Y58-Z58</f>
        <v>4860601.5571428575</v>
      </c>
      <c r="AB58" s="25">
        <f>+Y$29*AA58+Z58</f>
        <v>621799.09179819375</v>
      </c>
      <c r="AC58" s="1600">
        <f>+AE57</f>
        <v>3711571.0151666668</v>
      </c>
      <c r="AD58" s="1595">
        <f>+AC$32</f>
        <v>115582.8</v>
      </c>
      <c r="AE58" s="1595">
        <f t="shared" ref="AE58:AE75" si="10">+AC58-AD58</f>
        <v>3595988.215166667</v>
      </c>
      <c r="AF58" s="25">
        <f>+AC$29*AE58+AD58</f>
        <v>432717.55413246254</v>
      </c>
      <c r="AG58" s="1600">
        <f>+AI57</f>
        <v>11451928.888095235</v>
      </c>
      <c r="AH58" s="1595">
        <f>+AG$32</f>
        <v>376463.14285714284</v>
      </c>
      <c r="AI58" s="1595">
        <f t="shared" ref="AI58:AI75" si="11">+AG58-AH58</f>
        <v>11075465.745238092</v>
      </c>
      <c r="AJ58" s="25">
        <f>+AG$29*AI58+AH58</f>
        <v>1353222.4912900464</v>
      </c>
      <c r="AK58" s="1600">
        <f>+AM57</f>
        <v>13799277.014285715</v>
      </c>
      <c r="AL58" s="1595">
        <f>+AK$32</f>
        <v>424056.51428571431</v>
      </c>
      <c r="AM58" s="1595">
        <f t="shared" ref="AM58:AM75" si="12">+AK58-AL58</f>
        <v>13375220.500000002</v>
      </c>
      <c r="AN58" s="25">
        <f>+AK$29*AM58+AL58</f>
        <v>1603634.1466162966</v>
      </c>
      <c r="AO58" s="1600">
        <f>+AQ57</f>
        <v>13799277.014285715</v>
      </c>
      <c r="AP58" s="1595">
        <f>+AO$32</f>
        <v>371428.57142857142</v>
      </c>
      <c r="AQ58" s="1595">
        <f t="shared" ref="AQ58:AQ75" si="13">+AO58-AP58</f>
        <v>13427848.442857144</v>
      </c>
      <c r="AR58" s="25">
        <f>+AO$29*AQ58+AP58</f>
        <v>1555647.5286801041</v>
      </c>
      <c r="AS58" s="1600">
        <f>+AU57</f>
        <v>13799277.014285715</v>
      </c>
      <c r="AT58" s="1595">
        <f>+AS$32</f>
        <v>2000</v>
      </c>
      <c r="AU58" s="1595">
        <f t="shared" ref="AU58:AU75" si="14">+AS58-AT58</f>
        <v>13797277.014285715</v>
      </c>
      <c r="AV58" s="25">
        <f>+AS$29*AU58+AT58</f>
        <v>1218799.3307564766</v>
      </c>
      <c r="AW58" s="1602">
        <f>H58+L58+P58+T58+X58+AB58+AF58+AJ58+AN58</f>
        <v>10300714.661259208</v>
      </c>
      <c r="AX58" s="1572"/>
      <c r="AY58" s="1597">
        <f>+AW58</f>
        <v>10300714.661259208</v>
      </c>
    </row>
    <row r="59" spans="1:54" ht="13" hidden="1">
      <c r="A59" s="1539">
        <f t="shared" si="1"/>
        <v>44</v>
      </c>
      <c r="C59" s="1560" t="str">
        <f t="shared" si="3"/>
        <v>W Increased ROE</v>
      </c>
      <c r="D59" s="1594">
        <f t="shared" si="2"/>
        <v>2019</v>
      </c>
      <c r="E59" s="1595">
        <f>+E58</f>
        <v>3536966.5714285704</v>
      </c>
      <c r="F59" s="1595">
        <f>+F58</f>
        <v>138704.57142857142</v>
      </c>
      <c r="G59" s="1595">
        <f t="shared" si="4"/>
        <v>3398261.9999999991</v>
      </c>
      <c r="H59" s="25">
        <f>+E$30*G59+F59</f>
        <v>466764.07152049919</v>
      </c>
      <c r="I59" s="1595">
        <f>+I58</f>
        <v>5739737.4428571388</v>
      </c>
      <c r="J59" s="1595">
        <f>+J58</f>
        <v>225087.74285714285</v>
      </c>
      <c r="K59" s="1595">
        <f t="shared" si="5"/>
        <v>5514649.6999999955</v>
      </c>
      <c r="L59" s="25">
        <f>+I$30*K59+J59</f>
        <v>711431.68285114516</v>
      </c>
      <c r="M59" s="1600">
        <f>+M58</f>
        <v>9703499.1428571474</v>
      </c>
      <c r="N59" s="1595">
        <f>+N58</f>
        <v>392060.57142857142</v>
      </c>
      <c r="O59" s="1595">
        <f t="shared" si="6"/>
        <v>9311438.5714285765</v>
      </c>
      <c r="P59" s="25">
        <f>+M$30*O59+N59</f>
        <v>1213248.1296955456</v>
      </c>
      <c r="Q59" s="1600">
        <f>+Q58</f>
        <v>18294662.404761925</v>
      </c>
      <c r="R59" s="1595">
        <f>+R58</f>
        <v>744189.65714285709</v>
      </c>
      <c r="S59" s="1595">
        <f t="shared" si="7"/>
        <v>17550472.74761907</v>
      </c>
      <c r="T59" s="25">
        <f>+Q$30*S59+R59</f>
        <v>2438467.2955241576</v>
      </c>
      <c r="U59" s="1600">
        <f>+U58</f>
        <v>13044767.952380955</v>
      </c>
      <c r="V59" s="1595">
        <f>+V58</f>
        <v>530634.62857142859</v>
      </c>
      <c r="W59" s="1595">
        <f t="shared" si="8"/>
        <v>12514133.323809527</v>
      </c>
      <c r="X59" s="25">
        <f>+U$30*W59+V59</f>
        <v>1738716.9725145057</v>
      </c>
      <c r="Y59" s="1600">
        <f>+Y58</f>
        <v>5053738.0428571431</v>
      </c>
      <c r="Z59" s="1595">
        <f>+Z58</f>
        <v>193136.48571428572</v>
      </c>
      <c r="AA59" s="1595">
        <f t="shared" si="9"/>
        <v>4860601.5571428575</v>
      </c>
      <c r="AB59" s="25">
        <f>+Y$30*AA59+Z59</f>
        <v>662366.49710903165</v>
      </c>
      <c r="AC59" s="1600">
        <f>+AC58</f>
        <v>3711571.0151666668</v>
      </c>
      <c r="AD59" s="1595">
        <f>+AD58</f>
        <v>115582.8</v>
      </c>
      <c r="AE59" s="1595">
        <f t="shared" si="10"/>
        <v>3595988.215166667</v>
      </c>
      <c r="AF59" s="25">
        <f>+AC$30*AE59+AD59</f>
        <v>432717.55413246254</v>
      </c>
      <c r="AG59" s="1600">
        <f>+AG58</f>
        <v>11451928.888095235</v>
      </c>
      <c r="AH59" s="1595">
        <f>+AH58</f>
        <v>376463.14285714284</v>
      </c>
      <c r="AI59" s="1595">
        <f t="shared" si="11"/>
        <v>11075465.745238092</v>
      </c>
      <c r="AJ59" s="25">
        <f>+AG$30*AI59+AH59</f>
        <v>1353222.4912900464</v>
      </c>
      <c r="AK59" s="1600">
        <f>+AK58</f>
        <v>13799277.014285715</v>
      </c>
      <c r="AL59" s="1595">
        <f>+AL58</f>
        <v>424056.51428571431</v>
      </c>
      <c r="AM59" s="1595">
        <f t="shared" si="12"/>
        <v>13375220.500000002</v>
      </c>
      <c r="AN59" s="25">
        <f>+AK$30*AM59+AL59</f>
        <v>1603634.1466162966</v>
      </c>
      <c r="AO59" s="1600">
        <f>+AO58</f>
        <v>13799277.014285715</v>
      </c>
      <c r="AP59" s="1595">
        <f>+AP58</f>
        <v>371428.57142857142</v>
      </c>
      <c r="AQ59" s="1595">
        <f t="shared" si="13"/>
        <v>13427848.442857144</v>
      </c>
      <c r="AR59" s="25">
        <f>+AO$30*AQ59+AP59</f>
        <v>1555647.5286801041</v>
      </c>
      <c r="AS59" s="1600">
        <f>+AS58</f>
        <v>13799277.014285715</v>
      </c>
      <c r="AT59" s="1595">
        <f>+AT58</f>
        <v>2000</v>
      </c>
      <c r="AU59" s="1595">
        <f t="shared" si="14"/>
        <v>13797277.014285715</v>
      </c>
      <c r="AV59" s="25">
        <f>+AS$30*AU59+AT59</f>
        <v>1218799.3307564766</v>
      </c>
      <c r="AW59" s="1602">
        <f t="shared" ref="AW59" si="15">H59+L59+P59+T59+X59+AB59+AF59+AJ59+AN59</f>
        <v>10620568.84125369</v>
      </c>
      <c r="AX59" s="1598">
        <f>+AW59</f>
        <v>10620568.84125369</v>
      </c>
      <c r="AY59" s="1569"/>
      <c r="BA59" s="1599"/>
    </row>
    <row r="60" spans="1:54" ht="13">
      <c r="A60" s="1539">
        <f t="shared" si="1"/>
        <v>45</v>
      </c>
      <c r="C60" s="1560" t="str">
        <f t="shared" si="3"/>
        <v>Base FCR</v>
      </c>
      <c r="D60" s="1594">
        <f t="shared" si="2"/>
        <v>2020</v>
      </c>
      <c r="E60" s="1595">
        <f>+G59</f>
        <v>3398261.9999999991</v>
      </c>
      <c r="F60" s="1595">
        <f>+E$32</f>
        <v>138704.57142857142</v>
      </c>
      <c r="G60" s="1595">
        <f t="shared" si="4"/>
        <v>3259557.4285714277</v>
      </c>
      <c r="H60" s="25">
        <f>+E$29*G60+F60</f>
        <v>426169.06848414108</v>
      </c>
      <c r="I60" s="1595">
        <f>+K59</f>
        <v>5514649.6999999955</v>
      </c>
      <c r="J60" s="1595">
        <f>+I$32</f>
        <v>225087.74285714285</v>
      </c>
      <c r="K60" s="1595">
        <f t="shared" si="5"/>
        <v>5289561.9571428522</v>
      </c>
      <c r="L60" s="25">
        <f>+I$29*K60+J60</f>
        <v>691580.90979016537</v>
      </c>
      <c r="M60" s="1600">
        <f>+O59</f>
        <v>9311438.5714285765</v>
      </c>
      <c r="N60" s="1595">
        <f>+M$32</f>
        <v>392060.57142857142</v>
      </c>
      <c r="O60" s="1595">
        <f t="shared" si="6"/>
        <v>8919378.0000000056</v>
      </c>
      <c r="P60" s="25">
        <f>+M$29*O60+N60</f>
        <v>1178671.8114527257</v>
      </c>
      <c r="Q60" s="1600">
        <f>+S59</f>
        <v>17550472.74761907</v>
      </c>
      <c r="R60" s="1595">
        <f>+Q$32</f>
        <v>744189.65714285709</v>
      </c>
      <c r="S60" s="1595">
        <f t="shared" si="7"/>
        <v>16806283.090476215</v>
      </c>
      <c r="T60" s="25">
        <f>+Q$29*S60+R60</f>
        <v>2226357.043926606</v>
      </c>
      <c r="U60" s="1600">
        <f>+W59</f>
        <v>12514133.323809527</v>
      </c>
      <c r="V60" s="1595">
        <f>+U$32</f>
        <v>530634.62857142859</v>
      </c>
      <c r="W60" s="1595">
        <f t="shared" si="8"/>
        <v>11983498.695238099</v>
      </c>
      <c r="X60" s="25">
        <f>+U$29*W60+V60</f>
        <v>1587474.5526658071</v>
      </c>
      <c r="Y60" s="1600">
        <f>+AA59</f>
        <v>4860601.5571428575</v>
      </c>
      <c r="Z60" s="1595">
        <f>+Y$32</f>
        <v>193136.48571428572</v>
      </c>
      <c r="AA60" s="1595">
        <f t="shared" si="9"/>
        <v>4667465.0714285718</v>
      </c>
      <c r="AB60" s="25">
        <f>+Y$29*AA60+Z60</f>
        <v>604766.14056307159</v>
      </c>
      <c r="AC60" s="1600">
        <f>+AE59</f>
        <v>3595988.215166667</v>
      </c>
      <c r="AD60" s="1595">
        <f>+AC$32</f>
        <v>115582.8</v>
      </c>
      <c r="AE60" s="1595">
        <f t="shared" si="10"/>
        <v>3480405.4151666672</v>
      </c>
      <c r="AF60" s="25">
        <f>+AC$29*AE60+AD60</f>
        <v>422524.16064320086</v>
      </c>
      <c r="AG60" s="1600">
        <f>+AI59</f>
        <v>11075465.745238092</v>
      </c>
      <c r="AH60" s="1595">
        <f>+AG$32</f>
        <v>376463.14285714284</v>
      </c>
      <c r="AI60" s="1595">
        <f t="shared" si="11"/>
        <v>10699002.602380948</v>
      </c>
      <c r="AJ60" s="25">
        <f>+AG$29*AI60+AH60</f>
        <v>1320021.7300232574</v>
      </c>
      <c r="AK60" s="1600">
        <f>+AM59</f>
        <v>13375220.500000002</v>
      </c>
      <c r="AL60" s="1595">
        <f>+AK$32</f>
        <v>424056.51428571431</v>
      </c>
      <c r="AM60" s="1595">
        <f t="shared" si="12"/>
        <v>12951163.985714288</v>
      </c>
      <c r="AN60" s="25">
        <f>+AK$29*AM60+AL60</f>
        <v>1566236.0656578927</v>
      </c>
      <c r="AO60" s="1722">
        <v>11885714.285714287</v>
      </c>
      <c r="AP60" s="1595">
        <f>+AO$32</f>
        <v>371428.57142857142</v>
      </c>
      <c r="AQ60" s="1595">
        <f t="shared" si="13"/>
        <v>11514285.714285716</v>
      </c>
      <c r="AR60" s="25">
        <f>+AO$29*AQ60+AP60</f>
        <v>1386888.0085896254</v>
      </c>
      <c r="AS60" s="1722">
        <v>48500</v>
      </c>
      <c r="AT60" s="1595">
        <f>+AS$32</f>
        <v>2000</v>
      </c>
      <c r="AU60" s="1595">
        <f t="shared" si="14"/>
        <v>46500</v>
      </c>
      <c r="AV60" s="25">
        <f>+AS$29*AU60+AT60</f>
        <v>6100.8938808427174</v>
      </c>
      <c r="AW60" s="1602">
        <f>H60+L60+P60+T60+X60+AB60+AF60+AJ60+AN60+AR60+AV60</f>
        <v>11416790.385677336</v>
      </c>
      <c r="AX60" s="1572"/>
      <c r="AY60" s="1597">
        <f>+AW60</f>
        <v>11416790.385677336</v>
      </c>
    </row>
    <row r="61" spans="1:54" ht="13">
      <c r="A61" s="1539">
        <f t="shared" si="1"/>
        <v>46</v>
      </c>
      <c r="C61" s="1560" t="str">
        <f t="shared" si="3"/>
        <v>W Increased ROE</v>
      </c>
      <c r="D61" s="1594">
        <f t="shared" si="2"/>
        <v>2020</v>
      </c>
      <c r="E61" s="1595">
        <f>+E60</f>
        <v>3398261.9999999991</v>
      </c>
      <c r="F61" s="1595">
        <f>+F60</f>
        <v>138704.57142857142</v>
      </c>
      <c r="G61" s="1595">
        <f t="shared" si="4"/>
        <v>3259557.4285714277</v>
      </c>
      <c r="H61" s="25">
        <f>+E$30*G61+F61</f>
        <v>453373.88784327765</v>
      </c>
      <c r="I61" s="1595">
        <f>+I60</f>
        <v>5514649.6999999955</v>
      </c>
      <c r="J61" s="1595">
        <f>+J60</f>
        <v>225087.74285714285</v>
      </c>
      <c r="K61" s="1595">
        <f t="shared" si="5"/>
        <v>5289561.9571428522</v>
      </c>
      <c r="L61" s="25">
        <f>+I$30*K61+J61</f>
        <v>691580.90979016537</v>
      </c>
      <c r="M61" s="1600">
        <f>+M60</f>
        <v>9311438.5714285765</v>
      </c>
      <c r="N61" s="1595">
        <f>+N60</f>
        <v>392060.57142857142</v>
      </c>
      <c r="O61" s="1595">
        <f t="shared" si="6"/>
        <v>8919378.0000000056</v>
      </c>
      <c r="P61" s="25">
        <f>+M$30*O61+N61</f>
        <v>1178671.8114527257</v>
      </c>
      <c r="Q61" s="1600">
        <f>+Q60</f>
        <v>17550472.74761907</v>
      </c>
      <c r="R61" s="1595">
        <f>+R60</f>
        <v>744189.65714285709</v>
      </c>
      <c r="S61" s="1595">
        <f t="shared" si="7"/>
        <v>16806283.090476215</v>
      </c>
      <c r="T61" s="25">
        <f>+Q$30*S61+R61</f>
        <v>2366625.1341793677</v>
      </c>
      <c r="U61" s="1600">
        <f>+U60</f>
        <v>12514133.323809527</v>
      </c>
      <c r="V61" s="1595">
        <f>+V60</f>
        <v>530634.62857142859</v>
      </c>
      <c r="W61" s="1595">
        <f t="shared" si="8"/>
        <v>11983498.695238099</v>
      </c>
      <c r="X61" s="25">
        <f>+U$30*W61+V61</f>
        <v>1687490.8660575554</v>
      </c>
      <c r="Y61" s="1600">
        <f>+Y60</f>
        <v>4860601.5571428575</v>
      </c>
      <c r="Z61" s="1595">
        <f>+Z60</f>
        <v>193136.48571428572</v>
      </c>
      <c r="AA61" s="1595">
        <f t="shared" si="9"/>
        <v>4667465.0714285718</v>
      </c>
      <c r="AB61" s="25">
        <f>+Y$30*AA61+Z61</f>
        <v>643721.59599400859</v>
      </c>
      <c r="AC61" s="1600">
        <f>+AC60</f>
        <v>3595988.215166667</v>
      </c>
      <c r="AD61" s="1595">
        <f>+AD60</f>
        <v>115582.8</v>
      </c>
      <c r="AE61" s="1595">
        <f t="shared" si="10"/>
        <v>3480405.4151666672</v>
      </c>
      <c r="AF61" s="25">
        <f>+AC$30*AE61+AD61</f>
        <v>422524.16064320086</v>
      </c>
      <c r="AG61" s="1600">
        <f>+AG60</f>
        <v>11075465.745238092</v>
      </c>
      <c r="AH61" s="1595">
        <f>+AH60</f>
        <v>376463.14285714284</v>
      </c>
      <c r="AI61" s="1595">
        <f t="shared" si="11"/>
        <v>10699002.602380948</v>
      </c>
      <c r="AJ61" s="25">
        <f>+AG$30*AI61+AH61</f>
        <v>1320021.7300232574</v>
      </c>
      <c r="AK61" s="1600">
        <f>+AK60</f>
        <v>13375220.500000002</v>
      </c>
      <c r="AL61" s="1595">
        <f>+AL60</f>
        <v>424056.51428571431</v>
      </c>
      <c r="AM61" s="1595">
        <f t="shared" si="12"/>
        <v>12951163.985714288</v>
      </c>
      <c r="AN61" s="25">
        <f>+AK$30*AM61+AL61</f>
        <v>1566236.0656578927</v>
      </c>
      <c r="AO61" s="1600">
        <f>+AO60</f>
        <v>11885714.285714287</v>
      </c>
      <c r="AP61" s="1595">
        <f>+AP60</f>
        <v>371428.57142857142</v>
      </c>
      <c r="AQ61" s="1595">
        <f t="shared" si="13"/>
        <v>11514285.714285716</v>
      </c>
      <c r="AR61" s="25">
        <f>+AO$30*AQ61+AP61</f>
        <v>1386888.0085896254</v>
      </c>
      <c r="AS61" s="1600">
        <f>+AS60</f>
        <v>48500</v>
      </c>
      <c r="AT61" s="1595">
        <f>+AT60</f>
        <v>2000</v>
      </c>
      <c r="AU61" s="1595">
        <f t="shared" si="14"/>
        <v>46500</v>
      </c>
      <c r="AV61" s="25">
        <f>+AS$30*AU61+AT61</f>
        <v>6100.8938808427174</v>
      </c>
      <c r="AW61" s="1602">
        <f t="shared" ref="AW61:AW75" si="16">H61+L61+P61+T61+X61+AB61+AF61+AJ61+AN61+AR61+AV61</f>
        <v>11723235.06411192</v>
      </c>
      <c r="AX61" s="1598">
        <f>+AW61</f>
        <v>11723235.06411192</v>
      </c>
      <c r="AY61" s="1569"/>
    </row>
    <row r="62" spans="1:54" ht="13">
      <c r="A62" s="1539">
        <f t="shared" si="1"/>
        <v>47</v>
      </c>
      <c r="C62" s="1560" t="str">
        <f t="shared" si="3"/>
        <v>Base FCR</v>
      </c>
      <c r="D62" s="1594">
        <f t="shared" si="2"/>
        <v>2021</v>
      </c>
      <c r="E62" s="1595">
        <f>+G61</f>
        <v>3259557.4285714277</v>
      </c>
      <c r="F62" s="1595">
        <f>+E$32</f>
        <v>138704.57142857142</v>
      </c>
      <c r="G62" s="1595">
        <f t="shared" si="4"/>
        <v>3120852.8571428563</v>
      </c>
      <c r="H62" s="25">
        <f>+E$29*G62+F62</f>
        <v>413936.53669454239</v>
      </c>
      <c r="I62" s="1595">
        <f>+K61</f>
        <v>5289561.9571428522</v>
      </c>
      <c r="J62" s="1595">
        <f>+I$32</f>
        <v>225087.74285714285</v>
      </c>
      <c r="K62" s="1595">
        <f t="shared" si="5"/>
        <v>5064474.214285709</v>
      </c>
      <c r="L62" s="25">
        <f>+I$29*K62+J62</f>
        <v>671730.1367291857</v>
      </c>
      <c r="M62" s="1600">
        <f>+O61</f>
        <v>8919378.0000000056</v>
      </c>
      <c r="N62" s="1595">
        <f>+M$32</f>
        <v>392060.57142857142</v>
      </c>
      <c r="O62" s="1595">
        <f t="shared" si="6"/>
        <v>8527317.4285714347</v>
      </c>
      <c r="P62" s="25">
        <f>+M$29*O62+N62</f>
        <v>1144095.4932099057</v>
      </c>
      <c r="Q62" s="1600">
        <f>+S61</f>
        <v>16806283.090476215</v>
      </c>
      <c r="R62" s="1595">
        <f>+Q$32</f>
        <v>744189.65714285709</v>
      </c>
      <c r="S62" s="1595">
        <f t="shared" si="7"/>
        <v>16062093.433333358</v>
      </c>
      <c r="T62" s="25">
        <f>+Q$29*S62+R62</f>
        <v>2160726.01572954</v>
      </c>
      <c r="U62" s="1600">
        <f>+W61</f>
        <v>11983498.695238099</v>
      </c>
      <c r="V62" s="1595">
        <f>+U$32</f>
        <v>530634.62857142859</v>
      </c>
      <c r="W62" s="1595">
        <f t="shared" si="8"/>
        <v>11452864.06666667</v>
      </c>
      <c r="X62" s="25">
        <f>+U$29*W62+V62</f>
        <v>1540677.2128535099</v>
      </c>
      <c r="Y62" s="1600">
        <f>+AA61</f>
        <v>4667465.0714285718</v>
      </c>
      <c r="Z62" s="1595">
        <f>+Y$32</f>
        <v>193136.48571428572</v>
      </c>
      <c r="AA62" s="1595">
        <f t="shared" si="9"/>
        <v>4474328.5857142862</v>
      </c>
      <c r="AB62" s="25">
        <f>+Y$29*AA62+Z62</f>
        <v>587733.18932794943</v>
      </c>
      <c r="AC62" s="1600">
        <f>+AE61</f>
        <v>3480405.4151666672</v>
      </c>
      <c r="AD62" s="1595">
        <f>+AC$32</f>
        <v>115582.8</v>
      </c>
      <c r="AE62" s="1595">
        <f t="shared" si="10"/>
        <v>3364822.6151666674</v>
      </c>
      <c r="AF62" s="25">
        <f>+AC$29*AE62+AD62</f>
        <v>412330.76715393923</v>
      </c>
      <c r="AG62" s="1600">
        <f>+AI61</f>
        <v>10699002.602380948</v>
      </c>
      <c r="AH62" s="1595">
        <f>+AG$32</f>
        <v>376463.14285714284</v>
      </c>
      <c r="AI62" s="1595">
        <f t="shared" si="11"/>
        <v>10322539.459523804</v>
      </c>
      <c r="AJ62" s="25">
        <f>+AG$29*AI62+AH62</f>
        <v>1286820.9687564687</v>
      </c>
      <c r="AK62" s="1600">
        <f>+AM61</f>
        <v>12951163.985714288</v>
      </c>
      <c r="AL62" s="1595">
        <f>+AK$32</f>
        <v>424056.51428571431</v>
      </c>
      <c r="AM62" s="1595">
        <f t="shared" si="12"/>
        <v>12527107.471428575</v>
      </c>
      <c r="AN62" s="25">
        <f>+AK$29*AM62+AL62</f>
        <v>1528837.9846994891</v>
      </c>
      <c r="AO62" s="1600">
        <f>+AQ61</f>
        <v>11514285.714285716</v>
      </c>
      <c r="AP62" s="1595">
        <f>+AO$32</f>
        <v>371428.57142857142</v>
      </c>
      <c r="AQ62" s="1595">
        <f t="shared" si="13"/>
        <v>11142857.142857146</v>
      </c>
      <c r="AR62" s="25">
        <f>+AO$29*AQ62+AP62</f>
        <v>1354131.2525521719</v>
      </c>
      <c r="AS62" s="1600">
        <f>+AU61</f>
        <v>46500</v>
      </c>
      <c r="AT62" s="1595">
        <f>+AS$32</f>
        <v>2000</v>
      </c>
      <c r="AU62" s="1595">
        <f t="shared" si="14"/>
        <v>44500</v>
      </c>
      <c r="AV62" s="25">
        <f>+AS$29*AU62+AT62</f>
        <v>5924.5113483333535</v>
      </c>
      <c r="AW62" s="1602">
        <f t="shared" si="16"/>
        <v>11106944.069055036</v>
      </c>
      <c r="AX62" s="1572"/>
      <c r="AY62" s="1597">
        <f>+AW62</f>
        <v>11106944.069055036</v>
      </c>
    </row>
    <row r="63" spans="1:54" ht="13">
      <c r="A63" s="1539">
        <f t="shared" si="1"/>
        <v>48</v>
      </c>
      <c r="C63" s="1560" t="str">
        <f t="shared" si="3"/>
        <v>W Increased ROE</v>
      </c>
      <c r="D63" s="1594">
        <f t="shared" si="2"/>
        <v>2021</v>
      </c>
      <c r="E63" s="1595">
        <f>+E62</f>
        <v>3259557.4285714277</v>
      </c>
      <c r="F63" s="1595">
        <f>+F62</f>
        <v>138704.57142857142</v>
      </c>
      <c r="G63" s="1595">
        <f t="shared" si="4"/>
        <v>3120852.8571428563</v>
      </c>
      <c r="H63" s="25">
        <f>+E$30*G63+F63</f>
        <v>439983.70416605612</v>
      </c>
      <c r="I63" s="1595">
        <f>+I62</f>
        <v>5289561.9571428522</v>
      </c>
      <c r="J63" s="1595">
        <f>+J62</f>
        <v>225087.74285714285</v>
      </c>
      <c r="K63" s="1595">
        <f t="shared" si="5"/>
        <v>5064474.214285709</v>
      </c>
      <c r="L63" s="25">
        <f>+I$30*K63+J63</f>
        <v>671730.1367291857</v>
      </c>
      <c r="M63" s="1600">
        <f>+M62</f>
        <v>8919378.0000000056</v>
      </c>
      <c r="N63" s="1595">
        <f>+N62</f>
        <v>392060.57142857142</v>
      </c>
      <c r="O63" s="1595">
        <f t="shared" si="6"/>
        <v>8527317.4285714347</v>
      </c>
      <c r="P63" s="25">
        <f>+M$30*O63+N63</f>
        <v>1144095.4932099057</v>
      </c>
      <c r="Q63" s="1600">
        <f>+Q62</f>
        <v>16806283.090476215</v>
      </c>
      <c r="R63" s="1595">
        <f>+R62</f>
        <v>744189.65714285709</v>
      </c>
      <c r="S63" s="1595">
        <f t="shared" si="7"/>
        <v>16062093.433333358</v>
      </c>
      <c r="T63" s="25">
        <f>+Q$30*S63+R63</f>
        <v>2294782.9728345778</v>
      </c>
      <c r="U63" s="1600">
        <f>+U62</f>
        <v>11983498.695238099</v>
      </c>
      <c r="V63" s="1595">
        <f>+V62</f>
        <v>530634.62857142859</v>
      </c>
      <c r="W63" s="1595">
        <f t="shared" si="8"/>
        <v>11452864.06666667</v>
      </c>
      <c r="X63" s="25">
        <f>+U$30*W63+V63</f>
        <v>1636264.7596006051</v>
      </c>
      <c r="Y63" s="1600">
        <f>+Y62</f>
        <v>4667465.0714285718</v>
      </c>
      <c r="Z63" s="1595">
        <f>+Z62</f>
        <v>193136.48571428572</v>
      </c>
      <c r="AA63" s="1595">
        <f t="shared" si="9"/>
        <v>4474328.5857142862</v>
      </c>
      <c r="AB63" s="25">
        <f>+Y$30*AA63+Z63</f>
        <v>625076.69487898564</v>
      </c>
      <c r="AC63" s="1600">
        <f>+AC62</f>
        <v>3480405.4151666672</v>
      </c>
      <c r="AD63" s="1595">
        <f>+AD62</f>
        <v>115582.8</v>
      </c>
      <c r="AE63" s="1595">
        <f t="shared" si="10"/>
        <v>3364822.6151666674</v>
      </c>
      <c r="AF63" s="25">
        <f>+AC$30*AE63+AD63</f>
        <v>412330.76715393923</v>
      </c>
      <c r="AG63" s="1600">
        <f>+AG62</f>
        <v>10699002.602380948</v>
      </c>
      <c r="AH63" s="1595">
        <f>+AH62</f>
        <v>376463.14285714284</v>
      </c>
      <c r="AI63" s="1595">
        <f t="shared" si="11"/>
        <v>10322539.459523804</v>
      </c>
      <c r="AJ63" s="25">
        <f>+AG$30*AI63+AH63</f>
        <v>1286820.9687564687</v>
      </c>
      <c r="AK63" s="1600">
        <f>+AK62</f>
        <v>12951163.985714288</v>
      </c>
      <c r="AL63" s="1595">
        <f>+AL62</f>
        <v>424056.51428571431</v>
      </c>
      <c r="AM63" s="1595">
        <f t="shared" si="12"/>
        <v>12527107.471428575</v>
      </c>
      <c r="AN63" s="25">
        <f>+AK$30*AM63+AL63</f>
        <v>1528837.9846994891</v>
      </c>
      <c r="AO63" s="1600">
        <f>+AO62</f>
        <v>11514285.714285716</v>
      </c>
      <c r="AP63" s="1595">
        <f>+AP62</f>
        <v>371428.57142857142</v>
      </c>
      <c r="AQ63" s="1595">
        <f t="shared" si="13"/>
        <v>11142857.142857146</v>
      </c>
      <c r="AR63" s="25">
        <f>+AO$30*AQ63+AP63</f>
        <v>1354131.2525521719</v>
      </c>
      <c r="AS63" s="1600">
        <f>+AS62</f>
        <v>46500</v>
      </c>
      <c r="AT63" s="1595">
        <f>+AT62</f>
        <v>2000</v>
      </c>
      <c r="AU63" s="1595">
        <f t="shared" si="14"/>
        <v>44500</v>
      </c>
      <c r="AV63" s="25">
        <f>+AS$30*AU63+AT63</f>
        <v>5924.5113483333535</v>
      </c>
      <c r="AW63" s="1602">
        <f t="shared" si="16"/>
        <v>11399979.245929718</v>
      </c>
      <c r="AX63" s="1598">
        <f>+AW63</f>
        <v>11399979.245929718</v>
      </c>
      <c r="AY63" s="1569"/>
    </row>
    <row r="64" spans="1:54" ht="13">
      <c r="A64" s="1539">
        <f t="shared" si="1"/>
        <v>49</v>
      </c>
      <c r="C64" s="1560" t="str">
        <f t="shared" si="3"/>
        <v>Base FCR</v>
      </c>
      <c r="D64" s="1594">
        <f t="shared" si="2"/>
        <v>2022</v>
      </c>
      <c r="E64" s="1595">
        <f>+G63</f>
        <v>3120852.8571428563</v>
      </c>
      <c r="F64" s="1595">
        <f>+E$32</f>
        <v>138704.57142857142</v>
      </c>
      <c r="G64" s="1595">
        <f t="shared" si="4"/>
        <v>2982148.285714285</v>
      </c>
      <c r="H64" s="25">
        <f>+E$29*G64+F64</f>
        <v>401704.00490494369</v>
      </c>
      <c r="I64" s="1595">
        <f>+K63</f>
        <v>5064474.214285709</v>
      </c>
      <c r="J64" s="1595">
        <f>+I$32</f>
        <v>225087.74285714285</v>
      </c>
      <c r="K64" s="1595">
        <f t="shared" si="5"/>
        <v>4839386.4714285657</v>
      </c>
      <c r="L64" s="25">
        <f>+I$29*K64+J64</f>
        <v>651879.36366820592</v>
      </c>
      <c r="M64" s="1600">
        <f>+O63</f>
        <v>8527317.4285714347</v>
      </c>
      <c r="N64" s="1595">
        <f>+M$32</f>
        <v>392060.57142857142</v>
      </c>
      <c r="O64" s="1595">
        <f t="shared" si="6"/>
        <v>8135256.8571428629</v>
      </c>
      <c r="P64" s="25">
        <f>+M$29*O64+N64</f>
        <v>1109519.1749670857</v>
      </c>
      <c r="Q64" s="1600">
        <f>+S63</f>
        <v>16062093.433333358</v>
      </c>
      <c r="R64" s="1595">
        <f>+Q$32</f>
        <v>744189.65714285709</v>
      </c>
      <c r="S64" s="1595">
        <f t="shared" si="7"/>
        <v>15317903.776190501</v>
      </c>
      <c r="T64" s="25">
        <f>+Q$29*S64+R64</f>
        <v>2095094.9875324736</v>
      </c>
      <c r="U64" s="1600">
        <f>+W63</f>
        <v>11452864.06666667</v>
      </c>
      <c r="V64" s="1595">
        <f>+U$32</f>
        <v>530634.62857142859</v>
      </c>
      <c r="W64" s="1595">
        <f t="shared" si="8"/>
        <v>10922229.438095242</v>
      </c>
      <c r="X64" s="25">
        <f>+U$29*W64+V64</f>
        <v>1493879.8730412128</v>
      </c>
      <c r="Y64" s="1600">
        <f>+AA63</f>
        <v>4474328.5857142862</v>
      </c>
      <c r="Z64" s="1595">
        <f>+Y$32</f>
        <v>193136.48571428572</v>
      </c>
      <c r="AA64" s="1595">
        <f t="shared" si="9"/>
        <v>4281192.1000000006</v>
      </c>
      <c r="AB64" s="25">
        <f>+Y$29*AA64+Z64</f>
        <v>570700.23809282726</v>
      </c>
      <c r="AC64" s="1600">
        <f>+AE63</f>
        <v>3364822.6151666674</v>
      </c>
      <c r="AD64" s="1595">
        <f>+AC$32</f>
        <v>115582.8</v>
      </c>
      <c r="AE64" s="1595">
        <f t="shared" si="10"/>
        <v>3249239.8151666676</v>
      </c>
      <c r="AF64" s="25">
        <f>+AC$29*AE64+AD64</f>
        <v>402137.37366467755</v>
      </c>
      <c r="AG64" s="1600">
        <f>+AI63</f>
        <v>10322539.459523804</v>
      </c>
      <c r="AH64" s="1595">
        <f>+AG$32</f>
        <v>376463.14285714284</v>
      </c>
      <c r="AI64" s="1595">
        <f t="shared" si="11"/>
        <v>9946076.3166666608</v>
      </c>
      <c r="AJ64" s="25">
        <f>+AG$29*AI64+AH64</f>
        <v>1253620.20748968</v>
      </c>
      <c r="AK64" s="1600">
        <f>+AM63</f>
        <v>12527107.471428575</v>
      </c>
      <c r="AL64" s="1595">
        <f>+AK$32</f>
        <v>424056.51428571431</v>
      </c>
      <c r="AM64" s="1595">
        <f t="shared" si="12"/>
        <v>12103050.957142862</v>
      </c>
      <c r="AN64" s="25">
        <f>+AK$29*AM64+AL64</f>
        <v>1491439.9037410854</v>
      </c>
      <c r="AO64" s="1600">
        <f>+AQ63</f>
        <v>11142857.142857146</v>
      </c>
      <c r="AP64" s="1595">
        <f>+AO$32</f>
        <v>371428.57142857142</v>
      </c>
      <c r="AQ64" s="1595">
        <f t="shared" si="13"/>
        <v>10771428.571428575</v>
      </c>
      <c r="AR64" s="25">
        <f>+AO$29*AQ64+AP64</f>
        <v>1321374.4965147187</v>
      </c>
      <c r="AS64" s="1600">
        <f>+AU63</f>
        <v>44500</v>
      </c>
      <c r="AT64" s="1595">
        <f>+AS$32</f>
        <v>2000</v>
      </c>
      <c r="AU64" s="1595">
        <f t="shared" si="14"/>
        <v>42500</v>
      </c>
      <c r="AV64" s="25">
        <f>+AS$29*AU64+AT64</f>
        <v>5748.1288158239886</v>
      </c>
      <c r="AW64" s="1602">
        <f t="shared" si="16"/>
        <v>10797097.752432736</v>
      </c>
      <c r="AX64" s="1572"/>
      <c r="AY64" s="1597">
        <f>+AW64</f>
        <v>10797097.752432736</v>
      </c>
    </row>
    <row r="65" spans="1:51" ht="13">
      <c r="A65" s="1539">
        <f t="shared" si="1"/>
        <v>50</v>
      </c>
      <c r="C65" s="1560" t="str">
        <f t="shared" si="3"/>
        <v>W Increased ROE</v>
      </c>
      <c r="D65" s="1594">
        <f t="shared" si="2"/>
        <v>2022</v>
      </c>
      <c r="E65" s="1595">
        <f>+E64</f>
        <v>3120852.8571428563</v>
      </c>
      <c r="F65" s="1595">
        <f>+F64</f>
        <v>138704.57142857142</v>
      </c>
      <c r="G65" s="1595">
        <f t="shared" si="4"/>
        <v>2982148.285714285</v>
      </c>
      <c r="H65" s="25">
        <f>+E$30*G65+F65</f>
        <v>426593.52048883459</v>
      </c>
      <c r="I65" s="1595">
        <f>+I64</f>
        <v>5064474.214285709</v>
      </c>
      <c r="J65" s="1595">
        <f>+J64</f>
        <v>225087.74285714285</v>
      </c>
      <c r="K65" s="1595">
        <f t="shared" si="5"/>
        <v>4839386.4714285657</v>
      </c>
      <c r="L65" s="25">
        <f>+I$30*K65+J65</f>
        <v>651879.36366820592</v>
      </c>
      <c r="M65" s="1600">
        <f>+M64</f>
        <v>8527317.4285714347</v>
      </c>
      <c r="N65" s="1595">
        <f>+N64</f>
        <v>392060.57142857142</v>
      </c>
      <c r="O65" s="1595">
        <f t="shared" si="6"/>
        <v>8135256.8571428629</v>
      </c>
      <c r="P65" s="25">
        <f>+M$30*O65+N65</f>
        <v>1109519.1749670857</v>
      </c>
      <c r="Q65" s="1600">
        <f>+Q64</f>
        <v>16062093.433333358</v>
      </c>
      <c r="R65" s="1595">
        <f>+R64</f>
        <v>744189.65714285709</v>
      </c>
      <c r="S65" s="1595">
        <f t="shared" si="7"/>
        <v>15317903.776190501</v>
      </c>
      <c r="T65" s="25">
        <f>+Q$30*S65+R65</f>
        <v>2222940.8114897879</v>
      </c>
      <c r="U65" s="1600">
        <f>+U64</f>
        <v>11452864.06666667</v>
      </c>
      <c r="V65" s="1595">
        <f>+V64</f>
        <v>530634.62857142859</v>
      </c>
      <c r="W65" s="1595">
        <f t="shared" si="8"/>
        <v>10922229.438095242</v>
      </c>
      <c r="X65" s="25">
        <f>+U$30*W65+V65</f>
        <v>1585038.653143655</v>
      </c>
      <c r="Y65" s="1600">
        <f>+Y64</f>
        <v>4474328.5857142862</v>
      </c>
      <c r="Z65" s="1595">
        <f>+Z64</f>
        <v>193136.48571428572</v>
      </c>
      <c r="AA65" s="1595">
        <f t="shared" si="9"/>
        <v>4281192.1000000006</v>
      </c>
      <c r="AB65" s="25">
        <f>+Y$30*AA65+Z65</f>
        <v>606431.79376396257</v>
      </c>
      <c r="AC65" s="1600">
        <f>+AC64</f>
        <v>3364822.6151666674</v>
      </c>
      <c r="AD65" s="1595">
        <f>+AD64</f>
        <v>115582.8</v>
      </c>
      <c r="AE65" s="1595">
        <f t="shared" si="10"/>
        <v>3249239.8151666676</v>
      </c>
      <c r="AF65" s="25">
        <f>+AC$30*AE65+AD65</f>
        <v>402137.37366467755</v>
      </c>
      <c r="AG65" s="1600">
        <f>+AG64</f>
        <v>10322539.459523804</v>
      </c>
      <c r="AH65" s="1595">
        <f>+AH64</f>
        <v>376463.14285714284</v>
      </c>
      <c r="AI65" s="1595">
        <f t="shared" si="11"/>
        <v>9946076.3166666608</v>
      </c>
      <c r="AJ65" s="25">
        <f>+AG$30*AI65+AH65</f>
        <v>1253620.20748968</v>
      </c>
      <c r="AK65" s="1600">
        <f>+AK64</f>
        <v>12527107.471428575</v>
      </c>
      <c r="AL65" s="1595">
        <f>+AL64</f>
        <v>424056.51428571431</v>
      </c>
      <c r="AM65" s="1595">
        <f t="shared" si="12"/>
        <v>12103050.957142862</v>
      </c>
      <c r="AN65" s="25">
        <f>+AK$30*AM65+AL65</f>
        <v>1491439.9037410854</v>
      </c>
      <c r="AO65" s="1600">
        <f>+AO64</f>
        <v>11142857.142857146</v>
      </c>
      <c r="AP65" s="1595">
        <f>+AP64</f>
        <v>371428.57142857142</v>
      </c>
      <c r="AQ65" s="1595">
        <f t="shared" si="13"/>
        <v>10771428.571428575</v>
      </c>
      <c r="AR65" s="25">
        <f>+AO$30*AQ65+AP65</f>
        <v>1321374.4965147187</v>
      </c>
      <c r="AS65" s="1600">
        <f>+AS64</f>
        <v>44500</v>
      </c>
      <c r="AT65" s="1595">
        <f>+AT64</f>
        <v>2000</v>
      </c>
      <c r="AU65" s="1595">
        <f t="shared" si="14"/>
        <v>42500</v>
      </c>
      <c r="AV65" s="25">
        <f>+AS$30*AU65+AT65</f>
        <v>5748.1288158239886</v>
      </c>
      <c r="AW65" s="1602">
        <f t="shared" si="16"/>
        <v>11076723.427747518</v>
      </c>
      <c r="AX65" s="1598">
        <f>+AW65</f>
        <v>11076723.427747518</v>
      </c>
      <c r="AY65" s="1569"/>
    </row>
    <row r="66" spans="1:51" ht="13">
      <c r="A66" s="1539">
        <f t="shared" si="1"/>
        <v>51</v>
      </c>
      <c r="C66" s="1560" t="str">
        <f t="shared" si="3"/>
        <v>Base FCR</v>
      </c>
      <c r="D66" s="1594">
        <f t="shared" si="2"/>
        <v>2023</v>
      </c>
      <c r="E66" s="1595">
        <f>+G65</f>
        <v>2982148.285714285</v>
      </c>
      <c r="F66" s="1595">
        <f>+E$32</f>
        <v>138704.57142857142</v>
      </c>
      <c r="G66" s="1595">
        <f t="shared" si="4"/>
        <v>2843443.7142857136</v>
      </c>
      <c r="H66" s="25">
        <f>+E$29*G66+F66</f>
        <v>389471.473115345</v>
      </c>
      <c r="I66" s="1595">
        <f>+K65</f>
        <v>4839386.4714285657</v>
      </c>
      <c r="J66" s="1595">
        <f>+I$32</f>
        <v>225087.74285714285</v>
      </c>
      <c r="K66" s="1595">
        <f t="shared" si="5"/>
        <v>4614298.7285714224</v>
      </c>
      <c r="L66" s="25">
        <f>+I$29*K66+J66</f>
        <v>632028.59060722613</v>
      </c>
      <c r="M66" s="1600">
        <f>+O65</f>
        <v>8135256.8571428629</v>
      </c>
      <c r="N66" s="1595">
        <f>+M$32</f>
        <v>392060.57142857142</v>
      </c>
      <c r="O66" s="1595">
        <f t="shared" si="6"/>
        <v>7743196.285714291</v>
      </c>
      <c r="P66" s="25">
        <f>+M$29*O66+N66</f>
        <v>1074942.8567242657</v>
      </c>
      <c r="Q66" s="1600">
        <f>+S65</f>
        <v>15317903.776190501</v>
      </c>
      <c r="R66" s="1595">
        <f>+Q$32</f>
        <v>744189.65714285709</v>
      </c>
      <c r="S66" s="1595">
        <f t="shared" si="7"/>
        <v>14573714.119047644</v>
      </c>
      <c r="T66" s="25">
        <f>+Q$29*S66+R66</f>
        <v>2029463.9593354075</v>
      </c>
      <c r="U66" s="1600">
        <f>+W65</f>
        <v>10922229.438095242</v>
      </c>
      <c r="V66" s="1595">
        <f>+U$32</f>
        <v>530634.62857142859</v>
      </c>
      <c r="W66" s="1595">
        <f t="shared" si="8"/>
        <v>10391594.809523813</v>
      </c>
      <c r="X66" s="25">
        <f>+U$29*W66+V66</f>
        <v>1447082.5332289157</v>
      </c>
      <c r="Y66" s="1600">
        <f>+AA65</f>
        <v>4281192.1000000006</v>
      </c>
      <c r="Z66" s="1595">
        <f>+Y$32</f>
        <v>193136.48571428572</v>
      </c>
      <c r="AA66" s="1595">
        <f t="shared" si="9"/>
        <v>4088055.6142857149</v>
      </c>
      <c r="AB66" s="25">
        <f>+Y$29*AA66+Z66</f>
        <v>553667.2868577051</v>
      </c>
      <c r="AC66" s="1600">
        <f>+AE65</f>
        <v>3249239.8151666676</v>
      </c>
      <c r="AD66" s="1595">
        <f>+AC$32</f>
        <v>115582.8</v>
      </c>
      <c r="AE66" s="1595">
        <f t="shared" si="10"/>
        <v>3133657.0151666678</v>
      </c>
      <c r="AF66" s="25">
        <f>+AC$29*AE66+AD66</f>
        <v>391943.98017541593</v>
      </c>
      <c r="AG66" s="1600">
        <f>+AI65</f>
        <v>9946076.3166666608</v>
      </c>
      <c r="AH66" s="1595">
        <f>+AG$32</f>
        <v>376463.14285714284</v>
      </c>
      <c r="AI66" s="1595">
        <f t="shared" si="11"/>
        <v>9569613.1738095172</v>
      </c>
      <c r="AJ66" s="25">
        <f>+AG$29*AI66+AH66</f>
        <v>1220419.4462228911</v>
      </c>
      <c r="AK66" s="1600">
        <f>+AM65</f>
        <v>12103050.957142862</v>
      </c>
      <c r="AL66" s="1595">
        <f>+AK$32</f>
        <v>424056.51428571431</v>
      </c>
      <c r="AM66" s="1595">
        <f t="shared" si="12"/>
        <v>11678994.442857148</v>
      </c>
      <c r="AN66" s="25">
        <f>+AK$29*AM66+AL66</f>
        <v>1454041.8227826816</v>
      </c>
      <c r="AO66" s="1600">
        <f>+AQ65</f>
        <v>10771428.571428575</v>
      </c>
      <c r="AP66" s="1595">
        <f>+AO$32</f>
        <v>371428.57142857142</v>
      </c>
      <c r="AQ66" s="1595">
        <f t="shared" si="13"/>
        <v>10400000.000000004</v>
      </c>
      <c r="AR66" s="25">
        <f>+AO$29*AQ66+AP66</f>
        <v>1288617.7404772653</v>
      </c>
      <c r="AS66" s="1600">
        <f>+AU65</f>
        <v>42500</v>
      </c>
      <c r="AT66" s="1595">
        <f>+AS$32</f>
        <v>2000</v>
      </c>
      <c r="AU66" s="1595">
        <f t="shared" si="14"/>
        <v>40500</v>
      </c>
      <c r="AV66" s="25">
        <f>+AS$29*AU66+AT66</f>
        <v>5571.7462833146246</v>
      </c>
      <c r="AW66" s="1602">
        <f t="shared" si="16"/>
        <v>10487251.435810436</v>
      </c>
      <c r="AX66" s="1572"/>
      <c r="AY66" s="1597">
        <f>+AW66</f>
        <v>10487251.435810436</v>
      </c>
    </row>
    <row r="67" spans="1:51" ht="13">
      <c r="A67" s="1539">
        <f t="shared" si="1"/>
        <v>52</v>
      </c>
      <c r="C67" s="1560" t="str">
        <f t="shared" si="3"/>
        <v>W Increased ROE</v>
      </c>
      <c r="D67" s="1594">
        <f t="shared" si="2"/>
        <v>2023</v>
      </c>
      <c r="E67" s="1595">
        <f>+E66</f>
        <v>2982148.285714285</v>
      </c>
      <c r="F67" s="1595">
        <f>+F66</f>
        <v>138704.57142857142</v>
      </c>
      <c r="G67" s="1595">
        <f t="shared" si="4"/>
        <v>2843443.7142857136</v>
      </c>
      <c r="H67" s="25">
        <f t="shared" ref="H67:H75" si="17">+E$29*G67+F67</f>
        <v>389471.473115345</v>
      </c>
      <c r="I67" s="1595">
        <f>+I66</f>
        <v>4839386.4714285657</v>
      </c>
      <c r="J67" s="1595">
        <f>+J66</f>
        <v>225087.74285714285</v>
      </c>
      <c r="K67" s="1595">
        <f t="shared" si="5"/>
        <v>4614298.7285714224</v>
      </c>
      <c r="L67" s="25">
        <f>+I$30*K67+J67</f>
        <v>632028.59060722613</v>
      </c>
      <c r="M67" s="1600">
        <f>+M66</f>
        <v>8135256.8571428629</v>
      </c>
      <c r="N67" s="1595">
        <f>+N66</f>
        <v>392060.57142857142</v>
      </c>
      <c r="O67" s="1595">
        <f t="shared" si="6"/>
        <v>7743196.285714291</v>
      </c>
      <c r="P67" s="25">
        <f>+M$30*O67+N67</f>
        <v>1074942.8567242657</v>
      </c>
      <c r="Q67" s="1600">
        <f>+Q66</f>
        <v>15317903.776190501</v>
      </c>
      <c r="R67" s="1595">
        <f>+R66</f>
        <v>744189.65714285709</v>
      </c>
      <c r="S67" s="1595">
        <f t="shared" si="7"/>
        <v>14573714.119047644</v>
      </c>
      <c r="T67" s="25">
        <f>+Q$30*S67+R67</f>
        <v>2151098.650144998</v>
      </c>
      <c r="U67" s="1600">
        <f>+U66</f>
        <v>10922229.438095242</v>
      </c>
      <c r="V67" s="1595">
        <f>+V66</f>
        <v>530634.62857142859</v>
      </c>
      <c r="W67" s="1595">
        <f t="shared" si="8"/>
        <v>10391594.809523813</v>
      </c>
      <c r="X67" s="25">
        <f>+U$30*W67+V67</f>
        <v>1533812.5466867047</v>
      </c>
      <c r="Y67" s="1600">
        <f>+Y66</f>
        <v>4281192.1000000006</v>
      </c>
      <c r="Z67" s="1595">
        <f>+Z66</f>
        <v>193136.48571428572</v>
      </c>
      <c r="AA67" s="1595">
        <f t="shared" si="9"/>
        <v>4088055.6142857149</v>
      </c>
      <c r="AB67" s="25">
        <f>+Y$30*AA67+Z67</f>
        <v>587786.89264893963</v>
      </c>
      <c r="AC67" s="1600">
        <f>+AC66</f>
        <v>3249239.8151666676</v>
      </c>
      <c r="AD67" s="1595">
        <f>+AD66</f>
        <v>115582.8</v>
      </c>
      <c r="AE67" s="1595">
        <f t="shared" si="10"/>
        <v>3133657.0151666678</v>
      </c>
      <c r="AF67" s="25">
        <f>+AC$30*AE67+AD67</f>
        <v>391943.98017541593</v>
      </c>
      <c r="AG67" s="1600">
        <f>+AG66</f>
        <v>9946076.3166666608</v>
      </c>
      <c r="AH67" s="1595">
        <f>+AH66</f>
        <v>376463.14285714284</v>
      </c>
      <c r="AI67" s="1595">
        <f t="shared" si="11"/>
        <v>9569613.1738095172</v>
      </c>
      <c r="AJ67" s="25">
        <f>+AG$30*AI67+AH67</f>
        <v>1220419.4462228911</v>
      </c>
      <c r="AK67" s="1600">
        <f>+AK66</f>
        <v>12103050.957142862</v>
      </c>
      <c r="AL67" s="1595">
        <f>+AL66</f>
        <v>424056.51428571431</v>
      </c>
      <c r="AM67" s="1595">
        <f t="shared" si="12"/>
        <v>11678994.442857148</v>
      </c>
      <c r="AN67" s="25">
        <f>+AK$30*AM67+AL67</f>
        <v>1454041.8227826816</v>
      </c>
      <c r="AO67" s="1600">
        <f>+AO66</f>
        <v>10771428.571428575</v>
      </c>
      <c r="AP67" s="1595">
        <f>+AP66</f>
        <v>371428.57142857142</v>
      </c>
      <c r="AQ67" s="1595">
        <f t="shared" si="13"/>
        <v>10400000.000000004</v>
      </c>
      <c r="AR67" s="25">
        <f>+AO$30*AQ67+AP67</f>
        <v>1288617.7404772653</v>
      </c>
      <c r="AS67" s="1600">
        <f>+AS66</f>
        <v>42500</v>
      </c>
      <c r="AT67" s="1595">
        <f>+AT66</f>
        <v>2000</v>
      </c>
      <c r="AU67" s="1595">
        <f t="shared" si="14"/>
        <v>40500</v>
      </c>
      <c r="AV67" s="25">
        <f>+AS$30*AU67+AT67</f>
        <v>5571.7462833146246</v>
      </c>
      <c r="AW67" s="1602">
        <f t="shared" si="16"/>
        <v>10729735.74586905</v>
      </c>
      <c r="AX67" s="1598">
        <f>+AW67</f>
        <v>10729735.74586905</v>
      </c>
      <c r="AY67" s="1569"/>
    </row>
    <row r="68" spans="1:51" ht="13">
      <c r="A68" s="1539">
        <f t="shared" si="1"/>
        <v>53</v>
      </c>
      <c r="C68" s="1560" t="str">
        <f t="shared" si="3"/>
        <v>Base FCR</v>
      </c>
      <c r="D68" s="1594">
        <f t="shared" si="2"/>
        <v>2024</v>
      </c>
      <c r="E68" s="1595">
        <f>+G67</f>
        <v>2843443.7142857136</v>
      </c>
      <c r="F68" s="1595">
        <f>+E$32</f>
        <v>138704.57142857142</v>
      </c>
      <c r="G68" s="1595">
        <f t="shared" si="4"/>
        <v>2704739.1428571423</v>
      </c>
      <c r="H68" s="25">
        <f t="shared" si="17"/>
        <v>377238.94132574624</v>
      </c>
      <c r="I68" s="1595">
        <f>+K67</f>
        <v>4614298.7285714224</v>
      </c>
      <c r="J68" s="1595">
        <f>+I$32</f>
        <v>225087.74285714285</v>
      </c>
      <c r="K68" s="1595">
        <f t="shared" si="5"/>
        <v>4389210.9857142791</v>
      </c>
      <c r="L68" s="25">
        <f>+I$29*K68+J68</f>
        <v>612177.81754624646</v>
      </c>
      <c r="M68" s="1600">
        <f>+O67</f>
        <v>7743196.285714291</v>
      </c>
      <c r="N68" s="1595">
        <f>+M$32</f>
        <v>392060.57142857142</v>
      </c>
      <c r="O68" s="1595">
        <f t="shared" si="6"/>
        <v>7351135.7142857192</v>
      </c>
      <c r="P68" s="25">
        <f>+M$29*O68+N68</f>
        <v>1040366.5384814458</v>
      </c>
      <c r="Q68" s="1600">
        <f>+S67</f>
        <v>14573714.119047644</v>
      </c>
      <c r="R68" s="1595">
        <f>+Q$32</f>
        <v>744189.65714285709</v>
      </c>
      <c r="S68" s="1595">
        <f t="shared" si="7"/>
        <v>13829524.461904787</v>
      </c>
      <c r="T68" s="25">
        <f>+Q$29*S68+R68</f>
        <v>1963832.9311383411</v>
      </c>
      <c r="U68" s="1600">
        <f>+W67</f>
        <v>10391594.809523813</v>
      </c>
      <c r="V68" s="1595">
        <f>+U$32</f>
        <v>530634.62857142859</v>
      </c>
      <c r="W68" s="1595">
        <f t="shared" si="8"/>
        <v>9860960.1809523851</v>
      </c>
      <c r="X68" s="25">
        <f>+U$29*W68+V68</f>
        <v>1400285.1934166183</v>
      </c>
      <c r="Y68" s="1600">
        <f>+AA67</f>
        <v>4088055.6142857149</v>
      </c>
      <c r="Z68" s="1595">
        <f>+Y$32</f>
        <v>193136.48571428572</v>
      </c>
      <c r="AA68" s="1595">
        <f t="shared" si="9"/>
        <v>3894919.1285714293</v>
      </c>
      <c r="AB68" s="25">
        <f>+Y$29*AA68+Z68</f>
        <v>536634.33562258293</v>
      </c>
      <c r="AC68" s="1600">
        <f>+AE67</f>
        <v>3133657.0151666678</v>
      </c>
      <c r="AD68" s="1595">
        <f>+AC$32</f>
        <v>115582.8</v>
      </c>
      <c r="AE68" s="1595">
        <f t="shared" si="10"/>
        <v>3018074.2151666679</v>
      </c>
      <c r="AF68" s="25">
        <f>+AC$29*AE68+AD68</f>
        <v>381750.58668615425</v>
      </c>
      <c r="AG68" s="1600">
        <f>+AI67</f>
        <v>9569613.1738095172</v>
      </c>
      <c r="AH68" s="1595">
        <f>+AG$32</f>
        <v>376463.14285714284</v>
      </c>
      <c r="AI68" s="1595">
        <f t="shared" si="11"/>
        <v>9193150.0309523735</v>
      </c>
      <c r="AJ68" s="25">
        <f>+AG$29*AI68+AH68</f>
        <v>1187218.6849561026</v>
      </c>
      <c r="AK68" s="1600">
        <f>+AM67</f>
        <v>11678994.442857148</v>
      </c>
      <c r="AL68" s="1595">
        <f>+AK$32</f>
        <v>424056.51428571431</v>
      </c>
      <c r="AM68" s="1595">
        <f t="shared" si="12"/>
        <v>11254937.928571435</v>
      </c>
      <c r="AN68" s="25">
        <f>+AK$29*AM68+AL68</f>
        <v>1416643.7418242777</v>
      </c>
      <c r="AO68" s="1600">
        <f>+AQ67</f>
        <v>10400000.000000004</v>
      </c>
      <c r="AP68" s="1595">
        <f>+AO$32</f>
        <v>371428.57142857142</v>
      </c>
      <c r="AQ68" s="1595">
        <f t="shared" si="13"/>
        <v>10028571.428571433</v>
      </c>
      <c r="AR68" s="25">
        <f>+AO$29*AQ68+AP68</f>
        <v>1255860.9844398121</v>
      </c>
      <c r="AS68" s="1600">
        <f>+AU67</f>
        <v>40500</v>
      </c>
      <c r="AT68" s="1595">
        <f>+AS$32</f>
        <v>2000</v>
      </c>
      <c r="AU68" s="1595">
        <f t="shared" si="14"/>
        <v>38500</v>
      </c>
      <c r="AV68" s="25">
        <f>+AS$29*AU68+AT68</f>
        <v>5395.3637508052598</v>
      </c>
      <c r="AW68" s="1602">
        <f t="shared" si="16"/>
        <v>10177405.119188132</v>
      </c>
      <c r="AX68" s="1572"/>
      <c r="AY68" s="1597">
        <f>+AW68</f>
        <v>10177405.119188132</v>
      </c>
    </row>
    <row r="69" spans="1:51" ht="13">
      <c r="A69" s="1539">
        <f t="shared" si="1"/>
        <v>54</v>
      </c>
      <c r="C69" s="1560" t="str">
        <f t="shared" si="3"/>
        <v>W Increased ROE</v>
      </c>
      <c r="D69" s="1594">
        <f t="shared" si="2"/>
        <v>2024</v>
      </c>
      <c r="E69" s="1595">
        <f>+E68</f>
        <v>2843443.7142857136</v>
      </c>
      <c r="F69" s="1595">
        <f>+F68</f>
        <v>138704.57142857142</v>
      </c>
      <c r="G69" s="1595">
        <f t="shared" si="4"/>
        <v>2704739.1428571423</v>
      </c>
      <c r="H69" s="25">
        <f t="shared" si="17"/>
        <v>377238.94132574624</v>
      </c>
      <c r="I69" s="1595">
        <f>+I68</f>
        <v>4614298.7285714224</v>
      </c>
      <c r="J69" s="1595">
        <f>+J68</f>
        <v>225087.74285714285</v>
      </c>
      <c r="K69" s="1595">
        <f t="shared" si="5"/>
        <v>4389210.9857142791</v>
      </c>
      <c r="L69" s="25">
        <f>+I$30*K69+J69</f>
        <v>612177.81754624646</v>
      </c>
      <c r="M69" s="1600">
        <f>+M68</f>
        <v>7743196.285714291</v>
      </c>
      <c r="N69" s="1595">
        <f>+N68</f>
        <v>392060.57142857142</v>
      </c>
      <c r="O69" s="1595">
        <f t="shared" si="6"/>
        <v>7351135.7142857192</v>
      </c>
      <c r="P69" s="25">
        <f>+M$30*O69+N69</f>
        <v>1040366.5384814458</v>
      </c>
      <c r="Q69" s="1600">
        <f>+Q68</f>
        <v>14573714.119047644</v>
      </c>
      <c r="R69" s="1595">
        <f>+R68</f>
        <v>744189.65714285709</v>
      </c>
      <c r="S69" s="1595">
        <f t="shared" si="7"/>
        <v>13829524.461904787</v>
      </c>
      <c r="T69" s="25">
        <f>+Q$30*S69+R69</f>
        <v>2079256.4888002079</v>
      </c>
      <c r="U69" s="1600">
        <f>+U68</f>
        <v>10391594.809523813</v>
      </c>
      <c r="V69" s="1595">
        <f>+V68</f>
        <v>530634.62857142859</v>
      </c>
      <c r="W69" s="1595">
        <f t="shared" si="8"/>
        <v>9860960.1809523851</v>
      </c>
      <c r="X69" s="25">
        <f>+U$30*W69+V69</f>
        <v>1482586.4402297544</v>
      </c>
      <c r="Y69" s="1600">
        <f>+Y68</f>
        <v>4088055.6142857149</v>
      </c>
      <c r="Z69" s="1595">
        <f>+Z68</f>
        <v>193136.48571428572</v>
      </c>
      <c r="AA69" s="1595">
        <f t="shared" si="9"/>
        <v>3894919.1285714293</v>
      </c>
      <c r="AB69" s="25">
        <f>+Y$30*AA69+Z69</f>
        <v>569141.99153391656</v>
      </c>
      <c r="AC69" s="1600">
        <f>+AC68</f>
        <v>3133657.0151666678</v>
      </c>
      <c r="AD69" s="1595">
        <f>+AD68</f>
        <v>115582.8</v>
      </c>
      <c r="AE69" s="1595">
        <f t="shared" si="10"/>
        <v>3018074.2151666679</v>
      </c>
      <c r="AF69" s="25">
        <f>+AC$30*AE69+AD69</f>
        <v>381750.58668615425</v>
      </c>
      <c r="AG69" s="1600">
        <f>+AG68</f>
        <v>9569613.1738095172</v>
      </c>
      <c r="AH69" s="1595">
        <f>+AH68</f>
        <v>376463.14285714284</v>
      </c>
      <c r="AI69" s="1595">
        <f t="shared" si="11"/>
        <v>9193150.0309523735</v>
      </c>
      <c r="AJ69" s="25">
        <f>+AG$30*AI69+AH69</f>
        <v>1187218.6849561026</v>
      </c>
      <c r="AK69" s="1600">
        <f>+AK68</f>
        <v>11678994.442857148</v>
      </c>
      <c r="AL69" s="1595">
        <f>+AL68</f>
        <v>424056.51428571431</v>
      </c>
      <c r="AM69" s="1595">
        <f t="shared" si="12"/>
        <v>11254937.928571435</v>
      </c>
      <c r="AN69" s="25">
        <f>+AK$30*AM69+AL69</f>
        <v>1416643.7418242777</v>
      </c>
      <c r="AO69" s="1600">
        <f>+AO68</f>
        <v>10400000.000000004</v>
      </c>
      <c r="AP69" s="1595">
        <f>+AP68</f>
        <v>371428.57142857142</v>
      </c>
      <c r="AQ69" s="1595">
        <f t="shared" si="13"/>
        <v>10028571.428571433</v>
      </c>
      <c r="AR69" s="25">
        <f>+AO$30*AQ69+AP69</f>
        <v>1255860.9844398121</v>
      </c>
      <c r="AS69" s="1600">
        <f>+AS68</f>
        <v>40500</v>
      </c>
      <c r="AT69" s="1595">
        <f>+AT68</f>
        <v>2000</v>
      </c>
      <c r="AU69" s="1595">
        <f t="shared" si="14"/>
        <v>38500</v>
      </c>
      <c r="AV69" s="25">
        <f>+AS$30*AU69+AT69</f>
        <v>5395.3637508052598</v>
      </c>
      <c r="AW69" s="1602">
        <f t="shared" si="16"/>
        <v>10407637.579574471</v>
      </c>
      <c r="AX69" s="1598">
        <f>+AW69</f>
        <v>10407637.579574471</v>
      </c>
      <c r="AY69" s="1569"/>
    </row>
    <row r="70" spans="1:51" ht="13">
      <c r="A70" s="1539">
        <f t="shared" si="1"/>
        <v>55</v>
      </c>
      <c r="C70" s="1560" t="str">
        <f t="shared" si="3"/>
        <v>Base FCR</v>
      </c>
      <c r="D70" s="1594">
        <f t="shared" si="2"/>
        <v>2025</v>
      </c>
      <c r="E70" s="1595">
        <f>+G69</f>
        <v>2704739.1428571423</v>
      </c>
      <c r="F70" s="1595">
        <f>+E$32</f>
        <v>138704.57142857142</v>
      </c>
      <c r="G70" s="1595">
        <f t="shared" si="4"/>
        <v>2566034.5714285709</v>
      </c>
      <c r="H70" s="25">
        <f t="shared" si="17"/>
        <v>365006.40953614755</v>
      </c>
      <c r="I70" s="1595">
        <f>+K69</f>
        <v>4389210.9857142791</v>
      </c>
      <c r="J70" s="1595">
        <f>+I$32</f>
        <v>225087.74285714285</v>
      </c>
      <c r="K70" s="1595">
        <f t="shared" si="5"/>
        <v>4164123.2428571363</v>
      </c>
      <c r="L70" s="25">
        <f>+I$29*K70+J70</f>
        <v>592327.04448526679</v>
      </c>
      <c r="M70" s="1600">
        <f>+O69</f>
        <v>7351135.7142857192</v>
      </c>
      <c r="N70" s="1595">
        <f>+M$32</f>
        <v>392060.57142857142</v>
      </c>
      <c r="O70" s="1595">
        <f t="shared" si="6"/>
        <v>6959075.1428571474</v>
      </c>
      <c r="P70" s="25">
        <f>+M$29*O70+N70</f>
        <v>1005790.2202386258</v>
      </c>
      <c r="Q70" s="1600">
        <f>+S69</f>
        <v>13829524.461904787</v>
      </c>
      <c r="R70" s="1595">
        <f>+Q$32</f>
        <v>744189.65714285709</v>
      </c>
      <c r="S70" s="1595">
        <f t="shared" si="7"/>
        <v>13085334.804761929</v>
      </c>
      <c r="T70" s="25">
        <f>+Q$29*S70+R70</f>
        <v>1898201.9029412749</v>
      </c>
      <c r="U70" s="1600">
        <f>+W69</f>
        <v>9860960.1809523851</v>
      </c>
      <c r="V70" s="1595">
        <f>+U$32</f>
        <v>530634.62857142859</v>
      </c>
      <c r="W70" s="1595">
        <f t="shared" si="8"/>
        <v>9330325.5523809567</v>
      </c>
      <c r="X70" s="25">
        <f>+U$29*W70+V70</f>
        <v>1353487.8536043214</v>
      </c>
      <c r="Y70" s="1600">
        <f>+AA69</f>
        <v>3894919.1285714293</v>
      </c>
      <c r="Z70" s="1595">
        <f>+Y$32</f>
        <v>193136.48571428572</v>
      </c>
      <c r="AA70" s="1595">
        <f t="shared" si="9"/>
        <v>3701782.6428571437</v>
      </c>
      <c r="AB70" s="25">
        <f>+Y$29*AA70+Z70</f>
        <v>519601.38438746077</v>
      </c>
      <c r="AC70" s="1600">
        <f>+AE69</f>
        <v>3018074.2151666679</v>
      </c>
      <c r="AD70" s="1595">
        <f>+AC$32</f>
        <v>115582.8</v>
      </c>
      <c r="AE70" s="1595">
        <f t="shared" si="10"/>
        <v>2902491.4151666681</v>
      </c>
      <c r="AF70" s="25">
        <f>+AC$29*AE70+AD70</f>
        <v>371557.19319689262</v>
      </c>
      <c r="AG70" s="1600">
        <f>+AI69</f>
        <v>9193150.0309523735</v>
      </c>
      <c r="AH70" s="1595">
        <f>+AG$32</f>
        <v>376463.14285714284</v>
      </c>
      <c r="AI70" s="1595">
        <f t="shared" si="11"/>
        <v>8816686.8880952299</v>
      </c>
      <c r="AJ70" s="25">
        <f>+AG$29*AI70+AH70</f>
        <v>1154017.9236893137</v>
      </c>
      <c r="AK70" s="1600">
        <f>+AM69</f>
        <v>11254937.928571435</v>
      </c>
      <c r="AL70" s="1595">
        <f>+AK$32</f>
        <v>424056.51428571431</v>
      </c>
      <c r="AM70" s="1595">
        <f t="shared" si="12"/>
        <v>10830881.414285721</v>
      </c>
      <c r="AN70" s="25">
        <f>+AK$29*AM70+AL70</f>
        <v>1379245.660865874</v>
      </c>
      <c r="AO70" s="1600">
        <f>+AQ69</f>
        <v>10028571.428571433</v>
      </c>
      <c r="AP70" s="1595">
        <f>+AO$32</f>
        <v>371428.57142857142</v>
      </c>
      <c r="AQ70" s="1595">
        <f t="shared" si="13"/>
        <v>9657142.8571428619</v>
      </c>
      <c r="AR70" s="25">
        <f>+AO$29*AQ70+AP70</f>
        <v>1223104.2284023589</v>
      </c>
      <c r="AS70" s="1600">
        <f>+AU69</f>
        <v>38500</v>
      </c>
      <c r="AT70" s="1595">
        <f>+AS$32</f>
        <v>2000</v>
      </c>
      <c r="AU70" s="1595">
        <f t="shared" si="14"/>
        <v>36500</v>
      </c>
      <c r="AV70" s="25">
        <f>+AS$29*AU70+AT70</f>
        <v>5218.9812182958958</v>
      </c>
      <c r="AW70" s="1602">
        <f t="shared" si="16"/>
        <v>9867558.8025658317</v>
      </c>
      <c r="AX70" s="1572"/>
      <c r="AY70" s="1597">
        <f>+AW70</f>
        <v>9867558.8025658317</v>
      </c>
    </row>
    <row r="71" spans="1:51" ht="13">
      <c r="A71" s="1539">
        <f t="shared" si="1"/>
        <v>56</v>
      </c>
      <c r="C71" s="1560" t="str">
        <f t="shared" si="3"/>
        <v>W Increased ROE</v>
      </c>
      <c r="D71" s="1594">
        <f t="shared" si="2"/>
        <v>2025</v>
      </c>
      <c r="E71" s="1595">
        <f>+E70</f>
        <v>2704739.1428571423</v>
      </c>
      <c r="F71" s="1595">
        <f>+F70</f>
        <v>138704.57142857142</v>
      </c>
      <c r="G71" s="1595">
        <f t="shared" si="4"/>
        <v>2566034.5714285709</v>
      </c>
      <c r="H71" s="25">
        <f t="shared" si="17"/>
        <v>365006.40953614755</v>
      </c>
      <c r="I71" s="1595">
        <f>+I70</f>
        <v>4389210.9857142791</v>
      </c>
      <c r="J71" s="1595">
        <f>+J70</f>
        <v>225087.74285714285</v>
      </c>
      <c r="K71" s="1595">
        <f t="shared" si="5"/>
        <v>4164123.2428571363</v>
      </c>
      <c r="L71" s="25">
        <f>+I$30*K71+J71</f>
        <v>592327.04448526679</v>
      </c>
      <c r="M71" s="1600">
        <f>+M70</f>
        <v>7351135.7142857192</v>
      </c>
      <c r="N71" s="1595">
        <f>+N70</f>
        <v>392060.57142857142</v>
      </c>
      <c r="O71" s="1595">
        <f t="shared" si="6"/>
        <v>6959075.1428571474</v>
      </c>
      <c r="P71" s="25">
        <f>+M$30*O71+N71</f>
        <v>1005790.2202386258</v>
      </c>
      <c r="Q71" s="1600">
        <f>+Q70</f>
        <v>13829524.461904787</v>
      </c>
      <c r="R71" s="1595">
        <f>+R70</f>
        <v>744189.65714285709</v>
      </c>
      <c r="S71" s="1595">
        <f t="shared" si="7"/>
        <v>13085334.804761929</v>
      </c>
      <c r="T71" s="25">
        <f>+Q$30*S71+R71</f>
        <v>2007414.3274554177</v>
      </c>
      <c r="U71" s="1600">
        <f>+U70</f>
        <v>9860960.1809523851</v>
      </c>
      <c r="V71" s="1595">
        <f>+V70</f>
        <v>530634.62857142859</v>
      </c>
      <c r="W71" s="1595">
        <f t="shared" si="8"/>
        <v>9330325.5523809567</v>
      </c>
      <c r="X71" s="25">
        <f>+U$30*W71+V71</f>
        <v>1431360.3337728041</v>
      </c>
      <c r="Y71" s="1600">
        <f>+Y70</f>
        <v>3894919.1285714293</v>
      </c>
      <c r="Z71" s="1595">
        <f>+Z70</f>
        <v>193136.48571428572</v>
      </c>
      <c r="AA71" s="1595">
        <f t="shared" si="9"/>
        <v>3701782.6428571437</v>
      </c>
      <c r="AB71" s="25">
        <f>+Y$30*AA71+Z71</f>
        <v>550497.09041889361</v>
      </c>
      <c r="AC71" s="1600">
        <f>+AC70</f>
        <v>3018074.2151666679</v>
      </c>
      <c r="AD71" s="1595">
        <f>+AD70</f>
        <v>115582.8</v>
      </c>
      <c r="AE71" s="1595">
        <f t="shared" si="10"/>
        <v>2902491.4151666681</v>
      </c>
      <c r="AF71" s="25">
        <f>+AC$30*AE71+AD71</f>
        <v>371557.19319689262</v>
      </c>
      <c r="AG71" s="1600">
        <f>+AG70</f>
        <v>9193150.0309523735</v>
      </c>
      <c r="AH71" s="1595">
        <f>+AH70</f>
        <v>376463.14285714284</v>
      </c>
      <c r="AI71" s="1595">
        <f t="shared" si="11"/>
        <v>8816686.8880952299</v>
      </c>
      <c r="AJ71" s="25">
        <f>+AG$30*AI71+AH71</f>
        <v>1154017.9236893137</v>
      </c>
      <c r="AK71" s="1600">
        <f>+AK70</f>
        <v>11254937.928571435</v>
      </c>
      <c r="AL71" s="1595">
        <f>+AL70</f>
        <v>424056.51428571431</v>
      </c>
      <c r="AM71" s="1595">
        <f t="shared" si="12"/>
        <v>10830881.414285721</v>
      </c>
      <c r="AN71" s="25">
        <f>+AK$30*AM71+AL71</f>
        <v>1379245.660865874</v>
      </c>
      <c r="AO71" s="1600">
        <f>+AO70</f>
        <v>10028571.428571433</v>
      </c>
      <c r="AP71" s="1595">
        <f>+AP70</f>
        <v>371428.57142857142</v>
      </c>
      <c r="AQ71" s="1595">
        <f t="shared" si="13"/>
        <v>9657142.8571428619</v>
      </c>
      <c r="AR71" s="25">
        <f>+AO$30*AQ71+AP71</f>
        <v>1223104.2284023589</v>
      </c>
      <c r="AS71" s="1600">
        <f>+AS70</f>
        <v>38500</v>
      </c>
      <c r="AT71" s="1595">
        <f>+AT70</f>
        <v>2000</v>
      </c>
      <c r="AU71" s="1595">
        <f t="shared" si="14"/>
        <v>36500</v>
      </c>
      <c r="AV71" s="25">
        <f>+AS$30*AU71+AT71</f>
        <v>5218.9812182958958</v>
      </c>
      <c r="AW71" s="1602">
        <f t="shared" si="16"/>
        <v>10085539.413279891</v>
      </c>
      <c r="AX71" s="1598">
        <f>+AW71</f>
        <v>10085539.413279891</v>
      </c>
      <c r="AY71" s="1569"/>
    </row>
    <row r="72" spans="1:51" ht="13">
      <c r="A72" s="1539">
        <f t="shared" si="1"/>
        <v>57</v>
      </c>
      <c r="C72" s="1560" t="str">
        <f t="shared" si="3"/>
        <v>Base FCR</v>
      </c>
      <c r="D72" s="1594">
        <f t="shared" si="2"/>
        <v>2026</v>
      </c>
      <c r="E72" s="1595">
        <f>+G71</f>
        <v>2566034.5714285709</v>
      </c>
      <c r="F72" s="1595">
        <f>+E$32</f>
        <v>138704.57142857142</v>
      </c>
      <c r="G72" s="1595">
        <f t="shared" si="4"/>
        <v>2427329.9999999995</v>
      </c>
      <c r="H72" s="25">
        <f t="shared" si="17"/>
        <v>352773.87774654885</v>
      </c>
      <c r="I72" s="1595">
        <f>+K71</f>
        <v>4164123.2428571363</v>
      </c>
      <c r="J72" s="1595">
        <f>+I$32</f>
        <v>225087.74285714285</v>
      </c>
      <c r="K72" s="1595">
        <f t="shared" si="5"/>
        <v>3939035.4999999935</v>
      </c>
      <c r="L72" s="25">
        <f>+I$29*K72+J72</f>
        <v>572476.271424287</v>
      </c>
      <c r="M72" s="1600">
        <f>+O71</f>
        <v>6959075.1428571474</v>
      </c>
      <c r="N72" s="1595">
        <f>+M$32</f>
        <v>392060.57142857142</v>
      </c>
      <c r="O72" s="1595">
        <f t="shared" si="6"/>
        <v>6567014.5714285756</v>
      </c>
      <c r="P72" s="25">
        <f>+M$29*O72+N72</f>
        <v>971213.90199580579</v>
      </c>
      <c r="Q72" s="1600">
        <f>+S71</f>
        <v>13085334.804761929</v>
      </c>
      <c r="R72" s="1595">
        <f>+Q$32</f>
        <v>744189.65714285709</v>
      </c>
      <c r="S72" s="1595">
        <f t="shared" si="7"/>
        <v>12341145.147619072</v>
      </c>
      <c r="T72" s="25">
        <f>+Q$29*S72+R72</f>
        <v>1832570.8747442085</v>
      </c>
      <c r="U72" s="1600">
        <f>+W71</f>
        <v>9330325.5523809567</v>
      </c>
      <c r="V72" s="1595">
        <f>+U$32</f>
        <v>530634.62857142859</v>
      </c>
      <c r="W72" s="1595">
        <f t="shared" si="8"/>
        <v>8799690.9238095284</v>
      </c>
      <c r="X72" s="25">
        <f>+U$29*W72+V72</f>
        <v>1306690.513792024</v>
      </c>
      <c r="Y72" s="1600">
        <f>+AA71</f>
        <v>3701782.6428571437</v>
      </c>
      <c r="Z72" s="1595">
        <f>+Y$32</f>
        <v>193136.48571428572</v>
      </c>
      <c r="AA72" s="1595">
        <f t="shared" si="9"/>
        <v>3508646.157142858</v>
      </c>
      <c r="AB72" s="25">
        <f>+Y$29*AA72+Z72</f>
        <v>502568.43315233861</v>
      </c>
      <c r="AC72" s="1600">
        <f>+AE71</f>
        <v>2902491.4151666681</v>
      </c>
      <c r="AD72" s="1595">
        <f>+AC$32</f>
        <v>115582.8</v>
      </c>
      <c r="AE72" s="1595">
        <f t="shared" si="10"/>
        <v>2786908.6151666683</v>
      </c>
      <c r="AF72" s="25">
        <f>+AC$29*AE72+AD72</f>
        <v>361363.799707631</v>
      </c>
      <c r="AG72" s="1600">
        <f>+AI71</f>
        <v>8816686.8880952299</v>
      </c>
      <c r="AH72" s="1595">
        <f>+AG$32</f>
        <v>376463.14285714284</v>
      </c>
      <c r="AI72" s="1595">
        <f t="shared" si="11"/>
        <v>8440223.7452380862</v>
      </c>
      <c r="AJ72" s="25">
        <f>+AG$29*AI72+AH72</f>
        <v>1120817.1624225248</v>
      </c>
      <c r="AK72" s="1600">
        <f>+AM71</f>
        <v>10830881.414285721</v>
      </c>
      <c r="AL72" s="1595">
        <f>+AK$32</f>
        <v>424056.51428571431</v>
      </c>
      <c r="AM72" s="1595">
        <f t="shared" si="12"/>
        <v>10406824.900000008</v>
      </c>
      <c r="AN72" s="25">
        <f>+AK$29*AM72+AL72</f>
        <v>1341847.5799074701</v>
      </c>
      <c r="AO72" s="1600">
        <f>+AQ71</f>
        <v>9657142.8571428619</v>
      </c>
      <c r="AP72" s="1595">
        <f>+AO$32</f>
        <v>371428.57142857142</v>
      </c>
      <c r="AQ72" s="1595">
        <f t="shared" si="13"/>
        <v>9285714.285714291</v>
      </c>
      <c r="AR72" s="25">
        <f>+AO$29*AQ72+AP72</f>
        <v>1190347.4723649055</v>
      </c>
      <c r="AS72" s="1600">
        <f>+AU71</f>
        <v>36500</v>
      </c>
      <c r="AT72" s="1595">
        <f>+AS$32</f>
        <v>2000</v>
      </c>
      <c r="AU72" s="1595">
        <f t="shared" si="14"/>
        <v>34500</v>
      </c>
      <c r="AV72" s="25">
        <f>+AS$29*AU72+AT72</f>
        <v>5042.5986857865319</v>
      </c>
      <c r="AW72" s="1602">
        <f t="shared" si="16"/>
        <v>9557712.4859435298</v>
      </c>
      <c r="AX72" s="1572"/>
      <c r="AY72" s="1597">
        <f>+AW72</f>
        <v>9557712.4859435298</v>
      </c>
    </row>
    <row r="73" spans="1:51" ht="13">
      <c r="A73" s="1539">
        <f t="shared" si="1"/>
        <v>58</v>
      </c>
      <c r="C73" s="1560" t="str">
        <f t="shared" si="3"/>
        <v>W Increased ROE</v>
      </c>
      <c r="D73" s="1594">
        <f t="shared" si="2"/>
        <v>2026</v>
      </c>
      <c r="E73" s="1595">
        <f>+E72</f>
        <v>2566034.5714285709</v>
      </c>
      <c r="F73" s="1595">
        <f>+F72</f>
        <v>138704.57142857142</v>
      </c>
      <c r="G73" s="1595">
        <f t="shared" si="4"/>
        <v>2427329.9999999995</v>
      </c>
      <c r="H73" s="25">
        <f t="shared" si="17"/>
        <v>352773.87774654885</v>
      </c>
      <c r="I73" s="1595">
        <f>+I72</f>
        <v>4164123.2428571363</v>
      </c>
      <c r="J73" s="1595">
        <f>+J72</f>
        <v>225087.74285714285</v>
      </c>
      <c r="K73" s="1595">
        <f t="shared" si="5"/>
        <v>3939035.4999999935</v>
      </c>
      <c r="L73" s="25">
        <f>+I$30*K73+J73</f>
        <v>572476.271424287</v>
      </c>
      <c r="M73" s="1600">
        <f>+M72</f>
        <v>6959075.1428571474</v>
      </c>
      <c r="N73" s="1595">
        <f>+N72</f>
        <v>392060.57142857142</v>
      </c>
      <c r="O73" s="1595">
        <f t="shared" si="6"/>
        <v>6567014.5714285756</v>
      </c>
      <c r="P73" s="25">
        <f>+M$30*O73+N73</f>
        <v>971213.90199580579</v>
      </c>
      <c r="Q73" s="1600">
        <f>+Q72</f>
        <v>13085334.804761929</v>
      </c>
      <c r="R73" s="1595">
        <f>+R72</f>
        <v>744189.65714285709</v>
      </c>
      <c r="S73" s="1595">
        <f t="shared" si="7"/>
        <v>12341145.147619072</v>
      </c>
      <c r="T73" s="25">
        <f>+Q$30*S73+R73</f>
        <v>1935572.1661106278</v>
      </c>
      <c r="U73" s="1600">
        <f>+U72</f>
        <v>9330325.5523809567</v>
      </c>
      <c r="V73" s="1595">
        <f>+V72</f>
        <v>530634.62857142859</v>
      </c>
      <c r="W73" s="1595">
        <f t="shared" si="8"/>
        <v>8799690.9238095284</v>
      </c>
      <c r="X73" s="25">
        <f>+U$30*W73+V73</f>
        <v>1380134.227315854</v>
      </c>
      <c r="Y73" s="1600">
        <f>+Y72</f>
        <v>3701782.6428571437</v>
      </c>
      <c r="Z73" s="1595">
        <f>+Z72</f>
        <v>193136.48571428572</v>
      </c>
      <c r="AA73" s="1595">
        <f t="shared" si="9"/>
        <v>3508646.157142858</v>
      </c>
      <c r="AB73" s="25">
        <f>+Y$30*AA73+Z73</f>
        <v>531852.18930387055</v>
      </c>
      <c r="AC73" s="1600">
        <f>+AC72</f>
        <v>2902491.4151666681</v>
      </c>
      <c r="AD73" s="1595">
        <f>+AD72</f>
        <v>115582.8</v>
      </c>
      <c r="AE73" s="1595">
        <f t="shared" si="10"/>
        <v>2786908.6151666683</v>
      </c>
      <c r="AF73" s="25">
        <f>+AC$30*AE73+AD73</f>
        <v>361363.799707631</v>
      </c>
      <c r="AG73" s="1600">
        <f>+AG72</f>
        <v>8816686.8880952299</v>
      </c>
      <c r="AH73" s="1595">
        <f>+AH72</f>
        <v>376463.14285714284</v>
      </c>
      <c r="AI73" s="1595">
        <f t="shared" si="11"/>
        <v>8440223.7452380862</v>
      </c>
      <c r="AJ73" s="25">
        <f>+AG$30*AI73+AH73</f>
        <v>1120817.1624225248</v>
      </c>
      <c r="AK73" s="1600">
        <f>+AK72</f>
        <v>10830881.414285721</v>
      </c>
      <c r="AL73" s="1595">
        <f>+AL72</f>
        <v>424056.51428571431</v>
      </c>
      <c r="AM73" s="1595">
        <f t="shared" si="12"/>
        <v>10406824.900000008</v>
      </c>
      <c r="AN73" s="25">
        <f>+AK$30*AM73+AL73</f>
        <v>1341847.5799074701</v>
      </c>
      <c r="AO73" s="1600">
        <f>+AO72</f>
        <v>9657142.8571428619</v>
      </c>
      <c r="AP73" s="1595">
        <f>+AP72</f>
        <v>371428.57142857142</v>
      </c>
      <c r="AQ73" s="1595">
        <f t="shared" si="13"/>
        <v>9285714.285714291</v>
      </c>
      <c r="AR73" s="25">
        <f>+AO$30*AQ73+AP73</f>
        <v>1190347.4723649055</v>
      </c>
      <c r="AS73" s="1600">
        <f>+AS72</f>
        <v>36500</v>
      </c>
      <c r="AT73" s="1595">
        <f>+AT72</f>
        <v>2000</v>
      </c>
      <c r="AU73" s="1595">
        <f t="shared" si="14"/>
        <v>34500</v>
      </c>
      <c r="AV73" s="25">
        <f>+AS$30*AU73+AT73</f>
        <v>5042.5986857865319</v>
      </c>
      <c r="AW73" s="1602">
        <f t="shared" si="16"/>
        <v>9763441.2469853107</v>
      </c>
      <c r="AX73" s="1598">
        <f>+AW73</f>
        <v>9763441.2469853107</v>
      </c>
      <c r="AY73" s="1569"/>
    </row>
    <row r="74" spans="1:51" ht="13">
      <c r="A74" s="1539">
        <f t="shared" si="1"/>
        <v>59</v>
      </c>
      <c r="C74" s="1560" t="str">
        <f t="shared" si="3"/>
        <v>Base FCR</v>
      </c>
      <c r="D74" s="1594">
        <f t="shared" si="2"/>
        <v>2027</v>
      </c>
      <c r="E74" s="1595">
        <f>+G73</f>
        <v>2427329.9999999995</v>
      </c>
      <c r="F74" s="1595">
        <f>+E$32</f>
        <v>138704.57142857142</v>
      </c>
      <c r="G74" s="1595">
        <f t="shared" si="4"/>
        <v>2288625.4285714282</v>
      </c>
      <c r="H74" s="25">
        <f t="shared" si="17"/>
        <v>340541.3459569501</v>
      </c>
      <c r="I74" s="1595">
        <f>+K73</f>
        <v>3939035.4999999935</v>
      </c>
      <c r="J74" s="1595">
        <f>+I$32</f>
        <v>225087.74285714285</v>
      </c>
      <c r="K74" s="1595">
        <f t="shared" si="5"/>
        <v>3713947.7571428507</v>
      </c>
      <c r="L74" s="25">
        <f>+I$29*K74+J74</f>
        <v>552625.49836330733</v>
      </c>
      <c r="M74" s="1600">
        <f>+O73</f>
        <v>6567014.5714285756</v>
      </c>
      <c r="N74" s="1595">
        <f>+M$32</f>
        <v>392060.57142857142</v>
      </c>
      <c r="O74" s="1595">
        <f t="shared" si="6"/>
        <v>6174954.0000000037</v>
      </c>
      <c r="P74" s="25">
        <f>+M$29*O74+N74</f>
        <v>936637.58375298581</v>
      </c>
      <c r="Q74" s="1600">
        <f>+S73</f>
        <v>12341145.147619072</v>
      </c>
      <c r="R74" s="1595">
        <f>+Q$32</f>
        <v>744189.65714285709</v>
      </c>
      <c r="S74" s="1595">
        <f t="shared" si="7"/>
        <v>11596955.490476215</v>
      </c>
      <c r="T74" s="25">
        <f>+Q$29*S74+R74</f>
        <v>1766939.8465471421</v>
      </c>
      <c r="U74" s="1600">
        <f>+W73</f>
        <v>8799690.9238095284</v>
      </c>
      <c r="V74" s="1595">
        <f>+U$32</f>
        <v>530634.62857142859</v>
      </c>
      <c r="W74" s="1595">
        <f t="shared" si="8"/>
        <v>8269056.2952381</v>
      </c>
      <c r="X74" s="25">
        <f>+U$29*W74+V74</f>
        <v>1259893.1739797269</v>
      </c>
      <c r="Y74" s="1600">
        <f>+AA73</f>
        <v>3508646.157142858</v>
      </c>
      <c r="Z74" s="1595">
        <f>+Y$32</f>
        <v>193136.48571428572</v>
      </c>
      <c r="AA74" s="1595">
        <f t="shared" si="9"/>
        <v>3315509.6714285724</v>
      </c>
      <c r="AB74" s="25">
        <f>+Y$29*AA74+Z74</f>
        <v>485535.48191721644</v>
      </c>
      <c r="AC74" s="1600">
        <f>+AE73</f>
        <v>2786908.6151666683</v>
      </c>
      <c r="AD74" s="1595">
        <f>+AC$32</f>
        <v>115582.8</v>
      </c>
      <c r="AE74" s="1595">
        <f t="shared" si="10"/>
        <v>2671325.8151666685</v>
      </c>
      <c r="AF74" s="25">
        <f>+AC$29*AE74+AD74</f>
        <v>351170.40621836932</v>
      </c>
      <c r="AG74" s="1600">
        <f>+AI73</f>
        <v>8440223.7452380862</v>
      </c>
      <c r="AH74" s="1595">
        <f>+AG$32</f>
        <v>376463.14285714284</v>
      </c>
      <c r="AI74" s="1595">
        <f t="shared" si="11"/>
        <v>8063760.6023809435</v>
      </c>
      <c r="AJ74" s="25">
        <f>+AG$29*AI74+AH74</f>
        <v>1087616.4011557363</v>
      </c>
      <c r="AK74" s="1600">
        <f>+AM73</f>
        <v>10406824.900000008</v>
      </c>
      <c r="AL74" s="1595">
        <f>+AK$32</f>
        <v>424056.51428571431</v>
      </c>
      <c r="AM74" s="1595">
        <f t="shared" si="12"/>
        <v>9982768.3857142944</v>
      </c>
      <c r="AN74" s="25">
        <f>+AK$29*AM74+AL74</f>
        <v>1304449.4989490665</v>
      </c>
      <c r="AO74" s="1600">
        <f>+AQ73</f>
        <v>9285714.285714291</v>
      </c>
      <c r="AP74" s="1595">
        <f>+AO$32</f>
        <v>371428.57142857142</v>
      </c>
      <c r="AQ74" s="1595">
        <f t="shared" si="13"/>
        <v>8914285.7142857201</v>
      </c>
      <c r="AR74" s="25">
        <f>+AO$29*AQ74+AP74</f>
        <v>1157590.7163274523</v>
      </c>
      <c r="AS74" s="1600">
        <f>+AU73</f>
        <v>34500</v>
      </c>
      <c r="AT74" s="1595">
        <f>+AS$32</f>
        <v>2000</v>
      </c>
      <c r="AU74" s="1595">
        <f t="shared" si="14"/>
        <v>32500</v>
      </c>
      <c r="AV74" s="25">
        <f>+AS$29*AU74+AT74</f>
        <v>4866.2161532771679</v>
      </c>
      <c r="AW74" s="1602">
        <f t="shared" si="16"/>
        <v>9247866.1693212315</v>
      </c>
      <c r="AX74" s="1572"/>
      <c r="AY74" s="1597">
        <f>+AW74</f>
        <v>9247866.1693212315</v>
      </c>
    </row>
    <row r="75" spans="1:51" ht="13">
      <c r="A75" s="1539">
        <f t="shared" si="1"/>
        <v>60</v>
      </c>
      <c r="C75" s="1560" t="str">
        <f t="shared" si="3"/>
        <v>W Increased ROE</v>
      </c>
      <c r="D75" s="1594">
        <f t="shared" si="2"/>
        <v>2027</v>
      </c>
      <c r="E75" s="1595"/>
      <c r="F75" s="1595">
        <f>+F74</f>
        <v>138704.57142857142</v>
      </c>
      <c r="G75" s="1595">
        <f t="shared" si="4"/>
        <v>-138704.57142857142</v>
      </c>
      <c r="H75" s="25">
        <f t="shared" si="17"/>
        <v>126472.03963897271</v>
      </c>
      <c r="I75" s="1595">
        <f>+I74</f>
        <v>3939035.4999999935</v>
      </c>
      <c r="J75" s="1595">
        <f>+J74</f>
        <v>225087.74285714285</v>
      </c>
      <c r="K75" s="1595">
        <f t="shared" si="5"/>
        <v>3713947.7571428507</v>
      </c>
      <c r="L75" s="25">
        <f>+I$30*K75+J75</f>
        <v>552625.49836330733</v>
      </c>
      <c r="M75" s="1600">
        <f>+M74</f>
        <v>6567014.5714285756</v>
      </c>
      <c r="N75" s="1595">
        <f>+N74</f>
        <v>392060.57142857142</v>
      </c>
      <c r="O75" s="1595">
        <f t="shared" si="6"/>
        <v>6174954.0000000037</v>
      </c>
      <c r="P75" s="25">
        <f>+M$30*O75+N75</f>
        <v>936637.58375298581</v>
      </c>
      <c r="Q75" s="1600">
        <f>+Q74</f>
        <v>12341145.147619072</v>
      </c>
      <c r="R75" s="1595">
        <f>+R74</f>
        <v>744189.65714285709</v>
      </c>
      <c r="S75" s="1595">
        <f t="shared" si="7"/>
        <v>11596955.490476215</v>
      </c>
      <c r="T75" s="25">
        <f>+Q$30*S75+R75</f>
        <v>1863730.0047658377</v>
      </c>
      <c r="U75" s="1600">
        <f>+U74</f>
        <v>8799690.9238095284</v>
      </c>
      <c r="V75" s="1595">
        <f>+V74</f>
        <v>530634.62857142859</v>
      </c>
      <c r="W75" s="1595">
        <f t="shared" si="8"/>
        <v>8269056.2952381</v>
      </c>
      <c r="X75" s="25">
        <f>+U$30*W75+V75</f>
        <v>1328908.120858904</v>
      </c>
      <c r="Y75" s="1600">
        <f>+Y74</f>
        <v>3508646.157142858</v>
      </c>
      <c r="Z75" s="1595">
        <f>+Z74</f>
        <v>193136.48571428572</v>
      </c>
      <c r="AA75" s="1595">
        <f t="shared" si="9"/>
        <v>3315509.6714285724</v>
      </c>
      <c r="AB75" s="25">
        <f>+Y$30*AA75+Z75</f>
        <v>513207.2881888476</v>
      </c>
      <c r="AC75" s="1600">
        <f>+AC74</f>
        <v>2786908.6151666683</v>
      </c>
      <c r="AD75" s="1595">
        <f>+AD74</f>
        <v>115582.8</v>
      </c>
      <c r="AE75" s="1595">
        <f t="shared" si="10"/>
        <v>2671325.8151666685</v>
      </c>
      <c r="AF75" s="25">
        <f>+AC$30*AE75+AD75</f>
        <v>351170.40621836932</v>
      </c>
      <c r="AG75" s="1600">
        <f>+AG74</f>
        <v>8440223.7452380862</v>
      </c>
      <c r="AH75" s="1595">
        <f>+AH74</f>
        <v>376463.14285714284</v>
      </c>
      <c r="AI75" s="1595">
        <f t="shared" si="11"/>
        <v>8063760.6023809435</v>
      </c>
      <c r="AJ75" s="25">
        <f>+AG$30*AI75+AH75</f>
        <v>1087616.4011557363</v>
      </c>
      <c r="AK75" s="1600">
        <f>+AK74</f>
        <v>10406824.900000008</v>
      </c>
      <c r="AL75" s="1595">
        <f>+AL74</f>
        <v>424056.51428571431</v>
      </c>
      <c r="AM75" s="1595">
        <f t="shared" si="12"/>
        <v>9982768.3857142944</v>
      </c>
      <c r="AN75" s="25">
        <f>+AK$30*AM75+AL75</f>
        <v>1304449.4989490665</v>
      </c>
      <c r="AO75" s="1600">
        <f>+AO74</f>
        <v>9285714.285714291</v>
      </c>
      <c r="AP75" s="1595">
        <f>+AP74</f>
        <v>371428.57142857142</v>
      </c>
      <c r="AQ75" s="1595">
        <f t="shared" si="13"/>
        <v>8914285.7142857201</v>
      </c>
      <c r="AR75" s="25">
        <f>+AO$30*AQ75+AP75</f>
        <v>1157590.7163274523</v>
      </c>
      <c r="AS75" s="1600">
        <f>+AS74</f>
        <v>34500</v>
      </c>
      <c r="AT75" s="1595">
        <f>+AT74</f>
        <v>2000</v>
      </c>
      <c r="AU75" s="1595">
        <f t="shared" si="14"/>
        <v>32500</v>
      </c>
      <c r="AV75" s="25">
        <f>+AS$30*AU75+AT75</f>
        <v>4866.2161532771679</v>
      </c>
      <c r="AW75" s="1602">
        <f t="shared" si="16"/>
        <v>9227273.7743727565</v>
      </c>
      <c r="AX75" s="1598">
        <f>+AW75</f>
        <v>9227273.7743727565</v>
      </c>
      <c r="AY75" s="1569"/>
    </row>
    <row r="76" spans="1:51" ht="13">
      <c r="A76" s="1539">
        <f t="shared" si="1"/>
        <v>61</v>
      </c>
      <c r="C76" s="1560"/>
      <c r="D76" s="1604" t="s">
        <v>1587</v>
      </c>
      <c r="E76" s="1605"/>
      <c r="F76" s="1605" t="s">
        <v>1587</v>
      </c>
      <c r="G76" s="1605" t="s">
        <v>1588</v>
      </c>
      <c r="H76" s="1606" t="s">
        <v>1588</v>
      </c>
      <c r="I76" s="1605" t="s">
        <v>1587</v>
      </c>
      <c r="J76" s="1605" t="s">
        <v>1587</v>
      </c>
      <c r="K76" s="1605" t="s">
        <v>1588</v>
      </c>
      <c r="L76" s="1606" t="s">
        <v>1587</v>
      </c>
      <c r="M76" s="1605" t="s">
        <v>1587</v>
      </c>
      <c r="N76" s="1605" t="s">
        <v>1587</v>
      </c>
      <c r="O76" s="1605" t="s">
        <v>1588</v>
      </c>
      <c r="P76" s="1606" t="s">
        <v>1587</v>
      </c>
      <c r="Q76" s="1605" t="s">
        <v>1587</v>
      </c>
      <c r="R76" s="1605" t="s">
        <v>1587</v>
      </c>
      <c r="S76" s="1605" t="s">
        <v>1588</v>
      </c>
      <c r="T76" s="1606" t="s">
        <v>1587</v>
      </c>
      <c r="U76" s="1605" t="s">
        <v>1587</v>
      </c>
      <c r="V76" s="1605" t="s">
        <v>1587</v>
      </c>
      <c r="W76" s="1605" t="s">
        <v>1588</v>
      </c>
      <c r="X76" s="1606" t="s">
        <v>1587</v>
      </c>
      <c r="Y76" s="1605" t="s">
        <v>1587</v>
      </c>
      <c r="Z76" s="1605" t="s">
        <v>1587</v>
      </c>
      <c r="AA76" s="1605" t="s">
        <v>1588</v>
      </c>
      <c r="AB76" s="1606" t="s">
        <v>1587</v>
      </c>
      <c r="AC76" s="1605" t="s">
        <v>1587</v>
      </c>
      <c r="AD76" s="1605" t="s">
        <v>1587</v>
      </c>
      <c r="AE76" s="1605" t="s">
        <v>1588</v>
      </c>
      <c r="AF76" s="1606" t="s">
        <v>1587</v>
      </c>
      <c r="AG76" s="1605" t="s">
        <v>1587</v>
      </c>
      <c r="AH76" s="1605" t="s">
        <v>1587</v>
      </c>
      <c r="AI76" s="1605" t="s">
        <v>1588</v>
      </c>
      <c r="AJ76" s="1606" t="s">
        <v>1587</v>
      </c>
      <c r="AK76" s="1605" t="s">
        <v>1587</v>
      </c>
      <c r="AL76" s="1605" t="s">
        <v>1587</v>
      </c>
      <c r="AM76" s="1605" t="s">
        <v>1588</v>
      </c>
      <c r="AN76" s="1606" t="s">
        <v>1587</v>
      </c>
      <c r="AO76" s="1605" t="s">
        <v>1587</v>
      </c>
      <c r="AP76" s="1605" t="s">
        <v>1587</v>
      </c>
      <c r="AQ76" s="1605" t="s">
        <v>1588</v>
      </c>
      <c r="AR76" s="1606" t="s">
        <v>1587</v>
      </c>
      <c r="AS76" s="1605" t="s">
        <v>1587</v>
      </c>
      <c r="AT76" s="1605" t="s">
        <v>1587</v>
      </c>
      <c r="AU76" s="1605" t="s">
        <v>1588</v>
      </c>
      <c r="AV76" s="1606" t="s">
        <v>1587</v>
      </c>
      <c r="AW76" s="1602"/>
      <c r="AX76" s="1572"/>
      <c r="AY76" s="1597">
        <f>+AW76</f>
        <v>0</v>
      </c>
    </row>
    <row r="77" spans="1:51" ht="13.5" thickBot="1">
      <c r="A77" s="1539">
        <f t="shared" si="1"/>
        <v>62</v>
      </c>
      <c r="C77" s="1560"/>
      <c r="D77" s="1607" t="s">
        <v>1587</v>
      </c>
      <c r="E77" s="1608" t="s">
        <v>1587</v>
      </c>
      <c r="F77" s="1608" t="s">
        <v>1588</v>
      </c>
      <c r="G77" s="1608" t="s">
        <v>1588</v>
      </c>
      <c r="H77" s="1609" t="s">
        <v>1588</v>
      </c>
      <c r="I77" s="1608" t="s">
        <v>1587</v>
      </c>
      <c r="J77" s="1608" t="s">
        <v>1588</v>
      </c>
      <c r="K77" s="1608" t="s">
        <v>1588</v>
      </c>
      <c r="L77" s="1609" t="s">
        <v>1587</v>
      </c>
      <c r="M77" s="1608" t="s">
        <v>1587</v>
      </c>
      <c r="N77" s="1608" t="s">
        <v>1588</v>
      </c>
      <c r="O77" s="1608" t="s">
        <v>1588</v>
      </c>
      <c r="P77" s="1609" t="s">
        <v>1587</v>
      </c>
      <c r="Q77" s="1608" t="s">
        <v>1587</v>
      </c>
      <c r="R77" s="1608" t="s">
        <v>1588</v>
      </c>
      <c r="S77" s="1608" t="s">
        <v>1588</v>
      </c>
      <c r="T77" s="1609" t="s">
        <v>1587</v>
      </c>
      <c r="U77" s="1608" t="s">
        <v>1587</v>
      </c>
      <c r="V77" s="1608" t="s">
        <v>1588</v>
      </c>
      <c r="W77" s="1608" t="s">
        <v>1588</v>
      </c>
      <c r="X77" s="1609" t="s">
        <v>1587</v>
      </c>
      <c r="Y77" s="1608" t="s">
        <v>1587</v>
      </c>
      <c r="Z77" s="1608" t="s">
        <v>1588</v>
      </c>
      <c r="AA77" s="1608" t="s">
        <v>1588</v>
      </c>
      <c r="AB77" s="1609" t="s">
        <v>1587</v>
      </c>
      <c r="AC77" s="1608" t="s">
        <v>1587</v>
      </c>
      <c r="AD77" s="1608" t="s">
        <v>1588</v>
      </c>
      <c r="AE77" s="1608" t="s">
        <v>1588</v>
      </c>
      <c r="AF77" s="1609" t="s">
        <v>1587</v>
      </c>
      <c r="AG77" s="1608" t="s">
        <v>1587</v>
      </c>
      <c r="AH77" s="1608" t="s">
        <v>1588</v>
      </c>
      <c r="AI77" s="1608" t="s">
        <v>1588</v>
      </c>
      <c r="AJ77" s="1609" t="s">
        <v>1587</v>
      </c>
      <c r="AK77" s="1608" t="s">
        <v>1587</v>
      </c>
      <c r="AL77" s="1608" t="s">
        <v>1588</v>
      </c>
      <c r="AM77" s="1608" t="s">
        <v>1588</v>
      </c>
      <c r="AN77" s="1609" t="s">
        <v>1587</v>
      </c>
      <c r="AO77" s="1608" t="s">
        <v>1587</v>
      </c>
      <c r="AP77" s="1608" t="s">
        <v>1588</v>
      </c>
      <c r="AQ77" s="1608" t="s">
        <v>1588</v>
      </c>
      <c r="AR77" s="1609" t="s">
        <v>1587</v>
      </c>
      <c r="AS77" s="1608" t="s">
        <v>1587</v>
      </c>
      <c r="AT77" s="1608" t="s">
        <v>1588</v>
      </c>
      <c r="AU77" s="1608" t="s">
        <v>1588</v>
      </c>
      <c r="AV77" s="1609" t="s">
        <v>1587</v>
      </c>
      <c r="AW77" s="1610"/>
      <c r="AX77" s="1611">
        <f>+AW77</f>
        <v>0</v>
      </c>
      <c r="AY77" s="1588"/>
    </row>
    <row r="78" spans="1:51" ht="13">
      <c r="A78" s="1539">
        <f>A77+1</f>
        <v>63</v>
      </c>
      <c r="C78" s="1572"/>
      <c r="D78" s="1570"/>
      <c r="E78" s="1572"/>
      <c r="F78" s="1572"/>
      <c r="G78" s="1572"/>
      <c r="H78" s="1603"/>
      <c r="I78" s="1572"/>
      <c r="J78" s="1572"/>
      <c r="K78" s="1572"/>
      <c r="L78" s="1603"/>
      <c r="M78" s="1572"/>
      <c r="N78" s="1572"/>
      <c r="O78" s="1572"/>
      <c r="P78" s="1572"/>
      <c r="Q78" s="1572"/>
      <c r="R78" s="1572"/>
      <c r="S78" s="1572"/>
      <c r="T78" s="1572"/>
      <c r="U78" s="1572"/>
      <c r="V78" s="1572"/>
      <c r="W78" s="1572"/>
      <c r="X78" s="1572"/>
      <c r="Y78" s="1572"/>
      <c r="Z78" s="1572"/>
      <c r="AA78" s="1572"/>
      <c r="AB78" s="1572"/>
      <c r="AC78" s="1572"/>
      <c r="AD78" s="1572"/>
      <c r="AE78" s="1572"/>
      <c r="AF78" s="1572"/>
      <c r="AG78" s="1572"/>
      <c r="AH78" s="1572"/>
      <c r="AI78" s="1572"/>
      <c r="AJ78" s="1572"/>
      <c r="AK78" s="1572"/>
      <c r="AL78" s="1572"/>
      <c r="AM78" s="1572"/>
      <c r="AN78" s="1572"/>
      <c r="AO78" s="1572"/>
      <c r="AP78" s="1572"/>
      <c r="AQ78" s="1572"/>
      <c r="AR78" s="1572"/>
      <c r="AS78" s="1572"/>
      <c r="AT78" s="1572"/>
      <c r="AU78" s="1572"/>
      <c r="AV78" s="1572"/>
      <c r="AW78" s="1572"/>
      <c r="AX78" s="1612">
        <f>SUM(AX36:AX75)</f>
        <v>213483010.18077022</v>
      </c>
      <c r="AY78" s="1612">
        <f>SUM(AY36:AY75)</f>
        <v>206826566.39107534</v>
      </c>
    </row>
    <row r="80" spans="1:51" hidden="1">
      <c r="C80" s="1601">
        <f>SUM(H80:AV80)</f>
        <v>10774902.551050732</v>
      </c>
      <c r="H80" s="1545">
        <f>+H63</f>
        <v>439983.70416605612</v>
      </c>
      <c r="L80" s="1545">
        <f>+L63</f>
        <v>671730.1367291857</v>
      </c>
      <c r="P80" s="1545">
        <f>+P63</f>
        <v>1144095.4932099057</v>
      </c>
      <c r="T80" s="1545">
        <f>+T63</f>
        <v>2294782.9728345778</v>
      </c>
      <c r="X80" s="1545">
        <f>+X63</f>
        <v>1636264.7596006051</v>
      </c>
      <c r="AF80" s="1545">
        <f>+AF63</f>
        <v>412330.76715393923</v>
      </c>
      <c r="AJ80" s="1545">
        <f>+AJ63</f>
        <v>1286820.9687564687</v>
      </c>
      <c r="AN80" s="1545">
        <f>+AN63</f>
        <v>1528837.9846994891</v>
      </c>
      <c r="AR80" s="1545">
        <f>+AR63</f>
        <v>1354131.2525521719</v>
      </c>
      <c r="AV80" s="1545">
        <f>+AV63</f>
        <v>5924.5113483333535</v>
      </c>
      <c r="AX80" s="1613"/>
    </row>
    <row r="81" spans="3:48" hidden="1">
      <c r="C81" s="1601">
        <f>SUM(H81:AV81)</f>
        <v>255691.67132364667</v>
      </c>
      <c r="H81" s="1545">
        <f>+H63-H62</f>
        <v>26047.167471513734</v>
      </c>
      <c r="L81" s="1545">
        <f>+L63-L62</f>
        <v>0</v>
      </c>
      <c r="P81" s="1545">
        <f>+P63-P62</f>
        <v>0</v>
      </c>
      <c r="T81" s="1545">
        <f>+T63-T62</f>
        <v>134056.95710503776</v>
      </c>
      <c r="X81" s="1545">
        <f>+X63-X62</f>
        <v>95587.546747095184</v>
      </c>
      <c r="AF81" s="1545">
        <f>+AF63-AF62</f>
        <v>0</v>
      </c>
      <c r="AJ81" s="1545">
        <f>+AJ63-AJ62</f>
        <v>0</v>
      </c>
      <c r="AN81" s="1545">
        <f>+AN63-AN62</f>
        <v>0</v>
      </c>
      <c r="AR81" s="1545">
        <f>+AR63-AR62</f>
        <v>0</v>
      </c>
      <c r="AV81" s="1545">
        <f>+AV63-AV62</f>
        <v>0</v>
      </c>
    </row>
    <row r="82" spans="3:48">
      <c r="C82" s="1601"/>
    </row>
    <row r="310" spans="8:12">
      <c r="H310" s="1614"/>
      <c r="L310" s="1539"/>
    </row>
    <row r="311" spans="8:12">
      <c r="H311" s="1614"/>
      <c r="L311" s="1539"/>
    </row>
    <row r="312" spans="8:12">
      <c r="H312" s="1614"/>
      <c r="L312" s="1539"/>
    </row>
    <row r="313" spans="8:12">
      <c r="H313" s="1614"/>
      <c r="L313" s="1539"/>
    </row>
    <row r="314" spans="8:12">
      <c r="H314" s="1614"/>
      <c r="L314" s="1539"/>
    </row>
    <row r="315" spans="8:12">
      <c r="H315" s="1614"/>
      <c r="L315" s="1539"/>
    </row>
    <row r="316" spans="8:12">
      <c r="H316" s="1614"/>
      <c r="L316" s="1539"/>
    </row>
    <row r="317" spans="8:12">
      <c r="H317" s="1614"/>
      <c r="L317" s="1539"/>
    </row>
    <row r="318" spans="8:12">
      <c r="H318" s="1614"/>
      <c r="L318" s="1539"/>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69" fitToWidth="0" orientation="landscape" r:id="rId1"/>
  <headerFooter alignWithMargins="0"/>
  <colBreaks count="3" manualBreakCount="3">
    <brk id="12" max="1048575" man="1"/>
    <brk id="24" max="1048575" man="1"/>
    <brk id="3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topLeftCell="A6" zoomScaleNormal="100" workbookViewId="0">
      <selection activeCell="L128" sqref="L128"/>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775" t="s">
        <v>1547</v>
      </c>
      <c r="B1" s="1775"/>
      <c r="C1" s="1775"/>
      <c r="D1" s="1775"/>
      <c r="E1" s="1775"/>
      <c r="F1" s="1775"/>
    </row>
    <row r="2" spans="1:8">
      <c r="A2" s="1"/>
    </row>
    <row r="3" spans="1:8" ht="15.5">
      <c r="A3" s="1777" t="s">
        <v>0</v>
      </c>
      <c r="B3" s="1884"/>
      <c r="C3" s="1884"/>
      <c r="D3" s="1884"/>
      <c r="E3" s="1884"/>
      <c r="F3" s="1884"/>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383</v>
      </c>
      <c r="D14" s="1"/>
      <c r="E14" s="1617">
        <v>1781557</v>
      </c>
      <c r="F14" s="1"/>
    </row>
    <row r="15" spans="1:8">
      <c r="E15" s="1618"/>
    </row>
    <row r="16" spans="1:8">
      <c r="E16" s="1618"/>
    </row>
    <row r="17" spans="1:6">
      <c r="C17" t="s">
        <v>3</v>
      </c>
      <c r="E17" s="1618"/>
    </row>
    <row r="18" spans="1:6">
      <c r="A18" s="1">
        <v>112</v>
      </c>
      <c r="C18" s="1" t="s">
        <v>403</v>
      </c>
      <c r="D18" s="1"/>
      <c r="E18" s="1617">
        <v>9733977</v>
      </c>
      <c r="F18" s="1"/>
    </row>
    <row r="21" spans="1:6">
      <c r="C21" s="5" t="s">
        <v>4</v>
      </c>
      <c r="D21" s="5"/>
      <c r="E21" s="5"/>
    </row>
    <row r="22" spans="1:6">
      <c r="D22" s="7" t="s">
        <v>1784</v>
      </c>
      <c r="E22" s="7"/>
      <c r="F22" s="7"/>
    </row>
    <row r="23" spans="1:6">
      <c r="D23" s="7" t="s">
        <v>1589</v>
      </c>
      <c r="E23" s="7"/>
      <c r="F23" s="7"/>
    </row>
    <row r="24" spans="1:6">
      <c r="D24" s="1616" t="s">
        <v>1590</v>
      </c>
      <c r="E24" s="7"/>
      <c r="F24" s="7"/>
    </row>
    <row r="25" spans="1:6">
      <c r="D25" s="7" t="s">
        <v>1591</v>
      </c>
      <c r="E25" s="7"/>
      <c r="F25" s="7"/>
    </row>
    <row r="26" spans="1:6">
      <c r="D26" s="7" t="s">
        <v>1592</v>
      </c>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topLeftCell="D24" zoomScale="91" zoomScaleNormal="91" zoomScaleSheetLayoutView="70" workbookViewId="0">
      <selection activeCell="D45" sqref="D45"/>
    </sheetView>
  </sheetViews>
  <sheetFormatPr defaultColWidth="11.453125" defaultRowHeight="13"/>
  <cols>
    <col min="1" max="1" width="6.26953125" style="619" customWidth="1"/>
    <col min="2" max="2" width="58.1796875" style="620" customWidth="1"/>
    <col min="3" max="3" width="31" style="620" customWidth="1"/>
    <col min="4" max="4" width="24.7265625" style="620" customWidth="1"/>
    <col min="5" max="5" width="20.54296875" style="620" customWidth="1"/>
    <col min="6" max="6" width="22.26953125" style="620" customWidth="1"/>
    <col min="7" max="7" width="23.453125" style="620" customWidth="1"/>
    <col min="8" max="9" width="23.1796875" style="620" customWidth="1"/>
    <col min="10" max="10" width="27.54296875" style="620" customWidth="1"/>
    <col min="11" max="11" width="26.1796875" style="620" customWidth="1"/>
    <col min="12" max="12" width="21" style="620" customWidth="1"/>
    <col min="13" max="13" width="20.26953125" style="620" customWidth="1"/>
    <col min="14" max="16" width="15.1796875" style="620" customWidth="1"/>
    <col min="17" max="16384" width="11.453125" style="620"/>
  </cols>
  <sheetData>
    <row r="1" spans="1:17">
      <c r="D1" s="621"/>
      <c r="E1" s="621"/>
      <c r="G1" s="622" t="s">
        <v>549</v>
      </c>
      <c r="H1" s="621"/>
      <c r="I1" s="967"/>
      <c r="J1" s="621"/>
    </row>
    <row r="2" spans="1:17">
      <c r="A2" s="624"/>
      <c r="D2" s="621"/>
      <c r="E2" s="621"/>
      <c r="F2" s="621"/>
      <c r="G2" s="625" t="s">
        <v>502</v>
      </c>
      <c r="H2" s="621"/>
      <c r="I2" s="621"/>
      <c r="J2" s="621"/>
      <c r="K2" s="621"/>
      <c r="M2" s="626"/>
      <c r="P2" s="621"/>
    </row>
    <row r="3" spans="1:17">
      <c r="A3" s="624"/>
      <c r="D3" s="621"/>
      <c r="E3" s="621"/>
      <c r="F3" s="621"/>
      <c r="G3" s="627" t="s">
        <v>1547</v>
      </c>
      <c r="H3" s="621"/>
      <c r="I3" s="621"/>
      <c r="J3" s="621"/>
      <c r="K3" s="621"/>
      <c r="P3" s="621"/>
    </row>
    <row r="4" spans="1:17">
      <c r="A4" s="624"/>
      <c r="D4" s="621"/>
      <c r="E4" s="621"/>
      <c r="F4" s="621"/>
      <c r="G4" s="621"/>
      <c r="H4" s="621"/>
      <c r="I4" s="621"/>
      <c r="J4" s="621"/>
      <c r="K4" s="621"/>
      <c r="P4" s="621"/>
    </row>
    <row r="5" spans="1:17">
      <c r="A5" s="624"/>
      <c r="B5" s="628"/>
      <c r="C5" s="628"/>
      <c r="D5" s="628"/>
      <c r="E5" s="628"/>
      <c r="F5" s="628"/>
      <c r="G5" s="628"/>
      <c r="H5" s="628"/>
      <c r="I5" s="628"/>
      <c r="J5" s="628"/>
      <c r="K5" s="628"/>
      <c r="P5" s="621"/>
    </row>
    <row r="6" spans="1:17" s="893" customFormat="1" ht="14.5">
      <c r="A6" s="892"/>
      <c r="B6" s="1141" t="s">
        <v>830</v>
      </c>
      <c r="C6" s="1885" t="s">
        <v>1240</v>
      </c>
      <c r="D6" s="1886"/>
      <c r="E6" s="1887"/>
      <c r="F6" s="1888" t="s">
        <v>73</v>
      </c>
      <c r="G6" s="1889"/>
      <c r="H6" s="1889"/>
      <c r="I6" s="1888" t="s">
        <v>1241</v>
      </c>
      <c r="J6" s="1892"/>
      <c r="K6" s="1885" t="s">
        <v>1242</v>
      </c>
      <c r="L6" s="1889"/>
      <c r="M6" s="1893"/>
      <c r="P6" s="967"/>
      <c r="Q6" s="967"/>
    </row>
    <row r="7" spans="1:17" s="898" customFormat="1" ht="26">
      <c r="A7" s="895" t="s">
        <v>504</v>
      </c>
      <c r="B7" s="631" t="s">
        <v>169</v>
      </c>
      <c r="C7" s="631" t="s">
        <v>228</v>
      </c>
      <c r="D7" s="631" t="s">
        <v>147</v>
      </c>
      <c r="E7" s="897" t="s">
        <v>505</v>
      </c>
      <c r="F7" s="631" t="s">
        <v>228</v>
      </c>
      <c r="G7" s="631" t="s">
        <v>230</v>
      </c>
      <c r="H7" s="897" t="s">
        <v>505</v>
      </c>
      <c r="I7" s="631" t="s">
        <v>796</v>
      </c>
      <c r="J7" s="897" t="s">
        <v>505</v>
      </c>
      <c r="K7" s="631" t="s">
        <v>228</v>
      </c>
      <c r="L7" s="631" t="s">
        <v>147</v>
      </c>
      <c r="M7" s="897" t="s">
        <v>505</v>
      </c>
      <c r="Q7" s="893"/>
    </row>
    <row r="8" spans="1:17" s="899" customFormat="1">
      <c r="A8" s="892"/>
      <c r="B8" s="629" t="s">
        <v>510</v>
      </c>
      <c r="C8" s="629" t="s">
        <v>511</v>
      </c>
      <c r="D8" s="629" t="s">
        <v>512</v>
      </c>
      <c r="E8" s="631" t="s">
        <v>513</v>
      </c>
      <c r="F8" s="629" t="s">
        <v>514</v>
      </c>
      <c r="G8" s="631" t="s">
        <v>515</v>
      </c>
      <c r="H8" s="629" t="s">
        <v>516</v>
      </c>
      <c r="I8" s="631" t="s">
        <v>517</v>
      </c>
      <c r="J8" s="629" t="s">
        <v>518</v>
      </c>
      <c r="K8" s="631" t="s">
        <v>519</v>
      </c>
      <c r="L8" s="631" t="s">
        <v>520</v>
      </c>
      <c r="M8" s="631" t="s">
        <v>544</v>
      </c>
      <c r="Q8" s="893"/>
    </row>
    <row r="9" spans="1:17" s="899" customFormat="1">
      <c r="A9" s="892"/>
      <c r="B9" s="896" t="s">
        <v>1771</v>
      </c>
      <c r="C9" s="625">
        <v>19</v>
      </c>
      <c r="D9" s="625">
        <v>23</v>
      </c>
      <c r="E9" s="637">
        <v>24</v>
      </c>
      <c r="F9" s="625">
        <v>30</v>
      </c>
      <c r="G9" s="625">
        <v>31</v>
      </c>
      <c r="H9" s="625">
        <v>12</v>
      </c>
      <c r="I9" s="625">
        <v>10</v>
      </c>
      <c r="J9" s="625">
        <v>11</v>
      </c>
      <c r="K9" s="625"/>
      <c r="L9" s="637"/>
      <c r="M9" s="625"/>
    </row>
    <row r="10" spans="1:17" s="635" customFormat="1" ht="77.25" customHeight="1">
      <c r="A10" s="624"/>
      <c r="B10" s="629"/>
      <c r="C10" s="639" t="s">
        <v>1750</v>
      </c>
      <c r="D10" s="640" t="s">
        <v>521</v>
      </c>
      <c r="E10" s="641" t="s">
        <v>522</v>
      </c>
      <c r="F10" s="640" t="s">
        <v>1751</v>
      </c>
      <c r="G10" s="640" t="s">
        <v>523</v>
      </c>
      <c r="H10" s="641" t="s">
        <v>522</v>
      </c>
      <c r="I10" s="918" t="s">
        <v>968</v>
      </c>
      <c r="J10" s="641" t="s">
        <v>522</v>
      </c>
      <c r="K10" s="639" t="s">
        <v>979</v>
      </c>
      <c r="L10" s="639" t="s">
        <v>980</v>
      </c>
      <c r="M10" s="639" t="s">
        <v>981</v>
      </c>
    </row>
    <row r="11" spans="1:17">
      <c r="A11" s="624">
        <v>1</v>
      </c>
      <c r="B11" s="642" t="s">
        <v>524</v>
      </c>
      <c r="C11" s="643">
        <f>+'9A - Gross Plant &amp; ARO'!L11</f>
        <v>1668224393</v>
      </c>
      <c r="D11" s="643">
        <f>+'9A - Gross Plant &amp; ARO'!M11</f>
        <v>266738888.93000001</v>
      </c>
      <c r="E11" s="643">
        <f>+'9A - Gross Plant &amp; ARO'!N11</f>
        <v>0</v>
      </c>
      <c r="F11" s="644">
        <f>+'9A - Gross Plant &amp; ARO'!D51</f>
        <v>284525424</v>
      </c>
      <c r="G11" s="644">
        <f>+'9A - Gross Plant &amp; ARO'!E51</f>
        <v>53436882.770000003</v>
      </c>
      <c r="H11" s="644">
        <f>+'9A - Gross Plant &amp; ARO'!G51</f>
        <v>0</v>
      </c>
      <c r="I11" s="644">
        <f>+'9A - Gross Plant &amp; ARO'!F51</f>
        <v>29627601.469999999</v>
      </c>
      <c r="J11" s="644">
        <f>+'9A - Gross Plant &amp; ARO'!H51</f>
        <v>0</v>
      </c>
      <c r="K11" s="643">
        <f t="shared" ref="K11:K23" si="0">+C11-F11</f>
        <v>1383698969</v>
      </c>
      <c r="L11" s="643">
        <f>+D11-G11-I11</f>
        <v>183674404.69</v>
      </c>
      <c r="M11" s="643">
        <f>+E11-J11-H11</f>
        <v>0</v>
      </c>
    </row>
    <row r="12" spans="1:17">
      <c r="A12" s="624">
        <v>2</v>
      </c>
      <c r="B12" s="642" t="s">
        <v>525</v>
      </c>
      <c r="C12" s="643">
        <f>+'9A - Gross Plant &amp; ARO'!L12</f>
        <v>1671053200.6621301</v>
      </c>
      <c r="D12" s="643">
        <f>+'9A - Gross Plant &amp; ARO'!M12</f>
        <v>267406322.04585961</v>
      </c>
      <c r="E12" s="643">
        <f>+'9A - Gross Plant &amp; ARO'!N12</f>
        <v>0</v>
      </c>
      <c r="F12" s="644">
        <f>+'9A - Gross Plant &amp; ARO'!D52</f>
        <v>287957749.83074898</v>
      </c>
      <c r="G12" s="644">
        <f>+'9A - Gross Plant &amp; ARO'!E52</f>
        <v>54358653.304349497</v>
      </c>
      <c r="H12" s="644">
        <f>+'9A - Gross Plant &amp; ARO'!G52</f>
        <v>0</v>
      </c>
      <c r="I12" s="644">
        <f>+'9A - Gross Plant &amp; ARO'!F52</f>
        <v>30784261.030016799</v>
      </c>
      <c r="J12" s="644">
        <f>+'9A - Gross Plant &amp; ARO'!H52</f>
        <v>0</v>
      </c>
      <c r="K12" s="643">
        <f t="shared" si="0"/>
        <v>1383095450.8313811</v>
      </c>
      <c r="L12" s="643">
        <f>+D12-G12-I12</f>
        <v>182263407.71149328</v>
      </c>
      <c r="M12" s="643">
        <f t="shared" ref="M12:M23" si="1">+E12-J12-H12</f>
        <v>0</v>
      </c>
    </row>
    <row r="13" spans="1:17">
      <c r="A13" s="624">
        <v>3</v>
      </c>
      <c r="B13" s="621" t="s">
        <v>526</v>
      </c>
      <c r="C13" s="643">
        <f>+'9A - Gross Plant &amp; ARO'!L13</f>
        <v>1674808287.9217801</v>
      </c>
      <c r="D13" s="643">
        <f>+'9A - Gross Plant &amp; ARO'!M13</f>
        <v>268640440.88437098</v>
      </c>
      <c r="E13" s="643">
        <f>+'9A - Gross Plant &amp; ARO'!N13</f>
        <v>0</v>
      </c>
      <c r="F13" s="644">
        <f>+'9A - Gross Plant &amp; ARO'!D53</f>
        <v>291398122.96017599</v>
      </c>
      <c r="G13" s="644">
        <f>+'9A - Gross Plant &amp; ARO'!E53</f>
        <v>55283151.349055193</v>
      </c>
      <c r="H13" s="644">
        <f>+'9A - Gross Plant &amp; ARO'!G53</f>
        <v>0</v>
      </c>
      <c r="I13" s="644">
        <f>+'9A - Gross Plant &amp; ARO'!F53</f>
        <v>31952973.168884598</v>
      </c>
      <c r="J13" s="644">
        <f>+'9A - Gross Plant &amp; ARO'!H53</f>
        <v>0</v>
      </c>
      <c r="K13" s="643">
        <f t="shared" si="0"/>
        <v>1383410164.9616041</v>
      </c>
      <c r="L13" s="643">
        <f t="shared" ref="L13:L23" si="2">+D13-G13-I13</f>
        <v>181404316.36643118</v>
      </c>
      <c r="M13" s="643">
        <f t="shared" si="1"/>
        <v>0</v>
      </c>
    </row>
    <row r="14" spans="1:17">
      <c r="A14" s="624">
        <v>4</v>
      </c>
      <c r="B14" s="621" t="s">
        <v>527</v>
      </c>
      <c r="C14" s="643">
        <f>+'9A - Gross Plant &amp; ARO'!L14</f>
        <v>1680395651.082</v>
      </c>
      <c r="D14" s="643">
        <f>+'9A - Gross Plant &amp; ARO'!M14</f>
        <v>277329202.00112945</v>
      </c>
      <c r="E14" s="643">
        <f>+'9A - Gross Plant &amp; ARO'!N14</f>
        <v>0</v>
      </c>
      <c r="F14" s="644">
        <f>+'9A - Gross Plant &amp; ARO'!D54</f>
        <v>294850470.02711099</v>
      </c>
      <c r="G14" s="644">
        <f>+'9A - Gross Plant &amp; ARO'!E54</f>
        <v>56239544.2184214</v>
      </c>
      <c r="H14" s="644">
        <f>+'9A - Gross Plant &amp; ARO'!G54</f>
        <v>0</v>
      </c>
      <c r="I14" s="644">
        <f>+'9A - Gross Plant &amp; ARO'!F54</f>
        <v>33223064.658695493</v>
      </c>
      <c r="J14" s="644">
        <f>+'9A - Gross Plant &amp; ARO'!H54</f>
        <v>0</v>
      </c>
      <c r="K14" s="643">
        <f t="shared" si="0"/>
        <v>1385545181.054889</v>
      </c>
      <c r="L14" s="643">
        <f t="shared" si="2"/>
        <v>187866593.12401256</v>
      </c>
      <c r="M14" s="643">
        <f t="shared" si="1"/>
        <v>0</v>
      </c>
    </row>
    <row r="15" spans="1:17">
      <c r="A15" s="624">
        <v>5</v>
      </c>
      <c r="B15" s="621" t="s">
        <v>171</v>
      </c>
      <c r="C15" s="643">
        <f>+'9A - Gross Plant &amp; ARO'!L15</f>
        <v>1722894326.23826</v>
      </c>
      <c r="D15" s="643">
        <f>+'9A - Gross Plant &amp; ARO'!M15</f>
        <v>281861882.11732429</v>
      </c>
      <c r="E15" s="643">
        <f>+'9A - Gross Plant &amp; ARO'!N15</f>
        <v>0</v>
      </c>
      <c r="F15" s="644">
        <f>+'9A - Gross Plant &amp; ARO'!D55</f>
        <v>298393893.41499203</v>
      </c>
      <c r="G15" s="644">
        <f>+'9A - Gross Plant &amp; ARO'!E55</f>
        <v>57182374.880800195</v>
      </c>
      <c r="H15" s="644">
        <f>+'9A - Gross Plant &amp; ARO'!G55</f>
        <v>0</v>
      </c>
      <c r="I15" s="644">
        <f>+'9A - Gross Plant &amp; ARO'!F55</f>
        <v>34553987.517219</v>
      </c>
      <c r="J15" s="644">
        <f>+'9A - Gross Plant &amp; ARO'!H55</f>
        <v>0</v>
      </c>
      <c r="K15" s="643">
        <f t="shared" si="0"/>
        <v>1424500432.8232679</v>
      </c>
      <c r="L15" s="643">
        <f t="shared" si="2"/>
        <v>190125519.7193051</v>
      </c>
      <c r="M15" s="643">
        <f t="shared" si="1"/>
        <v>0</v>
      </c>
    </row>
    <row r="16" spans="1:17">
      <c r="A16" s="624">
        <v>6</v>
      </c>
      <c r="B16" s="621" t="s">
        <v>172</v>
      </c>
      <c r="C16" s="643">
        <f>+'9A - Gross Plant &amp; ARO'!L16</f>
        <v>1772829483.76952</v>
      </c>
      <c r="D16" s="643">
        <f>+'9A - Gross Plant &amp; ARO'!M16</f>
        <v>283332437.22239387</v>
      </c>
      <c r="E16" s="643">
        <f>+'9A - Gross Plant &amp; ARO'!N16</f>
        <v>0</v>
      </c>
      <c r="F16" s="644">
        <f>+'9A - Gross Plant &amp; ARO'!D56</f>
        <v>302044329.79603404</v>
      </c>
      <c r="G16" s="644">
        <f>+'9A - Gross Plant &amp; ARO'!E56</f>
        <v>58130448.110492997</v>
      </c>
      <c r="H16" s="644">
        <f>+'9A - Gross Plant &amp; ARO'!G56</f>
        <v>0</v>
      </c>
      <c r="I16" s="644">
        <f>+'9A - Gross Plant &amp; ARO'!F56</f>
        <v>35893050.756231695</v>
      </c>
      <c r="J16" s="644">
        <f>+'9A - Gross Plant &amp; ARO'!H56</f>
        <v>0</v>
      </c>
      <c r="K16" s="643">
        <f t="shared" si="0"/>
        <v>1470785153.9734859</v>
      </c>
      <c r="L16" s="643">
        <f t="shared" si="2"/>
        <v>189308938.35566917</v>
      </c>
      <c r="M16" s="643">
        <f t="shared" si="1"/>
        <v>0</v>
      </c>
    </row>
    <row r="17" spans="1:14">
      <c r="A17" s="624">
        <v>7</v>
      </c>
      <c r="B17" s="621" t="s">
        <v>173</v>
      </c>
      <c r="C17" s="643">
        <f>+'9A - Gross Plant &amp; ARO'!L17</f>
        <v>1792487606.1122501</v>
      </c>
      <c r="D17" s="643">
        <f>+'9A - Gross Plant &amp; ARO'!M17</f>
        <v>288659051.56402916</v>
      </c>
      <c r="E17" s="643">
        <f>+'9A - Gross Plant &amp; ARO'!N17</f>
        <v>0</v>
      </c>
      <c r="F17" s="644">
        <f>+'9A - Gross Plant &amp; ARO'!D57</f>
        <v>305736894.301144</v>
      </c>
      <c r="G17" s="644">
        <f>+'9A - Gross Plant &amp; ARO'!E57</f>
        <v>59086591.343695208</v>
      </c>
      <c r="H17" s="644">
        <f>+'9A - Gross Plant &amp; ARO'!G57</f>
        <v>0</v>
      </c>
      <c r="I17" s="644">
        <f>+'9A - Gross Plant &amp; ARO'!F57</f>
        <v>37295694.052819096</v>
      </c>
      <c r="J17" s="644">
        <f>+'9A - Gross Plant &amp; ARO'!H57</f>
        <v>0</v>
      </c>
      <c r="K17" s="643">
        <f t="shared" si="0"/>
        <v>1486750711.8111062</v>
      </c>
      <c r="L17" s="643">
        <f t="shared" si="2"/>
        <v>192276766.16751483</v>
      </c>
      <c r="M17" s="643">
        <f t="shared" si="1"/>
        <v>0</v>
      </c>
    </row>
    <row r="18" spans="1:14">
      <c r="A18" s="624">
        <v>8</v>
      </c>
      <c r="B18" s="621" t="s">
        <v>528</v>
      </c>
      <c r="C18" s="643">
        <f>+'9A - Gross Plant &amp; ARO'!L18</f>
        <v>1795509420.1430502</v>
      </c>
      <c r="D18" s="643">
        <f>+'9A - Gross Plant &amp; ARO'!M18</f>
        <v>292405770.55260813</v>
      </c>
      <c r="E18" s="643">
        <f>+'9A - Gross Plant &amp; ARO'!N18</f>
        <v>0</v>
      </c>
      <c r="F18" s="644">
        <f>+'9A - Gross Plant &amp; ARO'!D58</f>
        <v>309435934.67176002</v>
      </c>
      <c r="G18" s="644">
        <f>+'9A - Gross Plant &amp; ARO'!E58</f>
        <v>60050349.606761895</v>
      </c>
      <c r="H18" s="644">
        <f>+'9A - Gross Plant &amp; ARO'!G58</f>
        <v>0</v>
      </c>
      <c r="I18" s="644">
        <f>+'9A - Gross Plant &amp; ARO'!F58</f>
        <v>38737006.322521396</v>
      </c>
      <c r="J18" s="644">
        <f>+'9A - Gross Plant &amp; ARO'!H58</f>
        <v>0</v>
      </c>
      <c r="K18" s="643">
        <f t="shared" si="0"/>
        <v>1486073485.4712901</v>
      </c>
      <c r="L18" s="643">
        <f t="shared" si="2"/>
        <v>193618414.62332484</v>
      </c>
      <c r="M18" s="643">
        <f t="shared" si="1"/>
        <v>0</v>
      </c>
    </row>
    <row r="19" spans="1:14">
      <c r="A19" s="624">
        <v>9</v>
      </c>
      <c r="B19" s="621" t="s">
        <v>529</v>
      </c>
      <c r="C19" s="643">
        <f>+'9A - Gross Plant &amp; ARO'!L19</f>
        <v>1799310020.9747903</v>
      </c>
      <c r="D19" s="643">
        <f>+'9A - Gross Plant &amp; ARO'!M19</f>
        <v>294695107.03611213</v>
      </c>
      <c r="E19" s="643">
        <f>+'9A - Gross Plant &amp; ARO'!N19</f>
        <v>0</v>
      </c>
      <c r="F19" s="644">
        <f>+'9A - Gross Plant &amp; ARO'!D59</f>
        <v>313143119.87841803</v>
      </c>
      <c r="G19" s="644">
        <f>+'9A - Gross Plant &amp; ARO'!E59</f>
        <v>61021769.440546907</v>
      </c>
      <c r="H19" s="644">
        <f>+'9A - Gross Plant &amp; ARO'!G59</f>
        <v>0</v>
      </c>
      <c r="I19" s="644">
        <f>+'9A - Gross Plant &amp; ARO'!F59</f>
        <v>40192552.677895598</v>
      </c>
      <c r="J19" s="644">
        <f>+'9A - Gross Plant &amp; ARO'!H59</f>
        <v>0</v>
      </c>
      <c r="K19" s="643">
        <f t="shared" si="0"/>
        <v>1486166901.0963724</v>
      </c>
      <c r="L19" s="643">
        <f t="shared" si="2"/>
        <v>193480784.91766962</v>
      </c>
      <c r="M19" s="643">
        <f t="shared" si="1"/>
        <v>0</v>
      </c>
    </row>
    <row r="20" spans="1:14">
      <c r="A20" s="624">
        <v>10</v>
      </c>
      <c r="B20" s="621" t="s">
        <v>530</v>
      </c>
      <c r="C20" s="643">
        <f>+'9A - Gross Plant &amp; ARO'!L20</f>
        <v>1803613022.4563103</v>
      </c>
      <c r="D20" s="643">
        <f>+'9A - Gross Plant &amp; ARO'!M20</f>
        <v>296601753.89149708</v>
      </c>
      <c r="E20" s="643">
        <f>+'9A - Gross Plant &amp; ARO'!N20</f>
        <v>0</v>
      </c>
      <c r="F20" s="644">
        <f>+'9A - Gross Plant &amp; ARO'!D60</f>
        <v>316859526.58533603</v>
      </c>
      <c r="G20" s="644">
        <f>+'9A - Gross Plant &amp; ARO'!E60</f>
        <v>62000304.131143801</v>
      </c>
      <c r="H20" s="644">
        <f>+'9A - Gross Plant &amp; ARO'!G60</f>
        <v>0</v>
      </c>
      <c r="I20" s="644">
        <f>+'9A - Gross Plant &amp; ARO'!F60</f>
        <v>41657661.780237004</v>
      </c>
      <c r="J20" s="644">
        <f>+'9A - Gross Plant &amp; ARO'!H60</f>
        <v>0</v>
      </c>
      <c r="K20" s="643">
        <f t="shared" si="0"/>
        <v>1486753495.8709743</v>
      </c>
      <c r="L20" s="643">
        <f t="shared" si="2"/>
        <v>192943787.98011625</v>
      </c>
      <c r="M20" s="643">
        <f t="shared" si="1"/>
        <v>0</v>
      </c>
    </row>
    <row r="21" spans="1:14">
      <c r="A21" s="624">
        <v>11</v>
      </c>
      <c r="B21" s="621" t="s">
        <v>531</v>
      </c>
      <c r="C21" s="643">
        <f>+'9A - Gross Plant &amp; ARO'!L21</f>
        <v>1806507782.3654902</v>
      </c>
      <c r="D21" s="643">
        <f>+'9A - Gross Plant &amp; ARO'!M21</f>
        <v>299246959.89509815</v>
      </c>
      <c r="E21" s="643">
        <f>+'9A - Gross Plant &amp; ARO'!N21</f>
        <v>0</v>
      </c>
      <c r="F21" s="644">
        <f>+'9A - Gross Plant &amp; ARO'!D61</f>
        <v>320582136.87581402</v>
      </c>
      <c r="G21" s="644">
        <f>+'9A - Gross Plant &amp; ARO'!E61</f>
        <v>62989394.545229912</v>
      </c>
      <c r="H21" s="644">
        <f>+'9A - Gross Plant &amp; ARO'!G61</f>
        <v>0</v>
      </c>
      <c r="I21" s="644">
        <f>+'9A - Gross Plant &amp; ARO'!F61</f>
        <v>43133899.660523295</v>
      </c>
      <c r="J21" s="644">
        <f>+'9A - Gross Plant &amp; ARO'!H61</f>
        <v>0</v>
      </c>
      <c r="K21" s="643">
        <f t="shared" si="0"/>
        <v>1485925645.4896762</v>
      </c>
      <c r="L21" s="643">
        <f t="shared" si="2"/>
        <v>193123665.68934494</v>
      </c>
      <c r="M21" s="643">
        <f t="shared" si="1"/>
        <v>0</v>
      </c>
    </row>
    <row r="22" spans="1:14">
      <c r="A22" s="624">
        <v>12</v>
      </c>
      <c r="B22" s="621" t="s">
        <v>532</v>
      </c>
      <c r="C22" s="643">
        <f>+'9A - Gross Plant &amp; ARO'!L22</f>
        <v>1809004355.8127604</v>
      </c>
      <c r="D22" s="643">
        <f>+'9A - Gross Plant &amp; ARO'!M22</f>
        <v>302361543.87136513</v>
      </c>
      <c r="E22" s="643">
        <f>+'9A - Gross Plant &amp; ARO'!N22</f>
        <v>0</v>
      </c>
      <c r="F22" s="644">
        <f>+'9A - Gross Plant &amp; ARO'!D62</f>
        <v>324310097.42071104</v>
      </c>
      <c r="G22" s="644">
        <f>+'9A - Gross Plant &amp; ARO'!E62</f>
        <v>63991934.855286501</v>
      </c>
      <c r="H22" s="644">
        <f>+'9A - Gross Plant &amp; ARO'!G62</f>
        <v>0</v>
      </c>
      <c r="I22" s="644">
        <f>+'9A - Gross Plant &amp; ARO'!F62</f>
        <v>44620052.783359997</v>
      </c>
      <c r="J22" s="644">
        <f>+'9A - Gross Plant &amp; ARO'!H62</f>
        <v>0</v>
      </c>
      <c r="K22" s="643">
        <f t="shared" si="0"/>
        <v>1484694258.3920493</v>
      </c>
      <c r="L22" s="643">
        <f t="shared" si="2"/>
        <v>193749556.23271862</v>
      </c>
      <c r="M22" s="643">
        <f t="shared" si="1"/>
        <v>0</v>
      </c>
    </row>
    <row r="23" spans="1:14">
      <c r="A23" s="624">
        <v>13</v>
      </c>
      <c r="B23" s="621" t="s">
        <v>533</v>
      </c>
      <c r="C23" s="643">
        <f>+'9A - Gross Plant &amp; ARO'!L23</f>
        <v>1814406369.3380103</v>
      </c>
      <c r="D23" s="643">
        <f>+'9A - Gross Plant &amp; ARO'!M23</f>
        <v>308517935.22508019</v>
      </c>
      <c r="E23" s="643">
        <f>+'9A - Gross Plant &amp; ARO'!N23</f>
        <v>0</v>
      </c>
      <c r="F23" s="644">
        <f>+'9A - Gross Plant &amp; ARO'!D63</f>
        <v>328049634.69160604</v>
      </c>
      <c r="G23" s="644">
        <f>+'9A - Gross Plant &amp; ARO'!E63</f>
        <v>65017056.087928116</v>
      </c>
      <c r="H23" s="644">
        <f>+'9A - Gross Plant &amp; ARO'!G63</f>
        <v>0</v>
      </c>
      <c r="I23" s="644">
        <f>+'9A - Gross Plant &amp; ARO'!F63</f>
        <v>46137994.502524994</v>
      </c>
      <c r="J23" s="644">
        <f>+'9A - Gross Plant &amp; ARO'!H63</f>
        <v>0</v>
      </c>
      <c r="K23" s="643">
        <f t="shared" si="0"/>
        <v>1486356734.6464043</v>
      </c>
      <c r="L23" s="643">
        <f t="shared" si="2"/>
        <v>197362884.63462707</v>
      </c>
      <c r="M23" s="643">
        <f t="shared" si="1"/>
        <v>0</v>
      </c>
    </row>
    <row r="24" spans="1:14">
      <c r="A24" s="624">
        <v>14</v>
      </c>
      <c r="B24" s="653" t="s">
        <v>769</v>
      </c>
      <c r="C24" s="886">
        <f t="shared" ref="C24:M24" si="3">SUM(C11:C23)/13</f>
        <v>1754695686.1443346</v>
      </c>
      <c r="D24" s="886">
        <f t="shared" si="3"/>
        <v>286753638.09514374</v>
      </c>
      <c r="E24" s="886">
        <f t="shared" si="3"/>
        <v>0</v>
      </c>
      <c r="F24" s="886">
        <f t="shared" si="3"/>
        <v>305945179.5733732</v>
      </c>
      <c r="G24" s="886">
        <f t="shared" si="3"/>
        <v>59137573.43413166</v>
      </c>
      <c r="H24" s="886">
        <f t="shared" si="3"/>
        <v>0</v>
      </c>
      <c r="I24" s="886">
        <f t="shared" si="3"/>
        <v>37523830.798533</v>
      </c>
      <c r="J24" s="886">
        <f t="shared" si="3"/>
        <v>0</v>
      </c>
      <c r="K24" s="886">
        <f t="shared" si="3"/>
        <v>1448750506.5709615</v>
      </c>
      <c r="L24" s="886">
        <f t="shared" si="3"/>
        <v>190092233.86247903</v>
      </c>
      <c r="M24" s="886">
        <f t="shared" si="3"/>
        <v>0</v>
      </c>
    </row>
    <row r="25" spans="1:14" ht="12" customHeight="1">
      <c r="A25" s="624">
        <v>15</v>
      </c>
      <c r="B25" s="653" t="s">
        <v>768</v>
      </c>
      <c r="C25" s="657"/>
      <c r="D25" s="657">
        <f>+'10 - Merger Costs'!G34</f>
        <v>969311.32000000018</v>
      </c>
      <c r="E25" s="657"/>
      <c r="F25" s="657"/>
      <c r="G25" s="657">
        <f>+'10 - Merger Costs'!C51</f>
        <v>66635.317999999999</v>
      </c>
      <c r="H25" s="657"/>
      <c r="I25" s="657">
        <f>+'10 - Merger Costs'!D51</f>
        <v>607640.91218217928</v>
      </c>
      <c r="J25" s="657"/>
      <c r="K25" s="657">
        <f>+C25-F25</f>
        <v>0</v>
      </c>
      <c r="L25" s="657">
        <f>+D25-G25-I25</f>
        <v>295035.08981782093</v>
      </c>
      <c r="M25" s="657">
        <f>+E25-J25-H25</f>
        <v>0</v>
      </c>
    </row>
    <row r="26" spans="1:14" ht="13.5" thickBot="1">
      <c r="A26" s="624">
        <v>16</v>
      </c>
      <c r="B26" s="653" t="s">
        <v>765</v>
      </c>
      <c r="C26" s="645">
        <f>+C24-C25</f>
        <v>1754695686.1443346</v>
      </c>
      <c r="D26" s="645">
        <f t="shared" ref="D26:M26" si="4">+D24-D25</f>
        <v>285784326.77514374</v>
      </c>
      <c r="E26" s="645">
        <f t="shared" si="4"/>
        <v>0</v>
      </c>
      <c r="F26" s="645">
        <f t="shared" si="4"/>
        <v>305945179.5733732</v>
      </c>
      <c r="G26" s="645">
        <f t="shared" si="4"/>
        <v>59070938.116131656</v>
      </c>
      <c r="H26" s="645">
        <f t="shared" si="4"/>
        <v>0</v>
      </c>
      <c r="I26" s="645">
        <f t="shared" si="4"/>
        <v>36916189.886350818</v>
      </c>
      <c r="J26" s="645">
        <f t="shared" si="4"/>
        <v>0</v>
      </c>
      <c r="K26" s="645">
        <f t="shared" si="4"/>
        <v>1448750506.5709615</v>
      </c>
      <c r="L26" s="645">
        <f t="shared" si="4"/>
        <v>189797198.77266121</v>
      </c>
      <c r="M26" s="645">
        <f t="shared" si="4"/>
        <v>0</v>
      </c>
    </row>
    <row r="27" spans="1:14" ht="13.5" thickTop="1">
      <c r="A27" s="624"/>
      <c r="B27" s="621"/>
      <c r="C27" s="646"/>
      <c r="D27" s="647"/>
      <c r="E27" s="647"/>
      <c r="F27" s="647"/>
      <c r="G27" s="646"/>
      <c r="H27" s="646"/>
      <c r="I27" s="646"/>
      <c r="J27" s="646"/>
    </row>
    <row r="28" spans="1:14">
      <c r="A28" s="624"/>
      <c r="B28" s="648"/>
      <c r="C28" s="1890" t="s">
        <v>535</v>
      </c>
      <c r="D28" s="1890"/>
      <c r="E28" s="1890"/>
      <c r="F28" s="1890"/>
      <c r="G28" s="1890"/>
      <c r="H28" s="1890"/>
      <c r="I28" s="1890"/>
      <c r="J28" s="1890"/>
    </row>
    <row r="29" spans="1:14" ht="72" customHeight="1">
      <c r="A29" s="624" t="s">
        <v>504</v>
      </c>
      <c r="B29" s="629" t="s">
        <v>169</v>
      </c>
      <c r="C29" s="629" t="s">
        <v>503</v>
      </c>
      <c r="D29" s="629" t="s">
        <v>563</v>
      </c>
      <c r="E29" s="628"/>
      <c r="F29" s="631" t="s">
        <v>560</v>
      </c>
      <c r="G29" s="629"/>
      <c r="H29" s="634" t="s">
        <v>536</v>
      </c>
      <c r="I29" s="634" t="s">
        <v>1747</v>
      </c>
      <c r="J29" s="634" t="s">
        <v>1748</v>
      </c>
      <c r="K29" s="634" t="s">
        <v>1749</v>
      </c>
      <c r="L29" s="634" t="s">
        <v>786</v>
      </c>
    </row>
    <row r="30" spans="1:14" s="635" customFormat="1">
      <c r="A30" s="624"/>
      <c r="B30" s="629" t="s">
        <v>510</v>
      </c>
      <c r="C30" s="631" t="s">
        <v>506</v>
      </c>
      <c r="D30" s="631" t="s">
        <v>507</v>
      </c>
      <c r="E30" s="631" t="s">
        <v>508</v>
      </c>
      <c r="F30" s="631" t="s">
        <v>561</v>
      </c>
      <c r="G30" s="631" t="s">
        <v>509</v>
      </c>
      <c r="H30" s="634"/>
      <c r="I30" s="649"/>
      <c r="J30" s="649"/>
      <c r="K30" s="649"/>
      <c r="L30" s="649"/>
      <c r="M30" s="620"/>
      <c r="N30" s="620"/>
    </row>
    <row r="31" spans="1:14" s="635" customFormat="1">
      <c r="C31" s="629" t="s">
        <v>511</v>
      </c>
      <c r="D31" s="629" t="s">
        <v>512</v>
      </c>
      <c r="E31" s="631" t="s">
        <v>513</v>
      </c>
      <c r="F31" s="629" t="s">
        <v>514</v>
      </c>
      <c r="G31" s="631" t="s">
        <v>515</v>
      </c>
      <c r="H31" s="629" t="s">
        <v>516</v>
      </c>
      <c r="I31" s="629" t="s">
        <v>517</v>
      </c>
      <c r="J31" s="629" t="s">
        <v>518</v>
      </c>
      <c r="K31" s="629" t="s">
        <v>519</v>
      </c>
      <c r="L31" s="631" t="s">
        <v>520</v>
      </c>
      <c r="M31" s="620"/>
      <c r="N31" s="620"/>
    </row>
    <row r="32" spans="1:14" s="635" customFormat="1">
      <c r="A32" s="624"/>
      <c r="B32" s="636" t="s">
        <v>1771</v>
      </c>
      <c r="C32" s="638" t="s">
        <v>319</v>
      </c>
      <c r="D32" s="638">
        <v>28</v>
      </c>
      <c r="E32" s="638">
        <v>50</v>
      </c>
      <c r="F32" s="638">
        <v>47</v>
      </c>
      <c r="G32" s="638">
        <v>45</v>
      </c>
      <c r="H32" s="650"/>
      <c r="I32" s="650"/>
      <c r="J32" s="650"/>
      <c r="K32" s="650"/>
      <c r="L32" s="650"/>
      <c r="M32" s="620"/>
      <c r="N32" s="620"/>
    </row>
    <row r="33" spans="1:16" s="635" customFormat="1" ht="51" customHeight="1">
      <c r="A33" s="624"/>
      <c r="B33" s="629"/>
      <c r="C33" s="641" t="s">
        <v>321</v>
      </c>
      <c r="D33" s="640" t="s">
        <v>982</v>
      </c>
      <c r="E33" s="1304" t="s">
        <v>1772</v>
      </c>
      <c r="F33" s="640" t="s">
        <v>562</v>
      </c>
      <c r="G33" s="1677" t="s">
        <v>639</v>
      </c>
      <c r="H33" s="1677" t="s">
        <v>814</v>
      </c>
      <c r="I33" s="634" t="s">
        <v>315</v>
      </c>
      <c r="J33" s="634" t="s">
        <v>315</v>
      </c>
      <c r="K33" s="634" t="s">
        <v>315</v>
      </c>
      <c r="L33" s="634" t="s">
        <v>315</v>
      </c>
      <c r="M33" s="620"/>
      <c r="N33" s="620"/>
    </row>
    <row r="34" spans="1:16">
      <c r="A34" s="624">
        <v>17</v>
      </c>
      <c r="B34" s="642" t="s">
        <v>524</v>
      </c>
      <c r="C34" s="643"/>
      <c r="D34" s="643">
        <v>1194950</v>
      </c>
      <c r="E34" s="643">
        <v>358174.63466040522</v>
      </c>
      <c r="F34" s="643"/>
      <c r="G34" s="643">
        <f>+'5 - Cost Support 1'!G98</f>
        <v>7393522.0397003442</v>
      </c>
      <c r="H34" s="643"/>
      <c r="I34" s="652"/>
      <c r="J34" s="652"/>
      <c r="K34" s="652"/>
      <c r="L34" s="652"/>
    </row>
    <row r="35" spans="1:16">
      <c r="A35" s="624">
        <v>18</v>
      </c>
      <c r="B35" s="642" t="s">
        <v>525</v>
      </c>
      <c r="C35" s="643"/>
      <c r="D35" s="643">
        <v>782029</v>
      </c>
      <c r="E35" s="643">
        <v>346751.08826603444</v>
      </c>
      <c r="F35" s="684"/>
      <c r="G35" s="643">
        <f>+'5 - Cost Support 1'!H98</f>
        <v>7665129.1173028434</v>
      </c>
      <c r="H35" s="684"/>
      <c r="I35" s="652"/>
      <c r="J35" s="652"/>
      <c r="K35" s="652"/>
      <c r="L35" s="652"/>
    </row>
    <row r="36" spans="1:16">
      <c r="A36" s="624">
        <v>19</v>
      </c>
      <c r="B36" s="621" t="s">
        <v>526</v>
      </c>
      <c r="C36" s="643"/>
      <c r="D36" s="643">
        <v>782029</v>
      </c>
      <c r="E36" s="643">
        <v>333779.43717701355</v>
      </c>
      <c r="F36" s="684"/>
      <c r="G36" s="643">
        <f>+'5 - Cost Support 1'!I98</f>
        <v>7605345.1700817877</v>
      </c>
      <c r="H36" s="684"/>
      <c r="I36" s="652"/>
      <c r="J36" s="652"/>
      <c r="K36" s="652"/>
      <c r="L36" s="652"/>
    </row>
    <row r="37" spans="1:16">
      <c r="A37" s="624">
        <v>20</v>
      </c>
      <c r="B37" s="621" t="s">
        <v>527</v>
      </c>
      <c r="C37" s="643"/>
      <c r="D37" s="643">
        <v>782029</v>
      </c>
      <c r="E37" s="643">
        <v>327168.3700868903</v>
      </c>
      <c r="F37" s="684"/>
      <c r="G37" s="643">
        <f>+'5 - Cost Support 1'!J98</f>
        <v>7237962.4356102217</v>
      </c>
      <c r="H37" s="684"/>
      <c r="I37" s="652"/>
      <c r="J37" s="652"/>
      <c r="K37" s="652"/>
      <c r="L37" s="652"/>
    </row>
    <row r="38" spans="1:16">
      <c r="A38" s="624">
        <v>21</v>
      </c>
      <c r="B38" s="621" t="s">
        <v>171</v>
      </c>
      <c r="C38" s="643"/>
      <c r="D38" s="643">
        <v>782029</v>
      </c>
      <c r="E38" s="643">
        <v>319019.30350556265</v>
      </c>
      <c r="F38" s="684"/>
      <c r="G38" s="643">
        <f>+'5 - Cost Support 1'!K98</f>
        <v>7092515.7939172676</v>
      </c>
      <c r="H38" s="684"/>
      <c r="I38" s="652"/>
      <c r="J38" s="652"/>
      <c r="K38" s="652"/>
      <c r="L38" s="652"/>
    </row>
    <row r="39" spans="1:16">
      <c r="A39" s="624">
        <v>22</v>
      </c>
      <c r="B39" s="621" t="s">
        <v>172</v>
      </c>
      <c r="C39" s="643"/>
      <c r="D39" s="643">
        <v>782029</v>
      </c>
      <c r="E39" s="643">
        <v>3649576.4446892305</v>
      </c>
      <c r="F39" s="684"/>
      <c r="G39" s="643">
        <f>+'5 - Cost Support 1'!L98</f>
        <v>6911923.8903833618</v>
      </c>
      <c r="H39" s="684"/>
      <c r="I39" s="652"/>
      <c r="J39" s="652"/>
      <c r="K39" s="652"/>
      <c r="L39" s="652"/>
    </row>
    <row r="40" spans="1:16">
      <c r="A40" s="624">
        <v>23</v>
      </c>
      <c r="B40" s="621" t="s">
        <v>173</v>
      </c>
      <c r="C40" s="643"/>
      <c r="D40" s="643">
        <v>782029</v>
      </c>
      <c r="E40" s="643">
        <v>4303433.5331432568</v>
      </c>
      <c r="F40" s="684"/>
      <c r="G40" s="643">
        <f>+'5 - Cost Support 1'!M98</f>
        <v>6694605.2395591997</v>
      </c>
      <c r="H40" s="684"/>
      <c r="I40" s="652"/>
      <c r="J40" s="652"/>
      <c r="K40" s="652"/>
      <c r="L40" s="652"/>
    </row>
    <row r="41" spans="1:16">
      <c r="A41" s="624">
        <v>24</v>
      </c>
      <c r="B41" s="621" t="s">
        <v>528</v>
      </c>
      <c r="C41" s="643"/>
      <c r="D41" s="643">
        <v>782029</v>
      </c>
      <c r="E41" s="643">
        <v>4394275.9729964817</v>
      </c>
      <c r="F41" s="684"/>
      <c r="G41" s="643">
        <f>+'5 - Cost Support 1'!N98</f>
        <v>6487482.1889604935</v>
      </c>
      <c r="H41" s="684"/>
      <c r="I41" s="652"/>
      <c r="J41" s="652"/>
      <c r="K41" s="652"/>
      <c r="L41" s="652"/>
    </row>
    <row r="42" spans="1:16">
      <c r="A42" s="624">
        <v>25</v>
      </c>
      <c r="B42" s="621" t="s">
        <v>529</v>
      </c>
      <c r="C42" s="643"/>
      <c r="D42" s="643">
        <v>782029</v>
      </c>
      <c r="E42" s="643">
        <v>4774481.4313434083</v>
      </c>
      <c r="F42" s="684"/>
      <c r="G42" s="643">
        <f>+'5 - Cost Support 1'!O98</f>
        <v>6379466.6806893861</v>
      </c>
      <c r="H42" s="684"/>
      <c r="I42" s="652"/>
      <c r="J42" s="652"/>
      <c r="K42" s="652"/>
      <c r="L42" s="652"/>
    </row>
    <row r="43" spans="1:16">
      <c r="A43" s="624">
        <v>26</v>
      </c>
      <c r="B43" s="621" t="s">
        <v>530</v>
      </c>
      <c r="C43" s="643"/>
      <c r="D43" s="643">
        <v>782029</v>
      </c>
      <c r="E43" s="643">
        <v>4743186.9983692123</v>
      </c>
      <c r="F43" s="684"/>
      <c r="G43" s="643">
        <f>+'5 - Cost Support 1'!P98</f>
        <v>6158848.4181460142</v>
      </c>
      <c r="H43" s="684"/>
      <c r="I43" s="652"/>
      <c r="J43" s="652"/>
      <c r="K43" s="652"/>
      <c r="L43" s="652"/>
    </row>
    <row r="44" spans="1:16">
      <c r="A44" s="624">
        <v>27</v>
      </c>
      <c r="B44" s="621" t="s">
        <v>531</v>
      </c>
      <c r="C44" s="643"/>
      <c r="D44" s="643">
        <v>782029</v>
      </c>
      <c r="E44" s="643">
        <v>4961225.6632495057</v>
      </c>
      <c r="F44" s="684"/>
      <c r="G44" s="643">
        <f>+'5 - Cost Support 1'!Q98</f>
        <v>6052837.319226549</v>
      </c>
      <c r="H44" s="684"/>
      <c r="I44" s="652"/>
      <c r="J44" s="652"/>
      <c r="K44" s="652"/>
      <c r="L44" s="652"/>
    </row>
    <row r="45" spans="1:16">
      <c r="A45" s="624">
        <v>28</v>
      </c>
      <c r="B45" s="621" t="s">
        <v>532</v>
      </c>
      <c r="C45" s="643"/>
      <c r="D45" s="643">
        <v>782029</v>
      </c>
      <c r="E45" s="643">
        <v>5029326.5372742973</v>
      </c>
      <c r="F45" s="684"/>
      <c r="G45" s="643">
        <f>+'5 - Cost Support 1'!R98</f>
        <v>5834952.082818225</v>
      </c>
      <c r="H45" s="684"/>
      <c r="I45" s="652"/>
      <c r="J45" s="652"/>
      <c r="K45" s="652"/>
      <c r="L45" s="652"/>
    </row>
    <row r="46" spans="1:16">
      <c r="A46" s="624">
        <v>29</v>
      </c>
      <c r="B46" s="621" t="s">
        <v>533</v>
      </c>
      <c r="C46" s="643"/>
      <c r="D46" s="643">
        <v>782029</v>
      </c>
      <c r="E46" s="643">
        <v>5055794.8922321266</v>
      </c>
      <c r="F46" s="643"/>
      <c r="G46" s="643">
        <f>+'5 - Cost Support 1'!S98</f>
        <v>5657371.6884701205</v>
      </c>
      <c r="H46" s="643"/>
      <c r="I46" s="652"/>
      <c r="J46" s="652"/>
      <c r="K46" s="652"/>
      <c r="L46" s="652"/>
    </row>
    <row r="47" spans="1:16" ht="13.5" thickBot="1">
      <c r="A47" s="624">
        <v>30</v>
      </c>
      <c r="B47" s="653" t="s">
        <v>764</v>
      </c>
      <c r="C47" s="645">
        <f>SUM(C34:C46)/13</f>
        <v>0</v>
      </c>
      <c r="D47" s="645">
        <f t="shared" ref="D47:H47" si="5">SUM(D34:D46)/13</f>
        <v>813792.15384615387</v>
      </c>
      <c r="E47" s="645">
        <f t="shared" si="5"/>
        <v>2968938.0236148783</v>
      </c>
      <c r="F47" s="645">
        <f t="shared" si="5"/>
        <v>0</v>
      </c>
      <c r="G47" s="645">
        <f t="shared" si="5"/>
        <v>6705535.5434512179</v>
      </c>
      <c r="H47" s="645">
        <f t="shared" si="5"/>
        <v>0</v>
      </c>
      <c r="I47" s="645"/>
      <c r="J47" s="645"/>
      <c r="K47" s="654"/>
      <c r="L47" s="645"/>
      <c r="O47" s="635"/>
    </row>
    <row r="48" spans="1:16" ht="15" thickTop="1">
      <c r="A48" s="624"/>
      <c r="B48" s="621"/>
      <c r="E48"/>
      <c r="F48"/>
      <c r="G48"/>
      <c r="H48"/>
      <c r="I48" s="647"/>
      <c r="K48" s="626"/>
      <c r="P48" s="635"/>
    </row>
    <row r="49" spans="1:18">
      <c r="A49" s="624"/>
      <c r="K49" s="651"/>
      <c r="P49" s="635"/>
    </row>
    <row r="50" spans="1:18">
      <c r="A50" s="659"/>
      <c r="B50" s="660"/>
      <c r="C50" s="661"/>
      <c r="D50" s="661"/>
      <c r="E50" s="661"/>
      <c r="F50" s="661"/>
      <c r="G50" s="661"/>
      <c r="M50" s="635"/>
      <c r="N50" s="635"/>
      <c r="O50" s="635"/>
      <c r="P50" s="635"/>
      <c r="Q50" s="635"/>
      <c r="R50" s="635"/>
    </row>
    <row r="51" spans="1:18">
      <c r="A51" s="659"/>
      <c r="B51" s="660"/>
      <c r="C51" s="661"/>
      <c r="D51" s="661"/>
      <c r="E51" s="661"/>
      <c r="F51" s="661"/>
      <c r="G51" s="661"/>
      <c r="M51" s="635"/>
      <c r="N51" s="635"/>
      <c r="O51" s="635"/>
      <c r="P51" s="635"/>
      <c r="Q51" s="635"/>
      <c r="R51" s="635"/>
    </row>
    <row r="52" spans="1:18">
      <c r="A52" s="624" t="s">
        <v>537</v>
      </c>
    </row>
    <row r="53" spans="1:18" ht="12.75" customHeight="1">
      <c r="A53" s="624" t="s">
        <v>9</v>
      </c>
      <c r="B53" s="1891" t="s">
        <v>1190</v>
      </c>
      <c r="C53" s="1891"/>
      <c r="D53" s="1891"/>
      <c r="E53" s="1891"/>
      <c r="F53" s="1891"/>
      <c r="G53" s="1891"/>
      <c r="H53" s="1891"/>
      <c r="I53" s="1891"/>
      <c r="J53" s="1891"/>
      <c r="K53" s="1891"/>
      <c r="L53" s="1891"/>
    </row>
    <row r="54" spans="1:18" ht="12.75" customHeight="1">
      <c r="A54" s="624" t="s">
        <v>10</v>
      </c>
      <c r="B54" s="620" t="s">
        <v>538</v>
      </c>
      <c r="C54" s="662"/>
      <c r="D54" s="662"/>
      <c r="E54" s="662"/>
      <c r="F54" s="662"/>
      <c r="G54" s="662"/>
      <c r="H54" s="662"/>
      <c r="I54" s="662"/>
      <c r="J54" s="662"/>
      <c r="K54" s="662"/>
      <c r="L54" s="662"/>
    </row>
    <row r="55" spans="1:18">
      <c r="A55" s="624"/>
      <c r="B55" s="663" t="s">
        <v>539</v>
      </c>
      <c r="C55" s="664"/>
      <c r="D55" s="664"/>
      <c r="E55" s="664"/>
      <c r="F55" s="664"/>
      <c r="G55" s="664"/>
      <c r="H55" s="664"/>
      <c r="I55" s="670"/>
      <c r="J55" s="664"/>
      <c r="K55" s="664"/>
      <c r="L55" s="664"/>
    </row>
    <row r="56" spans="1:18">
      <c r="A56" s="624"/>
      <c r="B56" s="663" t="s">
        <v>540</v>
      </c>
      <c r="C56" s="664"/>
      <c r="D56" s="664"/>
      <c r="E56" s="664"/>
      <c r="F56" s="664"/>
      <c r="G56" s="664"/>
      <c r="H56" s="664"/>
      <c r="I56" s="670"/>
      <c r="J56" s="664"/>
      <c r="K56" s="664"/>
      <c r="L56" s="664"/>
    </row>
    <row r="57" spans="1:18" ht="12.75" customHeight="1">
      <c r="A57" s="624" t="s">
        <v>11</v>
      </c>
      <c r="B57" s="620" t="s">
        <v>858</v>
      </c>
    </row>
    <row r="58" spans="1:18">
      <c r="A58" s="624" t="s">
        <v>14</v>
      </c>
      <c r="B58" s="665" t="s">
        <v>542</v>
      </c>
    </row>
    <row r="59" spans="1:18">
      <c r="A59" s="624" t="s">
        <v>138</v>
      </c>
      <c r="B59" s="620" t="s">
        <v>543</v>
      </c>
    </row>
    <row r="60" spans="1:18">
      <c r="A60" s="624" t="s">
        <v>139</v>
      </c>
      <c r="B60" s="620" t="s">
        <v>1779</v>
      </c>
    </row>
    <row r="61" spans="1:18">
      <c r="A61" s="1139" t="s">
        <v>140</v>
      </c>
      <c r="B61" s="1140" t="s">
        <v>1191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40"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S204"/>
  <sheetViews>
    <sheetView topLeftCell="A92" zoomScale="68" zoomScaleNormal="68" workbookViewId="0">
      <selection activeCell="L92" sqref="L92"/>
    </sheetView>
  </sheetViews>
  <sheetFormatPr defaultColWidth="9.1796875" defaultRowHeight="12.5"/>
  <cols>
    <col min="1" max="1" width="5.7265625" style="1008" customWidth="1"/>
    <col min="2" max="2" width="9.453125" style="1314" customWidth="1"/>
    <col min="3" max="3" width="5.7265625" style="1008" customWidth="1"/>
    <col min="4" max="4" width="32.1796875" style="1008" customWidth="1"/>
    <col min="5" max="5" width="14.453125" style="1008" customWidth="1"/>
    <col min="6" max="6" width="21.81640625" style="1008" customWidth="1"/>
    <col min="7" max="7" width="15.1796875" style="1008" customWidth="1"/>
    <col min="8" max="8" width="22.7265625" style="1008" customWidth="1"/>
    <col min="9" max="9" width="3.81640625" style="1008" customWidth="1"/>
    <col min="10" max="10" width="23.1796875" style="1008" customWidth="1"/>
    <col min="11" max="11" width="21.81640625" style="1008" customWidth="1"/>
    <col min="12" max="12" width="24.54296875" style="1008" customWidth="1"/>
    <col min="13" max="13" width="3.81640625" style="1008" customWidth="1"/>
    <col min="14" max="14" width="19.7265625" style="1008" customWidth="1"/>
    <col min="15" max="15" width="25.453125" style="1008" customWidth="1"/>
    <col min="16" max="16" width="24.7265625" style="1008" customWidth="1"/>
    <col min="17" max="17" width="25" style="1008" customWidth="1"/>
    <col min="18" max="18" width="26.54296875" style="1008" customWidth="1"/>
    <col min="19" max="19" width="3.81640625" style="1008" customWidth="1"/>
    <col min="20" max="16384" width="9.1796875" style="1008"/>
  </cols>
  <sheetData>
    <row r="1" spans="1:19" ht="15.5">
      <c r="A1" s="1736" t="s">
        <v>1547</v>
      </c>
      <c r="B1" s="1736"/>
      <c r="C1" s="1736"/>
      <c r="D1" s="1736"/>
      <c r="E1" s="1736"/>
      <c r="F1" s="1736"/>
      <c r="G1" s="1736"/>
      <c r="H1" s="1736"/>
      <c r="I1" s="1736"/>
      <c r="J1" s="1736"/>
      <c r="K1" s="1736"/>
      <c r="L1" s="1736"/>
      <c r="M1" s="1736"/>
      <c r="N1" s="1736"/>
      <c r="O1" s="1736"/>
      <c r="P1" s="1736"/>
      <c r="Q1" s="1736"/>
      <c r="R1" s="1736"/>
      <c r="S1" s="1311"/>
    </row>
    <row r="2" spans="1:19" ht="15.5">
      <c r="A2" s="1736" t="s">
        <v>1290</v>
      </c>
      <c r="B2" s="1736"/>
      <c r="C2" s="1736"/>
      <c r="D2" s="1736"/>
      <c r="E2" s="1736"/>
      <c r="F2" s="1736"/>
      <c r="G2" s="1736"/>
      <c r="H2" s="1736"/>
      <c r="I2" s="1736"/>
      <c r="J2" s="1736"/>
      <c r="K2" s="1736"/>
      <c r="L2" s="1736"/>
      <c r="M2" s="1736"/>
      <c r="N2" s="1736"/>
      <c r="O2" s="1736"/>
      <c r="P2" s="1736"/>
      <c r="Q2" s="1736"/>
      <c r="R2" s="1736"/>
      <c r="S2" s="1311"/>
    </row>
    <row r="3" spans="1:19" ht="15.5">
      <c r="A3" s="1736" t="s">
        <v>1291</v>
      </c>
      <c r="B3" s="1736"/>
      <c r="C3" s="1736"/>
      <c r="D3" s="1736"/>
      <c r="E3" s="1736"/>
      <c r="F3" s="1736"/>
      <c r="G3" s="1736"/>
      <c r="H3" s="1736"/>
      <c r="I3" s="1736"/>
      <c r="J3" s="1736"/>
      <c r="K3" s="1736"/>
      <c r="L3" s="1736"/>
      <c r="M3" s="1736"/>
      <c r="N3" s="1736"/>
      <c r="O3" s="1736"/>
      <c r="P3" s="1736"/>
      <c r="Q3" s="1736"/>
      <c r="R3" s="1736"/>
      <c r="S3" s="1311"/>
    </row>
    <row r="4" spans="1:19" ht="13">
      <c r="A4" s="1311"/>
      <c r="B4" s="1312"/>
      <c r="C4" s="1311"/>
    </row>
    <row r="5" spans="1:19" s="911" customFormat="1" ht="15.5">
      <c r="B5" s="1313"/>
      <c r="D5" s="911" t="s">
        <v>910</v>
      </c>
      <c r="E5" s="913" t="s">
        <v>1801</v>
      </c>
      <c r="F5" s="914"/>
      <c r="G5" s="914"/>
      <c r="H5" s="914"/>
    </row>
    <row r="6" spans="1:19" ht="13">
      <c r="D6" s="1311"/>
    </row>
    <row r="7" spans="1:19" ht="13">
      <c r="D7" s="1311" t="s">
        <v>911</v>
      </c>
      <c r="J7" s="1737"/>
      <c r="K7" s="1737"/>
      <c r="L7" s="1737"/>
      <c r="N7" s="1737"/>
      <c r="O7" s="1737"/>
      <c r="P7" s="1737"/>
      <c r="Q7" s="1737"/>
      <c r="R7" s="1737"/>
    </row>
    <row r="8" spans="1:19" ht="13">
      <c r="D8" s="1730" t="s">
        <v>912</v>
      </c>
      <c r="E8" s="1731"/>
      <c r="F8" s="1731"/>
      <c r="G8" s="1731"/>
      <c r="H8" s="1732"/>
      <c r="I8" s="1315"/>
      <c r="J8" s="1733" t="s">
        <v>1292</v>
      </c>
      <c r="K8" s="1734"/>
      <c r="L8" s="1735"/>
      <c r="M8" s="1315"/>
      <c r="N8" s="1733" t="s">
        <v>1293</v>
      </c>
      <c r="O8" s="1734"/>
      <c r="P8" s="1734"/>
      <c r="Q8" s="1734"/>
      <c r="R8" s="1735"/>
      <c r="S8" s="1315"/>
    </row>
    <row r="9" spans="1:19" ht="13">
      <c r="D9" s="1316" t="s">
        <v>174</v>
      </c>
      <c r="E9" s="1316" t="s">
        <v>175</v>
      </c>
      <c r="F9" s="1316" t="s">
        <v>1294</v>
      </c>
      <c r="G9" s="1316" t="s">
        <v>1295</v>
      </c>
      <c r="H9" s="1316" t="s">
        <v>1296</v>
      </c>
      <c r="I9" s="1315"/>
      <c r="J9" s="1316" t="s">
        <v>1297</v>
      </c>
      <c r="K9" s="1316" t="s">
        <v>1298</v>
      </c>
      <c r="L9" s="1316" t="s">
        <v>1299</v>
      </c>
      <c r="M9" s="1315"/>
      <c r="N9" s="1316" t="s">
        <v>1300</v>
      </c>
      <c r="O9" s="1316" t="s">
        <v>1301</v>
      </c>
      <c r="P9" s="1316" t="s">
        <v>1302</v>
      </c>
      <c r="Q9" s="1316" t="s">
        <v>1303</v>
      </c>
      <c r="R9" s="1316" t="s">
        <v>1304</v>
      </c>
      <c r="S9" s="1315"/>
    </row>
    <row r="10" spans="1:19" ht="63" customHeight="1">
      <c r="B10" s="1317" t="s">
        <v>1305</v>
      </c>
      <c r="D10" s="1318" t="s">
        <v>169</v>
      </c>
      <c r="E10" s="1318" t="s">
        <v>913</v>
      </c>
      <c r="F10" s="1318" t="s">
        <v>1005</v>
      </c>
      <c r="G10" s="1318" t="s">
        <v>1004</v>
      </c>
      <c r="H10" s="1318" t="s">
        <v>1306</v>
      </c>
      <c r="I10" s="1636"/>
      <c r="J10" s="1318" t="s">
        <v>916</v>
      </c>
      <c r="K10" s="1318" t="s">
        <v>1307</v>
      </c>
      <c r="L10" s="1318" t="s">
        <v>1308</v>
      </c>
      <c r="M10" s="1636"/>
      <c r="N10" s="1318" t="s">
        <v>1003</v>
      </c>
      <c r="O10" s="1318" t="s">
        <v>1309</v>
      </c>
      <c r="P10" s="1318" t="s">
        <v>1310</v>
      </c>
      <c r="Q10" s="1318" t="s">
        <v>1311</v>
      </c>
      <c r="R10" s="1318" t="s">
        <v>1312</v>
      </c>
      <c r="S10" s="1636"/>
    </row>
    <row r="11" spans="1:19">
      <c r="E11" s="1636"/>
      <c r="F11" s="1636"/>
      <c r="G11" s="1636"/>
      <c r="H11" s="1636"/>
      <c r="I11" s="1636"/>
      <c r="J11" s="1636"/>
      <c r="K11" s="1636"/>
      <c r="L11" s="1636"/>
      <c r="M11" s="1636"/>
      <c r="N11" s="1636"/>
      <c r="O11" s="1636"/>
      <c r="P11" s="1636"/>
      <c r="Q11" s="1636"/>
      <c r="R11" s="1636"/>
      <c r="S11" s="1636"/>
    </row>
    <row r="12" spans="1:19">
      <c r="B12" s="1314">
        <v>1</v>
      </c>
      <c r="D12" s="1008" t="s">
        <v>1002</v>
      </c>
      <c r="E12" s="1636"/>
      <c r="F12" s="1636"/>
      <c r="G12" s="1636"/>
      <c r="H12" s="1636"/>
      <c r="I12" s="1636"/>
      <c r="J12" s="1319" t="s">
        <v>1802</v>
      </c>
      <c r="K12" s="1636"/>
      <c r="L12" s="1319">
        <v>0</v>
      </c>
      <c r="M12" s="1636"/>
      <c r="N12" s="1319"/>
      <c r="O12" s="1636"/>
      <c r="P12" s="1636"/>
      <c r="Q12" s="1636"/>
      <c r="R12" s="1319">
        <v>0</v>
      </c>
      <c r="S12" s="1636"/>
    </row>
    <row r="13" spans="1:19">
      <c r="E13" s="1636"/>
      <c r="F13" s="1636"/>
      <c r="G13" s="1636"/>
      <c r="H13" s="1636"/>
      <c r="I13" s="1636"/>
      <c r="J13" s="1636"/>
      <c r="K13" s="1636"/>
      <c r="L13" s="1636"/>
      <c r="M13" s="1636"/>
      <c r="N13" s="1636"/>
      <c r="O13" s="1636"/>
      <c r="P13" s="1636"/>
      <c r="Q13" s="1636"/>
      <c r="R13" s="1636"/>
      <c r="S13" s="1636"/>
    </row>
    <row r="14" spans="1:19">
      <c r="B14" s="1314">
        <f>B12+1</f>
        <v>2</v>
      </c>
      <c r="D14" s="1320" t="s">
        <v>525</v>
      </c>
      <c r="E14" s="1319">
        <v>31</v>
      </c>
      <c r="F14" s="1321">
        <v>0</v>
      </c>
      <c r="G14" s="1321">
        <v>214</v>
      </c>
      <c r="H14" s="1322">
        <f t="shared" ref="H14:H25" si="0">IF(F14=0,0.5,F14/G14)</f>
        <v>0.5</v>
      </c>
      <c r="I14" s="1323"/>
      <c r="J14" s="1319">
        <v>0</v>
      </c>
      <c r="K14" s="1324">
        <f t="shared" ref="K14:K25" si="1">+J14*H14</f>
        <v>0</v>
      </c>
      <c r="L14" s="1324">
        <f>+K14+L12</f>
        <v>0</v>
      </c>
      <c r="M14" s="1323"/>
      <c r="N14" s="1319">
        <v>0</v>
      </c>
      <c r="O14" s="1324">
        <f>IF($D$177="True-Up Adjustment",N14-J14,0)</f>
        <v>0</v>
      </c>
      <c r="P14" s="1324">
        <f>IF($D$177="True-Up Adjustment",IF(AND(J14&gt;=0,N14&gt;=0),IF(O14&gt;=0,K14+O14,N14/J14*K14),IF(AND(J14&lt;0,N14&lt;0),IF(O14&lt;0,K14+O14,N14/J14*K14),0)),0)</f>
        <v>0</v>
      </c>
      <c r="Q14" s="1324">
        <f t="shared" ref="Q14:Q25" si="2">IF(AND(J14&gt;=0,N14&lt;0),N14,IF(AND(J14&lt;0,N14&gt;=0),N14,0))</f>
        <v>0</v>
      </c>
      <c r="R14" s="1324">
        <f>+Q14+R12</f>
        <v>0</v>
      </c>
      <c r="S14" s="1323"/>
    </row>
    <row r="15" spans="1:19">
      <c r="B15" s="1314">
        <f t="shared" ref="B15:B26" si="3">+B14+1</f>
        <v>3</v>
      </c>
      <c r="D15" s="1320" t="s">
        <v>526</v>
      </c>
      <c r="E15" s="1319">
        <v>28</v>
      </c>
      <c r="F15" s="1321">
        <v>0</v>
      </c>
      <c r="G15" s="1321">
        <f t="shared" ref="G15:G25" si="4">G14</f>
        <v>214</v>
      </c>
      <c r="H15" s="1322">
        <f t="shared" si="0"/>
        <v>0.5</v>
      </c>
      <c r="I15" s="1323"/>
      <c r="J15" s="1319">
        <v>0</v>
      </c>
      <c r="K15" s="1324">
        <f>+J15*H15</f>
        <v>0</v>
      </c>
      <c r="L15" s="1324">
        <f t="shared" ref="L15:L25" si="5">+K15+L14</f>
        <v>0</v>
      </c>
      <c r="M15" s="1323"/>
      <c r="N15" s="1319">
        <v>0</v>
      </c>
      <c r="O15" s="1324">
        <f t="shared" ref="O15:O25" si="6">IF($D$177="True-Up Adjustment",N15-J15,0)</f>
        <v>0</v>
      </c>
      <c r="P15" s="1324">
        <f t="shared" ref="P15:P25" si="7">IF($D$177="True-Up Adjustment",IF(AND(J15&gt;=0,N15&gt;=0),IF(O15&gt;=0,K15+O15,N15/J15*K15),IF(AND(J15&lt;0,N15&lt;0),IF(O15&lt;0,K15+O15,N15/J15*K15),0)),0)</f>
        <v>0</v>
      </c>
      <c r="Q15" s="1324">
        <f t="shared" si="2"/>
        <v>0</v>
      </c>
      <c r="R15" s="1324">
        <f t="shared" ref="R15:R25" si="8">R14+P15+Q15</f>
        <v>0</v>
      </c>
      <c r="S15" s="1323"/>
    </row>
    <row r="16" spans="1:19">
      <c r="B16" s="1314">
        <f t="shared" si="3"/>
        <v>4</v>
      </c>
      <c r="D16" s="1320" t="s">
        <v>545</v>
      </c>
      <c r="E16" s="1319">
        <v>31</v>
      </c>
      <c r="F16" s="1321">
        <v>0</v>
      </c>
      <c r="G16" s="1321">
        <f t="shared" si="4"/>
        <v>214</v>
      </c>
      <c r="H16" s="1322">
        <f t="shared" si="0"/>
        <v>0.5</v>
      </c>
      <c r="I16" s="1323"/>
      <c r="J16" s="1319">
        <v>0</v>
      </c>
      <c r="K16" s="1324">
        <f t="shared" si="1"/>
        <v>0</v>
      </c>
      <c r="L16" s="1324">
        <f t="shared" si="5"/>
        <v>0</v>
      </c>
      <c r="M16" s="1323"/>
      <c r="N16" s="1319">
        <v>0</v>
      </c>
      <c r="O16" s="1324">
        <f t="shared" si="6"/>
        <v>0</v>
      </c>
      <c r="P16" s="1324">
        <f t="shared" si="7"/>
        <v>0</v>
      </c>
      <c r="Q16" s="1324">
        <f t="shared" si="2"/>
        <v>0</v>
      </c>
      <c r="R16" s="1324">
        <f t="shared" si="8"/>
        <v>0</v>
      </c>
      <c r="S16" s="1323"/>
    </row>
    <row r="17" spans="2:19">
      <c r="B17" s="1314">
        <f t="shared" si="3"/>
        <v>5</v>
      </c>
      <c r="D17" s="1320" t="s">
        <v>171</v>
      </c>
      <c r="E17" s="1319">
        <v>30</v>
      </c>
      <c r="F17" s="1321">
        <v>0</v>
      </c>
      <c r="G17" s="1321">
        <f t="shared" si="4"/>
        <v>214</v>
      </c>
      <c r="H17" s="1322">
        <f t="shared" si="0"/>
        <v>0.5</v>
      </c>
      <c r="I17" s="1323"/>
      <c r="J17" s="1319">
        <v>0</v>
      </c>
      <c r="K17" s="1324">
        <f t="shared" si="1"/>
        <v>0</v>
      </c>
      <c r="L17" s="1324">
        <f t="shared" si="5"/>
        <v>0</v>
      </c>
      <c r="M17" s="1323"/>
      <c r="N17" s="1319">
        <v>0</v>
      </c>
      <c r="O17" s="1324">
        <f t="shared" si="6"/>
        <v>0</v>
      </c>
      <c r="P17" s="1324">
        <f t="shared" si="7"/>
        <v>0</v>
      </c>
      <c r="Q17" s="1324">
        <f t="shared" si="2"/>
        <v>0</v>
      </c>
      <c r="R17" s="1324">
        <f t="shared" si="8"/>
        <v>0</v>
      </c>
      <c r="S17" s="1323"/>
    </row>
    <row r="18" spans="2:19">
      <c r="B18" s="1314">
        <f t="shared" si="3"/>
        <v>6</v>
      </c>
      <c r="D18" s="1320" t="s">
        <v>172</v>
      </c>
      <c r="E18" s="1319">
        <v>31</v>
      </c>
      <c r="F18" s="1321">
        <v>0</v>
      </c>
      <c r="G18" s="1321">
        <f t="shared" si="4"/>
        <v>214</v>
      </c>
      <c r="H18" s="1322">
        <f t="shared" si="0"/>
        <v>0.5</v>
      </c>
      <c r="I18" s="1323"/>
      <c r="J18" s="1319">
        <v>0</v>
      </c>
      <c r="K18" s="1324">
        <f t="shared" si="1"/>
        <v>0</v>
      </c>
      <c r="L18" s="1324">
        <f t="shared" si="5"/>
        <v>0</v>
      </c>
      <c r="M18" s="1323"/>
      <c r="N18" s="1319">
        <v>0</v>
      </c>
      <c r="O18" s="1324">
        <f t="shared" si="6"/>
        <v>0</v>
      </c>
      <c r="P18" s="1324">
        <f t="shared" si="7"/>
        <v>0</v>
      </c>
      <c r="Q18" s="1324">
        <f t="shared" si="2"/>
        <v>0</v>
      </c>
      <c r="R18" s="1324">
        <f t="shared" si="8"/>
        <v>0</v>
      </c>
      <c r="S18" s="1323"/>
    </row>
    <row r="19" spans="2:19">
      <c r="B19" s="1314">
        <f t="shared" si="3"/>
        <v>7</v>
      </c>
      <c r="D19" s="1320" t="s">
        <v>173</v>
      </c>
      <c r="E19" s="1319">
        <v>30</v>
      </c>
      <c r="F19" s="1321">
        <f t="shared" ref="F19:F24" si="9">E20+F20</f>
        <v>185</v>
      </c>
      <c r="G19" s="1321">
        <f t="shared" si="4"/>
        <v>214</v>
      </c>
      <c r="H19" s="1322">
        <f t="shared" si="0"/>
        <v>0.86448598130841126</v>
      </c>
      <c r="I19" s="1323"/>
      <c r="J19" s="1319">
        <v>0</v>
      </c>
      <c r="K19" s="1324">
        <f t="shared" si="1"/>
        <v>0</v>
      </c>
      <c r="L19" s="1324">
        <f t="shared" si="5"/>
        <v>0</v>
      </c>
      <c r="M19" s="1323"/>
      <c r="N19" s="1319">
        <v>0</v>
      </c>
      <c r="O19" s="1324">
        <f t="shared" si="6"/>
        <v>0</v>
      </c>
      <c r="P19" s="1324">
        <f t="shared" si="7"/>
        <v>0</v>
      </c>
      <c r="Q19" s="1324">
        <f t="shared" si="2"/>
        <v>0</v>
      </c>
      <c r="R19" s="1324">
        <f t="shared" si="8"/>
        <v>0</v>
      </c>
      <c r="S19" s="1323"/>
    </row>
    <row r="20" spans="2:19">
      <c r="B20" s="1314">
        <f t="shared" si="3"/>
        <v>8</v>
      </c>
      <c r="D20" s="1320" t="s">
        <v>528</v>
      </c>
      <c r="E20" s="1319">
        <v>31</v>
      </c>
      <c r="F20" s="1321">
        <f t="shared" si="9"/>
        <v>154</v>
      </c>
      <c r="G20" s="1321">
        <f t="shared" si="4"/>
        <v>214</v>
      </c>
      <c r="H20" s="1322">
        <f t="shared" si="0"/>
        <v>0.71962616822429903</v>
      </c>
      <c r="I20" s="1323"/>
      <c r="J20" s="1319">
        <v>0</v>
      </c>
      <c r="K20" s="1324">
        <f t="shared" si="1"/>
        <v>0</v>
      </c>
      <c r="L20" s="1324">
        <f t="shared" si="5"/>
        <v>0</v>
      </c>
      <c r="M20" s="1323"/>
      <c r="N20" s="1319">
        <v>0</v>
      </c>
      <c r="O20" s="1324">
        <f t="shared" si="6"/>
        <v>0</v>
      </c>
      <c r="P20" s="1324">
        <f t="shared" si="7"/>
        <v>0</v>
      </c>
      <c r="Q20" s="1324">
        <f t="shared" si="2"/>
        <v>0</v>
      </c>
      <c r="R20" s="1324">
        <f t="shared" si="8"/>
        <v>0</v>
      </c>
      <c r="S20" s="1323"/>
    </row>
    <row r="21" spans="2:19">
      <c r="B21" s="1314">
        <f t="shared" si="3"/>
        <v>9</v>
      </c>
      <c r="D21" s="1320" t="s">
        <v>546</v>
      </c>
      <c r="E21" s="1319">
        <v>31</v>
      </c>
      <c r="F21" s="1321">
        <f t="shared" si="9"/>
        <v>123</v>
      </c>
      <c r="G21" s="1321">
        <f t="shared" si="4"/>
        <v>214</v>
      </c>
      <c r="H21" s="1322">
        <f t="shared" si="0"/>
        <v>0.57476635514018692</v>
      </c>
      <c r="I21" s="1323"/>
      <c r="J21" s="1319">
        <v>0</v>
      </c>
      <c r="K21" s="1324">
        <f t="shared" si="1"/>
        <v>0</v>
      </c>
      <c r="L21" s="1324">
        <f t="shared" si="5"/>
        <v>0</v>
      </c>
      <c r="M21" s="1323"/>
      <c r="N21" s="1319">
        <v>0</v>
      </c>
      <c r="O21" s="1324">
        <f t="shared" si="6"/>
        <v>0</v>
      </c>
      <c r="P21" s="1324">
        <f t="shared" si="7"/>
        <v>0</v>
      </c>
      <c r="Q21" s="1324">
        <f t="shared" si="2"/>
        <v>0</v>
      </c>
      <c r="R21" s="1324">
        <f t="shared" si="8"/>
        <v>0</v>
      </c>
      <c r="S21" s="1323"/>
    </row>
    <row r="22" spans="2:19">
      <c r="B22" s="1314">
        <f t="shared" si="3"/>
        <v>10</v>
      </c>
      <c r="D22" s="1320" t="s">
        <v>530</v>
      </c>
      <c r="E22" s="1319">
        <v>30</v>
      </c>
      <c r="F22" s="1321">
        <f t="shared" si="9"/>
        <v>93</v>
      </c>
      <c r="G22" s="1321">
        <f t="shared" si="4"/>
        <v>214</v>
      </c>
      <c r="H22" s="1322">
        <f t="shared" si="0"/>
        <v>0.43457943925233644</v>
      </c>
      <c r="I22" s="1323"/>
      <c r="J22" s="1319">
        <v>0</v>
      </c>
      <c r="K22" s="1324">
        <f t="shared" si="1"/>
        <v>0</v>
      </c>
      <c r="L22" s="1324">
        <f t="shared" si="5"/>
        <v>0</v>
      </c>
      <c r="M22" s="1323"/>
      <c r="N22" s="1319">
        <v>0</v>
      </c>
      <c r="O22" s="1324">
        <f t="shared" si="6"/>
        <v>0</v>
      </c>
      <c r="P22" s="1324">
        <f t="shared" si="7"/>
        <v>0</v>
      </c>
      <c r="Q22" s="1324">
        <f t="shared" si="2"/>
        <v>0</v>
      </c>
      <c r="R22" s="1324">
        <f t="shared" si="8"/>
        <v>0</v>
      </c>
      <c r="S22" s="1323"/>
    </row>
    <row r="23" spans="2:19">
      <c r="B23" s="1314">
        <f t="shared" si="3"/>
        <v>11</v>
      </c>
      <c r="D23" s="1320" t="s">
        <v>531</v>
      </c>
      <c r="E23" s="1319">
        <v>31</v>
      </c>
      <c r="F23" s="1321">
        <f t="shared" si="9"/>
        <v>62</v>
      </c>
      <c r="G23" s="1321">
        <f t="shared" si="4"/>
        <v>214</v>
      </c>
      <c r="H23" s="1322">
        <f t="shared" si="0"/>
        <v>0.28971962616822428</v>
      </c>
      <c r="I23" s="1323"/>
      <c r="J23" s="1319">
        <v>0</v>
      </c>
      <c r="K23" s="1324">
        <f t="shared" si="1"/>
        <v>0</v>
      </c>
      <c r="L23" s="1324">
        <f t="shared" si="5"/>
        <v>0</v>
      </c>
      <c r="M23" s="1323"/>
      <c r="N23" s="1319">
        <v>0</v>
      </c>
      <c r="O23" s="1324">
        <f t="shared" si="6"/>
        <v>0</v>
      </c>
      <c r="P23" s="1324">
        <f t="shared" si="7"/>
        <v>0</v>
      </c>
      <c r="Q23" s="1324">
        <f t="shared" si="2"/>
        <v>0</v>
      </c>
      <c r="R23" s="1324">
        <f t="shared" si="8"/>
        <v>0</v>
      </c>
      <c r="S23" s="1323"/>
    </row>
    <row r="24" spans="2:19">
      <c r="B24" s="1314">
        <f t="shared" si="3"/>
        <v>12</v>
      </c>
      <c r="D24" s="1320" t="s">
        <v>532</v>
      </c>
      <c r="E24" s="1319">
        <v>30</v>
      </c>
      <c r="F24" s="1321">
        <f t="shared" si="9"/>
        <v>32</v>
      </c>
      <c r="G24" s="1321">
        <f t="shared" si="4"/>
        <v>214</v>
      </c>
      <c r="H24" s="1322">
        <f t="shared" si="0"/>
        <v>0.14953271028037382</v>
      </c>
      <c r="I24" s="1323"/>
      <c r="J24" s="1319">
        <v>0</v>
      </c>
      <c r="K24" s="1324">
        <f t="shared" si="1"/>
        <v>0</v>
      </c>
      <c r="L24" s="1324">
        <f t="shared" si="5"/>
        <v>0</v>
      </c>
      <c r="M24" s="1323"/>
      <c r="N24" s="1319">
        <v>0</v>
      </c>
      <c r="O24" s="1324">
        <f t="shared" si="6"/>
        <v>0</v>
      </c>
      <c r="P24" s="1324">
        <f t="shared" si="7"/>
        <v>0</v>
      </c>
      <c r="Q24" s="1324">
        <f t="shared" si="2"/>
        <v>0</v>
      </c>
      <c r="R24" s="1324">
        <f t="shared" si="8"/>
        <v>0</v>
      </c>
      <c r="S24" s="1323"/>
    </row>
    <row r="25" spans="2:19">
      <c r="B25" s="1314">
        <f t="shared" si="3"/>
        <v>13</v>
      </c>
      <c r="D25" s="1325" t="s">
        <v>749</v>
      </c>
      <c r="E25" s="1319">
        <v>31</v>
      </c>
      <c r="F25" s="1326">
        <v>1</v>
      </c>
      <c r="G25" s="1321">
        <f t="shared" si="4"/>
        <v>214</v>
      </c>
      <c r="H25" s="1322">
        <f t="shared" si="0"/>
        <v>4.6728971962616819E-3</v>
      </c>
      <c r="I25" s="1323"/>
      <c r="J25" s="1319">
        <v>0</v>
      </c>
      <c r="K25" s="1324">
        <f t="shared" si="1"/>
        <v>0</v>
      </c>
      <c r="L25" s="1324">
        <f t="shared" si="5"/>
        <v>0</v>
      </c>
      <c r="M25" s="1323"/>
      <c r="N25" s="1319">
        <v>0</v>
      </c>
      <c r="O25" s="1324">
        <f t="shared" si="6"/>
        <v>0</v>
      </c>
      <c r="P25" s="1324">
        <f t="shared" si="7"/>
        <v>0</v>
      </c>
      <c r="Q25" s="1324">
        <f t="shared" si="2"/>
        <v>0</v>
      </c>
      <c r="R25" s="1324">
        <f t="shared" si="8"/>
        <v>0</v>
      </c>
      <c r="S25" s="1323"/>
    </row>
    <row r="26" spans="2:19">
      <c r="B26" s="1314">
        <f t="shared" si="3"/>
        <v>14</v>
      </c>
      <c r="D26" s="1327" t="str">
        <f>"Total (Sum of Lines "&amp;B14&amp;" - "&amp;B25&amp;")"</f>
        <v>Total (Sum of Lines 2 - 13)</v>
      </c>
      <c r="E26" s="1328">
        <f>SUM(E14:E25)</f>
        <v>365</v>
      </c>
      <c r="F26" s="1329"/>
      <c r="G26" s="1329"/>
      <c r="H26" s="1330"/>
      <c r="I26" s="1331"/>
      <c r="J26" s="1328">
        <f>SUM(J14:J25)</f>
        <v>0</v>
      </c>
      <c r="K26" s="1328">
        <f>SUM(K14:K25)</f>
        <v>0</v>
      </c>
      <c r="L26" s="1332"/>
      <c r="M26" s="1331"/>
      <c r="N26" s="1328">
        <f>SUM(N14:N25)</f>
        <v>0</v>
      </c>
      <c r="O26" s="1328">
        <f>SUM(O14:O25)</f>
        <v>0</v>
      </c>
      <c r="P26" s="1328">
        <f>SUM(P14:P25)</f>
        <v>0</v>
      </c>
      <c r="Q26" s="1328">
        <f>SUM(Q14:Q25)</f>
        <v>0</v>
      </c>
      <c r="R26" s="1332"/>
      <c r="S26" s="1331"/>
    </row>
    <row r="27" spans="2:19">
      <c r="D27" s="1333"/>
      <c r="E27" s="1333"/>
      <c r="F27" s="1333"/>
      <c r="G27" s="1333"/>
      <c r="H27" s="1334"/>
      <c r="I27" s="1334"/>
      <c r="K27" s="1335"/>
      <c r="L27" s="1334"/>
      <c r="M27" s="1334"/>
      <c r="O27" s="1335"/>
      <c r="P27" s="1335"/>
      <c r="Q27" s="1335"/>
      <c r="R27" s="1334"/>
      <c r="S27" s="1334"/>
    </row>
    <row r="28" spans="2:19">
      <c r="B28" s="1314">
        <f>B26+1</f>
        <v>15</v>
      </c>
      <c r="D28" s="1008" t="s">
        <v>917</v>
      </c>
      <c r="I28" s="1334"/>
      <c r="J28" s="1319" t="s">
        <v>1802</v>
      </c>
      <c r="L28" s="1319">
        <f>'1C - ADIT BOY'!E11</f>
        <v>15125589.748492952</v>
      </c>
      <c r="M28" s="1336"/>
      <c r="N28" s="1319"/>
      <c r="R28" s="1319">
        <v>0</v>
      </c>
    </row>
    <row r="29" spans="2:19">
      <c r="B29" s="1314">
        <f>B28+1</f>
        <v>16</v>
      </c>
      <c r="D29" s="1008" t="s">
        <v>1774</v>
      </c>
      <c r="I29" s="1334"/>
      <c r="J29" s="1337" t="s">
        <v>639</v>
      </c>
      <c r="L29" s="1338">
        <v>0</v>
      </c>
      <c r="M29" s="1339"/>
      <c r="N29" s="1337"/>
      <c r="R29" s="1338">
        <v>0</v>
      </c>
    </row>
    <row r="30" spans="2:19">
      <c r="B30" s="1314">
        <f>B29+1</f>
        <v>17</v>
      </c>
      <c r="D30" s="1008" t="s">
        <v>918</v>
      </c>
      <c r="I30" s="1334"/>
      <c r="J30" s="1327" t="str">
        <f>"(Col. "&amp;L9&amp;", Line "&amp;B28&amp;" + Line "&amp;B29&amp;")"</f>
        <v>(Col. (H), Line 15 + Line 16)</v>
      </c>
      <c r="L30" s="1340">
        <f>L28+L29</f>
        <v>15125589.748492952</v>
      </c>
      <c r="M30" s="1334"/>
      <c r="N30" s="1327" t="str">
        <f>"(Col. "&amp;R9&amp;", Line "&amp;B28&amp;" + Line "&amp;B29&amp;")"</f>
        <v>(Col. (M), Line 15 + Line 16)</v>
      </c>
      <c r="R30" s="1340">
        <f>R28+R29</f>
        <v>0</v>
      </c>
    </row>
    <row r="31" spans="2:19">
      <c r="I31" s="1334"/>
      <c r="L31" s="1340"/>
      <c r="M31" s="1334"/>
      <c r="R31" s="1340"/>
    </row>
    <row r="32" spans="2:19">
      <c r="B32" s="1314">
        <f>B30+1</f>
        <v>18</v>
      </c>
      <c r="D32" s="1008" t="s">
        <v>919</v>
      </c>
      <c r="I32" s="1334"/>
      <c r="J32" s="1319" t="s">
        <v>1803</v>
      </c>
      <c r="L32" s="1319">
        <f>'1B - ADIT EOY'!E11</f>
        <v>16211638.327771388</v>
      </c>
      <c r="M32" s="1336"/>
      <c r="N32" s="1319"/>
      <c r="R32" s="1319">
        <v>0</v>
      </c>
    </row>
    <row r="33" spans="2:19">
      <c r="B33" s="1314">
        <f>B32+1</f>
        <v>19</v>
      </c>
      <c r="D33" s="1008" t="s">
        <v>1773</v>
      </c>
      <c r="I33" s="1334"/>
      <c r="J33" s="1337" t="s">
        <v>639</v>
      </c>
      <c r="L33" s="1338">
        <v>0</v>
      </c>
      <c r="M33" s="1334"/>
      <c r="N33" s="1337"/>
      <c r="R33" s="1338">
        <v>0</v>
      </c>
    </row>
    <row r="34" spans="2:19">
      <c r="B34" s="1314">
        <f>B33+1</f>
        <v>20</v>
      </c>
      <c r="D34" s="1008" t="s">
        <v>923</v>
      </c>
      <c r="G34" s="1327"/>
      <c r="I34" s="1334"/>
      <c r="J34" s="1327" t="str">
        <f>"(Col. "&amp;L9&amp;", Line "&amp;B32&amp;" + Line "&amp;B33&amp;")"</f>
        <v>(Col. (H), Line 18 + Line 19)</v>
      </c>
      <c r="L34" s="1340">
        <f>L32+L33</f>
        <v>16211638.327771388</v>
      </c>
      <c r="M34" s="1334"/>
      <c r="N34" s="1327" t="str">
        <f>"(Col. "&amp;R9&amp;", Line "&amp;B32&amp;" + Line "&amp;B33&amp;")"</f>
        <v>(Col. (M), Line 18 + Line 19)</v>
      </c>
      <c r="R34" s="1340">
        <f>R32+R33</f>
        <v>0</v>
      </c>
    </row>
    <row r="35" spans="2:19">
      <c r="I35" s="1334"/>
      <c r="L35" s="1340"/>
      <c r="M35" s="1334"/>
      <c r="R35" s="1340"/>
    </row>
    <row r="36" spans="2:19">
      <c r="B36" s="1314">
        <f>B34+1</f>
        <v>21</v>
      </c>
      <c r="D36" s="1008" t="s">
        <v>1000</v>
      </c>
      <c r="I36" s="1334"/>
      <c r="J36" s="1327" t="str">
        <f>"([Col. "&amp;L9&amp;", Line "&amp;B30&amp;" + Line "&amp;B34&amp;"] /2)"</f>
        <v>([Col. (H), Line 17 + Line 20] /2)</v>
      </c>
      <c r="L36" s="1324">
        <f>(L30+L34)/2</f>
        <v>15668614.03813217</v>
      </c>
      <c r="M36" s="1334"/>
      <c r="N36" s="1327" t="str">
        <f>"([Col. "&amp;R9&amp;", Line "&amp;B30&amp;" + Line "&amp;B34&amp;"] /2)"</f>
        <v>([Col. (M), Line 17 + Line 20] /2)</v>
      </c>
      <c r="R36" s="1324">
        <f>(R30+R34)/2</f>
        <v>0</v>
      </c>
    </row>
    <row r="37" spans="2:19">
      <c r="B37" s="1314">
        <f>B36+1</f>
        <v>22</v>
      </c>
      <c r="D37" s="1333" t="s">
        <v>999</v>
      </c>
      <c r="E37" s="1333"/>
      <c r="F37" s="1333"/>
      <c r="G37" s="1333"/>
      <c r="H37" s="1334"/>
      <c r="I37" s="1334"/>
      <c r="J37" s="1327" t="str">
        <f>"(Col. "&amp;L9&amp;", Line "&amp;B25&amp;" )"</f>
        <v>(Col. (H), Line 13 )</v>
      </c>
      <c r="K37" s="1335"/>
      <c r="L37" s="1324">
        <f>L25</f>
        <v>0</v>
      </c>
      <c r="M37" s="1334"/>
      <c r="N37" s="1327" t="str">
        <f>"(Col. "&amp;R9&amp;", Line "&amp;B25&amp;" )"</f>
        <v>(Col. (M), Line 13 )</v>
      </c>
      <c r="R37" s="1324">
        <f>R25</f>
        <v>0</v>
      </c>
    </row>
    <row r="38" spans="2:19" ht="13.5" thickBot="1">
      <c r="B38" s="1314">
        <f>B37+1</f>
        <v>23</v>
      </c>
      <c r="D38" s="1341" t="s">
        <v>1752</v>
      </c>
      <c r="E38" s="1333"/>
      <c r="F38" s="1333"/>
      <c r="G38" s="1333"/>
      <c r="H38" s="1334"/>
      <c r="I38" s="1334"/>
      <c r="J38" s="1327" t="str">
        <f>"(Col. "&amp;L9&amp;", Line "&amp;B36&amp;" + Line "&amp;B37&amp;")"</f>
        <v>(Col. (H), Line 21 + Line 22)</v>
      </c>
      <c r="K38" s="1335"/>
      <c r="L38" s="1342">
        <f>L36+L37</f>
        <v>15668614.03813217</v>
      </c>
      <c r="M38" s="1334"/>
      <c r="N38" s="1327" t="str">
        <f>"(Col. "&amp;R9&amp;", Line "&amp;B36&amp;" + Line "&amp;B37&amp;")"</f>
        <v>(Col. (M), Line 21 + Line 22)</v>
      </c>
      <c r="R38" s="1342">
        <f>R36+R37</f>
        <v>0</v>
      </c>
    </row>
    <row r="39" spans="2:19">
      <c r="I39" s="1334"/>
      <c r="L39" s="1324"/>
      <c r="M39" s="1334"/>
      <c r="R39" s="1324"/>
      <c r="S39" s="1334"/>
    </row>
    <row r="40" spans="2:19" ht="13">
      <c r="D40" s="1311" t="s">
        <v>1313</v>
      </c>
      <c r="J40" s="1343"/>
      <c r="K40" s="1344"/>
      <c r="L40" s="1344"/>
      <c r="N40" s="1344"/>
      <c r="O40" s="1344"/>
      <c r="P40" s="1344"/>
      <c r="Q40" s="1344"/>
      <c r="R40" s="1344"/>
    </row>
    <row r="41" spans="2:19" ht="13">
      <c r="D41" s="1730" t="s">
        <v>912</v>
      </c>
      <c r="E41" s="1731"/>
      <c r="F41" s="1731"/>
      <c r="G41" s="1731"/>
      <c r="H41" s="1732"/>
      <c r="I41" s="1315"/>
      <c r="J41" s="1733" t="s">
        <v>1292</v>
      </c>
      <c r="K41" s="1734"/>
      <c r="L41" s="1735"/>
      <c r="M41" s="1315"/>
      <c r="N41" s="1733" t="s">
        <v>1293</v>
      </c>
      <c r="O41" s="1734"/>
      <c r="P41" s="1734"/>
      <c r="Q41" s="1734"/>
      <c r="R41" s="1735"/>
      <c r="S41" s="1315"/>
    </row>
    <row r="42" spans="2:19" ht="13">
      <c r="D42" s="1316" t="s">
        <v>174</v>
      </c>
      <c r="E42" s="1316" t="s">
        <v>175</v>
      </c>
      <c r="F42" s="1316" t="s">
        <v>1294</v>
      </c>
      <c r="G42" s="1316" t="s">
        <v>1295</v>
      </c>
      <c r="H42" s="1316" t="s">
        <v>1296</v>
      </c>
      <c r="I42" s="1315"/>
      <c r="J42" s="1316" t="s">
        <v>1297</v>
      </c>
      <c r="K42" s="1316" t="s">
        <v>1298</v>
      </c>
      <c r="L42" s="1316" t="s">
        <v>1299</v>
      </c>
      <c r="M42" s="1315"/>
      <c r="N42" s="1316" t="s">
        <v>1300</v>
      </c>
      <c r="O42" s="1316" t="s">
        <v>1301</v>
      </c>
      <c r="P42" s="1316" t="s">
        <v>1302</v>
      </c>
      <c r="Q42" s="1316" t="s">
        <v>1303</v>
      </c>
      <c r="R42" s="1316" t="s">
        <v>1304</v>
      </c>
      <c r="S42" s="1315"/>
    </row>
    <row r="43" spans="2:19" ht="50">
      <c r="B43" s="1317" t="s">
        <v>1305</v>
      </c>
      <c r="D43" s="1318" t="s">
        <v>169</v>
      </c>
      <c r="E43" s="1318" t="s">
        <v>913</v>
      </c>
      <c r="F43" s="1318" t="s">
        <v>914</v>
      </c>
      <c r="G43" s="1318" t="s">
        <v>915</v>
      </c>
      <c r="H43" s="1318" t="s">
        <v>1306</v>
      </c>
      <c r="I43" s="1636"/>
      <c r="J43" s="1318" t="s">
        <v>916</v>
      </c>
      <c r="K43" s="1318" t="s">
        <v>1307</v>
      </c>
      <c r="L43" s="1318" t="s">
        <v>1308</v>
      </c>
      <c r="M43" s="1636"/>
      <c r="N43" s="1318" t="s">
        <v>1003</v>
      </c>
      <c r="O43" s="1318" t="s">
        <v>1309</v>
      </c>
      <c r="P43" s="1318" t="s">
        <v>1310</v>
      </c>
      <c r="Q43" s="1318" t="s">
        <v>1311</v>
      </c>
      <c r="R43" s="1318" t="s">
        <v>1312</v>
      </c>
      <c r="S43" s="1636"/>
    </row>
    <row r="44" spans="2:19">
      <c r="E44" s="1636"/>
      <c r="F44" s="1636"/>
      <c r="G44" s="1636"/>
      <c r="H44" s="1636"/>
      <c r="I44" s="1636"/>
      <c r="J44" s="1636"/>
      <c r="K44" s="1636"/>
      <c r="L44" s="1636"/>
      <c r="M44" s="1636"/>
      <c r="N44" s="1636"/>
      <c r="O44" s="1636"/>
      <c r="P44" s="1636"/>
      <c r="Q44" s="1636"/>
      <c r="R44" s="1636"/>
      <c r="S44" s="1636"/>
    </row>
    <row r="45" spans="2:19">
      <c r="B45" s="1314">
        <f>B38+1</f>
        <v>24</v>
      </c>
      <c r="D45" s="1008" t="s">
        <v>1002</v>
      </c>
      <c r="E45" s="1636"/>
      <c r="F45" s="1636"/>
      <c r="G45" s="1636"/>
      <c r="H45" s="1636"/>
      <c r="I45" s="1636"/>
      <c r="J45" s="1319" t="s">
        <v>1802</v>
      </c>
      <c r="K45" s="1636"/>
      <c r="L45" s="1319">
        <v>0</v>
      </c>
      <c r="M45" s="1636"/>
      <c r="N45" s="1319"/>
      <c r="O45" s="1636"/>
      <c r="P45" s="1636"/>
      <c r="Q45" s="1636"/>
      <c r="R45" s="1319">
        <v>0</v>
      </c>
      <c r="S45" s="1636"/>
    </row>
    <row r="46" spans="2:19">
      <c r="E46" s="1636"/>
      <c r="F46" s="1636"/>
      <c r="G46" s="1636"/>
      <c r="H46" s="1636"/>
      <c r="I46" s="1636"/>
      <c r="J46" s="1636"/>
      <c r="K46" s="1636"/>
      <c r="L46" s="1636"/>
      <c r="M46" s="1636"/>
      <c r="N46" s="1636"/>
      <c r="O46" s="1636"/>
      <c r="P46" s="1636"/>
      <c r="Q46" s="1636"/>
      <c r="R46" s="1636"/>
      <c r="S46" s="1636"/>
    </row>
    <row r="47" spans="2:19">
      <c r="B47" s="1314">
        <f>B45+1</f>
        <v>25</v>
      </c>
      <c r="D47" s="1320" t="s">
        <v>525</v>
      </c>
      <c r="E47" s="1319">
        <v>31</v>
      </c>
      <c r="F47" s="1321">
        <v>0</v>
      </c>
      <c r="G47" s="1321">
        <v>214</v>
      </c>
      <c r="H47" s="1322">
        <f t="shared" ref="H47:H58" si="10">IF(F47=0,0.5,F47/G47)</f>
        <v>0.5</v>
      </c>
      <c r="I47" s="1323"/>
      <c r="J47" s="1319"/>
      <c r="K47" s="1324">
        <f t="shared" ref="K47" si="11">+J47*H47</f>
        <v>0</v>
      </c>
      <c r="L47" s="1324">
        <f>+K47+L45</f>
        <v>0</v>
      </c>
      <c r="M47" s="1323"/>
      <c r="N47" s="1319">
        <v>0</v>
      </c>
      <c r="O47" s="1324">
        <f>IF($D$177="True-Up Adjustment",N47-J47,0)</f>
        <v>0</v>
      </c>
      <c r="P47" s="1324">
        <f>IF($D$177="True-Up Adjustment",IF(AND(J47&gt;=0,N47&gt;=0),IF(O47&gt;=0,K47+O47,N47/J47*K47),IF(AND(J47&lt;0,N47&lt;0),IF(O47&lt;0,K47+O47,N47/J47*K47),0)),0)</f>
        <v>0</v>
      </c>
      <c r="Q47" s="1324">
        <f t="shared" ref="Q47:Q58" si="12">IF(AND(J47&gt;=0,N47&lt;0),N47,IF(AND(J47&lt;0,N47&gt;=0),N47,0))</f>
        <v>0</v>
      </c>
      <c r="R47" s="1324">
        <f>R45+P47+Q47</f>
        <v>0</v>
      </c>
      <c r="S47" s="1323"/>
    </row>
    <row r="48" spans="2:19">
      <c r="B48" s="1314">
        <f t="shared" ref="B48:B59" si="13">+B47+1</f>
        <v>26</v>
      </c>
      <c r="D48" s="1320" t="s">
        <v>526</v>
      </c>
      <c r="E48" s="1319">
        <v>28</v>
      </c>
      <c r="F48" s="1321">
        <v>0</v>
      </c>
      <c r="G48" s="1321">
        <f t="shared" ref="G48:G58" si="14">G47</f>
        <v>214</v>
      </c>
      <c r="H48" s="1322">
        <f t="shared" si="10"/>
        <v>0.5</v>
      </c>
      <c r="I48" s="1323"/>
      <c r="J48" s="1319"/>
      <c r="K48" s="1324">
        <f>+J48*H48</f>
        <v>0</v>
      </c>
      <c r="L48" s="1324">
        <f t="shared" ref="L48:L58" si="15">+K48+L47</f>
        <v>0</v>
      </c>
      <c r="M48" s="1323"/>
      <c r="N48" s="1319">
        <v>0</v>
      </c>
      <c r="O48" s="1324">
        <f t="shared" ref="O48:O58" si="16">IF($D$177="True-Up Adjustment",N48-J48,0)</f>
        <v>0</v>
      </c>
      <c r="P48" s="1324">
        <f t="shared" ref="P48:P58" si="17">IF($D$177="True-Up Adjustment",IF(AND(J48&gt;=0,N48&gt;=0),IF(O48&gt;=0,K48+O48,N48/J48*K48),IF(AND(J48&lt;0,N48&lt;0),IF(O48&lt;0,K48+O48,N48/J48*K48),0)),0)</f>
        <v>0</v>
      </c>
      <c r="Q48" s="1324">
        <f t="shared" si="12"/>
        <v>0</v>
      </c>
      <c r="R48" s="1324">
        <f t="shared" ref="R48:R58" si="18">R47+P48+Q48</f>
        <v>0</v>
      </c>
      <c r="S48" s="1323"/>
    </row>
    <row r="49" spans="2:19">
      <c r="B49" s="1314">
        <f t="shared" si="13"/>
        <v>27</v>
      </c>
      <c r="D49" s="1320" t="s">
        <v>545</v>
      </c>
      <c r="E49" s="1319">
        <v>31</v>
      </c>
      <c r="F49" s="1321">
        <v>0</v>
      </c>
      <c r="G49" s="1321">
        <f t="shared" si="14"/>
        <v>214</v>
      </c>
      <c r="H49" s="1322">
        <f t="shared" si="10"/>
        <v>0.5</v>
      </c>
      <c r="I49" s="1323"/>
      <c r="J49" s="1319"/>
      <c r="K49" s="1324">
        <f t="shared" ref="K49:K58" si="19">+J49*H49</f>
        <v>0</v>
      </c>
      <c r="L49" s="1324">
        <f t="shared" si="15"/>
        <v>0</v>
      </c>
      <c r="M49" s="1323"/>
      <c r="N49" s="1319">
        <v>0</v>
      </c>
      <c r="O49" s="1324">
        <f t="shared" si="16"/>
        <v>0</v>
      </c>
      <c r="P49" s="1324">
        <f t="shared" si="17"/>
        <v>0</v>
      </c>
      <c r="Q49" s="1324">
        <f t="shared" si="12"/>
        <v>0</v>
      </c>
      <c r="R49" s="1324">
        <f t="shared" si="18"/>
        <v>0</v>
      </c>
      <c r="S49" s="1323"/>
    </row>
    <row r="50" spans="2:19">
      <c r="B50" s="1314">
        <f t="shared" si="13"/>
        <v>28</v>
      </c>
      <c r="D50" s="1320" t="s">
        <v>171</v>
      </c>
      <c r="E50" s="1319">
        <v>30</v>
      </c>
      <c r="F50" s="1321">
        <v>0</v>
      </c>
      <c r="G50" s="1321">
        <f t="shared" si="14"/>
        <v>214</v>
      </c>
      <c r="H50" s="1322">
        <f t="shared" si="10"/>
        <v>0.5</v>
      </c>
      <c r="I50" s="1323"/>
      <c r="J50" s="1319"/>
      <c r="K50" s="1324">
        <f t="shared" si="19"/>
        <v>0</v>
      </c>
      <c r="L50" s="1324">
        <f t="shared" si="15"/>
        <v>0</v>
      </c>
      <c r="M50" s="1323"/>
      <c r="N50" s="1319">
        <v>0</v>
      </c>
      <c r="O50" s="1324">
        <f t="shared" si="16"/>
        <v>0</v>
      </c>
      <c r="P50" s="1324">
        <f t="shared" si="17"/>
        <v>0</v>
      </c>
      <c r="Q50" s="1324">
        <f t="shared" si="12"/>
        <v>0</v>
      </c>
      <c r="R50" s="1324">
        <f t="shared" si="18"/>
        <v>0</v>
      </c>
      <c r="S50" s="1323"/>
    </row>
    <row r="51" spans="2:19">
      <c r="B51" s="1314">
        <f t="shared" si="13"/>
        <v>29</v>
      </c>
      <c r="D51" s="1320" t="s">
        <v>172</v>
      </c>
      <c r="E51" s="1319">
        <v>31</v>
      </c>
      <c r="F51" s="1321">
        <v>0</v>
      </c>
      <c r="G51" s="1321">
        <f t="shared" si="14"/>
        <v>214</v>
      </c>
      <c r="H51" s="1322">
        <f t="shared" si="10"/>
        <v>0.5</v>
      </c>
      <c r="I51" s="1323"/>
      <c r="J51" s="1319"/>
      <c r="K51" s="1324">
        <f t="shared" si="19"/>
        <v>0</v>
      </c>
      <c r="L51" s="1324">
        <f t="shared" si="15"/>
        <v>0</v>
      </c>
      <c r="M51" s="1323"/>
      <c r="N51" s="1319">
        <v>0</v>
      </c>
      <c r="O51" s="1324">
        <f t="shared" si="16"/>
        <v>0</v>
      </c>
      <c r="P51" s="1324">
        <f t="shared" si="17"/>
        <v>0</v>
      </c>
      <c r="Q51" s="1324">
        <f t="shared" si="12"/>
        <v>0</v>
      </c>
      <c r="R51" s="1324">
        <f t="shared" si="18"/>
        <v>0</v>
      </c>
      <c r="S51" s="1323"/>
    </row>
    <row r="52" spans="2:19">
      <c r="B52" s="1314">
        <f t="shared" si="13"/>
        <v>30</v>
      </c>
      <c r="D52" s="1320" t="s">
        <v>173</v>
      </c>
      <c r="E52" s="1319">
        <v>30</v>
      </c>
      <c r="F52" s="1321">
        <f t="shared" ref="F52:F57" si="20">E53+F53</f>
        <v>185</v>
      </c>
      <c r="G52" s="1321">
        <f t="shared" si="14"/>
        <v>214</v>
      </c>
      <c r="H52" s="1322">
        <f t="shared" si="10"/>
        <v>0.86448598130841126</v>
      </c>
      <c r="I52" s="1323"/>
      <c r="J52" s="1319"/>
      <c r="K52" s="1324">
        <f t="shared" si="19"/>
        <v>0</v>
      </c>
      <c r="L52" s="1324">
        <f t="shared" si="15"/>
        <v>0</v>
      </c>
      <c r="M52" s="1323"/>
      <c r="N52" s="1319">
        <v>0</v>
      </c>
      <c r="O52" s="1324">
        <f t="shared" si="16"/>
        <v>0</v>
      </c>
      <c r="P52" s="1324">
        <f t="shared" si="17"/>
        <v>0</v>
      </c>
      <c r="Q52" s="1324">
        <f t="shared" si="12"/>
        <v>0</v>
      </c>
      <c r="R52" s="1324">
        <f t="shared" si="18"/>
        <v>0</v>
      </c>
      <c r="S52" s="1323"/>
    </row>
    <row r="53" spans="2:19">
      <c r="B53" s="1314">
        <f t="shared" si="13"/>
        <v>31</v>
      </c>
      <c r="D53" s="1320" t="s">
        <v>528</v>
      </c>
      <c r="E53" s="1319">
        <v>31</v>
      </c>
      <c r="F53" s="1321">
        <f t="shared" si="20"/>
        <v>154</v>
      </c>
      <c r="G53" s="1321">
        <f t="shared" si="14"/>
        <v>214</v>
      </c>
      <c r="H53" s="1322">
        <f t="shared" si="10"/>
        <v>0.71962616822429903</v>
      </c>
      <c r="I53" s="1323"/>
      <c r="J53" s="1319"/>
      <c r="K53" s="1324">
        <f t="shared" si="19"/>
        <v>0</v>
      </c>
      <c r="L53" s="1324">
        <f t="shared" si="15"/>
        <v>0</v>
      </c>
      <c r="M53" s="1323"/>
      <c r="N53" s="1319">
        <v>0</v>
      </c>
      <c r="O53" s="1324">
        <f t="shared" si="16"/>
        <v>0</v>
      </c>
      <c r="P53" s="1324">
        <f t="shared" si="17"/>
        <v>0</v>
      </c>
      <c r="Q53" s="1324">
        <f t="shared" si="12"/>
        <v>0</v>
      </c>
      <c r="R53" s="1324">
        <f t="shared" si="18"/>
        <v>0</v>
      </c>
      <c r="S53" s="1323"/>
    </row>
    <row r="54" spans="2:19">
      <c r="B54" s="1314">
        <f t="shared" si="13"/>
        <v>32</v>
      </c>
      <c r="D54" s="1320" t="s">
        <v>546</v>
      </c>
      <c r="E54" s="1319">
        <v>31</v>
      </c>
      <c r="F54" s="1321">
        <f t="shared" si="20"/>
        <v>123</v>
      </c>
      <c r="G54" s="1321">
        <f t="shared" si="14"/>
        <v>214</v>
      </c>
      <c r="H54" s="1322">
        <f t="shared" si="10"/>
        <v>0.57476635514018692</v>
      </c>
      <c r="I54" s="1323"/>
      <c r="J54" s="1319"/>
      <c r="K54" s="1324">
        <f t="shared" si="19"/>
        <v>0</v>
      </c>
      <c r="L54" s="1324">
        <f t="shared" si="15"/>
        <v>0</v>
      </c>
      <c r="M54" s="1323"/>
      <c r="N54" s="1319">
        <v>0</v>
      </c>
      <c r="O54" s="1324">
        <f t="shared" si="16"/>
        <v>0</v>
      </c>
      <c r="P54" s="1324">
        <f t="shared" si="17"/>
        <v>0</v>
      </c>
      <c r="Q54" s="1324">
        <f t="shared" si="12"/>
        <v>0</v>
      </c>
      <c r="R54" s="1324">
        <f t="shared" si="18"/>
        <v>0</v>
      </c>
      <c r="S54" s="1323"/>
    </row>
    <row r="55" spans="2:19">
      <c r="B55" s="1314">
        <f t="shared" si="13"/>
        <v>33</v>
      </c>
      <c r="D55" s="1320" t="s">
        <v>530</v>
      </c>
      <c r="E55" s="1319">
        <v>30</v>
      </c>
      <c r="F55" s="1321">
        <f t="shared" si="20"/>
        <v>93</v>
      </c>
      <c r="G55" s="1321">
        <f t="shared" si="14"/>
        <v>214</v>
      </c>
      <c r="H55" s="1322">
        <f t="shared" si="10"/>
        <v>0.43457943925233644</v>
      </c>
      <c r="I55" s="1323"/>
      <c r="J55" s="1319"/>
      <c r="K55" s="1324">
        <f t="shared" si="19"/>
        <v>0</v>
      </c>
      <c r="L55" s="1324">
        <f t="shared" si="15"/>
        <v>0</v>
      </c>
      <c r="M55" s="1323"/>
      <c r="N55" s="1319">
        <v>0</v>
      </c>
      <c r="O55" s="1324">
        <f t="shared" si="16"/>
        <v>0</v>
      </c>
      <c r="P55" s="1324">
        <f t="shared" si="17"/>
        <v>0</v>
      </c>
      <c r="Q55" s="1324">
        <f t="shared" si="12"/>
        <v>0</v>
      </c>
      <c r="R55" s="1324">
        <f t="shared" si="18"/>
        <v>0</v>
      </c>
      <c r="S55" s="1323"/>
    </row>
    <row r="56" spans="2:19">
      <c r="B56" s="1314">
        <f t="shared" si="13"/>
        <v>34</v>
      </c>
      <c r="D56" s="1320" t="s">
        <v>531</v>
      </c>
      <c r="E56" s="1319">
        <v>31</v>
      </c>
      <c r="F56" s="1321">
        <f t="shared" si="20"/>
        <v>62</v>
      </c>
      <c r="G56" s="1321">
        <f t="shared" si="14"/>
        <v>214</v>
      </c>
      <c r="H56" s="1322">
        <f t="shared" si="10"/>
        <v>0.28971962616822428</v>
      </c>
      <c r="I56" s="1323"/>
      <c r="J56" s="1319"/>
      <c r="K56" s="1324">
        <f t="shared" si="19"/>
        <v>0</v>
      </c>
      <c r="L56" s="1324">
        <f t="shared" si="15"/>
        <v>0</v>
      </c>
      <c r="M56" s="1323"/>
      <c r="N56" s="1319">
        <v>0</v>
      </c>
      <c r="O56" s="1324">
        <f t="shared" si="16"/>
        <v>0</v>
      </c>
      <c r="P56" s="1324">
        <f t="shared" si="17"/>
        <v>0</v>
      </c>
      <c r="Q56" s="1324">
        <f t="shared" si="12"/>
        <v>0</v>
      </c>
      <c r="R56" s="1324">
        <f t="shared" si="18"/>
        <v>0</v>
      </c>
      <c r="S56" s="1323"/>
    </row>
    <row r="57" spans="2:19">
      <c r="B57" s="1314">
        <f t="shared" si="13"/>
        <v>35</v>
      </c>
      <c r="D57" s="1320" t="s">
        <v>532</v>
      </c>
      <c r="E57" s="1319">
        <v>30</v>
      </c>
      <c r="F57" s="1321">
        <f t="shared" si="20"/>
        <v>32</v>
      </c>
      <c r="G57" s="1321">
        <f t="shared" si="14"/>
        <v>214</v>
      </c>
      <c r="H57" s="1322">
        <f t="shared" si="10"/>
        <v>0.14953271028037382</v>
      </c>
      <c r="I57" s="1323"/>
      <c r="J57" s="1319"/>
      <c r="K57" s="1324">
        <f t="shared" si="19"/>
        <v>0</v>
      </c>
      <c r="L57" s="1324">
        <f t="shared" si="15"/>
        <v>0</v>
      </c>
      <c r="M57" s="1323"/>
      <c r="N57" s="1319">
        <v>0</v>
      </c>
      <c r="O57" s="1324">
        <f t="shared" si="16"/>
        <v>0</v>
      </c>
      <c r="P57" s="1324">
        <f t="shared" si="17"/>
        <v>0</v>
      </c>
      <c r="Q57" s="1324">
        <f t="shared" si="12"/>
        <v>0</v>
      </c>
      <c r="R57" s="1324">
        <f t="shared" si="18"/>
        <v>0</v>
      </c>
      <c r="S57" s="1323"/>
    </row>
    <row r="58" spans="2:19">
      <c r="B58" s="1314">
        <f t="shared" si="13"/>
        <v>36</v>
      </c>
      <c r="D58" s="1325" t="s">
        <v>749</v>
      </c>
      <c r="E58" s="1319">
        <v>31</v>
      </c>
      <c r="F58" s="1326">
        <v>1</v>
      </c>
      <c r="G58" s="1321">
        <f t="shared" si="14"/>
        <v>214</v>
      </c>
      <c r="H58" s="1322">
        <f t="shared" si="10"/>
        <v>4.6728971962616819E-3</v>
      </c>
      <c r="I58" s="1323"/>
      <c r="J58" s="1319"/>
      <c r="K58" s="1324">
        <f t="shared" si="19"/>
        <v>0</v>
      </c>
      <c r="L58" s="1324">
        <f t="shared" si="15"/>
        <v>0</v>
      </c>
      <c r="M58" s="1323"/>
      <c r="N58" s="1319">
        <v>0</v>
      </c>
      <c r="O58" s="1324">
        <f t="shared" si="16"/>
        <v>0</v>
      </c>
      <c r="P58" s="1324">
        <f t="shared" si="17"/>
        <v>0</v>
      </c>
      <c r="Q58" s="1324">
        <f t="shared" si="12"/>
        <v>0</v>
      </c>
      <c r="R58" s="1324">
        <f t="shared" si="18"/>
        <v>0</v>
      </c>
      <c r="S58" s="1323"/>
    </row>
    <row r="59" spans="2:19">
      <c r="B59" s="1314">
        <f t="shared" si="13"/>
        <v>37</v>
      </c>
      <c r="D59" s="1327" t="str">
        <f>"Total (Sum of Lines "&amp;B47&amp;" - "&amp;B58&amp;")"</f>
        <v>Total (Sum of Lines 25 - 36)</v>
      </c>
      <c r="E59" s="1328">
        <f>SUM(E47:E58)</f>
        <v>365</v>
      </c>
      <c r="F59" s="1329"/>
      <c r="G59" s="1329"/>
      <c r="H59" s="1330"/>
      <c r="I59" s="1331"/>
      <c r="J59" s="1328">
        <f>SUM(J47:J58)</f>
        <v>0</v>
      </c>
      <c r="K59" s="1328">
        <f>SUM(K47:K58)</f>
        <v>0</v>
      </c>
      <c r="L59" s="1328">
        <f>SUM(L47:L58)</f>
        <v>0</v>
      </c>
      <c r="M59" s="1331"/>
      <c r="N59" s="1328">
        <f>SUM(N47:N58)</f>
        <v>0</v>
      </c>
      <c r="O59" s="1328">
        <f>SUM(O47:O58)</f>
        <v>0</v>
      </c>
      <c r="P59" s="1328">
        <f>SUM(P47:P58)</f>
        <v>0</v>
      </c>
      <c r="Q59" s="1328">
        <f>SUM(Q47:Q58)</f>
        <v>0</v>
      </c>
      <c r="R59" s="1332"/>
      <c r="S59" s="1331"/>
    </row>
    <row r="60" spans="2:19">
      <c r="D60" s="1333"/>
      <c r="E60" s="1333"/>
      <c r="F60" s="1333"/>
      <c r="G60" s="1333"/>
      <c r="H60" s="1334"/>
      <c r="I60" s="1334"/>
      <c r="K60" s="1335"/>
      <c r="L60" s="1334"/>
      <c r="M60" s="1334"/>
      <c r="N60" s="1345"/>
      <c r="O60" s="1335"/>
      <c r="P60" s="1335"/>
      <c r="Q60" s="1335"/>
      <c r="R60" s="1334"/>
      <c r="S60" s="1334"/>
    </row>
    <row r="61" spans="2:19" ht="15" customHeight="1">
      <c r="B61" s="1314">
        <f>B59+1</f>
        <v>38</v>
      </c>
      <c r="D61" s="1008" t="s">
        <v>917</v>
      </c>
      <c r="I61" s="1334"/>
      <c r="J61" s="1319" t="s">
        <v>1802</v>
      </c>
      <c r="L61" s="1319">
        <v>0</v>
      </c>
      <c r="M61" s="1336"/>
      <c r="N61" s="1319"/>
      <c r="R61" s="1319">
        <v>0</v>
      </c>
    </row>
    <row r="62" spans="2:19">
      <c r="B62" s="1314">
        <f>B61+1</f>
        <v>39</v>
      </c>
      <c r="D62" s="1008" t="s">
        <v>1774</v>
      </c>
      <c r="I62" s="1334"/>
      <c r="J62" s="1337" t="s">
        <v>639</v>
      </c>
      <c r="L62" s="1338">
        <v>0</v>
      </c>
      <c r="M62" s="1339"/>
      <c r="N62" s="1337"/>
      <c r="R62" s="1338">
        <v>0</v>
      </c>
    </row>
    <row r="63" spans="2:19">
      <c r="B63" s="1314">
        <f>B62+1</f>
        <v>40</v>
      </c>
      <c r="D63" s="1008" t="s">
        <v>918</v>
      </c>
      <c r="I63" s="1334"/>
      <c r="J63" s="1327" t="str">
        <f>"(Col. "&amp;L42&amp;", Line "&amp;B61&amp;" + Line "&amp;B62&amp;")"</f>
        <v>(Col. (H), Line 38 + Line 39)</v>
      </c>
      <c r="L63" s="1340">
        <f>L61+L62</f>
        <v>0</v>
      </c>
      <c r="M63" s="1334"/>
      <c r="N63" s="1327" t="str">
        <f>"(Col. "&amp;R42&amp;", Line "&amp;B61&amp;" + Line "&amp;B62&amp;")"</f>
        <v>(Col. (M), Line 38 + Line 39)</v>
      </c>
      <c r="R63" s="1340">
        <f>R61+R62</f>
        <v>0</v>
      </c>
    </row>
    <row r="64" spans="2:19">
      <c r="I64" s="1334"/>
      <c r="L64" s="1340"/>
      <c r="M64" s="1334"/>
      <c r="R64" s="1340"/>
    </row>
    <row r="65" spans="2:19">
      <c r="B65" s="1314">
        <f>B63+1</f>
        <v>41</v>
      </c>
      <c r="D65" s="1008" t="s">
        <v>1001</v>
      </c>
      <c r="I65" s="1334"/>
      <c r="J65" s="1319" t="s">
        <v>1803</v>
      </c>
      <c r="L65" s="1319">
        <v>0</v>
      </c>
      <c r="M65" s="1336"/>
      <c r="N65" s="1319"/>
      <c r="R65" s="1319">
        <v>0</v>
      </c>
    </row>
    <row r="66" spans="2:19">
      <c r="B66" s="1314">
        <f>B65+1</f>
        <v>42</v>
      </c>
      <c r="D66" s="1008" t="s">
        <v>1773</v>
      </c>
      <c r="I66" s="1334"/>
      <c r="J66" s="1337" t="s">
        <v>639</v>
      </c>
      <c r="L66" s="1338">
        <v>0</v>
      </c>
      <c r="M66" s="1334"/>
      <c r="N66" s="1337"/>
      <c r="R66" s="1338">
        <v>0</v>
      </c>
    </row>
    <row r="67" spans="2:19">
      <c r="B67" s="1314">
        <f>B66+1</f>
        <v>43</v>
      </c>
      <c r="D67" s="1008" t="s">
        <v>923</v>
      </c>
      <c r="I67" s="1334"/>
      <c r="J67" s="1327" t="str">
        <f>"(Col. "&amp;L42&amp;", Line "&amp;B65&amp;" + Line "&amp;B66&amp;")"</f>
        <v>(Col. (H), Line 41 + Line 42)</v>
      </c>
      <c r="L67" s="1340">
        <f>L65+L66</f>
        <v>0</v>
      </c>
      <c r="M67" s="1334"/>
      <c r="N67" s="1327" t="str">
        <f>"(Col. "&amp;R42&amp;", Line "&amp;B65&amp;" + Line "&amp;B66&amp;")"</f>
        <v>(Col. (M), Line 41 + Line 42)</v>
      </c>
      <c r="R67" s="1340">
        <f>R65+R66</f>
        <v>0</v>
      </c>
    </row>
    <row r="68" spans="2:19">
      <c r="I68" s="1334"/>
      <c r="L68" s="1340"/>
      <c r="M68" s="1334"/>
      <c r="R68" s="1340"/>
    </row>
    <row r="69" spans="2:19">
      <c r="B69" s="1314">
        <f>B67+1</f>
        <v>44</v>
      </c>
      <c r="D69" s="1008" t="s">
        <v>1000</v>
      </c>
      <c r="I69" s="1334"/>
      <c r="J69" s="1327" t="str">
        <f>"([Col. "&amp;L42&amp;", Line "&amp;B63&amp;" + Line "&amp;B67&amp;"] /2)"</f>
        <v>([Col. (H), Line 40 + Line 43] /2)</v>
      </c>
      <c r="L69" s="1324">
        <f>(L63+L67)/2</f>
        <v>0</v>
      </c>
      <c r="M69" s="1334"/>
      <c r="N69" s="1327" t="str">
        <f>"([Col. "&amp;R42&amp;", Line "&amp;B63&amp;" + Line "&amp;B67&amp;"] /2)"</f>
        <v>([Col. (M), Line 40 + Line 43] /2)</v>
      </c>
      <c r="R69" s="1324">
        <f>(R63+R67)/2</f>
        <v>0</v>
      </c>
    </row>
    <row r="70" spans="2:19">
      <c r="B70" s="1314">
        <f>B69+1</f>
        <v>45</v>
      </c>
      <c r="D70" s="1333" t="s">
        <v>999</v>
      </c>
      <c r="E70" s="1333"/>
      <c r="F70" s="1333"/>
      <c r="G70" s="1333"/>
      <c r="H70" s="1334"/>
      <c r="I70" s="1334"/>
      <c r="J70" s="1327" t="str">
        <f>"(Col. "&amp;L42&amp;", Line "&amp;B58&amp;" )"</f>
        <v>(Col. (H), Line 36 )</v>
      </c>
      <c r="K70" s="1335"/>
      <c r="L70" s="1324">
        <f>L58</f>
        <v>0</v>
      </c>
      <c r="M70" s="1334"/>
      <c r="N70" s="1327" t="str">
        <f>"(Col. "&amp;R42&amp;", Line "&amp;B58&amp;" )"</f>
        <v>(Col. (M), Line 36 )</v>
      </c>
      <c r="R70" s="1324">
        <f>R58</f>
        <v>0</v>
      </c>
    </row>
    <row r="71" spans="2:19" ht="13.5" thickBot="1">
      <c r="B71" s="1314">
        <f>B70+1</f>
        <v>46</v>
      </c>
      <c r="D71" s="1341" t="s">
        <v>1753</v>
      </c>
      <c r="E71" s="1333"/>
      <c r="F71" s="1333"/>
      <c r="G71" s="1333"/>
      <c r="H71" s="1334"/>
      <c r="I71" s="1334"/>
      <c r="J71" s="1327" t="str">
        <f>"(Col. "&amp;L42&amp;", Line "&amp;B69&amp;" + Line "&amp;B70&amp;")"</f>
        <v>(Col. (H), Line 44 + Line 45)</v>
      </c>
      <c r="K71" s="1335"/>
      <c r="L71" s="1342">
        <f>L69+L70</f>
        <v>0</v>
      </c>
      <c r="M71" s="1334"/>
      <c r="N71" s="1327" t="str">
        <f>"(Col. "&amp;R42&amp;", Line "&amp;B69&amp;" + Line "&amp;B70&amp;")"</f>
        <v>(Col. (M), Line 44 + Line 45)</v>
      </c>
      <c r="R71" s="1342">
        <f>R69+R70</f>
        <v>0</v>
      </c>
    </row>
    <row r="72" spans="2:19" ht="13">
      <c r="D72" s="1311"/>
    </row>
    <row r="73" spans="2:19" ht="13">
      <c r="D73" s="1311" t="s">
        <v>920</v>
      </c>
      <c r="J73" s="1343"/>
      <c r="K73" s="1344"/>
      <c r="L73" s="1344"/>
      <c r="N73" s="1344"/>
      <c r="O73" s="1344"/>
      <c r="P73" s="1344"/>
      <c r="Q73" s="1344"/>
      <c r="R73" s="1344"/>
    </row>
    <row r="74" spans="2:19" ht="13">
      <c r="D74" s="1730" t="s">
        <v>912</v>
      </c>
      <c r="E74" s="1731"/>
      <c r="F74" s="1731"/>
      <c r="G74" s="1731"/>
      <c r="H74" s="1732"/>
      <c r="I74" s="1315"/>
      <c r="J74" s="1733" t="s">
        <v>1292</v>
      </c>
      <c r="K74" s="1734"/>
      <c r="L74" s="1735"/>
      <c r="M74" s="1315"/>
      <c r="N74" s="1733" t="s">
        <v>1293</v>
      </c>
      <c r="O74" s="1734"/>
      <c r="P74" s="1734"/>
      <c r="Q74" s="1734"/>
      <c r="R74" s="1735"/>
      <c r="S74" s="1315"/>
    </row>
    <row r="75" spans="2:19" ht="13">
      <c r="D75" s="1316" t="s">
        <v>174</v>
      </c>
      <c r="E75" s="1316" t="s">
        <v>175</v>
      </c>
      <c r="F75" s="1316" t="s">
        <v>1294</v>
      </c>
      <c r="G75" s="1316" t="s">
        <v>1295</v>
      </c>
      <c r="H75" s="1316" t="s">
        <v>1296</v>
      </c>
      <c r="I75" s="1315"/>
      <c r="J75" s="1316" t="s">
        <v>1297</v>
      </c>
      <c r="K75" s="1316" t="s">
        <v>1298</v>
      </c>
      <c r="L75" s="1316" t="s">
        <v>1299</v>
      </c>
      <c r="M75" s="1315"/>
      <c r="N75" s="1316" t="s">
        <v>1300</v>
      </c>
      <c r="O75" s="1316" t="s">
        <v>1301</v>
      </c>
      <c r="P75" s="1316" t="s">
        <v>1302</v>
      </c>
      <c r="Q75" s="1316" t="s">
        <v>1303</v>
      </c>
      <c r="R75" s="1316" t="s">
        <v>1304</v>
      </c>
      <c r="S75" s="1315"/>
    </row>
    <row r="76" spans="2:19" ht="50">
      <c r="B76" s="1317" t="s">
        <v>1305</v>
      </c>
      <c r="D76" s="1318" t="s">
        <v>169</v>
      </c>
      <c r="E76" s="1318" t="s">
        <v>913</v>
      </c>
      <c r="F76" s="1318" t="s">
        <v>914</v>
      </c>
      <c r="G76" s="1318" t="s">
        <v>915</v>
      </c>
      <c r="H76" s="1318" t="s">
        <v>1306</v>
      </c>
      <c r="I76" s="1636"/>
      <c r="J76" s="1318" t="s">
        <v>916</v>
      </c>
      <c r="K76" s="1318" t="s">
        <v>1307</v>
      </c>
      <c r="L76" s="1318" t="s">
        <v>1308</v>
      </c>
      <c r="M76" s="1636"/>
      <c r="N76" s="1318" t="s">
        <v>1003</v>
      </c>
      <c r="O76" s="1318" t="s">
        <v>1309</v>
      </c>
      <c r="P76" s="1318" t="s">
        <v>1310</v>
      </c>
      <c r="Q76" s="1318" t="s">
        <v>1311</v>
      </c>
      <c r="R76" s="1318" t="s">
        <v>1312</v>
      </c>
      <c r="S76" s="1636"/>
    </row>
    <row r="77" spans="2:19">
      <c r="E77" s="1636"/>
      <c r="F77" s="1636"/>
      <c r="G77" s="1636"/>
      <c r="H77" s="1636"/>
      <c r="I77" s="1636"/>
      <c r="J77" s="1636"/>
      <c r="K77" s="1636"/>
      <c r="L77" s="1636"/>
      <c r="M77" s="1636"/>
      <c r="N77" s="1636"/>
      <c r="O77" s="1636"/>
      <c r="P77" s="1636"/>
      <c r="Q77" s="1636"/>
      <c r="R77" s="1636"/>
      <c r="S77" s="1636"/>
    </row>
    <row r="78" spans="2:19">
      <c r="B78" s="1314">
        <f>B71+1</f>
        <v>47</v>
      </c>
      <c r="D78" s="1008" t="s">
        <v>1002</v>
      </c>
      <c r="E78" s="1636"/>
      <c r="F78" s="1636"/>
      <c r="G78" s="1636"/>
      <c r="H78" s="1636"/>
      <c r="I78" s="1636"/>
      <c r="J78" s="1319" t="s">
        <v>1802</v>
      </c>
      <c r="K78" s="1636"/>
      <c r="L78" s="1319">
        <f>'1C - ADIT BOY'!H171</f>
        <v>-89697237.621732682</v>
      </c>
      <c r="M78" s="1636"/>
      <c r="N78" s="1319"/>
      <c r="O78" s="1636"/>
      <c r="P78" s="1636"/>
      <c r="Q78" s="1636"/>
      <c r="R78" s="1319">
        <v>0</v>
      </c>
      <c r="S78" s="1636"/>
    </row>
    <row r="79" spans="2:19">
      <c r="E79" s="1636"/>
      <c r="F79" s="1636"/>
      <c r="G79" s="1636"/>
      <c r="H79" s="1636"/>
      <c r="I79" s="1636"/>
      <c r="J79" s="1636"/>
      <c r="K79" s="1636"/>
      <c r="L79" s="1636"/>
      <c r="M79" s="1636"/>
      <c r="N79" s="1636"/>
      <c r="O79" s="1636"/>
      <c r="P79" s="1636"/>
      <c r="Q79" s="1636"/>
      <c r="R79" s="1636"/>
      <c r="S79" s="1636"/>
    </row>
    <row r="80" spans="2:19">
      <c r="B80" s="1314">
        <f>B78+1</f>
        <v>48</v>
      </c>
      <c r="D80" s="1320" t="s">
        <v>525</v>
      </c>
      <c r="E80" s="1319">
        <v>31</v>
      </c>
      <c r="F80" s="1321">
        <v>0</v>
      </c>
      <c r="G80" s="1321">
        <v>214</v>
      </c>
      <c r="H80" s="1322">
        <f t="shared" ref="H80:H91" si="21">IF(F80=0,0.5,F80/G80)</f>
        <v>0.5</v>
      </c>
      <c r="I80" s="1323"/>
      <c r="J80" s="1319">
        <v>-465579.55329022027</v>
      </c>
      <c r="K80" s="1324">
        <f>+J80*H80</f>
        <v>-232789.77664511013</v>
      </c>
      <c r="L80" s="1324">
        <f>+K80+L78</f>
        <v>-89930027.398377791</v>
      </c>
      <c r="M80" s="1323"/>
      <c r="N80" s="1319">
        <v>0</v>
      </c>
      <c r="O80" s="1324">
        <f>IF($D$177="True-Up Adjustment",N80-J80,0)</f>
        <v>0</v>
      </c>
      <c r="P80" s="1324">
        <f>IF($D$177="True-Up Adjustment",IF(AND(J80&gt;=0,N80&gt;=0),IF(O80&gt;=0,K80+O80,N80/J80*K80),IF(AND(J80&lt;0,N80&lt;0),IF(O80&lt;0,K80+O80,N80/J80*K80),0)),0)</f>
        <v>0</v>
      </c>
      <c r="Q80" s="1324">
        <f t="shared" ref="Q80:Q91" si="22">IF(AND(J80&gt;=0,N80&lt;0),N80,IF(AND(J80&lt;0,N80&gt;=0),N80,0))</f>
        <v>0</v>
      </c>
      <c r="R80" s="1324">
        <f>R78+P80+Q80</f>
        <v>0</v>
      </c>
      <c r="S80" s="1323"/>
    </row>
    <row r="81" spans="2:19">
      <c r="B81" s="1314">
        <f t="shared" ref="B81:B92" si="23">+B80+1</f>
        <v>49</v>
      </c>
      <c r="D81" s="1320" t="s">
        <v>526</v>
      </c>
      <c r="E81" s="1319">
        <v>28</v>
      </c>
      <c r="F81" s="1321">
        <v>0</v>
      </c>
      <c r="G81" s="1321">
        <v>214</v>
      </c>
      <c r="H81" s="1322">
        <f t="shared" si="21"/>
        <v>0.5</v>
      </c>
      <c r="I81" s="1323"/>
      <c r="J81" s="1319">
        <v>-462923.60934440215</v>
      </c>
      <c r="K81" s="1324">
        <f>+J81*H81</f>
        <v>-231461.80467220108</v>
      </c>
      <c r="L81" s="1324">
        <f t="shared" ref="L81:L91" si="24">+K81+L80</f>
        <v>-90161489.203049988</v>
      </c>
      <c r="M81" s="1323"/>
      <c r="N81" s="1319">
        <v>0</v>
      </c>
      <c r="O81" s="1324">
        <f t="shared" ref="O81:O91" si="25">IF($D$177="True-Up Adjustment",N81-J81,0)</f>
        <v>0</v>
      </c>
      <c r="P81" s="1324">
        <f t="shared" ref="P81:P91" si="26">IF($D$177="True-Up Adjustment",IF(AND(J81&gt;=0,N81&gt;=0),IF(O81&gt;=0,K81+O81,N81/J81*K81),IF(AND(J81&lt;0,N81&lt;0),IF(O81&lt;0,K81+O81,N81/J81*K81),0)),0)</f>
        <v>0</v>
      </c>
      <c r="Q81" s="1324">
        <f t="shared" si="22"/>
        <v>0</v>
      </c>
      <c r="R81" s="1324">
        <f t="shared" ref="R81:R91" si="27">R80+P81+Q81</f>
        <v>0</v>
      </c>
      <c r="S81" s="1323"/>
    </row>
    <row r="82" spans="2:19">
      <c r="B82" s="1314">
        <f t="shared" si="23"/>
        <v>50</v>
      </c>
      <c r="D82" s="1320" t="s">
        <v>545</v>
      </c>
      <c r="E82" s="1319">
        <v>31</v>
      </c>
      <c r="F82" s="1321">
        <v>0</v>
      </c>
      <c r="G82" s="1321">
        <v>214</v>
      </c>
      <c r="H82" s="1322">
        <f t="shared" si="21"/>
        <v>0.5</v>
      </c>
      <c r="I82" s="1323"/>
      <c r="J82" s="1319">
        <v>-423198.48733596416</v>
      </c>
      <c r="K82" s="1324">
        <f t="shared" ref="K82:K91" si="28">+J82*H82</f>
        <v>-211599.24366798208</v>
      </c>
      <c r="L82" s="1324">
        <f t="shared" si="24"/>
        <v>-90373088.446717963</v>
      </c>
      <c r="M82" s="1323"/>
      <c r="N82" s="1319">
        <v>0</v>
      </c>
      <c r="O82" s="1324">
        <f t="shared" si="25"/>
        <v>0</v>
      </c>
      <c r="P82" s="1324">
        <f t="shared" si="26"/>
        <v>0</v>
      </c>
      <c r="Q82" s="1324">
        <f t="shared" si="22"/>
        <v>0</v>
      </c>
      <c r="R82" s="1324">
        <f t="shared" si="27"/>
        <v>0</v>
      </c>
      <c r="S82" s="1323"/>
    </row>
    <row r="83" spans="2:19">
      <c r="B83" s="1314">
        <f t="shared" si="23"/>
        <v>51</v>
      </c>
      <c r="D83" s="1320" t="s">
        <v>171</v>
      </c>
      <c r="E83" s="1319">
        <v>30</v>
      </c>
      <c r="F83" s="1321">
        <v>0</v>
      </c>
      <c r="G83" s="1321">
        <v>214</v>
      </c>
      <c r="H83" s="1322">
        <f t="shared" si="21"/>
        <v>0.5</v>
      </c>
      <c r="I83" s="1323"/>
      <c r="J83" s="1319">
        <v>-413551.85105666454</v>
      </c>
      <c r="K83" s="1324">
        <f t="shared" si="28"/>
        <v>-206775.92552833227</v>
      </c>
      <c r="L83" s="1324">
        <f t="shared" si="24"/>
        <v>-90579864.372246295</v>
      </c>
      <c r="M83" s="1323"/>
      <c r="N83" s="1319">
        <v>0</v>
      </c>
      <c r="O83" s="1324">
        <f t="shared" si="25"/>
        <v>0</v>
      </c>
      <c r="P83" s="1324">
        <f t="shared" si="26"/>
        <v>0</v>
      </c>
      <c r="Q83" s="1324">
        <f t="shared" si="22"/>
        <v>0</v>
      </c>
      <c r="R83" s="1324">
        <f t="shared" si="27"/>
        <v>0</v>
      </c>
      <c r="S83" s="1323"/>
    </row>
    <row r="84" spans="2:19">
      <c r="B84" s="1314">
        <f t="shared" si="23"/>
        <v>52</v>
      </c>
      <c r="D84" s="1320" t="s">
        <v>172</v>
      </c>
      <c r="E84" s="1319">
        <v>31</v>
      </c>
      <c r="F84" s="1321">
        <v>0</v>
      </c>
      <c r="G84" s="1321">
        <v>214</v>
      </c>
      <c r="H84" s="1322">
        <f t="shared" si="21"/>
        <v>0.5</v>
      </c>
      <c r="I84" s="1323"/>
      <c r="J84" s="1319">
        <v>-403749.33243922301</v>
      </c>
      <c r="K84" s="1324">
        <f t="shared" si="28"/>
        <v>-201874.66621961151</v>
      </c>
      <c r="L84" s="1324">
        <f t="shared" si="24"/>
        <v>-90781739.038465902</v>
      </c>
      <c r="M84" s="1323"/>
      <c r="N84" s="1319">
        <v>0</v>
      </c>
      <c r="O84" s="1324">
        <f t="shared" si="25"/>
        <v>0</v>
      </c>
      <c r="P84" s="1324">
        <f t="shared" si="26"/>
        <v>0</v>
      </c>
      <c r="Q84" s="1324">
        <f t="shared" si="22"/>
        <v>0</v>
      </c>
      <c r="R84" s="1324">
        <f t="shared" si="27"/>
        <v>0</v>
      </c>
      <c r="S84" s="1323"/>
    </row>
    <row r="85" spans="2:19">
      <c r="B85" s="1314">
        <f t="shared" si="23"/>
        <v>53</v>
      </c>
      <c r="D85" s="1320" t="s">
        <v>173</v>
      </c>
      <c r="E85" s="1319">
        <v>30</v>
      </c>
      <c r="F85" s="1321">
        <v>185</v>
      </c>
      <c r="G85" s="1321">
        <v>214</v>
      </c>
      <c r="H85" s="1322">
        <f t="shared" si="21"/>
        <v>0.86448598130841126</v>
      </c>
      <c r="I85" s="1323"/>
      <c r="J85" s="1319">
        <v>-394751.63638052996</v>
      </c>
      <c r="K85" s="1324">
        <f t="shared" si="28"/>
        <v>-341257.25574952358</v>
      </c>
      <c r="L85" s="1324">
        <f t="shared" si="24"/>
        <v>-91122996.294215426</v>
      </c>
      <c r="M85" s="1323"/>
      <c r="N85" s="1319">
        <v>0</v>
      </c>
      <c r="O85" s="1324">
        <f t="shared" si="25"/>
        <v>0</v>
      </c>
      <c r="P85" s="1324">
        <f t="shared" si="26"/>
        <v>0</v>
      </c>
      <c r="Q85" s="1324">
        <f t="shared" si="22"/>
        <v>0</v>
      </c>
      <c r="R85" s="1324">
        <f t="shared" si="27"/>
        <v>0</v>
      </c>
      <c r="S85" s="1323"/>
    </row>
    <row r="86" spans="2:19">
      <c r="B86" s="1314">
        <f t="shared" si="23"/>
        <v>54</v>
      </c>
      <c r="D86" s="1320" t="s">
        <v>528</v>
      </c>
      <c r="E86" s="1319">
        <v>31</v>
      </c>
      <c r="F86" s="1321">
        <v>154</v>
      </c>
      <c r="G86" s="1321">
        <v>214</v>
      </c>
      <c r="H86" s="1322">
        <f t="shared" si="21"/>
        <v>0.71962616822429903</v>
      </c>
      <c r="I86" s="1323"/>
      <c r="J86" s="1319">
        <v>-390498.7662954962</v>
      </c>
      <c r="K86" s="1324">
        <f t="shared" si="28"/>
        <v>-281013.130885544</v>
      </c>
      <c r="L86" s="1324">
        <f t="shared" si="24"/>
        <v>-91404009.425100967</v>
      </c>
      <c r="M86" s="1323"/>
      <c r="N86" s="1319">
        <v>0</v>
      </c>
      <c r="O86" s="1324">
        <f t="shared" si="25"/>
        <v>0</v>
      </c>
      <c r="P86" s="1324">
        <f t="shared" si="26"/>
        <v>0</v>
      </c>
      <c r="Q86" s="1324">
        <f t="shared" si="22"/>
        <v>0</v>
      </c>
      <c r="R86" s="1324">
        <f t="shared" si="27"/>
        <v>0</v>
      </c>
      <c r="S86" s="1323"/>
    </row>
    <row r="87" spans="2:19">
      <c r="B87" s="1314">
        <f t="shared" si="23"/>
        <v>55</v>
      </c>
      <c r="D87" s="1320" t="s">
        <v>546</v>
      </c>
      <c r="E87" s="1319">
        <v>31</v>
      </c>
      <c r="F87" s="1321">
        <v>123</v>
      </c>
      <c r="G87" s="1321">
        <v>214</v>
      </c>
      <c r="H87" s="1322">
        <f t="shared" si="21"/>
        <v>0.57476635514018692</v>
      </c>
      <c r="I87" s="1323"/>
      <c r="J87" s="1319">
        <v>-387591.15015206242</v>
      </c>
      <c r="K87" s="1324">
        <f t="shared" si="28"/>
        <v>-222774.35265749382</v>
      </c>
      <c r="L87" s="1324">
        <f t="shared" si="24"/>
        <v>-91626783.777758464</v>
      </c>
      <c r="M87" s="1323"/>
      <c r="N87" s="1319">
        <v>0</v>
      </c>
      <c r="O87" s="1324">
        <f t="shared" si="25"/>
        <v>0</v>
      </c>
      <c r="P87" s="1324">
        <f t="shared" si="26"/>
        <v>0</v>
      </c>
      <c r="Q87" s="1324">
        <f t="shared" si="22"/>
        <v>0</v>
      </c>
      <c r="R87" s="1324">
        <f t="shared" si="27"/>
        <v>0</v>
      </c>
      <c r="S87" s="1323"/>
    </row>
    <row r="88" spans="2:19">
      <c r="B88" s="1314">
        <f t="shared" si="23"/>
        <v>56</v>
      </c>
      <c r="D88" s="1320" t="s">
        <v>530</v>
      </c>
      <c r="E88" s="1319">
        <v>30</v>
      </c>
      <c r="F88" s="1321">
        <v>93</v>
      </c>
      <c r="G88" s="1321">
        <v>214</v>
      </c>
      <c r="H88" s="1322">
        <f t="shared" si="21"/>
        <v>0.43457943925233644</v>
      </c>
      <c r="I88" s="1323"/>
      <c r="J88" s="1319">
        <v>-384788.34851723054</v>
      </c>
      <c r="K88" s="1324">
        <f t="shared" si="28"/>
        <v>-167221.10472945066</v>
      </c>
      <c r="L88" s="1324">
        <f t="shared" si="24"/>
        <v>-91794004.882487908</v>
      </c>
      <c r="M88" s="1323"/>
      <c r="N88" s="1319">
        <v>0</v>
      </c>
      <c r="O88" s="1324">
        <f t="shared" si="25"/>
        <v>0</v>
      </c>
      <c r="P88" s="1324">
        <f t="shared" si="26"/>
        <v>0</v>
      </c>
      <c r="Q88" s="1324">
        <f t="shared" si="22"/>
        <v>0</v>
      </c>
      <c r="R88" s="1324">
        <f t="shared" si="27"/>
        <v>0</v>
      </c>
      <c r="S88" s="1323"/>
    </row>
    <row r="89" spans="2:19">
      <c r="B89" s="1314">
        <f t="shared" si="23"/>
        <v>57</v>
      </c>
      <c r="D89" s="1320" t="s">
        <v>531</v>
      </c>
      <c r="E89" s="1319">
        <v>31</v>
      </c>
      <c r="F89" s="1321">
        <v>62</v>
      </c>
      <c r="G89" s="1321">
        <v>214</v>
      </c>
      <c r="H89" s="1322">
        <f t="shared" si="21"/>
        <v>0.28971962616822428</v>
      </c>
      <c r="I89" s="1323"/>
      <c r="J89" s="1319">
        <v>-381635.51971139217</v>
      </c>
      <c r="K89" s="1324">
        <f t="shared" si="28"/>
        <v>-110567.30010330053</v>
      </c>
      <c r="L89" s="1324">
        <f t="shared" si="24"/>
        <v>-91904572.182591215</v>
      </c>
      <c r="M89" s="1323"/>
      <c r="N89" s="1319">
        <v>0</v>
      </c>
      <c r="O89" s="1324">
        <f t="shared" si="25"/>
        <v>0</v>
      </c>
      <c r="P89" s="1324">
        <f t="shared" si="26"/>
        <v>0</v>
      </c>
      <c r="Q89" s="1324">
        <f t="shared" si="22"/>
        <v>0</v>
      </c>
      <c r="R89" s="1324">
        <f t="shared" si="27"/>
        <v>0</v>
      </c>
      <c r="S89" s="1323"/>
    </row>
    <row r="90" spans="2:19">
      <c r="B90" s="1314">
        <f t="shared" si="23"/>
        <v>58</v>
      </c>
      <c r="D90" s="1320" t="s">
        <v>532</v>
      </c>
      <c r="E90" s="1319">
        <v>30</v>
      </c>
      <c r="F90" s="1321">
        <v>32</v>
      </c>
      <c r="G90" s="1321">
        <v>214</v>
      </c>
      <c r="H90" s="1322">
        <f t="shared" si="21"/>
        <v>0.14953271028037382</v>
      </c>
      <c r="I90" s="1323"/>
      <c r="J90" s="1319">
        <v>-378775.43279562186</v>
      </c>
      <c r="K90" s="1324">
        <f t="shared" si="28"/>
        <v>-56639.317053550927</v>
      </c>
      <c r="L90" s="1324">
        <f t="shared" si="24"/>
        <v>-91961211.499644771</v>
      </c>
      <c r="M90" s="1323"/>
      <c r="N90" s="1319">
        <v>0</v>
      </c>
      <c r="O90" s="1324">
        <f t="shared" si="25"/>
        <v>0</v>
      </c>
      <c r="P90" s="1324">
        <f t="shared" si="26"/>
        <v>0</v>
      </c>
      <c r="Q90" s="1324">
        <f t="shared" si="22"/>
        <v>0</v>
      </c>
      <c r="R90" s="1324">
        <f t="shared" si="27"/>
        <v>0</v>
      </c>
      <c r="S90" s="1323"/>
    </row>
    <row r="91" spans="2:19">
      <c r="B91" s="1314">
        <f t="shared" si="23"/>
        <v>59</v>
      </c>
      <c r="D91" s="1325" t="s">
        <v>749</v>
      </c>
      <c r="E91" s="1319">
        <v>31</v>
      </c>
      <c r="F91" s="1326">
        <v>1</v>
      </c>
      <c r="G91" s="1321">
        <v>214</v>
      </c>
      <c r="H91" s="1322">
        <f t="shared" si="21"/>
        <v>4.6728971962616819E-3</v>
      </c>
      <c r="I91" s="1323"/>
      <c r="J91" s="1319">
        <v>-371877.99268803908</v>
      </c>
      <c r="K91" s="1324">
        <f t="shared" si="28"/>
        <v>-1737.7476293833602</v>
      </c>
      <c r="L91" s="1324">
        <f t="shared" si="24"/>
        <v>-91962949.24727416</v>
      </c>
      <c r="M91" s="1323"/>
      <c r="N91" s="1319">
        <v>0</v>
      </c>
      <c r="O91" s="1324">
        <f t="shared" si="25"/>
        <v>0</v>
      </c>
      <c r="P91" s="1324">
        <f t="shared" si="26"/>
        <v>0</v>
      </c>
      <c r="Q91" s="1324">
        <f t="shared" si="22"/>
        <v>0</v>
      </c>
      <c r="R91" s="1324">
        <f t="shared" si="27"/>
        <v>0</v>
      </c>
      <c r="S91" s="1323"/>
    </row>
    <row r="92" spans="2:19">
      <c r="B92" s="1314">
        <f t="shared" si="23"/>
        <v>60</v>
      </c>
      <c r="D92" s="1327" t="str">
        <f>"Total (Sum of Lines "&amp;B80&amp;" - "&amp;B91&amp;")"</f>
        <v>Total (Sum of Lines 48 - 59)</v>
      </c>
      <c r="E92" s="1328">
        <f>SUM(E80:E91)</f>
        <v>365</v>
      </c>
      <c r="F92" s="1329"/>
      <c r="G92" s="1329"/>
      <c r="H92" s="1330"/>
      <c r="I92" s="1331"/>
      <c r="J92" s="1328">
        <f>SUM(J80:J91)</f>
        <v>-4858921.6800068468</v>
      </c>
      <c r="K92" s="1328">
        <f>SUM(K80:K91)</f>
        <v>-2265711.6255414844</v>
      </c>
      <c r="L92" s="1328"/>
      <c r="M92" s="1331"/>
      <c r="N92" s="1328">
        <f>SUM(N80:N91)</f>
        <v>0</v>
      </c>
      <c r="O92" s="1328">
        <f>SUM(O80:O91)</f>
        <v>0</v>
      </c>
      <c r="P92" s="1328">
        <f>SUM(P80:P91)</f>
        <v>0</v>
      </c>
      <c r="Q92" s="1328">
        <f>SUM(Q80:Q91)</f>
        <v>0</v>
      </c>
      <c r="R92" s="1332"/>
      <c r="S92" s="1331"/>
    </row>
    <row r="93" spans="2:19">
      <c r="D93" s="1333"/>
      <c r="E93" s="1333"/>
      <c r="F93" s="1333"/>
      <c r="G93" s="1333"/>
      <c r="H93" s="1334"/>
      <c r="I93" s="1334"/>
      <c r="K93" s="1335"/>
      <c r="L93" s="1334"/>
      <c r="M93" s="1334"/>
      <c r="N93" s="1345"/>
      <c r="O93" s="1335"/>
      <c r="P93" s="1335"/>
      <c r="Q93" s="1335"/>
      <c r="R93" s="1334"/>
      <c r="S93" s="1334"/>
    </row>
    <row r="94" spans="2:19" ht="15" customHeight="1">
      <c r="B94" s="1314">
        <f>B92+1</f>
        <v>61</v>
      </c>
      <c r="D94" s="1008" t="s">
        <v>917</v>
      </c>
      <c r="I94" s="1334"/>
      <c r="J94" s="1319" t="s">
        <v>1802</v>
      </c>
      <c r="L94" s="1319">
        <f>+'1C - ADIT BOY'!E13</f>
        <v>-179760360.51164731</v>
      </c>
      <c r="M94" s="1336"/>
      <c r="N94" s="1319"/>
      <c r="R94" s="1319">
        <v>0</v>
      </c>
    </row>
    <row r="95" spans="2:19">
      <c r="B95" s="1314">
        <f>B94+1</f>
        <v>62</v>
      </c>
      <c r="D95" s="1008" t="s">
        <v>921</v>
      </c>
      <c r="I95" s="1334"/>
      <c r="J95" s="1337" t="s">
        <v>639</v>
      </c>
      <c r="L95" s="1338">
        <v>0</v>
      </c>
      <c r="M95" s="1339"/>
      <c r="N95" s="1337"/>
      <c r="R95" s="1338">
        <v>0</v>
      </c>
    </row>
    <row r="96" spans="2:19">
      <c r="B96" s="1314">
        <f>B95+1</f>
        <v>63</v>
      </c>
      <c r="D96" s="1008" t="s">
        <v>918</v>
      </c>
      <c r="I96" s="1334"/>
      <c r="J96" s="1327" t="str">
        <f>"(Col. "&amp;L75&amp;", Line "&amp;B94&amp;" + Line "&amp;B95&amp;")"</f>
        <v>(Col. (H), Line 61 + Line 62)</v>
      </c>
      <c r="L96" s="1340">
        <f>L94+L95</f>
        <v>-179760360.51164731</v>
      </c>
      <c r="M96" s="1334"/>
      <c r="N96" s="1327" t="str">
        <f>"(Col. "&amp;R75&amp;", Line "&amp;B94&amp;" + Line "&amp;B95&amp;")"</f>
        <v>(Col. (M), Line 61 + Line 62)</v>
      </c>
      <c r="R96" s="1340">
        <f>R94+R95</f>
        <v>0</v>
      </c>
    </row>
    <row r="97" spans="2:19">
      <c r="I97" s="1334"/>
      <c r="L97" s="1340"/>
      <c r="M97" s="1334"/>
      <c r="R97" s="1340"/>
    </row>
    <row r="98" spans="2:19">
      <c r="B98" s="1314">
        <f>B96+1</f>
        <v>64</v>
      </c>
      <c r="D98" s="1008" t="s">
        <v>1001</v>
      </c>
      <c r="I98" s="1334"/>
      <c r="J98" s="1319" t="s">
        <v>1803</v>
      </c>
      <c r="L98" s="1319">
        <f>'1B - ADIT EOY'!E13</f>
        <v>-188855432.57418644</v>
      </c>
      <c r="M98" s="1336"/>
      <c r="N98" s="1319"/>
      <c r="R98" s="1319">
        <v>0</v>
      </c>
    </row>
    <row r="99" spans="2:19">
      <c r="B99" s="1314">
        <f>B98+1</f>
        <v>65</v>
      </c>
      <c r="D99" s="1008" t="s">
        <v>922</v>
      </c>
      <c r="I99" s="1334"/>
      <c r="J99" s="1337" t="s">
        <v>639</v>
      </c>
      <c r="L99" s="1338">
        <v>0</v>
      </c>
      <c r="M99" s="1334"/>
      <c r="N99" s="1337"/>
      <c r="R99" s="1338">
        <v>0</v>
      </c>
    </row>
    <row r="100" spans="2:19">
      <c r="B100" s="1314">
        <f>B99+1</f>
        <v>66</v>
      </c>
      <c r="D100" s="1008" t="s">
        <v>923</v>
      </c>
      <c r="I100" s="1334"/>
      <c r="J100" s="1327" t="str">
        <f>"(Col. "&amp;L75&amp;", Line "&amp;B98&amp;" + Line "&amp;B99&amp;")"</f>
        <v>(Col. (H), Line 64 + Line 65)</v>
      </c>
      <c r="L100" s="1340">
        <f>L98+L99</f>
        <v>-188855432.57418644</v>
      </c>
      <c r="M100" s="1334"/>
      <c r="N100" s="1327" t="str">
        <f>"(Col. "&amp;R75&amp;", Line "&amp;B98&amp;" + Line "&amp;B99&amp;")"</f>
        <v>(Col. (M), Line 64 + Line 65)</v>
      </c>
      <c r="R100" s="1340">
        <f>R98+R99</f>
        <v>0</v>
      </c>
    </row>
    <row r="101" spans="2:19">
      <c r="I101" s="1334"/>
      <c r="L101" s="1340"/>
      <c r="M101" s="1334"/>
      <c r="R101" s="1340"/>
    </row>
    <row r="102" spans="2:19">
      <c r="B102" s="1314">
        <f>B100+1</f>
        <v>67</v>
      </c>
      <c r="D102" s="1008" t="s">
        <v>1000</v>
      </c>
      <c r="I102" s="1334"/>
      <c r="J102" s="1327" t="str">
        <f>"([Col. "&amp;L75&amp;", Line "&amp;B96&amp;" + Line "&amp;B100&amp;"] /2)"</f>
        <v>([Col. (H), Line 63 + Line 66] /2)</v>
      </c>
      <c r="L102" s="1324">
        <f>(L96+L100)/2</f>
        <v>-184307896.54291689</v>
      </c>
      <c r="M102" s="1334"/>
      <c r="N102" s="1327" t="str">
        <f>"([Col. "&amp;R75&amp;", Line "&amp;B96&amp;" + Line "&amp;B100&amp;"] /2)"</f>
        <v>([Col. (M), Line 63 + Line 66] /2)</v>
      </c>
      <c r="R102" s="1324">
        <f>(R96+R100)/2</f>
        <v>0</v>
      </c>
    </row>
    <row r="103" spans="2:19">
      <c r="B103" s="1314">
        <f>B102+1</f>
        <v>68</v>
      </c>
      <c r="D103" s="1333" t="s">
        <v>999</v>
      </c>
      <c r="E103" s="1333"/>
      <c r="F103" s="1333"/>
      <c r="G103" s="1333"/>
      <c r="H103" s="1334"/>
      <c r="I103" s="1334"/>
      <c r="J103" s="1327" t="str">
        <f>"(Col. "&amp;L75&amp;", Line "&amp;B91&amp;" )"</f>
        <v>(Col. (H), Line 59 )</v>
      </c>
      <c r="K103" s="1335"/>
      <c r="L103" s="1324">
        <f>L91</f>
        <v>-91962949.24727416</v>
      </c>
      <c r="M103" s="1334"/>
      <c r="N103" s="1327" t="str">
        <f>"(Col. "&amp;R75&amp;", Line "&amp;B91&amp;" )"</f>
        <v>(Col. (M), Line 59 )</v>
      </c>
      <c r="R103" s="1324">
        <f>R91</f>
        <v>0</v>
      </c>
    </row>
    <row r="104" spans="2:19" ht="13.5" thickBot="1">
      <c r="B104" s="1314">
        <f>B103+1</f>
        <v>69</v>
      </c>
      <c r="D104" s="1341" t="s">
        <v>1754</v>
      </c>
      <c r="E104" s="1333"/>
      <c r="F104" s="1333"/>
      <c r="G104" s="1333"/>
      <c r="H104" s="1334"/>
      <c r="I104" s="1334"/>
      <c r="J104" s="1327" t="str">
        <f>"(Col. "&amp;L75&amp;", Line "&amp;B102&amp;" + Line "&amp;B103&amp;")"</f>
        <v>(Col. (H), Line 67 + Line 68)</v>
      </c>
      <c r="K104" s="1335"/>
      <c r="L104" s="1342">
        <f>L102+L103</f>
        <v>-276270845.79019105</v>
      </c>
      <c r="M104" s="1334"/>
      <c r="N104" s="1327" t="str">
        <f>"(Col. "&amp;R75&amp;", Line "&amp;B102&amp;" + Line "&amp;B103&amp;")"</f>
        <v>(Col. (M), Line 67 + Line 68)</v>
      </c>
      <c r="R104" s="1342">
        <f>R102+R103</f>
        <v>0</v>
      </c>
    </row>
    <row r="105" spans="2:19" ht="13">
      <c r="D105" s="1311"/>
    </row>
    <row r="106" spans="2:19" ht="13">
      <c r="D106" s="1311" t="s">
        <v>924</v>
      </c>
      <c r="J106" s="1737"/>
      <c r="K106" s="1737"/>
      <c r="L106" s="1737"/>
      <c r="N106" s="1737"/>
      <c r="O106" s="1737"/>
      <c r="P106" s="1737"/>
      <c r="Q106" s="1737"/>
      <c r="R106" s="1737"/>
    </row>
    <row r="107" spans="2:19" ht="13">
      <c r="D107" s="1730" t="s">
        <v>912</v>
      </c>
      <c r="E107" s="1731"/>
      <c r="F107" s="1731"/>
      <c r="G107" s="1731"/>
      <c r="H107" s="1732"/>
      <c r="I107" s="1315"/>
      <c r="J107" s="1733" t="s">
        <v>1292</v>
      </c>
      <c r="K107" s="1734"/>
      <c r="L107" s="1735"/>
      <c r="M107" s="1315"/>
      <c r="N107" s="1733" t="s">
        <v>1293</v>
      </c>
      <c r="O107" s="1734"/>
      <c r="P107" s="1734"/>
      <c r="Q107" s="1734"/>
      <c r="R107" s="1735"/>
      <c r="S107" s="1315"/>
    </row>
    <row r="108" spans="2:19" ht="13">
      <c r="D108" s="1316" t="s">
        <v>174</v>
      </c>
      <c r="E108" s="1316" t="s">
        <v>175</v>
      </c>
      <c r="F108" s="1316" t="s">
        <v>1294</v>
      </c>
      <c r="G108" s="1316" t="s">
        <v>1295</v>
      </c>
      <c r="H108" s="1316" t="s">
        <v>1296</v>
      </c>
      <c r="I108" s="1315"/>
      <c r="J108" s="1316" t="s">
        <v>1297</v>
      </c>
      <c r="K108" s="1316" t="s">
        <v>1298</v>
      </c>
      <c r="L108" s="1316" t="s">
        <v>1299</v>
      </c>
      <c r="M108" s="1315"/>
      <c r="N108" s="1316" t="s">
        <v>1300</v>
      </c>
      <c r="O108" s="1316" t="s">
        <v>1301</v>
      </c>
      <c r="P108" s="1316" t="s">
        <v>1302</v>
      </c>
      <c r="Q108" s="1316" t="s">
        <v>1303</v>
      </c>
      <c r="R108" s="1316" t="s">
        <v>1304</v>
      </c>
      <c r="S108" s="1315"/>
    </row>
    <row r="109" spans="2:19" ht="50">
      <c r="B109" s="1317" t="s">
        <v>1305</v>
      </c>
      <c r="D109" s="1318" t="s">
        <v>169</v>
      </c>
      <c r="E109" s="1318" t="s">
        <v>913</v>
      </c>
      <c r="F109" s="1318" t="s">
        <v>914</v>
      </c>
      <c r="G109" s="1318" t="s">
        <v>915</v>
      </c>
      <c r="H109" s="1318" t="s">
        <v>1306</v>
      </c>
      <c r="I109" s="1636"/>
      <c r="J109" s="1318" t="s">
        <v>916</v>
      </c>
      <c r="K109" s="1318" t="s">
        <v>1307</v>
      </c>
      <c r="L109" s="1318" t="s">
        <v>1308</v>
      </c>
      <c r="M109" s="1636"/>
      <c r="N109" s="1318" t="s">
        <v>1003</v>
      </c>
      <c r="O109" s="1318" t="s">
        <v>1309</v>
      </c>
      <c r="P109" s="1318" t="s">
        <v>1310</v>
      </c>
      <c r="Q109" s="1318" t="s">
        <v>1311</v>
      </c>
      <c r="R109" s="1318" t="s">
        <v>1312</v>
      </c>
      <c r="S109" s="1636"/>
    </row>
    <row r="110" spans="2:19">
      <c r="E110" s="1636"/>
      <c r="F110" s="1636"/>
      <c r="G110" s="1636"/>
      <c r="H110" s="1636"/>
      <c r="I110" s="1636"/>
      <c r="J110" s="1636"/>
      <c r="K110" s="1636"/>
      <c r="L110" s="1636"/>
      <c r="M110" s="1636"/>
      <c r="N110" s="1636"/>
      <c r="O110" s="1636"/>
      <c r="P110" s="1636"/>
      <c r="Q110" s="1636"/>
      <c r="R110" s="1636"/>
      <c r="S110" s="1636"/>
    </row>
    <row r="111" spans="2:19">
      <c r="B111" s="1314">
        <f>B104+1</f>
        <v>70</v>
      </c>
      <c r="D111" s="1008" t="s">
        <v>1002</v>
      </c>
      <c r="E111" s="1636"/>
      <c r="F111" s="1636"/>
      <c r="G111" s="1636"/>
      <c r="H111" s="1636"/>
      <c r="I111" s="1636"/>
      <c r="J111" s="1319" t="s">
        <v>1802</v>
      </c>
      <c r="K111" s="1636"/>
      <c r="L111" s="1319">
        <v>0</v>
      </c>
      <c r="M111" s="1636"/>
      <c r="N111" s="1319"/>
      <c r="O111" s="1636"/>
      <c r="P111" s="1636"/>
      <c r="Q111" s="1636"/>
      <c r="R111" s="1319">
        <v>0</v>
      </c>
      <c r="S111" s="1636"/>
    </row>
    <row r="112" spans="2:19">
      <c r="E112" s="1636"/>
      <c r="F112" s="1636"/>
      <c r="G112" s="1636"/>
      <c r="H112" s="1636"/>
      <c r="I112" s="1636"/>
      <c r="J112" s="1636"/>
      <c r="K112" s="1636"/>
      <c r="L112" s="1636"/>
      <c r="M112" s="1636"/>
      <c r="N112" s="1636"/>
      <c r="O112" s="1636"/>
      <c r="P112" s="1636"/>
      <c r="Q112" s="1636"/>
      <c r="R112" s="1636"/>
      <c r="S112" s="1636"/>
    </row>
    <row r="113" spans="2:19">
      <c r="B113" s="1314">
        <f>B111+1</f>
        <v>71</v>
      </c>
      <c r="D113" s="1320" t="s">
        <v>525</v>
      </c>
      <c r="E113" s="1319">
        <v>31</v>
      </c>
      <c r="F113" s="1321">
        <v>0</v>
      </c>
      <c r="G113" s="1321">
        <v>214</v>
      </c>
      <c r="H113" s="1322">
        <f t="shared" ref="H113:H124" si="29">IF(F113=0,0.5,F113/G113)</f>
        <v>0.5</v>
      </c>
      <c r="I113" s="1323"/>
      <c r="J113" s="1319">
        <v>0</v>
      </c>
      <c r="K113" s="1324">
        <f t="shared" ref="K113:K124" si="30">+J113*H113</f>
        <v>0</v>
      </c>
      <c r="L113" s="1324">
        <f>+K113</f>
        <v>0</v>
      </c>
      <c r="M113" s="1323"/>
      <c r="N113" s="1319">
        <v>0</v>
      </c>
      <c r="O113" s="1324">
        <f>IF($D$177="True-Up Adjustment",N113-J113,0)</f>
        <v>0</v>
      </c>
      <c r="P113" s="1324">
        <f>IF($D$177="True-Up Adjustment",IF(AND(J113&gt;=0,N113&gt;=0),IF(O113&gt;=0,K113+O113,N113/J113*K113),IF(AND(J113&lt;0,N113&lt;0),IF(O113&lt;0,K113+O113,N113/J113*K113),0)),0)</f>
        <v>0</v>
      </c>
      <c r="Q113" s="1324">
        <f t="shared" ref="Q113:Q124" si="31">IF(AND(J113&gt;=0,N113&lt;0),N113,IF(AND(J113&lt;0,N113&gt;=0),N113,0))</f>
        <v>0</v>
      </c>
      <c r="R113" s="1324">
        <f>+P113+Q113</f>
        <v>0</v>
      </c>
      <c r="S113" s="1323"/>
    </row>
    <row r="114" spans="2:19">
      <c r="B114" s="1314">
        <f t="shared" ref="B114:B125" si="32">+B113+1</f>
        <v>72</v>
      </c>
      <c r="D114" s="1320" t="s">
        <v>526</v>
      </c>
      <c r="E114" s="1319">
        <v>28</v>
      </c>
      <c r="F114" s="1321">
        <v>0</v>
      </c>
      <c r="G114" s="1321">
        <v>214</v>
      </c>
      <c r="H114" s="1322">
        <f t="shared" si="29"/>
        <v>0.5</v>
      </c>
      <c r="I114" s="1323"/>
      <c r="J114" s="1319">
        <v>0</v>
      </c>
      <c r="K114" s="1324">
        <f t="shared" si="30"/>
        <v>0</v>
      </c>
      <c r="L114" s="1324">
        <f t="shared" ref="L114:L124" si="33">+K114+L113</f>
        <v>0</v>
      </c>
      <c r="M114" s="1323"/>
      <c r="N114" s="1319">
        <v>0</v>
      </c>
      <c r="O114" s="1324">
        <f t="shared" ref="O114:O124" si="34">IF($D$177="True-Up Adjustment",N114-J114,0)</f>
        <v>0</v>
      </c>
      <c r="P114" s="1324">
        <f t="shared" ref="P114:P124" si="35">IF($D$177="True-Up Adjustment",IF(AND(J114&gt;=0,N114&gt;=0),IF(O114&gt;=0,K114+O114,N114/J114*K114),IF(AND(J114&lt;0,N114&lt;0),IF(O114&lt;0,K114+O114,N114/J114*K114),0)),0)</f>
        <v>0</v>
      </c>
      <c r="Q114" s="1324">
        <f t="shared" si="31"/>
        <v>0</v>
      </c>
      <c r="R114" s="1324">
        <f t="shared" ref="R114:R124" si="36">R113+P114+Q114</f>
        <v>0</v>
      </c>
      <c r="S114" s="1323"/>
    </row>
    <row r="115" spans="2:19">
      <c r="B115" s="1314">
        <f t="shared" si="32"/>
        <v>73</v>
      </c>
      <c r="D115" s="1320" t="s">
        <v>545</v>
      </c>
      <c r="E115" s="1319">
        <v>31</v>
      </c>
      <c r="F115" s="1321">
        <v>0</v>
      </c>
      <c r="G115" s="1321">
        <v>214</v>
      </c>
      <c r="H115" s="1322">
        <f t="shared" si="29"/>
        <v>0.5</v>
      </c>
      <c r="I115" s="1323"/>
      <c r="J115" s="1319">
        <v>0</v>
      </c>
      <c r="K115" s="1324">
        <f t="shared" si="30"/>
        <v>0</v>
      </c>
      <c r="L115" s="1324">
        <f t="shared" si="33"/>
        <v>0</v>
      </c>
      <c r="M115" s="1323"/>
      <c r="N115" s="1319">
        <v>0</v>
      </c>
      <c r="O115" s="1324">
        <f t="shared" si="34"/>
        <v>0</v>
      </c>
      <c r="P115" s="1324">
        <f t="shared" si="35"/>
        <v>0</v>
      </c>
      <c r="Q115" s="1324">
        <f t="shared" si="31"/>
        <v>0</v>
      </c>
      <c r="R115" s="1324">
        <f t="shared" si="36"/>
        <v>0</v>
      </c>
      <c r="S115" s="1323"/>
    </row>
    <row r="116" spans="2:19">
      <c r="B116" s="1314">
        <f t="shared" si="32"/>
        <v>74</v>
      </c>
      <c r="D116" s="1320" t="s">
        <v>171</v>
      </c>
      <c r="E116" s="1319">
        <v>30</v>
      </c>
      <c r="F116" s="1321">
        <v>0</v>
      </c>
      <c r="G116" s="1321">
        <v>214</v>
      </c>
      <c r="H116" s="1322">
        <f t="shared" si="29"/>
        <v>0.5</v>
      </c>
      <c r="I116" s="1323"/>
      <c r="J116" s="1319">
        <v>0</v>
      </c>
      <c r="K116" s="1324">
        <f t="shared" si="30"/>
        <v>0</v>
      </c>
      <c r="L116" s="1324">
        <f t="shared" si="33"/>
        <v>0</v>
      </c>
      <c r="M116" s="1323"/>
      <c r="N116" s="1319">
        <v>0</v>
      </c>
      <c r="O116" s="1324">
        <f t="shared" si="34"/>
        <v>0</v>
      </c>
      <c r="P116" s="1324">
        <f t="shared" si="35"/>
        <v>0</v>
      </c>
      <c r="Q116" s="1324">
        <f t="shared" si="31"/>
        <v>0</v>
      </c>
      <c r="R116" s="1324">
        <f t="shared" si="36"/>
        <v>0</v>
      </c>
      <c r="S116" s="1323"/>
    </row>
    <row r="117" spans="2:19">
      <c r="B117" s="1314">
        <f t="shared" si="32"/>
        <v>75</v>
      </c>
      <c r="D117" s="1320" t="s">
        <v>172</v>
      </c>
      <c r="E117" s="1319">
        <v>31</v>
      </c>
      <c r="F117" s="1321">
        <v>0</v>
      </c>
      <c r="G117" s="1321">
        <v>214</v>
      </c>
      <c r="H117" s="1322">
        <f t="shared" si="29"/>
        <v>0.5</v>
      </c>
      <c r="I117" s="1323"/>
      <c r="J117" s="1319">
        <v>0</v>
      </c>
      <c r="K117" s="1324">
        <f t="shared" si="30"/>
        <v>0</v>
      </c>
      <c r="L117" s="1324">
        <f t="shared" si="33"/>
        <v>0</v>
      </c>
      <c r="M117" s="1323"/>
      <c r="N117" s="1319">
        <v>0</v>
      </c>
      <c r="O117" s="1324">
        <f t="shared" si="34"/>
        <v>0</v>
      </c>
      <c r="P117" s="1324">
        <f t="shared" si="35"/>
        <v>0</v>
      </c>
      <c r="Q117" s="1324">
        <f t="shared" si="31"/>
        <v>0</v>
      </c>
      <c r="R117" s="1324">
        <f t="shared" si="36"/>
        <v>0</v>
      </c>
      <c r="S117" s="1323"/>
    </row>
    <row r="118" spans="2:19">
      <c r="B118" s="1314">
        <f t="shared" si="32"/>
        <v>76</v>
      </c>
      <c r="D118" s="1320" t="s">
        <v>173</v>
      </c>
      <c r="E118" s="1319">
        <v>30</v>
      </c>
      <c r="F118" s="1321">
        <v>185</v>
      </c>
      <c r="G118" s="1321">
        <v>214</v>
      </c>
      <c r="H118" s="1322">
        <f t="shared" si="29"/>
        <v>0.86448598130841126</v>
      </c>
      <c r="I118" s="1323"/>
      <c r="J118" s="1319">
        <v>0</v>
      </c>
      <c r="K118" s="1324">
        <f t="shared" si="30"/>
        <v>0</v>
      </c>
      <c r="L118" s="1324">
        <f t="shared" si="33"/>
        <v>0</v>
      </c>
      <c r="M118" s="1323"/>
      <c r="N118" s="1319">
        <v>0</v>
      </c>
      <c r="O118" s="1324">
        <f t="shared" si="34"/>
        <v>0</v>
      </c>
      <c r="P118" s="1324">
        <f t="shared" si="35"/>
        <v>0</v>
      </c>
      <c r="Q118" s="1324">
        <f t="shared" si="31"/>
        <v>0</v>
      </c>
      <c r="R118" s="1324">
        <f t="shared" si="36"/>
        <v>0</v>
      </c>
      <c r="S118" s="1323"/>
    </row>
    <row r="119" spans="2:19">
      <c r="B119" s="1314">
        <f t="shared" si="32"/>
        <v>77</v>
      </c>
      <c r="D119" s="1320" t="s">
        <v>528</v>
      </c>
      <c r="E119" s="1319">
        <v>31</v>
      </c>
      <c r="F119" s="1321">
        <v>154</v>
      </c>
      <c r="G119" s="1321">
        <v>214</v>
      </c>
      <c r="H119" s="1322">
        <f t="shared" si="29"/>
        <v>0.71962616822429903</v>
      </c>
      <c r="I119" s="1323"/>
      <c r="J119" s="1319">
        <v>0</v>
      </c>
      <c r="K119" s="1324">
        <f t="shared" si="30"/>
        <v>0</v>
      </c>
      <c r="L119" s="1324">
        <f t="shared" si="33"/>
        <v>0</v>
      </c>
      <c r="M119" s="1323"/>
      <c r="N119" s="1319">
        <v>0</v>
      </c>
      <c r="O119" s="1324">
        <f t="shared" si="34"/>
        <v>0</v>
      </c>
      <c r="P119" s="1324">
        <f t="shared" si="35"/>
        <v>0</v>
      </c>
      <c r="Q119" s="1324">
        <f t="shared" si="31"/>
        <v>0</v>
      </c>
      <c r="R119" s="1324">
        <f t="shared" si="36"/>
        <v>0</v>
      </c>
      <c r="S119" s="1323"/>
    </row>
    <row r="120" spans="2:19">
      <c r="B120" s="1314">
        <f t="shared" si="32"/>
        <v>78</v>
      </c>
      <c r="D120" s="1320" t="s">
        <v>546</v>
      </c>
      <c r="E120" s="1319">
        <v>31</v>
      </c>
      <c r="F120" s="1321">
        <v>123</v>
      </c>
      <c r="G120" s="1321">
        <v>214</v>
      </c>
      <c r="H120" s="1322">
        <f t="shared" si="29"/>
        <v>0.57476635514018692</v>
      </c>
      <c r="I120" s="1323"/>
      <c r="J120" s="1319">
        <v>0</v>
      </c>
      <c r="K120" s="1324">
        <f t="shared" si="30"/>
        <v>0</v>
      </c>
      <c r="L120" s="1324">
        <f t="shared" si="33"/>
        <v>0</v>
      </c>
      <c r="M120" s="1323"/>
      <c r="N120" s="1319">
        <v>0</v>
      </c>
      <c r="O120" s="1324">
        <f t="shared" si="34"/>
        <v>0</v>
      </c>
      <c r="P120" s="1324">
        <f t="shared" si="35"/>
        <v>0</v>
      </c>
      <c r="Q120" s="1324">
        <f t="shared" si="31"/>
        <v>0</v>
      </c>
      <c r="R120" s="1324">
        <f t="shared" si="36"/>
        <v>0</v>
      </c>
      <c r="S120" s="1323"/>
    </row>
    <row r="121" spans="2:19">
      <c r="B121" s="1314">
        <f t="shared" si="32"/>
        <v>79</v>
      </c>
      <c r="D121" s="1320" t="s">
        <v>530</v>
      </c>
      <c r="E121" s="1319">
        <v>30</v>
      </c>
      <c r="F121" s="1321">
        <v>93</v>
      </c>
      <c r="G121" s="1321">
        <v>214</v>
      </c>
      <c r="H121" s="1322">
        <f t="shared" si="29"/>
        <v>0.43457943925233644</v>
      </c>
      <c r="I121" s="1323"/>
      <c r="J121" s="1319">
        <v>0</v>
      </c>
      <c r="K121" s="1324">
        <f t="shared" si="30"/>
        <v>0</v>
      </c>
      <c r="L121" s="1324">
        <f t="shared" si="33"/>
        <v>0</v>
      </c>
      <c r="M121" s="1323"/>
      <c r="N121" s="1319">
        <v>0</v>
      </c>
      <c r="O121" s="1324">
        <f t="shared" si="34"/>
        <v>0</v>
      </c>
      <c r="P121" s="1324">
        <f t="shared" si="35"/>
        <v>0</v>
      </c>
      <c r="Q121" s="1324">
        <f t="shared" si="31"/>
        <v>0</v>
      </c>
      <c r="R121" s="1324">
        <f t="shared" si="36"/>
        <v>0</v>
      </c>
      <c r="S121" s="1323"/>
    </row>
    <row r="122" spans="2:19">
      <c r="B122" s="1314">
        <f t="shared" si="32"/>
        <v>80</v>
      </c>
      <c r="D122" s="1320" t="s">
        <v>531</v>
      </c>
      <c r="E122" s="1319">
        <v>31</v>
      </c>
      <c r="F122" s="1321">
        <v>62</v>
      </c>
      <c r="G122" s="1321">
        <v>214</v>
      </c>
      <c r="H122" s="1322">
        <f t="shared" si="29"/>
        <v>0.28971962616822428</v>
      </c>
      <c r="I122" s="1323"/>
      <c r="J122" s="1319">
        <v>0</v>
      </c>
      <c r="K122" s="1324">
        <f t="shared" si="30"/>
        <v>0</v>
      </c>
      <c r="L122" s="1324">
        <f t="shared" si="33"/>
        <v>0</v>
      </c>
      <c r="M122" s="1323"/>
      <c r="N122" s="1319">
        <v>0</v>
      </c>
      <c r="O122" s="1324">
        <f t="shared" si="34"/>
        <v>0</v>
      </c>
      <c r="P122" s="1324">
        <f t="shared" si="35"/>
        <v>0</v>
      </c>
      <c r="Q122" s="1324">
        <f t="shared" si="31"/>
        <v>0</v>
      </c>
      <c r="R122" s="1324">
        <f t="shared" si="36"/>
        <v>0</v>
      </c>
      <c r="S122" s="1323"/>
    </row>
    <row r="123" spans="2:19">
      <c r="B123" s="1314">
        <f t="shared" si="32"/>
        <v>81</v>
      </c>
      <c r="D123" s="1320" t="s">
        <v>532</v>
      </c>
      <c r="E123" s="1319">
        <v>30</v>
      </c>
      <c r="F123" s="1321">
        <v>32</v>
      </c>
      <c r="G123" s="1321">
        <v>214</v>
      </c>
      <c r="H123" s="1322">
        <f t="shared" si="29"/>
        <v>0.14953271028037382</v>
      </c>
      <c r="I123" s="1323"/>
      <c r="J123" s="1319">
        <v>0</v>
      </c>
      <c r="K123" s="1324">
        <f t="shared" si="30"/>
        <v>0</v>
      </c>
      <c r="L123" s="1324">
        <f t="shared" si="33"/>
        <v>0</v>
      </c>
      <c r="M123" s="1323"/>
      <c r="N123" s="1319">
        <v>0</v>
      </c>
      <c r="O123" s="1324">
        <f t="shared" si="34"/>
        <v>0</v>
      </c>
      <c r="P123" s="1324">
        <f t="shared" si="35"/>
        <v>0</v>
      </c>
      <c r="Q123" s="1324">
        <f t="shared" si="31"/>
        <v>0</v>
      </c>
      <c r="R123" s="1324">
        <f t="shared" si="36"/>
        <v>0</v>
      </c>
      <c r="S123" s="1323"/>
    </row>
    <row r="124" spans="2:19">
      <c r="B124" s="1314">
        <f t="shared" si="32"/>
        <v>82</v>
      </c>
      <c r="D124" s="1325" t="s">
        <v>749</v>
      </c>
      <c r="E124" s="1319">
        <v>31</v>
      </c>
      <c r="F124" s="1326">
        <v>1</v>
      </c>
      <c r="G124" s="1321">
        <v>214</v>
      </c>
      <c r="H124" s="1322">
        <f t="shared" si="29"/>
        <v>4.6728971962616819E-3</v>
      </c>
      <c r="I124" s="1323"/>
      <c r="J124" s="1319">
        <v>0</v>
      </c>
      <c r="K124" s="1324">
        <f t="shared" si="30"/>
        <v>0</v>
      </c>
      <c r="L124" s="1324">
        <f t="shared" si="33"/>
        <v>0</v>
      </c>
      <c r="M124" s="1323"/>
      <c r="N124" s="1319">
        <v>0</v>
      </c>
      <c r="O124" s="1324">
        <f t="shared" si="34"/>
        <v>0</v>
      </c>
      <c r="P124" s="1324">
        <f t="shared" si="35"/>
        <v>0</v>
      </c>
      <c r="Q124" s="1324">
        <f t="shared" si="31"/>
        <v>0</v>
      </c>
      <c r="R124" s="1324">
        <f t="shared" si="36"/>
        <v>0</v>
      </c>
      <c r="S124" s="1323"/>
    </row>
    <row r="125" spans="2:19">
      <c r="B125" s="1314">
        <f t="shared" si="32"/>
        <v>83</v>
      </c>
      <c r="D125" s="1327" t="str">
        <f>"Total (Sum of Lines "&amp;B113&amp;" - "&amp;B124&amp;")"</f>
        <v>Total (Sum of Lines 71 - 82)</v>
      </c>
      <c r="E125" s="1328">
        <f>SUM(E113:E124)</f>
        <v>365</v>
      </c>
      <c r="F125" s="1329"/>
      <c r="G125" s="1329"/>
      <c r="H125" s="1330"/>
      <c r="I125" s="1331"/>
      <c r="J125" s="1328">
        <f>SUM(J113:J124)</f>
        <v>0</v>
      </c>
      <c r="K125" s="1328">
        <f>SUM(K113:K124)</f>
        <v>0</v>
      </c>
      <c r="L125" s="1332"/>
      <c r="M125" s="1331"/>
      <c r="N125" s="1328">
        <f>SUM(N113:N124)</f>
        <v>0</v>
      </c>
      <c r="O125" s="1328">
        <f>SUM(O113:O124)</f>
        <v>0</v>
      </c>
      <c r="P125" s="1328">
        <f>SUM(P113:P124)</f>
        <v>0</v>
      </c>
      <c r="Q125" s="1328">
        <f>SUM(Q113:Q124)</f>
        <v>0</v>
      </c>
      <c r="R125" s="1332"/>
      <c r="S125" s="1331"/>
    </row>
    <row r="126" spans="2:19">
      <c r="D126" s="1333"/>
      <c r="E126" s="1333"/>
      <c r="F126" s="1333"/>
      <c r="G126" s="1333"/>
      <c r="H126" s="1334"/>
      <c r="I126" s="1334"/>
      <c r="K126" s="1335"/>
      <c r="L126" s="1334"/>
      <c r="M126" s="1334"/>
      <c r="N126" s="1345"/>
      <c r="O126" s="1335"/>
      <c r="P126" s="1335"/>
      <c r="Q126" s="1335"/>
      <c r="R126" s="1334"/>
      <c r="S126" s="1334"/>
    </row>
    <row r="127" spans="2:19">
      <c r="B127" s="1314">
        <f>B125+1</f>
        <v>84</v>
      </c>
      <c r="D127" s="1008" t="s">
        <v>917</v>
      </c>
      <c r="I127" s="1334"/>
      <c r="J127" s="1319" t="s">
        <v>1802</v>
      </c>
      <c r="L127" s="1319">
        <f>+'1C - ADIT BOY'!E14</f>
        <v>-2010011.8649776131</v>
      </c>
      <c r="M127" s="1336"/>
      <c r="N127" s="1319"/>
      <c r="R127" s="1319">
        <v>0</v>
      </c>
    </row>
    <row r="128" spans="2:19">
      <c r="B128" s="1314">
        <f>B127+1</f>
        <v>85</v>
      </c>
      <c r="D128" s="1008" t="s">
        <v>1774</v>
      </c>
      <c r="I128" s="1334"/>
      <c r="J128" s="1337" t="s">
        <v>639</v>
      </c>
      <c r="L128" s="1338">
        <v>0</v>
      </c>
      <c r="M128" s="1339"/>
      <c r="N128" s="1337"/>
      <c r="R128" s="1338">
        <v>0</v>
      </c>
    </row>
    <row r="129" spans="2:19">
      <c r="B129" s="1314">
        <f>B128+1</f>
        <v>86</v>
      </c>
      <c r="D129" s="1008" t="s">
        <v>918</v>
      </c>
      <c r="I129" s="1334"/>
      <c r="J129" s="1327" t="str">
        <f>"(Col. "&amp;L108&amp;", Line "&amp;B127&amp;" + Line "&amp;B128&amp;")"</f>
        <v>(Col. (H), Line 84 + Line 85)</v>
      </c>
      <c r="L129" s="1340">
        <f>L127+L128</f>
        <v>-2010011.8649776131</v>
      </c>
      <c r="M129" s="1334"/>
      <c r="N129" s="1327" t="str">
        <f>"(Col. "&amp;R108&amp;", Line "&amp;B127&amp;" + Line "&amp;B128&amp;")"</f>
        <v>(Col. (M), Line 84 + Line 85)</v>
      </c>
      <c r="R129" s="1340">
        <f>R127+R128</f>
        <v>0</v>
      </c>
    </row>
    <row r="130" spans="2:19">
      <c r="I130" s="1334"/>
      <c r="L130" s="1340"/>
      <c r="M130" s="1334"/>
      <c r="R130" s="1340"/>
    </row>
    <row r="131" spans="2:19">
      <c r="B131" s="1314">
        <f>B129+1</f>
        <v>87</v>
      </c>
      <c r="D131" s="1008" t="s">
        <v>1001</v>
      </c>
      <c r="I131" s="1334"/>
      <c r="J131" s="1319" t="s">
        <v>1803</v>
      </c>
      <c r="L131" s="1319">
        <f>'1B - ADIT EOY'!E14</f>
        <v>-1659743.2889467473</v>
      </c>
      <c r="M131" s="1336"/>
      <c r="N131" s="1319"/>
      <c r="R131" s="1319">
        <v>0</v>
      </c>
    </row>
    <row r="132" spans="2:19">
      <c r="B132" s="1314">
        <f>B131+1</f>
        <v>88</v>
      </c>
      <c r="D132" s="1008" t="s">
        <v>1773</v>
      </c>
      <c r="I132" s="1334"/>
      <c r="J132" s="1337" t="s">
        <v>639</v>
      </c>
      <c r="L132" s="1338">
        <v>0</v>
      </c>
      <c r="M132" s="1334"/>
      <c r="N132" s="1337"/>
      <c r="R132" s="1338">
        <v>0</v>
      </c>
    </row>
    <row r="133" spans="2:19">
      <c r="B133" s="1314">
        <f>B132+1</f>
        <v>89</v>
      </c>
      <c r="D133" s="1008" t="s">
        <v>923</v>
      </c>
      <c r="I133" s="1334"/>
      <c r="J133" s="1327" t="str">
        <f>"(Col. "&amp;L108&amp;", Line "&amp;B131&amp;" + Line "&amp;B132&amp;")"</f>
        <v>(Col. (H), Line 87 + Line 88)</v>
      </c>
      <c r="L133" s="1340">
        <f>L131+L132</f>
        <v>-1659743.2889467473</v>
      </c>
      <c r="M133" s="1334"/>
      <c r="N133" s="1327" t="str">
        <f>"(Col. "&amp;R108&amp;", Line "&amp;B131&amp;" + Line "&amp;B132&amp;")"</f>
        <v>(Col. (M), Line 87 + Line 88)</v>
      </c>
      <c r="R133" s="1340">
        <f>R131+R132</f>
        <v>0</v>
      </c>
    </row>
    <row r="134" spans="2:19">
      <c r="I134" s="1334"/>
      <c r="L134" s="1340"/>
      <c r="M134" s="1334"/>
      <c r="R134" s="1340"/>
    </row>
    <row r="135" spans="2:19">
      <c r="B135" s="1314">
        <f>B133+1</f>
        <v>90</v>
      </c>
      <c r="D135" s="1008" t="s">
        <v>1000</v>
      </c>
      <c r="I135" s="1334"/>
      <c r="J135" s="1327" t="str">
        <f>"([Col. "&amp;L108&amp;", Line "&amp;B129&amp;" + Line "&amp;B133&amp;"] /2)"</f>
        <v>([Col. (H), Line 86 + Line 89] /2)</v>
      </c>
      <c r="L135" s="1324">
        <f>(L129+L133)/2</f>
        <v>-1834877.5769621802</v>
      </c>
      <c r="M135" s="1334"/>
      <c r="N135" s="1327" t="str">
        <f>"([Col. "&amp;R108&amp;", Line "&amp;B129&amp;" + Line "&amp;B133&amp;"] /2)"</f>
        <v>([Col. (M), Line 86 + Line 89] /2)</v>
      </c>
      <c r="R135" s="1324">
        <f>(R129+R133)/2</f>
        <v>0</v>
      </c>
    </row>
    <row r="136" spans="2:19">
      <c r="B136" s="1314">
        <f>B135+1</f>
        <v>91</v>
      </c>
      <c r="D136" s="1333" t="s">
        <v>999</v>
      </c>
      <c r="E136" s="1333"/>
      <c r="F136" s="1333"/>
      <c r="G136" s="1333"/>
      <c r="H136" s="1334"/>
      <c r="I136" s="1334"/>
      <c r="J136" s="1327" t="str">
        <f>"(Col. "&amp;L108&amp;", Line "&amp;B124&amp;" )"</f>
        <v>(Col. (H), Line 82 )</v>
      </c>
      <c r="K136" s="1335"/>
      <c r="L136" s="1324">
        <f>L124</f>
        <v>0</v>
      </c>
      <c r="M136" s="1334"/>
      <c r="N136" s="1327" t="str">
        <f>"(Col. "&amp;R108&amp;", Line "&amp;B124&amp;" )"</f>
        <v>(Col. (M), Line 82 )</v>
      </c>
      <c r="R136" s="1324">
        <f>R124</f>
        <v>0</v>
      </c>
    </row>
    <row r="137" spans="2:19" ht="13.5" thickBot="1">
      <c r="B137" s="1314">
        <f>B136+1</f>
        <v>92</v>
      </c>
      <c r="D137" s="1341" t="s">
        <v>1755</v>
      </c>
      <c r="E137" s="1333"/>
      <c r="F137" s="1333"/>
      <c r="G137" s="1333"/>
      <c r="H137" s="1334"/>
      <c r="I137" s="1334"/>
      <c r="J137" s="1327" t="str">
        <f>"(Col. "&amp;L108&amp;", Line "&amp;B135&amp;" + Line "&amp;B136&amp;")"</f>
        <v>(Col. (H), Line 90 + Line 91)</v>
      </c>
      <c r="K137" s="1335"/>
      <c r="L137" s="1342">
        <f>L135+L136</f>
        <v>-1834877.5769621802</v>
      </c>
      <c r="M137" s="1334"/>
      <c r="N137" s="1327" t="str">
        <f>"(Col. "&amp;R108&amp;", Line "&amp;B135&amp;" + Line "&amp;B136&amp;")"</f>
        <v>(Col. (M), Line 90 + Line 91)</v>
      </c>
      <c r="R137" s="1342">
        <f>R135+R136</f>
        <v>0</v>
      </c>
    </row>
    <row r="138" spans="2:19">
      <c r="D138" s="1333"/>
      <c r="E138" s="1333"/>
      <c r="F138" s="1333"/>
      <c r="G138" s="1333"/>
      <c r="H138" s="1334"/>
      <c r="I138" s="1334"/>
      <c r="K138" s="1335"/>
      <c r="L138" s="1334"/>
      <c r="M138" s="1334"/>
      <c r="O138" s="1335"/>
      <c r="P138" s="1335"/>
      <c r="Q138" s="1335"/>
      <c r="R138" s="1334"/>
      <c r="S138" s="1334"/>
    </row>
    <row r="139" spans="2:19" ht="13">
      <c r="D139" s="1311" t="s">
        <v>1314</v>
      </c>
      <c r="J139" s="1737"/>
      <c r="K139" s="1737"/>
      <c r="L139" s="1737"/>
      <c r="N139" s="1737"/>
      <c r="O139" s="1737"/>
      <c r="P139" s="1737"/>
      <c r="Q139" s="1737"/>
      <c r="R139" s="1737"/>
    </row>
    <row r="140" spans="2:19" ht="13">
      <c r="D140" s="1730" t="s">
        <v>912</v>
      </c>
      <c r="E140" s="1731"/>
      <c r="F140" s="1731"/>
      <c r="G140" s="1731"/>
      <c r="H140" s="1732"/>
      <c r="I140" s="1315"/>
      <c r="J140" s="1733" t="s">
        <v>1315</v>
      </c>
      <c r="K140" s="1734"/>
      <c r="L140" s="1735"/>
      <c r="M140" s="1315"/>
      <c r="N140" s="1733" t="s">
        <v>1316</v>
      </c>
      <c r="O140" s="1734"/>
      <c r="P140" s="1734"/>
      <c r="Q140" s="1734"/>
      <c r="R140" s="1735"/>
      <c r="S140" s="1315"/>
    </row>
    <row r="141" spans="2:19" ht="13">
      <c r="D141" s="1316" t="s">
        <v>174</v>
      </c>
      <c r="E141" s="1316" t="s">
        <v>175</v>
      </c>
      <c r="F141" s="1316" t="s">
        <v>1294</v>
      </c>
      <c r="G141" s="1316" t="s">
        <v>1295</v>
      </c>
      <c r="H141" s="1316" t="s">
        <v>1296</v>
      </c>
      <c r="I141" s="1315"/>
      <c r="J141" s="1316" t="s">
        <v>1297</v>
      </c>
      <c r="K141" s="1316" t="s">
        <v>1298</v>
      </c>
      <c r="L141" s="1316" t="s">
        <v>1299</v>
      </c>
      <c r="M141" s="1315"/>
      <c r="N141" s="1316" t="s">
        <v>1300</v>
      </c>
      <c r="O141" s="1316" t="s">
        <v>1301</v>
      </c>
      <c r="P141" s="1316" t="s">
        <v>1302</v>
      </c>
      <c r="Q141" s="1316" t="s">
        <v>1303</v>
      </c>
      <c r="R141" s="1316" t="s">
        <v>1304</v>
      </c>
      <c r="S141" s="1315"/>
    </row>
    <row r="142" spans="2:19" ht="50">
      <c r="B142" s="1317" t="s">
        <v>1305</v>
      </c>
      <c r="D142" s="1318" t="s">
        <v>169</v>
      </c>
      <c r="E142" s="1318" t="s">
        <v>913</v>
      </c>
      <c r="F142" s="1318" t="s">
        <v>914</v>
      </c>
      <c r="G142" s="1318" t="s">
        <v>915</v>
      </c>
      <c r="H142" s="1318" t="s">
        <v>1306</v>
      </c>
      <c r="I142" s="1636"/>
      <c r="J142" s="1318" t="s">
        <v>916</v>
      </c>
      <c r="K142" s="1318" t="s">
        <v>1307</v>
      </c>
      <c r="L142" s="1318" t="s">
        <v>1308</v>
      </c>
      <c r="M142" s="1636"/>
      <c r="N142" s="1318" t="s">
        <v>1003</v>
      </c>
      <c r="O142" s="1318" t="s">
        <v>1309</v>
      </c>
      <c r="P142" s="1318" t="s">
        <v>1310</v>
      </c>
      <c r="Q142" s="1318" t="s">
        <v>1311</v>
      </c>
      <c r="R142" s="1318" t="s">
        <v>1312</v>
      </c>
      <c r="S142" s="1636"/>
    </row>
    <row r="143" spans="2:19">
      <c r="E143" s="1636"/>
      <c r="F143" s="1636"/>
      <c r="G143" s="1636"/>
      <c r="H143" s="1636"/>
      <c r="I143" s="1636"/>
      <c r="J143" s="1636"/>
      <c r="K143" s="1636"/>
      <c r="L143" s="1636"/>
      <c r="M143" s="1636"/>
      <c r="N143" s="1636"/>
      <c r="O143" s="1636"/>
      <c r="P143" s="1636"/>
      <c r="Q143" s="1636"/>
      <c r="R143" s="1636"/>
      <c r="S143" s="1636"/>
    </row>
    <row r="144" spans="2:19">
      <c r="B144" s="1314">
        <f>B137+1</f>
        <v>93</v>
      </c>
      <c r="D144" s="1008" t="s">
        <v>1317</v>
      </c>
      <c r="E144" s="1636"/>
      <c r="F144" s="1636"/>
      <c r="G144" s="1636"/>
      <c r="H144" s="1636"/>
      <c r="I144" s="1636"/>
      <c r="J144" s="1319" t="s">
        <v>1802</v>
      </c>
      <c r="K144" s="1636"/>
      <c r="L144" s="1319">
        <v>0</v>
      </c>
      <c r="M144" s="1636"/>
      <c r="N144" s="1319"/>
      <c r="O144" s="1636"/>
      <c r="P144" s="1636"/>
      <c r="Q144" s="1636"/>
      <c r="R144" s="1319">
        <v>0</v>
      </c>
      <c r="S144" s="1636"/>
    </row>
    <row r="145" spans="2:19">
      <c r="E145" s="1636"/>
      <c r="F145" s="1636"/>
      <c r="G145" s="1636"/>
      <c r="H145" s="1636"/>
      <c r="I145" s="1636"/>
      <c r="J145" s="1636"/>
      <c r="K145" s="1636"/>
      <c r="L145" s="1636"/>
      <c r="M145" s="1636"/>
      <c r="N145" s="1636"/>
      <c r="O145" s="1636"/>
      <c r="P145" s="1636"/>
      <c r="Q145" s="1636"/>
      <c r="R145" s="1636"/>
      <c r="S145" s="1636"/>
    </row>
    <row r="146" spans="2:19">
      <c r="B146" s="1314">
        <f>B144+1</f>
        <v>94</v>
      </c>
      <c r="D146" s="1320" t="s">
        <v>525</v>
      </c>
      <c r="E146" s="1319">
        <v>31</v>
      </c>
      <c r="F146" s="1321">
        <v>0</v>
      </c>
      <c r="G146" s="1321">
        <v>214</v>
      </c>
      <c r="H146" s="1322">
        <f t="shared" ref="H146:H157" si="37">IF(F146=0,0.5,F146/G146)</f>
        <v>0.5</v>
      </c>
      <c r="I146" s="1323"/>
      <c r="J146" s="1319">
        <v>0</v>
      </c>
      <c r="K146" s="1324">
        <f t="shared" ref="K146:K157" si="38">+J146*H146</f>
        <v>0</v>
      </c>
      <c r="L146" s="1324">
        <f>+K146</f>
        <v>0</v>
      </c>
      <c r="M146" s="1323"/>
      <c r="N146" s="1319">
        <v>0</v>
      </c>
      <c r="O146" s="1324">
        <f>IF($D$177="True-Up Adjustment",N146-J146,0)</f>
        <v>0</v>
      </c>
      <c r="P146" s="1324">
        <f>IF($D$177="True-Up Adjustment",IF(AND(J146&gt;=0,N146&gt;=0),IF(O146&gt;=0,K146+O146,N146/J146*K146),IF(AND(J146&lt;0,N146&lt;0),IF(O146&lt;0,K146+O146,N146/J146*K146),0)),0)</f>
        <v>0</v>
      </c>
      <c r="Q146" s="1324">
        <f t="shared" ref="Q146:Q157" si="39">IF(AND(J146&gt;=0,N146&lt;0),N146,IF(AND(J146&lt;0,N146&gt;=0),N146,0))</f>
        <v>0</v>
      </c>
      <c r="R146" s="1324">
        <f>+P146+Q146</f>
        <v>0</v>
      </c>
      <c r="S146" s="1323"/>
    </row>
    <row r="147" spans="2:19">
      <c r="B147" s="1314">
        <f t="shared" ref="B147:B158" si="40">+B146+1</f>
        <v>95</v>
      </c>
      <c r="D147" s="1320" t="s">
        <v>526</v>
      </c>
      <c r="E147" s="1319">
        <v>28</v>
      </c>
      <c r="F147" s="1321">
        <v>0</v>
      </c>
      <c r="G147" s="1321">
        <v>214</v>
      </c>
      <c r="H147" s="1322">
        <f t="shared" si="37"/>
        <v>0.5</v>
      </c>
      <c r="I147" s="1323"/>
      <c r="J147" s="1319">
        <v>0</v>
      </c>
      <c r="K147" s="1324">
        <f t="shared" si="38"/>
        <v>0</v>
      </c>
      <c r="L147" s="1324">
        <f t="shared" ref="L147:L157" si="41">+K147+L146</f>
        <v>0</v>
      </c>
      <c r="M147" s="1323"/>
      <c r="N147" s="1319">
        <v>0</v>
      </c>
      <c r="O147" s="1324">
        <f t="shared" ref="O147:O157" si="42">IF($D$177="True-Up Adjustment",N147-J147,0)</f>
        <v>0</v>
      </c>
      <c r="P147" s="1324">
        <f t="shared" ref="P147:P157" si="43">IF($D$177="True-Up Adjustment",IF(AND(J147&gt;=0,N147&gt;=0),IF(O147&gt;=0,K147+O147,N147/J147*K147),IF(AND(J147&lt;0,N147&lt;0),IF(O147&lt;0,K147+O147,N147/J147*K147),0)),0)</f>
        <v>0</v>
      </c>
      <c r="Q147" s="1324">
        <f t="shared" si="39"/>
        <v>0</v>
      </c>
      <c r="R147" s="1324">
        <f t="shared" ref="R147:R157" si="44">R146+P147+Q147</f>
        <v>0</v>
      </c>
      <c r="S147" s="1323"/>
    </row>
    <row r="148" spans="2:19">
      <c r="B148" s="1314">
        <f t="shared" si="40"/>
        <v>96</v>
      </c>
      <c r="D148" s="1320" t="s">
        <v>545</v>
      </c>
      <c r="E148" s="1319">
        <v>31</v>
      </c>
      <c r="F148" s="1321">
        <v>0</v>
      </c>
      <c r="G148" s="1321">
        <v>214</v>
      </c>
      <c r="H148" s="1322">
        <f t="shared" si="37"/>
        <v>0.5</v>
      </c>
      <c r="I148" s="1323"/>
      <c r="J148" s="1319">
        <v>0</v>
      </c>
      <c r="K148" s="1324">
        <f t="shared" si="38"/>
        <v>0</v>
      </c>
      <c r="L148" s="1324">
        <f t="shared" si="41"/>
        <v>0</v>
      </c>
      <c r="M148" s="1323"/>
      <c r="N148" s="1319">
        <v>0</v>
      </c>
      <c r="O148" s="1324">
        <f t="shared" si="42"/>
        <v>0</v>
      </c>
      <c r="P148" s="1324">
        <f t="shared" si="43"/>
        <v>0</v>
      </c>
      <c r="Q148" s="1324">
        <f t="shared" si="39"/>
        <v>0</v>
      </c>
      <c r="R148" s="1324">
        <f t="shared" si="44"/>
        <v>0</v>
      </c>
      <c r="S148" s="1323"/>
    </row>
    <row r="149" spans="2:19">
      <c r="B149" s="1314">
        <f t="shared" si="40"/>
        <v>97</v>
      </c>
      <c r="D149" s="1320" t="s">
        <v>171</v>
      </c>
      <c r="E149" s="1319">
        <v>30</v>
      </c>
      <c r="F149" s="1321">
        <v>0</v>
      </c>
      <c r="G149" s="1321">
        <v>214</v>
      </c>
      <c r="H149" s="1322">
        <f t="shared" si="37"/>
        <v>0.5</v>
      </c>
      <c r="I149" s="1323"/>
      <c r="J149" s="1319">
        <v>0</v>
      </c>
      <c r="K149" s="1324">
        <f t="shared" si="38"/>
        <v>0</v>
      </c>
      <c r="L149" s="1324">
        <f t="shared" si="41"/>
        <v>0</v>
      </c>
      <c r="M149" s="1323"/>
      <c r="N149" s="1319">
        <v>0</v>
      </c>
      <c r="O149" s="1324">
        <f t="shared" si="42"/>
        <v>0</v>
      </c>
      <c r="P149" s="1324">
        <f t="shared" si="43"/>
        <v>0</v>
      </c>
      <c r="Q149" s="1324">
        <f t="shared" si="39"/>
        <v>0</v>
      </c>
      <c r="R149" s="1324">
        <f t="shared" si="44"/>
        <v>0</v>
      </c>
      <c r="S149" s="1323"/>
    </row>
    <row r="150" spans="2:19">
      <c r="B150" s="1314">
        <f t="shared" si="40"/>
        <v>98</v>
      </c>
      <c r="D150" s="1320" t="s">
        <v>172</v>
      </c>
      <c r="E150" s="1319">
        <v>31</v>
      </c>
      <c r="F150" s="1321">
        <v>0</v>
      </c>
      <c r="G150" s="1321">
        <v>214</v>
      </c>
      <c r="H150" s="1322">
        <f t="shared" si="37"/>
        <v>0.5</v>
      </c>
      <c r="I150" s="1323"/>
      <c r="J150" s="1319">
        <v>0</v>
      </c>
      <c r="K150" s="1324">
        <f t="shared" si="38"/>
        <v>0</v>
      </c>
      <c r="L150" s="1324">
        <f t="shared" si="41"/>
        <v>0</v>
      </c>
      <c r="M150" s="1323"/>
      <c r="N150" s="1319">
        <v>0</v>
      </c>
      <c r="O150" s="1324">
        <f t="shared" si="42"/>
        <v>0</v>
      </c>
      <c r="P150" s="1324">
        <f t="shared" si="43"/>
        <v>0</v>
      </c>
      <c r="Q150" s="1324">
        <f t="shared" si="39"/>
        <v>0</v>
      </c>
      <c r="R150" s="1324">
        <f t="shared" si="44"/>
        <v>0</v>
      </c>
      <c r="S150" s="1323"/>
    </row>
    <row r="151" spans="2:19">
      <c r="B151" s="1314">
        <f t="shared" si="40"/>
        <v>99</v>
      </c>
      <c r="D151" s="1320" t="s">
        <v>173</v>
      </c>
      <c r="E151" s="1319">
        <v>30</v>
      </c>
      <c r="F151" s="1321">
        <v>185</v>
      </c>
      <c r="G151" s="1321">
        <v>214</v>
      </c>
      <c r="H151" s="1322">
        <f t="shared" si="37"/>
        <v>0.86448598130841126</v>
      </c>
      <c r="I151" s="1323"/>
      <c r="J151" s="1319">
        <v>0</v>
      </c>
      <c r="K151" s="1324">
        <f t="shared" si="38"/>
        <v>0</v>
      </c>
      <c r="L151" s="1324">
        <f t="shared" si="41"/>
        <v>0</v>
      </c>
      <c r="M151" s="1323"/>
      <c r="N151" s="1319">
        <v>0</v>
      </c>
      <c r="O151" s="1324">
        <f t="shared" si="42"/>
        <v>0</v>
      </c>
      <c r="P151" s="1324">
        <f t="shared" si="43"/>
        <v>0</v>
      </c>
      <c r="Q151" s="1324">
        <f t="shared" si="39"/>
        <v>0</v>
      </c>
      <c r="R151" s="1324">
        <f t="shared" si="44"/>
        <v>0</v>
      </c>
      <c r="S151" s="1323"/>
    </row>
    <row r="152" spans="2:19">
      <c r="B152" s="1314">
        <f t="shared" si="40"/>
        <v>100</v>
      </c>
      <c r="D152" s="1320" t="s">
        <v>528</v>
      </c>
      <c r="E152" s="1319">
        <v>31</v>
      </c>
      <c r="F152" s="1321">
        <v>154</v>
      </c>
      <c r="G152" s="1321">
        <v>214</v>
      </c>
      <c r="H152" s="1322">
        <f t="shared" si="37"/>
        <v>0.71962616822429903</v>
      </c>
      <c r="I152" s="1323"/>
      <c r="J152" s="1319">
        <v>0</v>
      </c>
      <c r="K152" s="1324">
        <f t="shared" si="38"/>
        <v>0</v>
      </c>
      <c r="L152" s="1324">
        <f t="shared" si="41"/>
        <v>0</v>
      </c>
      <c r="M152" s="1323"/>
      <c r="N152" s="1319">
        <v>0</v>
      </c>
      <c r="O152" s="1324">
        <f t="shared" si="42"/>
        <v>0</v>
      </c>
      <c r="P152" s="1324">
        <f t="shared" si="43"/>
        <v>0</v>
      </c>
      <c r="Q152" s="1324">
        <f t="shared" si="39"/>
        <v>0</v>
      </c>
      <c r="R152" s="1324">
        <f t="shared" si="44"/>
        <v>0</v>
      </c>
      <c r="S152" s="1323"/>
    </row>
    <row r="153" spans="2:19">
      <c r="B153" s="1314">
        <f t="shared" si="40"/>
        <v>101</v>
      </c>
      <c r="D153" s="1320" t="s">
        <v>546</v>
      </c>
      <c r="E153" s="1319">
        <v>31</v>
      </c>
      <c r="F153" s="1321">
        <v>123</v>
      </c>
      <c r="G153" s="1321">
        <v>214</v>
      </c>
      <c r="H153" s="1322">
        <f t="shared" si="37"/>
        <v>0.57476635514018692</v>
      </c>
      <c r="I153" s="1323"/>
      <c r="J153" s="1319">
        <v>0</v>
      </c>
      <c r="K153" s="1324">
        <f t="shared" si="38"/>
        <v>0</v>
      </c>
      <c r="L153" s="1324">
        <f t="shared" si="41"/>
        <v>0</v>
      </c>
      <c r="M153" s="1323"/>
      <c r="N153" s="1319">
        <v>0</v>
      </c>
      <c r="O153" s="1324">
        <f t="shared" si="42"/>
        <v>0</v>
      </c>
      <c r="P153" s="1324">
        <f t="shared" si="43"/>
        <v>0</v>
      </c>
      <c r="Q153" s="1324">
        <f t="shared" si="39"/>
        <v>0</v>
      </c>
      <c r="R153" s="1324">
        <f t="shared" si="44"/>
        <v>0</v>
      </c>
      <c r="S153" s="1323"/>
    </row>
    <row r="154" spans="2:19">
      <c r="B154" s="1314">
        <f t="shared" si="40"/>
        <v>102</v>
      </c>
      <c r="D154" s="1320" t="s">
        <v>530</v>
      </c>
      <c r="E154" s="1319">
        <v>30</v>
      </c>
      <c r="F154" s="1321">
        <v>93</v>
      </c>
      <c r="G154" s="1321">
        <v>214</v>
      </c>
      <c r="H154" s="1322">
        <f t="shared" si="37"/>
        <v>0.43457943925233644</v>
      </c>
      <c r="I154" s="1323"/>
      <c r="J154" s="1319">
        <v>0</v>
      </c>
      <c r="K154" s="1324">
        <f t="shared" si="38"/>
        <v>0</v>
      </c>
      <c r="L154" s="1324">
        <f t="shared" si="41"/>
        <v>0</v>
      </c>
      <c r="M154" s="1323"/>
      <c r="N154" s="1319">
        <v>0</v>
      </c>
      <c r="O154" s="1324">
        <f t="shared" si="42"/>
        <v>0</v>
      </c>
      <c r="P154" s="1324">
        <f t="shared" si="43"/>
        <v>0</v>
      </c>
      <c r="Q154" s="1324">
        <f t="shared" si="39"/>
        <v>0</v>
      </c>
      <c r="R154" s="1324">
        <f t="shared" si="44"/>
        <v>0</v>
      </c>
      <c r="S154" s="1323"/>
    </row>
    <row r="155" spans="2:19">
      <c r="B155" s="1314">
        <f t="shared" si="40"/>
        <v>103</v>
      </c>
      <c r="D155" s="1320" t="s">
        <v>531</v>
      </c>
      <c r="E155" s="1319">
        <v>31</v>
      </c>
      <c r="F155" s="1321">
        <v>62</v>
      </c>
      <c r="G155" s="1321">
        <v>214</v>
      </c>
      <c r="H155" s="1322">
        <f t="shared" si="37"/>
        <v>0.28971962616822428</v>
      </c>
      <c r="I155" s="1323"/>
      <c r="J155" s="1319">
        <v>0</v>
      </c>
      <c r="K155" s="1324">
        <f t="shared" si="38"/>
        <v>0</v>
      </c>
      <c r="L155" s="1324">
        <f t="shared" si="41"/>
        <v>0</v>
      </c>
      <c r="M155" s="1323"/>
      <c r="N155" s="1319">
        <v>0</v>
      </c>
      <c r="O155" s="1324">
        <f t="shared" si="42"/>
        <v>0</v>
      </c>
      <c r="P155" s="1324">
        <f t="shared" si="43"/>
        <v>0</v>
      </c>
      <c r="Q155" s="1324">
        <f t="shared" si="39"/>
        <v>0</v>
      </c>
      <c r="R155" s="1324">
        <f t="shared" si="44"/>
        <v>0</v>
      </c>
      <c r="S155" s="1323"/>
    </row>
    <row r="156" spans="2:19">
      <c r="B156" s="1314">
        <f t="shared" si="40"/>
        <v>104</v>
      </c>
      <c r="D156" s="1320" t="s">
        <v>532</v>
      </c>
      <c r="E156" s="1319">
        <v>30</v>
      </c>
      <c r="F156" s="1321">
        <v>32</v>
      </c>
      <c r="G156" s="1321">
        <v>214</v>
      </c>
      <c r="H156" s="1322">
        <f t="shared" si="37"/>
        <v>0.14953271028037382</v>
      </c>
      <c r="I156" s="1323"/>
      <c r="J156" s="1319">
        <v>0</v>
      </c>
      <c r="K156" s="1324">
        <f t="shared" si="38"/>
        <v>0</v>
      </c>
      <c r="L156" s="1324">
        <f t="shared" si="41"/>
        <v>0</v>
      </c>
      <c r="M156" s="1323"/>
      <c r="N156" s="1319">
        <v>0</v>
      </c>
      <c r="O156" s="1324">
        <f t="shared" si="42"/>
        <v>0</v>
      </c>
      <c r="P156" s="1324">
        <f t="shared" si="43"/>
        <v>0</v>
      </c>
      <c r="Q156" s="1324">
        <f t="shared" si="39"/>
        <v>0</v>
      </c>
      <c r="R156" s="1324">
        <f t="shared" si="44"/>
        <v>0</v>
      </c>
      <c r="S156" s="1323"/>
    </row>
    <row r="157" spans="2:19">
      <c r="B157" s="1314">
        <f t="shared" si="40"/>
        <v>105</v>
      </c>
      <c r="D157" s="1325" t="s">
        <v>749</v>
      </c>
      <c r="E157" s="1319">
        <v>31</v>
      </c>
      <c r="F157" s="1326">
        <v>1</v>
      </c>
      <c r="G157" s="1321">
        <v>214</v>
      </c>
      <c r="H157" s="1322">
        <f t="shared" si="37"/>
        <v>4.6728971962616819E-3</v>
      </c>
      <c r="I157" s="1323"/>
      <c r="J157" s="1319">
        <v>0</v>
      </c>
      <c r="K157" s="1324">
        <f t="shared" si="38"/>
        <v>0</v>
      </c>
      <c r="L157" s="1324">
        <f t="shared" si="41"/>
        <v>0</v>
      </c>
      <c r="M157" s="1323"/>
      <c r="N157" s="1319">
        <v>0</v>
      </c>
      <c r="O157" s="1324">
        <f t="shared" si="42"/>
        <v>0</v>
      </c>
      <c r="P157" s="1324">
        <f t="shared" si="43"/>
        <v>0</v>
      </c>
      <c r="Q157" s="1324">
        <f t="shared" si="39"/>
        <v>0</v>
      </c>
      <c r="R157" s="1324">
        <f t="shared" si="44"/>
        <v>0</v>
      </c>
      <c r="S157" s="1323"/>
    </row>
    <row r="158" spans="2:19">
      <c r="B158" s="1314">
        <f t="shared" si="40"/>
        <v>106</v>
      </c>
      <c r="D158" s="1327" t="str">
        <f>"Total (Sum of Lines "&amp;B146&amp;" - "&amp;B157&amp;")"</f>
        <v>Total (Sum of Lines 94 - 105)</v>
      </c>
      <c r="E158" s="1328">
        <f>SUM(E146:E157)</f>
        <v>365</v>
      </c>
      <c r="F158" s="1329"/>
      <c r="G158" s="1329"/>
      <c r="H158" s="1330"/>
      <c r="I158" s="1331"/>
      <c r="J158" s="1328">
        <f>SUM(J146:J157)</f>
        <v>0</v>
      </c>
      <c r="K158" s="1328">
        <f>SUM(K146:K157)</f>
        <v>0</v>
      </c>
      <c r="L158" s="1332"/>
      <c r="M158" s="1331"/>
      <c r="N158" s="1328">
        <f>SUM(N146:N157)</f>
        <v>0</v>
      </c>
      <c r="O158" s="1328">
        <f>SUM(O146:O157)</f>
        <v>0</v>
      </c>
      <c r="P158" s="1328">
        <f>SUM(P146:P157)</f>
        <v>0</v>
      </c>
      <c r="Q158" s="1328">
        <f>SUM(Q146:Q157)</f>
        <v>0</v>
      </c>
      <c r="R158" s="1332"/>
      <c r="S158" s="1331"/>
    </row>
    <row r="159" spans="2:19">
      <c r="D159" s="1333"/>
      <c r="E159" s="1333"/>
      <c r="F159" s="1333"/>
      <c r="G159" s="1333"/>
      <c r="H159" s="1334"/>
      <c r="I159" s="1334"/>
      <c r="K159" s="1335"/>
      <c r="L159" s="1334"/>
      <c r="M159" s="1334"/>
      <c r="N159" s="1345"/>
      <c r="O159" s="1335"/>
      <c r="P159" s="1335"/>
      <c r="Q159" s="1335"/>
      <c r="R159" s="1334"/>
      <c r="S159" s="1334"/>
    </row>
    <row r="160" spans="2:19">
      <c r="B160" s="1314">
        <f>B158+1</f>
        <v>107</v>
      </c>
      <c r="D160" s="1008" t="s">
        <v>1318</v>
      </c>
      <c r="I160" s="1334"/>
      <c r="J160" s="1319" t="s">
        <v>1802</v>
      </c>
      <c r="L160" s="1319">
        <v>0</v>
      </c>
      <c r="M160" s="1336"/>
      <c r="N160" s="1319"/>
      <c r="R160" s="1319">
        <v>0</v>
      </c>
    </row>
    <row r="161" spans="1:19">
      <c r="B161" s="1314">
        <f>B160+1</f>
        <v>108</v>
      </c>
      <c r="D161" s="1008" t="s">
        <v>1319</v>
      </c>
      <c r="I161" s="1334"/>
      <c r="J161" s="1337" t="s">
        <v>639</v>
      </c>
      <c r="L161" s="1338">
        <v>0</v>
      </c>
      <c r="M161" s="1339"/>
      <c r="N161" s="1337"/>
      <c r="R161" s="1338">
        <v>0</v>
      </c>
    </row>
    <row r="162" spans="1:19">
      <c r="B162" s="1314">
        <f>B161+1</f>
        <v>109</v>
      </c>
      <c r="D162" s="1008" t="s">
        <v>1320</v>
      </c>
      <c r="I162" s="1334"/>
      <c r="J162" s="1327" t="str">
        <f>"(Col. "&amp;L141&amp;", Line "&amp;B160&amp;" + Line "&amp;B161&amp;")"</f>
        <v>(Col. (H), Line 107 + Line 108)</v>
      </c>
      <c r="L162" s="1340">
        <f>L160+L161</f>
        <v>0</v>
      </c>
      <c r="M162" s="1334"/>
      <c r="N162" s="1327" t="str">
        <f>"(Col. "&amp;R141&amp;", Line "&amp;B160&amp;" + Line "&amp;B161&amp;")"</f>
        <v>(Col. (M), Line 107 + Line 108)</v>
      </c>
      <c r="R162" s="1340">
        <f>R160+R161</f>
        <v>0</v>
      </c>
    </row>
    <row r="163" spans="1:19">
      <c r="I163" s="1334"/>
      <c r="L163" s="1340"/>
      <c r="M163" s="1334"/>
      <c r="R163" s="1340"/>
    </row>
    <row r="164" spans="1:19">
      <c r="B164" s="1314">
        <f>B162+1</f>
        <v>110</v>
      </c>
      <c r="D164" s="1008" t="s">
        <v>1321</v>
      </c>
      <c r="I164" s="1334"/>
      <c r="J164" s="1319" t="s">
        <v>1803</v>
      </c>
      <c r="L164" s="1319">
        <v>0</v>
      </c>
      <c r="M164" s="1336"/>
      <c r="N164" s="1319"/>
      <c r="R164" s="1319">
        <v>0</v>
      </c>
    </row>
    <row r="165" spans="1:19">
      <c r="B165" s="1314">
        <f>B164+1</f>
        <v>111</v>
      </c>
      <c r="D165" s="1008" t="s">
        <v>1322</v>
      </c>
      <c r="I165" s="1334"/>
      <c r="J165" s="1337" t="s">
        <v>639</v>
      </c>
      <c r="L165" s="1338">
        <v>0</v>
      </c>
      <c r="M165" s="1334"/>
      <c r="N165" s="1337"/>
      <c r="R165" s="1338">
        <v>0</v>
      </c>
    </row>
    <row r="166" spans="1:19">
      <c r="B166" s="1314">
        <f>B165+1</f>
        <v>112</v>
      </c>
      <c r="D166" s="1008" t="s">
        <v>1323</v>
      </c>
      <c r="I166" s="1334"/>
      <c r="J166" s="1327" t="str">
        <f>"(Col. "&amp;L141&amp;", Line "&amp;B164&amp;" + Line "&amp;B165&amp;")"</f>
        <v>(Col. (H), Line 110 + Line 111)</v>
      </c>
      <c r="L166" s="1340">
        <f>L164+L165</f>
        <v>0</v>
      </c>
      <c r="M166" s="1334"/>
      <c r="N166" s="1327" t="str">
        <f>"(Col. "&amp;R141&amp;", Line "&amp;B164&amp;" + Line "&amp;B165&amp;")"</f>
        <v>(Col. (M), Line 110 + Line 111)</v>
      </c>
      <c r="R166" s="1340">
        <f>R164+R165</f>
        <v>0</v>
      </c>
    </row>
    <row r="167" spans="1:19">
      <c r="I167" s="1334"/>
      <c r="L167" s="1340"/>
      <c r="M167" s="1334"/>
      <c r="R167" s="1340"/>
    </row>
    <row r="168" spans="1:19">
      <c r="B168" s="1314">
        <f>B166+1</f>
        <v>113</v>
      </c>
      <c r="D168" s="1008" t="s">
        <v>1000</v>
      </c>
      <c r="I168" s="1334"/>
      <c r="J168" s="1327" t="str">
        <f>"([Col. "&amp;L141&amp;", Line "&amp;B162&amp;" + Line "&amp;B166&amp;"] /2)"</f>
        <v>([Col. (H), Line 109 + Line 112] /2)</v>
      </c>
      <c r="L168" s="1324">
        <f>(L162+L166)/2</f>
        <v>0</v>
      </c>
      <c r="M168" s="1334"/>
      <c r="N168" s="1327" t="str">
        <f>"([Col. "&amp;R141&amp;", Line "&amp;B162&amp;" + Line "&amp;B166&amp;"] /2)"</f>
        <v>([Col. (M), Line 109 + Line 112] /2)</v>
      </c>
      <c r="R168" s="1324">
        <f>(R162+R166)/2</f>
        <v>0</v>
      </c>
    </row>
    <row r="169" spans="1:19">
      <c r="B169" s="1314">
        <f>B168+1</f>
        <v>114</v>
      </c>
      <c r="D169" s="1333" t="s">
        <v>1324</v>
      </c>
      <c r="E169" s="1333"/>
      <c r="F169" s="1333"/>
      <c r="G169" s="1333"/>
      <c r="H169" s="1334"/>
      <c r="I169" s="1334"/>
      <c r="J169" s="1327" t="str">
        <f>"(Col. "&amp;L141&amp;", Line "&amp;B157&amp;" )"</f>
        <v>(Col. (H), Line 105 )</v>
      </c>
      <c r="K169" s="1335"/>
      <c r="L169" s="1324">
        <f>L157</f>
        <v>0</v>
      </c>
      <c r="M169" s="1334"/>
      <c r="N169" s="1327" t="str">
        <f>"(Col. "&amp;R141&amp;", Line "&amp;B157&amp;" )"</f>
        <v>(Col. (M), Line 105 )</v>
      </c>
      <c r="R169" s="1324">
        <f>R157</f>
        <v>0</v>
      </c>
    </row>
    <row r="170" spans="1:19" ht="13.5" thickBot="1">
      <c r="B170" s="1314">
        <f>B169+1</f>
        <v>115</v>
      </c>
      <c r="D170" s="1341" t="s">
        <v>1756</v>
      </c>
      <c r="E170" s="1333"/>
      <c r="F170" s="1333"/>
      <c r="G170" s="1333"/>
      <c r="H170" s="1334"/>
      <c r="I170" s="1334"/>
      <c r="J170" s="1327" t="str">
        <f>"(Col. "&amp;L141&amp;", Line "&amp;B168&amp;" + Line "&amp;B169&amp;")"</f>
        <v>(Col. (H), Line 113 + Line 114)</v>
      </c>
      <c r="K170" s="1335"/>
      <c r="L170" s="1342">
        <f>L168+L169</f>
        <v>0</v>
      </c>
      <c r="M170" s="1334"/>
      <c r="N170" s="1327" t="str">
        <f>"(Col. "&amp;R141&amp;", Line "&amp;B168&amp;" + Line "&amp;B169&amp;")"</f>
        <v>(Col. (M), Line 113 + Line 114)</v>
      </c>
      <c r="R170" s="1342">
        <f>R168+R169</f>
        <v>0</v>
      </c>
    </row>
    <row r="171" spans="1:19">
      <c r="D171" s="1333"/>
      <c r="E171" s="1333"/>
      <c r="F171" s="1333"/>
      <c r="G171" s="1333"/>
      <c r="H171" s="1334"/>
      <c r="I171" s="1334"/>
      <c r="K171" s="1335"/>
      <c r="L171" s="1334"/>
      <c r="M171" s="1334"/>
      <c r="O171" s="1335"/>
      <c r="P171" s="1335"/>
      <c r="Q171" s="1335"/>
      <c r="R171" s="1334"/>
      <c r="S171" s="1334"/>
    </row>
    <row r="172" spans="1:19" ht="13">
      <c r="A172" s="1346"/>
      <c r="B172" s="1347" t="s">
        <v>1273</v>
      </c>
      <c r="C172" s="1346"/>
      <c r="D172" s="1346"/>
      <c r="E172" s="1346"/>
      <c r="F172" s="1346"/>
      <c r="G172" s="1346"/>
      <c r="H172" s="1346"/>
      <c r="I172" s="1346"/>
      <c r="J172" s="1346"/>
      <c r="K172" s="1346"/>
      <c r="L172" s="1346"/>
      <c r="M172" s="1346"/>
      <c r="N172" s="1346"/>
      <c r="O172" s="1346"/>
      <c r="P172" s="1346"/>
      <c r="Q172" s="1346"/>
      <c r="R172" s="1346"/>
      <c r="S172" s="1346"/>
    </row>
    <row r="174" spans="1:19" ht="12.75" customHeight="1">
      <c r="B174" s="1738" t="s">
        <v>1325</v>
      </c>
      <c r="C174" s="1738"/>
      <c r="D174" s="1738"/>
      <c r="E174" s="1738"/>
      <c r="F174" s="1738"/>
      <c r="G174" s="1738"/>
      <c r="H174" s="1738"/>
      <c r="I174" s="1738"/>
      <c r="J174" s="1738"/>
      <c r="K174" s="1738"/>
      <c r="L174" s="1738"/>
      <c r="M174" s="1334"/>
      <c r="O174" s="1335"/>
      <c r="P174" s="1335"/>
      <c r="Q174" s="1335"/>
      <c r="R174" s="1334"/>
      <c r="S174" s="1334"/>
    </row>
    <row r="175" spans="1:19">
      <c r="B175" s="1738"/>
      <c r="C175" s="1738"/>
      <c r="D175" s="1738"/>
      <c r="E175" s="1738"/>
      <c r="F175" s="1738"/>
      <c r="G175" s="1738"/>
      <c r="H175" s="1738"/>
      <c r="I175" s="1738"/>
      <c r="J175" s="1738"/>
      <c r="K175" s="1738"/>
      <c r="L175" s="1738"/>
      <c r="M175" s="1334"/>
      <c r="O175" s="1335"/>
      <c r="P175" s="1335"/>
      <c r="Q175" s="1335"/>
      <c r="R175" s="1334"/>
      <c r="S175" s="1334"/>
    </row>
    <row r="176" spans="1:19">
      <c r="D176" s="1333"/>
      <c r="E176" s="1333"/>
      <c r="F176" s="1333"/>
      <c r="G176" s="1333"/>
      <c r="H176" s="1334"/>
      <c r="I176" s="1334"/>
      <c r="K176" s="1335"/>
      <c r="L176" s="1334"/>
      <c r="M176" s="1334"/>
      <c r="O176" s="1335"/>
      <c r="P176" s="1335"/>
      <c r="Q176" s="1335"/>
      <c r="R176" s="1334"/>
      <c r="S176" s="1334"/>
    </row>
    <row r="177" spans="1:19" ht="13">
      <c r="B177" s="1312" t="s">
        <v>1326</v>
      </c>
      <c r="D177" s="1348" t="s">
        <v>1206</v>
      </c>
      <c r="E177" s="1349" t="str">
        <f>IF(D177="Projected Activity","Check",IF(D177="True-Up Adjustment","Check","Error"))</f>
        <v>Check</v>
      </c>
      <c r="F177" s="1334"/>
      <c r="G177" s="1334"/>
      <c r="H177" s="1334"/>
      <c r="I177" s="1334"/>
      <c r="K177" s="1335"/>
      <c r="L177" s="1334"/>
      <c r="M177" s="1334"/>
      <c r="O177" s="1335"/>
      <c r="P177" s="1335"/>
      <c r="Q177" s="1335"/>
      <c r="R177" s="1334"/>
      <c r="S177" s="1334"/>
    </row>
    <row r="178" spans="1:19">
      <c r="D178" s="1333"/>
      <c r="E178" s="1333"/>
      <c r="F178" s="1333"/>
      <c r="G178" s="1333"/>
      <c r="H178" s="1334"/>
      <c r="I178" s="1334"/>
      <c r="K178" s="1335"/>
      <c r="L178" s="1334"/>
      <c r="M178" s="1334"/>
      <c r="O178" s="1335"/>
      <c r="P178" s="1335"/>
      <c r="Q178" s="1335"/>
      <c r="R178" s="1334"/>
      <c r="S178" s="1334"/>
    </row>
    <row r="179" spans="1:19">
      <c r="B179" s="1739" t="s">
        <v>1327</v>
      </c>
      <c r="C179" s="1739"/>
      <c r="D179" s="1739"/>
      <c r="E179" s="1739"/>
      <c r="F179" s="1739"/>
      <c r="G179" s="1739"/>
      <c r="H179" s="1739"/>
      <c r="I179" s="1739"/>
      <c r="J179" s="1739"/>
      <c r="K179" s="1739"/>
      <c r="L179" s="1739"/>
      <c r="M179" s="1334"/>
      <c r="O179" s="1335"/>
      <c r="P179" s="1335"/>
      <c r="Q179" s="1335"/>
      <c r="R179" s="1334"/>
      <c r="S179" s="1334"/>
    </row>
    <row r="180" spans="1:19">
      <c r="B180" s="1739"/>
      <c r="C180" s="1739"/>
      <c r="D180" s="1739"/>
      <c r="E180" s="1739"/>
      <c r="F180" s="1739"/>
      <c r="G180" s="1739"/>
      <c r="H180" s="1739"/>
      <c r="I180" s="1739"/>
      <c r="J180" s="1739"/>
      <c r="K180" s="1739"/>
      <c r="L180" s="1739"/>
      <c r="M180" s="1334"/>
      <c r="O180" s="1335"/>
      <c r="P180" s="1335"/>
      <c r="Q180" s="1335"/>
      <c r="R180" s="1334"/>
      <c r="S180" s="1334"/>
    </row>
    <row r="181" spans="1:19">
      <c r="D181" s="1333"/>
      <c r="E181" s="1333"/>
      <c r="F181" s="1333"/>
      <c r="G181" s="1333"/>
      <c r="H181" s="1334"/>
      <c r="I181" s="1334"/>
      <c r="K181" s="1335"/>
      <c r="L181" s="1334"/>
      <c r="M181" s="1334"/>
      <c r="O181" s="1335"/>
      <c r="P181" s="1335"/>
      <c r="Q181" s="1335"/>
      <c r="R181" s="1334"/>
      <c r="S181" s="1334"/>
    </row>
    <row r="182" spans="1:19" ht="13">
      <c r="A182" s="1346"/>
      <c r="B182" s="1347" t="s">
        <v>925</v>
      </c>
      <c r="C182" s="1346"/>
      <c r="D182" s="1346"/>
      <c r="E182" s="1346"/>
      <c r="F182" s="1346"/>
      <c r="G182" s="1346"/>
      <c r="H182" s="1346"/>
      <c r="I182" s="1346"/>
      <c r="J182" s="1346"/>
      <c r="K182" s="1346"/>
      <c r="L182" s="1346"/>
      <c r="M182" s="1346"/>
      <c r="N182" s="1346"/>
      <c r="O182" s="1346"/>
      <c r="P182" s="1346"/>
      <c r="Q182" s="1346"/>
      <c r="R182" s="1346"/>
      <c r="S182" s="1346"/>
    </row>
    <row r="184" spans="1:19" ht="15.75" customHeight="1">
      <c r="A184" s="1311"/>
      <c r="B184" s="1312" t="s">
        <v>9</v>
      </c>
      <c r="C184" s="1738" t="s">
        <v>998</v>
      </c>
      <c r="D184" s="1738"/>
      <c r="E184" s="1738"/>
      <c r="F184" s="1738"/>
      <c r="G184" s="1738"/>
      <c r="H184" s="1738"/>
      <c r="I184" s="1738"/>
      <c r="J184" s="1738"/>
      <c r="K184" s="1738"/>
      <c r="L184" s="1738"/>
    </row>
    <row r="185" spans="1:19" ht="13">
      <c r="A185" s="1311"/>
      <c r="B185" s="1312"/>
      <c r="C185" s="1738"/>
      <c r="D185" s="1738"/>
      <c r="E185" s="1738"/>
      <c r="F185" s="1738"/>
      <c r="G185" s="1738"/>
      <c r="H185" s="1738"/>
      <c r="I185" s="1738"/>
      <c r="J185" s="1738"/>
      <c r="K185" s="1738"/>
      <c r="L185" s="1738"/>
    </row>
    <row r="186" spans="1:19">
      <c r="C186" s="1738"/>
      <c r="D186" s="1738"/>
      <c r="E186" s="1738"/>
      <c r="F186" s="1738"/>
      <c r="G186" s="1738"/>
      <c r="H186" s="1738"/>
      <c r="I186" s="1738"/>
      <c r="J186" s="1738"/>
      <c r="K186" s="1738"/>
      <c r="L186" s="1738"/>
    </row>
    <row r="187" spans="1:19">
      <c r="C187" s="1738"/>
      <c r="D187" s="1738"/>
      <c r="E187" s="1738"/>
      <c r="F187" s="1738"/>
      <c r="G187" s="1738"/>
      <c r="H187" s="1738"/>
      <c r="I187" s="1738"/>
      <c r="J187" s="1738"/>
      <c r="K187" s="1738"/>
      <c r="L187" s="1738"/>
    </row>
    <row r="188" spans="1:19" ht="15.75" customHeight="1">
      <c r="A188" s="1311"/>
      <c r="B188" s="1312" t="s">
        <v>10</v>
      </c>
      <c r="C188" s="1738" t="s">
        <v>997</v>
      </c>
      <c r="D188" s="1738"/>
      <c r="E188" s="1738"/>
      <c r="F188" s="1738"/>
      <c r="G188" s="1738"/>
      <c r="H188" s="1738"/>
      <c r="I188" s="1738"/>
      <c r="J188" s="1738"/>
      <c r="K188" s="1738"/>
      <c r="L188" s="1738"/>
    </row>
    <row r="189" spans="1:19" ht="13">
      <c r="A189" s="1311"/>
      <c r="B189" s="1312"/>
      <c r="C189" s="1738"/>
      <c r="D189" s="1738"/>
      <c r="E189" s="1738"/>
      <c r="F189" s="1738"/>
      <c r="G189" s="1738"/>
      <c r="H189" s="1738"/>
      <c r="I189" s="1738"/>
      <c r="J189" s="1738"/>
      <c r="K189" s="1738"/>
      <c r="L189" s="1738"/>
    </row>
    <row r="190" spans="1:19" ht="13">
      <c r="A190" s="1311"/>
      <c r="B190" s="1312"/>
      <c r="C190" s="1738"/>
      <c r="D190" s="1738"/>
      <c r="E190" s="1738"/>
      <c r="F190" s="1738"/>
      <c r="G190" s="1738"/>
      <c r="H190" s="1738"/>
      <c r="I190" s="1738"/>
      <c r="J190" s="1738"/>
      <c r="K190" s="1738"/>
      <c r="L190" s="1738"/>
    </row>
    <row r="191" spans="1:19" ht="13">
      <c r="A191" s="1311"/>
      <c r="B191" s="1312"/>
      <c r="C191" s="1738"/>
      <c r="D191" s="1738"/>
      <c r="E191" s="1738"/>
      <c r="F191" s="1738"/>
      <c r="G191" s="1738"/>
      <c r="H191" s="1738"/>
      <c r="I191" s="1738"/>
      <c r="J191" s="1738"/>
      <c r="K191" s="1738"/>
      <c r="L191" s="1738"/>
    </row>
    <row r="192" spans="1:19" ht="13">
      <c r="A192" s="1311"/>
      <c r="B192" s="1312"/>
      <c r="C192" s="1738"/>
      <c r="D192" s="1738"/>
      <c r="E192" s="1738"/>
      <c r="F192" s="1738"/>
      <c r="G192" s="1738"/>
      <c r="H192" s="1738"/>
      <c r="I192" s="1738"/>
      <c r="J192" s="1738"/>
      <c r="K192" s="1738"/>
      <c r="L192" s="1738"/>
    </row>
    <row r="193" spans="1:12">
      <c r="C193" s="1738"/>
      <c r="D193" s="1738"/>
      <c r="E193" s="1738"/>
      <c r="F193" s="1738"/>
      <c r="G193" s="1738"/>
      <c r="H193" s="1738"/>
      <c r="I193" s="1738"/>
      <c r="J193" s="1738"/>
      <c r="K193" s="1738"/>
      <c r="L193" s="1738"/>
    </row>
    <row r="194" spans="1:12">
      <c r="C194" s="1738"/>
      <c r="D194" s="1738"/>
      <c r="E194" s="1738"/>
      <c r="F194" s="1738"/>
      <c r="G194" s="1738"/>
      <c r="H194" s="1738"/>
      <c r="I194" s="1738"/>
      <c r="J194" s="1738"/>
      <c r="K194" s="1738"/>
      <c r="L194" s="1738"/>
    </row>
    <row r="195" spans="1:12" ht="15.75" customHeight="1">
      <c r="A195" s="1311"/>
      <c r="B195" s="1312" t="s">
        <v>11</v>
      </c>
      <c r="C195" s="1738" t="s">
        <v>996</v>
      </c>
      <c r="D195" s="1738"/>
      <c r="E195" s="1738"/>
      <c r="F195" s="1738"/>
      <c r="G195" s="1738"/>
      <c r="H195" s="1738"/>
      <c r="I195" s="1738"/>
      <c r="J195" s="1738"/>
      <c r="K195" s="1738"/>
      <c r="L195" s="1738"/>
    </row>
    <row r="196" spans="1:12" ht="13">
      <c r="A196" s="1311"/>
      <c r="B196" s="1312"/>
      <c r="C196" s="1738"/>
      <c r="D196" s="1738"/>
      <c r="E196" s="1738"/>
      <c r="F196" s="1738"/>
      <c r="G196" s="1738"/>
      <c r="H196" s="1738"/>
      <c r="I196" s="1738"/>
      <c r="J196" s="1738"/>
      <c r="K196" s="1738"/>
      <c r="L196" s="1738"/>
    </row>
    <row r="197" spans="1:12" ht="13">
      <c r="A197" s="1311"/>
      <c r="B197" s="1312"/>
      <c r="C197" s="1738"/>
      <c r="D197" s="1738"/>
      <c r="E197" s="1738"/>
      <c r="F197" s="1738"/>
      <c r="G197" s="1738"/>
      <c r="H197" s="1738"/>
      <c r="I197" s="1738"/>
      <c r="J197" s="1738"/>
      <c r="K197" s="1738"/>
      <c r="L197" s="1738"/>
    </row>
    <row r="198" spans="1:12" ht="13">
      <c r="A198" s="1311"/>
      <c r="B198" s="1312"/>
      <c r="C198" s="1738"/>
      <c r="D198" s="1738"/>
      <c r="E198" s="1738"/>
      <c r="F198" s="1738"/>
      <c r="G198" s="1738"/>
      <c r="H198" s="1738"/>
      <c r="I198" s="1738"/>
      <c r="J198" s="1738"/>
      <c r="K198" s="1738"/>
      <c r="L198" s="1738"/>
    </row>
    <row r="199" spans="1:12" ht="15.75" customHeight="1">
      <c r="A199" s="1311"/>
      <c r="B199" s="1312" t="s">
        <v>14</v>
      </c>
      <c r="C199" s="1738" t="s">
        <v>995</v>
      </c>
      <c r="D199" s="1738"/>
      <c r="E199" s="1738"/>
      <c r="F199" s="1738"/>
      <c r="G199" s="1738"/>
      <c r="H199" s="1738"/>
      <c r="I199" s="1738"/>
      <c r="J199" s="1738"/>
      <c r="K199" s="1738"/>
      <c r="L199" s="1738"/>
    </row>
    <row r="200" spans="1:12" ht="15.75" customHeight="1">
      <c r="C200" s="1738"/>
      <c r="D200" s="1738"/>
      <c r="E200" s="1738"/>
      <c r="F200" s="1738"/>
      <c r="G200" s="1738"/>
      <c r="H200" s="1738"/>
      <c r="I200" s="1738"/>
      <c r="J200" s="1738"/>
      <c r="K200" s="1738"/>
      <c r="L200" s="1738"/>
    </row>
    <row r="201" spans="1:12" ht="15.75" customHeight="1">
      <c r="A201" s="1311"/>
      <c r="B201" s="1312" t="s">
        <v>138</v>
      </c>
      <c r="C201" s="1738" t="s">
        <v>994</v>
      </c>
      <c r="D201" s="1738"/>
      <c r="E201" s="1738"/>
      <c r="F201" s="1738"/>
      <c r="G201" s="1738"/>
      <c r="H201" s="1738"/>
      <c r="I201" s="1738"/>
      <c r="J201" s="1738"/>
      <c r="K201" s="1738"/>
      <c r="L201" s="1738"/>
    </row>
    <row r="202" spans="1:12" ht="15.75" customHeight="1">
      <c r="C202" s="1738"/>
      <c r="D202" s="1738"/>
      <c r="E202" s="1738"/>
      <c r="F202" s="1738"/>
      <c r="G202" s="1738"/>
      <c r="H202" s="1738"/>
      <c r="I202" s="1738"/>
      <c r="J202" s="1738"/>
      <c r="K202" s="1738"/>
      <c r="L202" s="1738"/>
    </row>
    <row r="203" spans="1:12" ht="15.75" customHeight="1">
      <c r="A203" s="1311"/>
      <c r="B203" s="1312" t="s">
        <v>139</v>
      </c>
      <c r="C203" s="1740" t="s">
        <v>993</v>
      </c>
      <c r="D203" s="1740"/>
      <c r="E203" s="1740"/>
      <c r="F203" s="1740"/>
      <c r="G203" s="1740"/>
      <c r="H203" s="1740"/>
      <c r="I203" s="1740"/>
      <c r="J203" s="1740"/>
      <c r="K203" s="1740"/>
      <c r="L203" s="1740"/>
    </row>
    <row r="204" spans="1:12">
      <c r="C204" s="1740"/>
      <c r="D204" s="1740"/>
      <c r="E204" s="1740"/>
      <c r="F204" s="1740"/>
      <c r="G204" s="1740"/>
      <c r="H204" s="1740"/>
      <c r="I204" s="1740"/>
      <c r="J204" s="1740"/>
      <c r="K204" s="1740"/>
      <c r="L204" s="1740"/>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E90" zoomScale="84" zoomScaleNormal="84" zoomScaleSheetLayoutView="70" workbookViewId="0">
      <selection activeCell="L128" sqref="L128"/>
    </sheetView>
  </sheetViews>
  <sheetFormatPr defaultColWidth="11.453125" defaultRowHeight="13"/>
  <cols>
    <col min="1" max="1" width="6.26953125" style="619" customWidth="1"/>
    <col min="2" max="2" width="37.26953125" style="620" bestFit="1" customWidth="1"/>
    <col min="3" max="3" width="30.81640625" style="620" customWidth="1"/>
    <col min="4" max="4" width="32.81640625" style="620" customWidth="1"/>
    <col min="5" max="5" width="24.7265625" style="620" customWidth="1"/>
    <col min="6" max="6" width="20.54296875" style="620" customWidth="1"/>
    <col min="7" max="8" width="22.26953125" style="620" customWidth="1"/>
    <col min="9" max="9" width="23.453125" style="620" customWidth="1"/>
    <col min="10" max="10" width="23.1796875" style="620" customWidth="1"/>
    <col min="11" max="12" width="27.54296875" style="620" customWidth="1"/>
    <col min="13" max="13" width="26.1796875" style="620" customWidth="1"/>
    <col min="14" max="14" width="24.453125" style="620" customWidth="1"/>
    <col min="15" max="16" width="15.1796875" style="620" customWidth="1"/>
    <col min="17" max="17" width="20.26953125" style="620" customWidth="1"/>
    <col min="18" max="16384" width="11.453125" style="620"/>
  </cols>
  <sheetData>
    <row r="1" spans="1:16">
      <c r="C1" s="621"/>
      <c r="D1" s="621"/>
      <c r="E1" s="621"/>
      <c r="F1" s="621"/>
      <c r="I1" s="622" t="s">
        <v>557</v>
      </c>
      <c r="J1" s="621"/>
      <c r="K1" s="621"/>
      <c r="L1" s="621"/>
    </row>
    <row r="2" spans="1:16">
      <c r="A2" s="624"/>
      <c r="C2" s="621"/>
      <c r="D2" s="621"/>
      <c r="E2" s="621"/>
      <c r="F2" s="621"/>
      <c r="G2" s="621"/>
      <c r="H2" s="621"/>
      <c r="I2" s="625" t="s">
        <v>558</v>
      </c>
      <c r="J2" s="621"/>
      <c r="K2" s="621"/>
      <c r="L2" s="621"/>
      <c r="M2" s="621"/>
      <c r="O2" s="626"/>
    </row>
    <row r="3" spans="1:16">
      <c r="A3" s="624"/>
      <c r="C3" s="621"/>
      <c r="D3" s="621"/>
      <c r="E3" s="621"/>
      <c r="F3" s="621"/>
      <c r="G3" s="621"/>
      <c r="H3" s="621"/>
      <c r="I3" s="627" t="s">
        <v>1547</v>
      </c>
      <c r="J3" s="621"/>
      <c r="K3" s="621"/>
      <c r="L3" s="621"/>
      <c r="M3" s="621"/>
    </row>
    <row r="4" spans="1:16">
      <c r="A4" s="624"/>
      <c r="C4" s="621"/>
      <c r="D4" s="621"/>
      <c r="E4" s="917"/>
      <c r="F4" s="621"/>
      <c r="G4" s="621"/>
      <c r="H4" s="621"/>
      <c r="I4" s="621"/>
      <c r="J4" s="621"/>
      <c r="K4" s="621"/>
      <c r="L4" s="621"/>
      <c r="M4" s="621"/>
      <c r="P4" s="967"/>
    </row>
    <row r="5" spans="1:16" ht="13.5" thickBot="1">
      <c r="A5" s="624"/>
      <c r="B5" s="628"/>
      <c r="C5" s="628"/>
      <c r="D5" s="628"/>
      <c r="E5" s="628"/>
      <c r="F5" s="628"/>
      <c r="G5" s="621"/>
      <c r="H5" s="621"/>
      <c r="I5" s="621"/>
      <c r="J5" s="621"/>
      <c r="K5" s="621"/>
      <c r="L5" s="621"/>
      <c r="M5" s="628"/>
    </row>
    <row r="6" spans="1:16" ht="13.5" thickBot="1">
      <c r="A6" s="624"/>
      <c r="B6" s="1141" t="s">
        <v>814</v>
      </c>
      <c r="C6" s="1894" t="s">
        <v>1240</v>
      </c>
      <c r="D6" s="1897"/>
      <c r="E6" s="1897"/>
      <c r="F6" s="1898"/>
      <c r="G6" s="1894" t="s">
        <v>1254</v>
      </c>
      <c r="H6" s="1897"/>
      <c r="I6" s="1897"/>
      <c r="J6" s="1898"/>
      <c r="K6" s="1894" t="s">
        <v>1255</v>
      </c>
      <c r="L6" s="1897"/>
      <c r="M6" s="1897"/>
      <c r="N6" s="1898"/>
      <c r="P6" s="967"/>
    </row>
    <row r="7" spans="1:16" s="633" customFormat="1" ht="26">
      <c r="A7" s="630" t="s">
        <v>504</v>
      </c>
      <c r="B7" s="631" t="s">
        <v>169</v>
      </c>
      <c r="C7" s="631" t="s">
        <v>559</v>
      </c>
      <c r="D7" s="631" t="s">
        <v>228</v>
      </c>
      <c r="E7" s="631" t="s">
        <v>147</v>
      </c>
      <c r="F7" s="632" t="s">
        <v>505</v>
      </c>
      <c r="G7" s="631" t="s">
        <v>559</v>
      </c>
      <c r="H7" s="631" t="s">
        <v>228</v>
      </c>
      <c r="I7" s="631" t="s">
        <v>147</v>
      </c>
      <c r="J7" s="632" t="s">
        <v>505</v>
      </c>
      <c r="K7" s="631" t="s">
        <v>559</v>
      </c>
      <c r="L7" s="631" t="s">
        <v>228</v>
      </c>
      <c r="M7" s="631" t="s">
        <v>147</v>
      </c>
      <c r="N7" s="632" t="s">
        <v>505</v>
      </c>
      <c r="O7" s="621"/>
    </row>
    <row r="8" spans="1:16" s="635" customFormat="1">
      <c r="A8" s="624"/>
      <c r="B8" s="629" t="s">
        <v>510</v>
      </c>
      <c r="C8" s="629" t="s">
        <v>511</v>
      </c>
      <c r="D8" s="629" t="s">
        <v>512</v>
      </c>
      <c r="E8" s="631" t="s">
        <v>513</v>
      </c>
      <c r="F8" s="629" t="s">
        <v>514</v>
      </c>
      <c r="G8" s="629" t="s">
        <v>515</v>
      </c>
      <c r="H8" s="631" t="s">
        <v>516</v>
      </c>
      <c r="I8" s="629" t="s">
        <v>517</v>
      </c>
      <c r="J8" s="629" t="s">
        <v>518</v>
      </c>
      <c r="K8" s="631" t="s">
        <v>519</v>
      </c>
      <c r="L8" s="629" t="s">
        <v>520</v>
      </c>
      <c r="M8" s="631" t="s">
        <v>544</v>
      </c>
      <c r="N8" s="631" t="s">
        <v>763</v>
      </c>
      <c r="O8" s="621"/>
    </row>
    <row r="9" spans="1:16" s="635" customFormat="1">
      <c r="A9" s="624"/>
      <c r="B9" s="636" t="s">
        <v>1771</v>
      </c>
      <c r="C9" s="625"/>
      <c r="D9" s="1713"/>
      <c r="E9" s="625"/>
      <c r="F9" s="637"/>
      <c r="G9" s="625"/>
      <c r="H9" s="625"/>
      <c r="I9" s="625"/>
      <c r="J9" s="637"/>
      <c r="K9" s="625">
        <v>6</v>
      </c>
      <c r="L9" s="625"/>
      <c r="M9" s="625"/>
      <c r="N9" s="637"/>
      <c r="O9" s="621"/>
    </row>
    <row r="10" spans="1:16" s="635" customFormat="1" ht="104">
      <c r="A10" s="624"/>
      <c r="B10" s="629"/>
      <c r="C10" s="639" t="s">
        <v>975</v>
      </c>
      <c r="D10" s="639" t="s">
        <v>1780</v>
      </c>
      <c r="E10" s="640" t="s">
        <v>976</v>
      </c>
      <c r="F10" s="641" t="s">
        <v>522</v>
      </c>
      <c r="G10" s="639" t="s">
        <v>977</v>
      </c>
      <c r="H10" s="639" t="s">
        <v>960</v>
      </c>
      <c r="I10" s="640" t="s">
        <v>978</v>
      </c>
      <c r="J10" s="641" t="s">
        <v>522</v>
      </c>
      <c r="K10" s="639" t="s">
        <v>961</v>
      </c>
      <c r="L10" s="639" t="s">
        <v>962</v>
      </c>
      <c r="M10" s="639" t="s">
        <v>963</v>
      </c>
      <c r="N10" s="639" t="s">
        <v>964</v>
      </c>
      <c r="O10" s="621"/>
    </row>
    <row r="11" spans="1:16">
      <c r="A11" s="624">
        <v>1</v>
      </c>
      <c r="B11" s="642" t="s">
        <v>524</v>
      </c>
      <c r="C11" s="643">
        <v>4554735038.4099998</v>
      </c>
      <c r="D11" s="643">
        <v>1668224393</v>
      </c>
      <c r="E11" s="643">
        <v>266846915.41</v>
      </c>
      <c r="F11" s="643">
        <v>0</v>
      </c>
      <c r="G11" s="643">
        <v>2559209.61</v>
      </c>
      <c r="H11" s="643"/>
      <c r="I11" s="684">
        <v>108026.47999999998</v>
      </c>
      <c r="J11" s="643">
        <v>0</v>
      </c>
      <c r="K11" s="643">
        <f>+C11-G11</f>
        <v>4552175828.8000002</v>
      </c>
      <c r="L11" s="643">
        <f>+D11-H11</f>
        <v>1668224393</v>
      </c>
      <c r="M11" s="643">
        <f>+E11-I11</f>
        <v>266738888.93000001</v>
      </c>
      <c r="N11" s="643">
        <v>0</v>
      </c>
      <c r="P11" s="621"/>
    </row>
    <row r="12" spans="1:16">
      <c r="A12" s="624">
        <v>2</v>
      </c>
      <c r="B12" s="642" t="s">
        <v>525</v>
      </c>
      <c r="C12" s="684">
        <v>4565541332.1882305</v>
      </c>
      <c r="D12" s="684">
        <v>1671053200.6621301</v>
      </c>
      <c r="E12" s="684">
        <v>267514348.52585959</v>
      </c>
      <c r="F12" s="643">
        <v>0</v>
      </c>
      <c r="G12" s="684">
        <v>2538525.7499999995</v>
      </c>
      <c r="H12" s="643"/>
      <c r="I12" s="684">
        <v>108026.47999999998</v>
      </c>
      <c r="J12" s="643">
        <v>0</v>
      </c>
      <c r="K12" s="643">
        <f t="shared" ref="K12:K23" si="0">+C12-G12</f>
        <v>4563002806.4382305</v>
      </c>
      <c r="L12" s="643">
        <f t="shared" ref="L12:L23" si="1">+D12-H12</f>
        <v>1671053200.6621301</v>
      </c>
      <c r="M12" s="643">
        <f t="shared" ref="M12:M23" si="2">+E12-I12</f>
        <v>267406322.04585961</v>
      </c>
      <c r="N12" s="643">
        <f t="shared" ref="N12:N23" si="3">+F12-J12</f>
        <v>0</v>
      </c>
      <c r="O12" s="621"/>
      <c r="P12" s="621"/>
    </row>
    <row r="13" spans="1:16">
      <c r="A13" s="624">
        <v>3</v>
      </c>
      <c r="B13" s="621" t="s">
        <v>526</v>
      </c>
      <c r="C13" s="684">
        <v>4575107297.0656929</v>
      </c>
      <c r="D13" s="684">
        <v>1674808287.9217801</v>
      </c>
      <c r="E13" s="684">
        <v>268748467.364371</v>
      </c>
      <c r="F13" s="643">
        <v>0</v>
      </c>
      <c r="G13" s="684">
        <v>2538725.9699999997</v>
      </c>
      <c r="H13" s="643"/>
      <c r="I13" s="684">
        <v>108026.47999999998</v>
      </c>
      <c r="J13" s="643">
        <v>0</v>
      </c>
      <c r="K13" s="643">
        <f t="shared" si="0"/>
        <v>4572568571.0956926</v>
      </c>
      <c r="L13" s="643">
        <f t="shared" si="1"/>
        <v>1674808287.9217801</v>
      </c>
      <c r="M13" s="643">
        <f t="shared" si="2"/>
        <v>268640440.88437098</v>
      </c>
      <c r="N13" s="643">
        <f t="shared" si="3"/>
        <v>0</v>
      </c>
      <c r="O13" s="621"/>
      <c r="P13" s="621"/>
    </row>
    <row r="14" spans="1:16">
      <c r="A14" s="624">
        <v>4</v>
      </c>
      <c r="B14" s="621" t="s">
        <v>527</v>
      </c>
      <c r="C14" s="684">
        <v>4597266565.5498533</v>
      </c>
      <c r="D14" s="684">
        <v>1680395651.082</v>
      </c>
      <c r="E14" s="684">
        <v>277419147.92112947</v>
      </c>
      <c r="F14" s="643">
        <v>0</v>
      </c>
      <c r="G14" s="684">
        <v>2513653.0799999996</v>
      </c>
      <c r="H14" s="643"/>
      <c r="I14" s="684">
        <v>89945.919999999984</v>
      </c>
      <c r="J14" s="643">
        <v>0</v>
      </c>
      <c r="K14" s="643">
        <f t="shared" si="0"/>
        <v>4594752912.4698534</v>
      </c>
      <c r="L14" s="643">
        <f t="shared" si="1"/>
        <v>1680395651.082</v>
      </c>
      <c r="M14" s="643">
        <f t="shared" si="2"/>
        <v>277329202.00112945</v>
      </c>
      <c r="N14" s="643">
        <f t="shared" si="3"/>
        <v>0</v>
      </c>
      <c r="O14" s="621"/>
      <c r="P14" s="621"/>
    </row>
    <row r="15" spans="1:16">
      <c r="A15" s="624">
        <v>5</v>
      </c>
      <c r="B15" s="621" t="s">
        <v>171</v>
      </c>
      <c r="C15" s="684">
        <v>4654893686.3910952</v>
      </c>
      <c r="D15" s="684">
        <v>1722894326.23826</v>
      </c>
      <c r="E15" s="684">
        <v>281951828.03732431</v>
      </c>
      <c r="F15" s="643">
        <v>0</v>
      </c>
      <c r="G15" s="684">
        <v>2513653.0799999996</v>
      </c>
      <c r="H15" s="643"/>
      <c r="I15" s="684">
        <v>89945.919999999984</v>
      </c>
      <c r="J15" s="643">
        <v>0</v>
      </c>
      <c r="K15" s="643">
        <f t="shared" si="0"/>
        <v>4652380033.3110952</v>
      </c>
      <c r="L15" s="643">
        <f t="shared" si="1"/>
        <v>1722894326.23826</v>
      </c>
      <c r="M15" s="643">
        <f t="shared" si="2"/>
        <v>281861882.11732429</v>
      </c>
      <c r="N15" s="643">
        <f t="shared" si="3"/>
        <v>0</v>
      </c>
      <c r="O15" s="621"/>
      <c r="P15" s="621"/>
    </row>
    <row r="16" spans="1:16">
      <c r="A16" s="624">
        <v>6</v>
      </c>
      <c r="B16" s="621" t="s">
        <v>172</v>
      </c>
      <c r="C16" s="684">
        <v>4731259425.560729</v>
      </c>
      <c r="D16" s="684">
        <v>1772829483.76952</v>
      </c>
      <c r="E16" s="684">
        <v>283422383.14239389</v>
      </c>
      <c r="F16" s="643">
        <v>0</v>
      </c>
      <c r="G16" s="684">
        <v>2513653.0799999996</v>
      </c>
      <c r="H16" s="643"/>
      <c r="I16" s="684">
        <v>89945.919999999984</v>
      </c>
      <c r="J16" s="643">
        <v>0</v>
      </c>
      <c r="K16" s="643">
        <f t="shared" si="0"/>
        <v>4728745772.4807291</v>
      </c>
      <c r="L16" s="643">
        <f t="shared" si="1"/>
        <v>1772829483.76952</v>
      </c>
      <c r="M16" s="643">
        <f t="shared" si="2"/>
        <v>283332437.22239387</v>
      </c>
      <c r="N16" s="643">
        <f t="shared" si="3"/>
        <v>0</v>
      </c>
      <c r="O16" s="621"/>
      <c r="P16" s="621"/>
    </row>
    <row r="17" spans="1:16">
      <c r="A17" s="624">
        <v>7</v>
      </c>
      <c r="B17" s="621" t="s">
        <v>173</v>
      </c>
      <c r="C17" s="684">
        <v>4777954815.8188257</v>
      </c>
      <c r="D17" s="684">
        <v>1792487606.1122501</v>
      </c>
      <c r="E17" s="684">
        <v>288748997.48402917</v>
      </c>
      <c r="F17" s="643">
        <v>0</v>
      </c>
      <c r="G17" s="684">
        <v>2513653.0799999996</v>
      </c>
      <c r="H17" s="643"/>
      <c r="I17" s="684">
        <v>89945.919999999984</v>
      </c>
      <c r="J17" s="643">
        <v>0</v>
      </c>
      <c r="K17" s="643">
        <f t="shared" si="0"/>
        <v>4775441162.7388258</v>
      </c>
      <c r="L17" s="643">
        <f t="shared" si="1"/>
        <v>1792487606.1122501</v>
      </c>
      <c r="M17" s="643">
        <f t="shared" si="2"/>
        <v>288659051.56402916</v>
      </c>
      <c r="N17" s="643">
        <f t="shared" si="3"/>
        <v>0</v>
      </c>
      <c r="O17" s="621"/>
      <c r="P17" s="621"/>
    </row>
    <row r="18" spans="1:16">
      <c r="A18" s="624">
        <v>8</v>
      </c>
      <c r="B18" s="621" t="s">
        <v>528</v>
      </c>
      <c r="C18" s="684">
        <v>4795225997.5072126</v>
      </c>
      <c r="D18" s="684">
        <v>1795509420.1430502</v>
      </c>
      <c r="E18" s="684">
        <v>292495716.47260815</v>
      </c>
      <c r="F18" s="643">
        <v>0</v>
      </c>
      <c r="G18" s="684">
        <v>2513653.0799999996</v>
      </c>
      <c r="H18" s="643"/>
      <c r="I18" s="684">
        <v>89945.919999999984</v>
      </c>
      <c r="J18" s="643">
        <v>0</v>
      </c>
      <c r="K18" s="643">
        <f t="shared" si="0"/>
        <v>4792712344.4272127</v>
      </c>
      <c r="L18" s="643">
        <f t="shared" si="1"/>
        <v>1795509420.1430502</v>
      </c>
      <c r="M18" s="643">
        <f t="shared" si="2"/>
        <v>292405770.55260813</v>
      </c>
      <c r="N18" s="643">
        <f t="shared" si="3"/>
        <v>0</v>
      </c>
      <c r="O18" s="621"/>
      <c r="P18" s="621"/>
    </row>
    <row r="19" spans="1:16">
      <c r="A19" s="624">
        <v>9</v>
      </c>
      <c r="B19" s="621" t="s">
        <v>529</v>
      </c>
      <c r="C19" s="684">
        <v>4810592331.8934917</v>
      </c>
      <c r="D19" s="684">
        <v>1799310020.9747903</v>
      </c>
      <c r="E19" s="684">
        <v>294785052.95611215</v>
      </c>
      <c r="F19" s="643">
        <v>0</v>
      </c>
      <c r="G19" s="684">
        <v>2513653.0799999996</v>
      </c>
      <c r="H19" s="643"/>
      <c r="I19" s="684">
        <v>89945.919999999984</v>
      </c>
      <c r="J19" s="643">
        <v>0</v>
      </c>
      <c r="K19" s="643">
        <f t="shared" si="0"/>
        <v>4808078678.8134918</v>
      </c>
      <c r="L19" s="643">
        <f t="shared" si="1"/>
        <v>1799310020.9747903</v>
      </c>
      <c r="M19" s="643">
        <f t="shared" si="2"/>
        <v>294695107.03611213</v>
      </c>
      <c r="N19" s="643">
        <f t="shared" si="3"/>
        <v>0</v>
      </c>
      <c r="O19" s="621"/>
      <c r="P19" s="621"/>
    </row>
    <row r="20" spans="1:16">
      <c r="A20" s="624">
        <v>10</v>
      </c>
      <c r="B20" s="621" t="s">
        <v>530</v>
      </c>
      <c r="C20" s="684">
        <v>4826827227.0407667</v>
      </c>
      <c r="D20" s="684">
        <v>1803613022.4563103</v>
      </c>
      <c r="E20" s="684">
        <v>296691699.81149709</v>
      </c>
      <c r="F20" s="643">
        <v>0</v>
      </c>
      <c r="G20" s="684">
        <v>2513653.0799999996</v>
      </c>
      <c r="H20" s="643"/>
      <c r="I20" s="684">
        <v>89945.919999999984</v>
      </c>
      <c r="J20" s="643">
        <v>0</v>
      </c>
      <c r="K20" s="643">
        <f t="shared" si="0"/>
        <v>4824313573.9607668</v>
      </c>
      <c r="L20" s="643">
        <f t="shared" si="1"/>
        <v>1803613022.4563103</v>
      </c>
      <c r="M20" s="643">
        <f t="shared" si="2"/>
        <v>296601753.89149708</v>
      </c>
      <c r="N20" s="643">
        <f t="shared" si="3"/>
        <v>0</v>
      </c>
      <c r="O20" s="621"/>
      <c r="P20" s="621"/>
    </row>
    <row r="21" spans="1:16">
      <c r="A21" s="624">
        <v>11</v>
      </c>
      <c r="B21" s="621" t="s">
        <v>531</v>
      </c>
      <c r="C21" s="684">
        <v>4844116200.6031733</v>
      </c>
      <c r="D21" s="684">
        <v>1806507782.3654902</v>
      </c>
      <c r="E21" s="684">
        <v>299336905.81509817</v>
      </c>
      <c r="F21" s="643">
        <v>0</v>
      </c>
      <c r="G21" s="684">
        <v>2513653.0799999996</v>
      </c>
      <c r="H21" s="643"/>
      <c r="I21" s="684">
        <v>89945.919999999984</v>
      </c>
      <c r="J21" s="643">
        <v>0</v>
      </c>
      <c r="K21" s="643">
        <f t="shared" si="0"/>
        <v>4841602547.5231733</v>
      </c>
      <c r="L21" s="643">
        <f t="shared" si="1"/>
        <v>1806507782.3654902</v>
      </c>
      <c r="M21" s="643">
        <f t="shared" si="2"/>
        <v>299246959.89509815</v>
      </c>
      <c r="N21" s="643">
        <f t="shared" si="3"/>
        <v>0</v>
      </c>
      <c r="O21" s="621"/>
      <c r="P21" s="621"/>
    </row>
    <row r="22" spans="1:16">
      <c r="A22" s="624">
        <v>12</v>
      </c>
      <c r="B22" s="621" t="s">
        <v>532</v>
      </c>
      <c r="C22" s="684">
        <v>4859101744.3910656</v>
      </c>
      <c r="D22" s="684">
        <v>1809004355.8127604</v>
      </c>
      <c r="E22" s="684">
        <v>302451489.79136515</v>
      </c>
      <c r="F22" s="643">
        <v>0</v>
      </c>
      <c r="G22" s="684">
        <v>2513653.0799999996</v>
      </c>
      <c r="H22" s="643"/>
      <c r="I22" s="684">
        <v>89945.919999999984</v>
      </c>
      <c r="J22" s="643">
        <v>0</v>
      </c>
      <c r="K22" s="643">
        <f t="shared" si="0"/>
        <v>4856588091.3110657</v>
      </c>
      <c r="L22" s="643">
        <f t="shared" si="1"/>
        <v>1809004355.8127604</v>
      </c>
      <c r="M22" s="643">
        <f t="shared" si="2"/>
        <v>302361543.87136513</v>
      </c>
      <c r="N22" s="643">
        <f t="shared" si="3"/>
        <v>0</v>
      </c>
      <c r="O22" s="621"/>
      <c r="P22" s="621"/>
    </row>
    <row r="23" spans="1:16">
      <c r="A23" s="624">
        <v>13</v>
      </c>
      <c r="B23" s="621" t="s">
        <v>533</v>
      </c>
      <c r="C23" s="643">
        <v>4894815818.922617</v>
      </c>
      <c r="D23" s="643">
        <v>1814406369.3380103</v>
      </c>
      <c r="E23" s="643">
        <v>308607881.14508021</v>
      </c>
      <c r="F23" s="643">
        <v>0</v>
      </c>
      <c r="G23" s="684">
        <v>2513653.0799999996</v>
      </c>
      <c r="H23" s="643"/>
      <c r="I23" s="684">
        <v>89945.919999999984</v>
      </c>
      <c r="J23" s="643">
        <v>0</v>
      </c>
      <c r="K23" s="643">
        <f t="shared" si="0"/>
        <v>4892302165.842617</v>
      </c>
      <c r="L23" s="643">
        <f t="shared" si="1"/>
        <v>1814406369.3380103</v>
      </c>
      <c r="M23" s="643">
        <f t="shared" si="2"/>
        <v>308517935.22508019</v>
      </c>
      <c r="N23" s="643">
        <f t="shared" si="3"/>
        <v>0</v>
      </c>
      <c r="O23" s="621"/>
      <c r="P23" s="621"/>
    </row>
    <row r="24" spans="1:16" ht="13.5" thickBot="1">
      <c r="A24" s="624">
        <v>14</v>
      </c>
      <c r="B24" s="623" t="s">
        <v>534</v>
      </c>
      <c r="C24" s="645">
        <f t="shared" ref="C24:J24" si="4">SUM(C11:C23)/13</f>
        <v>4729802883.180212</v>
      </c>
      <c r="D24" s="645">
        <f t="shared" si="4"/>
        <v>1754695686.1443346</v>
      </c>
      <c r="E24" s="645">
        <f t="shared" si="4"/>
        <v>286847756.45206678</v>
      </c>
      <c r="F24" s="645">
        <f t="shared" si="4"/>
        <v>0</v>
      </c>
      <c r="G24" s="645">
        <f t="shared" si="4"/>
        <v>2520999.3946153838</v>
      </c>
      <c r="H24" s="645">
        <f t="shared" si="4"/>
        <v>0</v>
      </c>
      <c r="I24" s="645">
        <f t="shared" si="4"/>
        <v>94118.356923076877</v>
      </c>
      <c r="J24" s="645">
        <f t="shared" si="4"/>
        <v>0</v>
      </c>
      <c r="K24" s="645">
        <f t="shared" ref="K24:N24" si="5">SUM(K11:K23)/13</f>
        <v>4727281883.7855968</v>
      </c>
      <c r="L24" s="645">
        <f t="shared" si="5"/>
        <v>1754695686.1443346</v>
      </c>
      <c r="M24" s="645">
        <f t="shared" si="5"/>
        <v>286753638.09514374</v>
      </c>
      <c r="N24" s="645">
        <f t="shared" si="5"/>
        <v>0</v>
      </c>
      <c r="O24" s="621"/>
    </row>
    <row r="25" spans="1:16" ht="14" thickTop="1" thickBot="1">
      <c r="A25" s="624"/>
      <c r="B25" s="621"/>
      <c r="C25" s="646"/>
      <c r="D25" s="646"/>
      <c r="E25" s="647"/>
      <c r="F25" s="647"/>
      <c r="G25" s="621"/>
      <c r="H25" s="621"/>
      <c r="I25" s="646"/>
      <c r="J25" s="646"/>
      <c r="K25" s="646"/>
      <c r="L25" s="646"/>
    </row>
    <row r="26" spans="1:16" s="893" customFormat="1" ht="15" thickBot="1">
      <c r="A26" s="892"/>
      <c r="B26" s="628"/>
      <c r="C26" s="1894" t="s">
        <v>1256</v>
      </c>
      <c r="D26" s="1897"/>
      <c r="E26" s="1897"/>
      <c r="F26" s="1897"/>
      <c r="G26" s="1899"/>
      <c r="H26" s="1896"/>
      <c r="I26" s="1894" t="s">
        <v>1254</v>
      </c>
      <c r="J26" s="1899"/>
      <c r="K26" s="1899"/>
      <c r="L26" s="1899"/>
      <c r="M26" s="1899"/>
      <c r="N26" s="1896"/>
    </row>
    <row r="27" spans="1:16" s="633" customFormat="1" ht="26">
      <c r="A27" s="630" t="s">
        <v>504</v>
      </c>
      <c r="B27" s="631" t="s">
        <v>169</v>
      </c>
      <c r="C27" s="631" t="s">
        <v>559</v>
      </c>
      <c r="D27" s="631" t="s">
        <v>228</v>
      </c>
      <c r="E27" s="631" t="s">
        <v>797</v>
      </c>
      <c r="F27" s="632" t="s">
        <v>798</v>
      </c>
      <c r="G27" s="632" t="s">
        <v>799</v>
      </c>
      <c r="H27" s="632" t="s">
        <v>800</v>
      </c>
      <c r="I27" s="631" t="s">
        <v>559</v>
      </c>
      <c r="J27" s="631" t="s">
        <v>228</v>
      </c>
      <c r="K27" s="631" t="s">
        <v>797</v>
      </c>
      <c r="L27" s="632" t="s">
        <v>798</v>
      </c>
      <c r="M27" s="632" t="s">
        <v>799</v>
      </c>
      <c r="N27" s="632" t="s">
        <v>800</v>
      </c>
    </row>
    <row r="28" spans="1:16" s="635" customFormat="1">
      <c r="A28" s="624"/>
      <c r="B28" s="629" t="s">
        <v>510</v>
      </c>
      <c r="C28" s="629" t="s">
        <v>511</v>
      </c>
      <c r="D28" s="629" t="s">
        <v>512</v>
      </c>
      <c r="E28" s="631" t="s">
        <v>513</v>
      </c>
      <c r="F28" s="629" t="s">
        <v>514</v>
      </c>
      <c r="G28" s="629" t="s">
        <v>515</v>
      </c>
      <c r="H28" s="631" t="s">
        <v>516</v>
      </c>
      <c r="I28" s="629" t="s">
        <v>517</v>
      </c>
      <c r="J28" s="629" t="s">
        <v>518</v>
      </c>
      <c r="K28" s="631" t="s">
        <v>519</v>
      </c>
      <c r="L28" s="629" t="s">
        <v>520</v>
      </c>
      <c r="M28" s="631" t="s">
        <v>544</v>
      </c>
      <c r="N28" s="631" t="s">
        <v>763</v>
      </c>
      <c r="O28" s="621"/>
    </row>
    <row r="29" spans="1:16" s="635" customFormat="1">
      <c r="A29" s="624"/>
      <c r="B29" s="636" t="s">
        <v>1771</v>
      </c>
      <c r="C29" s="961"/>
      <c r="D29" s="625"/>
      <c r="E29" s="625"/>
      <c r="G29" s="637"/>
      <c r="H29" s="637"/>
      <c r="I29" s="625"/>
      <c r="J29" s="625"/>
      <c r="K29" s="625"/>
      <c r="L29" s="637"/>
    </row>
    <row r="30" spans="1:16" s="635" customFormat="1" ht="65">
      <c r="A30" s="624"/>
      <c r="B30" s="629"/>
      <c r="C30" s="639" t="s">
        <v>966</v>
      </c>
      <c r="D30" s="639" t="s">
        <v>965</v>
      </c>
      <c r="E30" s="640" t="s">
        <v>967</v>
      </c>
      <c r="F30" s="918" t="s">
        <v>968</v>
      </c>
      <c r="G30" s="641" t="s">
        <v>522</v>
      </c>
      <c r="H30" s="641" t="s">
        <v>522</v>
      </c>
      <c r="I30" s="639" t="s">
        <v>966</v>
      </c>
      <c r="J30" s="639" t="s">
        <v>965</v>
      </c>
      <c r="K30" s="640" t="s">
        <v>967</v>
      </c>
      <c r="L30" s="918" t="s">
        <v>968</v>
      </c>
      <c r="M30" s="641" t="s">
        <v>522</v>
      </c>
      <c r="N30" s="641" t="s">
        <v>522</v>
      </c>
    </row>
    <row r="31" spans="1:16">
      <c r="A31" s="624">
        <v>15</v>
      </c>
      <c r="B31" s="642" t="s">
        <v>524</v>
      </c>
      <c r="C31" s="643">
        <v>920250757</v>
      </c>
      <c r="D31" s="643">
        <v>284525424</v>
      </c>
      <c r="E31" s="643">
        <v>53563530</v>
      </c>
      <c r="F31" s="643">
        <v>29627601.469999999</v>
      </c>
      <c r="G31" s="643">
        <v>0</v>
      </c>
      <c r="H31" s="643">
        <v>0</v>
      </c>
      <c r="I31" s="643">
        <v>341520.89</v>
      </c>
      <c r="J31" s="643"/>
      <c r="K31" s="643">
        <v>126647.23</v>
      </c>
      <c r="L31" s="643">
        <v>0</v>
      </c>
      <c r="M31" s="643">
        <v>0</v>
      </c>
      <c r="N31" s="643">
        <v>0</v>
      </c>
      <c r="P31" s="621"/>
    </row>
    <row r="32" spans="1:16">
      <c r="A32" s="624">
        <v>16</v>
      </c>
      <c r="B32" s="642" t="s">
        <v>525</v>
      </c>
      <c r="C32" s="684">
        <v>931551820.61914313</v>
      </c>
      <c r="D32" s="684">
        <v>287957749.83074898</v>
      </c>
      <c r="E32" s="684">
        <v>54485106.564349495</v>
      </c>
      <c r="F32" s="684">
        <v>30784261.030016799</v>
      </c>
      <c r="G32" s="643">
        <v>0</v>
      </c>
      <c r="H32" s="643">
        <v>0</v>
      </c>
      <c r="I32" s="684">
        <v>336139.98</v>
      </c>
      <c r="J32" s="643"/>
      <c r="K32" s="684">
        <v>126453.26</v>
      </c>
      <c r="L32" s="643">
        <v>0</v>
      </c>
      <c r="M32" s="643">
        <v>0</v>
      </c>
      <c r="N32" s="643">
        <v>0</v>
      </c>
      <c r="P32" s="621"/>
    </row>
    <row r="33" spans="1:16">
      <c r="A33" s="624">
        <v>17</v>
      </c>
      <c r="B33" s="621" t="s">
        <v>526</v>
      </c>
      <c r="C33" s="684">
        <v>942876159.7367897</v>
      </c>
      <c r="D33" s="684">
        <v>291398122.96017599</v>
      </c>
      <c r="E33" s="684">
        <v>55409410.639055192</v>
      </c>
      <c r="F33" s="684">
        <v>31952973.168884598</v>
      </c>
      <c r="G33" s="643">
        <v>0</v>
      </c>
      <c r="H33" s="643">
        <v>0</v>
      </c>
      <c r="I33" s="684">
        <v>351643.16</v>
      </c>
      <c r="J33" s="643"/>
      <c r="K33" s="684">
        <v>126259.29</v>
      </c>
      <c r="L33" s="643">
        <v>0</v>
      </c>
      <c r="M33" s="643">
        <v>0</v>
      </c>
      <c r="N33" s="643">
        <v>0</v>
      </c>
      <c r="P33" s="621"/>
    </row>
    <row r="34" spans="1:16">
      <c r="A34" s="624">
        <v>18</v>
      </c>
      <c r="B34" s="621" t="s">
        <v>527</v>
      </c>
      <c r="C34" s="684">
        <v>954247865.86274743</v>
      </c>
      <c r="D34" s="684">
        <v>294850470.02711099</v>
      </c>
      <c r="E34" s="684">
        <v>56347528.978421398</v>
      </c>
      <c r="F34" s="684">
        <v>33223064.658695493</v>
      </c>
      <c r="G34" s="643">
        <v>0</v>
      </c>
      <c r="H34" s="643">
        <v>0</v>
      </c>
      <c r="I34" s="684">
        <v>341873.23</v>
      </c>
      <c r="J34" s="643"/>
      <c r="K34" s="684">
        <v>107984.76</v>
      </c>
      <c r="L34" s="643">
        <v>0</v>
      </c>
      <c r="M34" s="643">
        <v>0</v>
      </c>
      <c r="N34" s="643">
        <v>0</v>
      </c>
      <c r="P34" s="621"/>
    </row>
    <row r="35" spans="1:16">
      <c r="A35" s="624">
        <v>19</v>
      </c>
      <c r="B35" s="621" t="s">
        <v>171</v>
      </c>
      <c r="C35" s="684">
        <v>965744297.25806761</v>
      </c>
      <c r="D35" s="684">
        <v>298393893.41499203</v>
      </c>
      <c r="E35" s="684">
        <v>57290359.640800193</v>
      </c>
      <c r="F35" s="684">
        <v>34553987.517219</v>
      </c>
      <c r="G35" s="643">
        <v>0</v>
      </c>
      <c r="H35" s="643">
        <v>0</v>
      </c>
      <c r="I35" s="684">
        <v>341873.23</v>
      </c>
      <c r="J35" s="643"/>
      <c r="K35" s="684">
        <v>107984.76</v>
      </c>
      <c r="L35" s="643">
        <v>0</v>
      </c>
      <c r="M35" s="643">
        <v>0</v>
      </c>
      <c r="N35" s="643">
        <v>0</v>
      </c>
      <c r="P35" s="621"/>
    </row>
    <row r="36" spans="1:16" ht="13.5" customHeight="1">
      <c r="A36" s="624">
        <v>20</v>
      </c>
      <c r="B36" s="621" t="s">
        <v>172</v>
      </c>
      <c r="C36" s="684">
        <v>977421143.36574697</v>
      </c>
      <c r="D36" s="684">
        <v>302044329.79603404</v>
      </c>
      <c r="E36" s="684">
        <v>58238432.870492995</v>
      </c>
      <c r="F36" s="684">
        <v>35893050.756231695</v>
      </c>
      <c r="G36" s="643">
        <v>0</v>
      </c>
      <c r="H36" s="643">
        <v>0</v>
      </c>
      <c r="I36" s="684">
        <v>341873.23</v>
      </c>
      <c r="J36" s="643"/>
      <c r="K36" s="684">
        <v>107984.76</v>
      </c>
      <c r="L36" s="643">
        <v>0</v>
      </c>
      <c r="M36" s="643">
        <v>0</v>
      </c>
      <c r="N36" s="643">
        <v>0</v>
      </c>
      <c r="P36" s="621"/>
    </row>
    <row r="37" spans="1:16">
      <c r="A37" s="624">
        <v>21</v>
      </c>
      <c r="B37" s="621" t="s">
        <v>173</v>
      </c>
      <c r="C37" s="684">
        <v>989207483.44733059</v>
      </c>
      <c r="D37" s="684">
        <v>305736894.301144</v>
      </c>
      <c r="E37" s="684">
        <v>59194576.103695206</v>
      </c>
      <c r="F37" s="684">
        <v>37295694.052819096</v>
      </c>
      <c r="G37" s="643">
        <v>0</v>
      </c>
      <c r="H37" s="643">
        <v>0</v>
      </c>
      <c r="I37" s="684">
        <v>341873.23</v>
      </c>
      <c r="J37" s="643"/>
      <c r="K37" s="684">
        <v>107984.76</v>
      </c>
      <c r="L37" s="643">
        <v>0</v>
      </c>
      <c r="M37" s="643">
        <v>0</v>
      </c>
      <c r="N37" s="643">
        <v>0</v>
      </c>
      <c r="P37" s="621"/>
    </row>
    <row r="38" spans="1:16">
      <c r="A38" s="624">
        <v>22</v>
      </c>
      <c r="B38" s="621" t="s">
        <v>528</v>
      </c>
      <c r="C38" s="684">
        <v>1001036960.0942578</v>
      </c>
      <c r="D38" s="684">
        <v>309435934.67176002</v>
      </c>
      <c r="E38" s="684">
        <v>60158334.366761893</v>
      </c>
      <c r="F38" s="684">
        <v>38737006.322521396</v>
      </c>
      <c r="G38" s="643">
        <v>0</v>
      </c>
      <c r="H38" s="643">
        <v>0</v>
      </c>
      <c r="I38" s="684">
        <v>341873.23</v>
      </c>
      <c r="J38" s="643"/>
      <c r="K38" s="684">
        <v>107984.76</v>
      </c>
      <c r="L38" s="643">
        <v>0</v>
      </c>
      <c r="M38" s="643">
        <v>0</v>
      </c>
      <c r="N38" s="643">
        <v>0</v>
      </c>
      <c r="P38" s="621"/>
    </row>
    <row r="39" spans="1:16">
      <c r="A39" s="624">
        <v>23</v>
      </c>
      <c r="B39" s="621" t="s">
        <v>529</v>
      </c>
      <c r="C39" s="684">
        <v>1012908131.7338749</v>
      </c>
      <c r="D39" s="684">
        <v>313143119.87841803</v>
      </c>
      <c r="E39" s="684">
        <v>61129754.200546905</v>
      </c>
      <c r="F39" s="684">
        <v>40192552.677895598</v>
      </c>
      <c r="G39" s="643">
        <v>0</v>
      </c>
      <c r="H39" s="643">
        <v>0</v>
      </c>
      <c r="I39" s="684">
        <v>341873.23</v>
      </c>
      <c r="J39" s="643"/>
      <c r="K39" s="684">
        <v>107984.76</v>
      </c>
      <c r="L39" s="643">
        <v>0</v>
      </c>
      <c r="M39" s="643">
        <v>0</v>
      </c>
      <c r="N39" s="643">
        <v>0</v>
      </c>
      <c r="P39" s="621"/>
    </row>
    <row r="40" spans="1:16">
      <c r="A40" s="624">
        <v>24</v>
      </c>
      <c r="B40" s="621" t="s">
        <v>530</v>
      </c>
      <c r="C40" s="684">
        <v>1024823653.5588154</v>
      </c>
      <c r="D40" s="684">
        <v>316859526.58533603</v>
      </c>
      <c r="E40" s="684">
        <v>62108288.891143799</v>
      </c>
      <c r="F40" s="684">
        <v>41657661.780237004</v>
      </c>
      <c r="G40" s="643">
        <v>0</v>
      </c>
      <c r="H40" s="643">
        <v>0</v>
      </c>
      <c r="I40" s="684">
        <v>341873.23</v>
      </c>
      <c r="J40" s="643"/>
      <c r="K40" s="684">
        <v>107984.76</v>
      </c>
      <c r="L40" s="643">
        <v>0</v>
      </c>
      <c r="M40" s="643">
        <v>0</v>
      </c>
      <c r="N40" s="643">
        <v>0</v>
      </c>
      <c r="P40" s="621"/>
    </row>
    <row r="41" spans="1:16">
      <c r="A41" s="624">
        <v>25</v>
      </c>
      <c r="B41" s="621" t="s">
        <v>531</v>
      </c>
      <c r="C41" s="684">
        <v>1036788692.4409701</v>
      </c>
      <c r="D41" s="684">
        <v>320582136.87581402</v>
      </c>
      <c r="E41" s="684">
        <v>63097379.30522991</v>
      </c>
      <c r="F41" s="684">
        <v>43133899.660523295</v>
      </c>
      <c r="G41" s="643">
        <v>0</v>
      </c>
      <c r="H41" s="643">
        <v>0</v>
      </c>
      <c r="I41" s="684">
        <v>341873.23</v>
      </c>
      <c r="J41" s="643"/>
      <c r="K41" s="684">
        <v>107984.76</v>
      </c>
      <c r="L41" s="643">
        <v>0</v>
      </c>
      <c r="M41" s="643">
        <v>0</v>
      </c>
      <c r="N41" s="643">
        <v>0</v>
      </c>
      <c r="P41" s="621"/>
    </row>
    <row r="42" spans="1:16">
      <c r="A42" s="624">
        <v>26</v>
      </c>
      <c r="B42" s="621" t="s">
        <v>532</v>
      </c>
      <c r="C42" s="684">
        <v>1048798830.9165567</v>
      </c>
      <c r="D42" s="684">
        <v>324310097.42071104</v>
      </c>
      <c r="E42" s="684">
        <v>64099919.615286499</v>
      </c>
      <c r="F42" s="684">
        <v>44620052.783359997</v>
      </c>
      <c r="G42" s="643">
        <v>0</v>
      </c>
      <c r="H42" s="643">
        <v>0</v>
      </c>
      <c r="I42" s="684">
        <v>341873.23</v>
      </c>
      <c r="J42" s="643"/>
      <c r="K42" s="684">
        <v>107984.76</v>
      </c>
      <c r="L42" s="643">
        <v>0</v>
      </c>
      <c r="M42" s="643">
        <v>0</v>
      </c>
      <c r="N42" s="643">
        <v>0</v>
      </c>
      <c r="P42" s="621"/>
    </row>
    <row r="43" spans="1:16">
      <c r="A43" s="624">
        <v>27</v>
      </c>
      <c r="B43" s="621" t="s">
        <v>533</v>
      </c>
      <c r="C43" s="684">
        <v>1060909855.6226285</v>
      </c>
      <c r="D43" s="643">
        <v>328049634.69160604</v>
      </c>
      <c r="E43" s="643">
        <v>65125040.847928114</v>
      </c>
      <c r="F43" s="684">
        <v>46137994.502524994</v>
      </c>
      <c r="G43" s="643">
        <v>0</v>
      </c>
      <c r="H43" s="643">
        <v>0</v>
      </c>
      <c r="I43" s="684">
        <v>341873.23</v>
      </c>
      <c r="J43" s="643"/>
      <c r="K43" s="684">
        <v>107984.76</v>
      </c>
      <c r="L43" s="643">
        <v>0</v>
      </c>
      <c r="M43" s="643">
        <v>0</v>
      </c>
      <c r="N43" s="643">
        <v>0</v>
      </c>
      <c r="P43" s="621"/>
    </row>
    <row r="44" spans="1:16" ht="13.5" thickBot="1">
      <c r="A44" s="624">
        <v>28</v>
      </c>
      <c r="B44" s="623" t="s">
        <v>534</v>
      </c>
      <c r="C44" s="645">
        <f t="shared" ref="C44:L44" si="6">SUM(C31:C43)/13</f>
        <v>989735819.35822535</v>
      </c>
      <c r="D44" s="645">
        <f t="shared" si="6"/>
        <v>305945179.5733732</v>
      </c>
      <c r="E44" s="645">
        <f t="shared" si="6"/>
        <v>59249820.155670129</v>
      </c>
      <c r="F44" s="645">
        <f t="shared" si="6"/>
        <v>37523830.798533</v>
      </c>
      <c r="G44" s="645">
        <f t="shared" si="6"/>
        <v>0</v>
      </c>
      <c r="H44" s="645">
        <f t="shared" si="6"/>
        <v>0</v>
      </c>
      <c r="I44" s="645">
        <f t="shared" si="6"/>
        <v>342156.64076923078</v>
      </c>
      <c r="J44" s="645">
        <f t="shared" si="6"/>
        <v>0</v>
      </c>
      <c r="K44" s="645">
        <f t="shared" si="6"/>
        <v>112246.72153846153</v>
      </c>
      <c r="L44" s="645">
        <f t="shared" si="6"/>
        <v>0</v>
      </c>
      <c r="M44" s="645">
        <f t="shared" ref="M44:N44" si="7">SUM(M31:M43)/13</f>
        <v>0</v>
      </c>
      <c r="N44" s="645">
        <f t="shared" si="7"/>
        <v>0</v>
      </c>
    </row>
    <row r="45" spans="1:16" ht="14" thickTop="1" thickBot="1"/>
    <row r="46" spans="1:16" s="893" customFormat="1" ht="15" thickBot="1">
      <c r="A46" s="894"/>
      <c r="C46" s="1894" t="s">
        <v>857</v>
      </c>
      <c r="D46" s="1895"/>
      <c r="E46" s="1895"/>
      <c r="F46" s="1895"/>
      <c r="G46" s="1895"/>
      <c r="H46" s="1896"/>
    </row>
    <row r="47" spans="1:16" ht="26">
      <c r="A47" s="895" t="s">
        <v>504</v>
      </c>
      <c r="B47" s="631" t="s">
        <v>169</v>
      </c>
      <c r="C47" s="631" t="s">
        <v>559</v>
      </c>
      <c r="D47" s="631" t="s">
        <v>228</v>
      </c>
      <c r="E47" s="631" t="s">
        <v>150</v>
      </c>
      <c r="F47" s="631" t="s">
        <v>371</v>
      </c>
      <c r="G47" s="897" t="s">
        <v>801</v>
      </c>
      <c r="H47" s="897" t="s">
        <v>802</v>
      </c>
    </row>
    <row r="48" spans="1:16">
      <c r="A48" s="892"/>
      <c r="B48" s="629" t="s">
        <v>510</v>
      </c>
      <c r="C48" s="629" t="s">
        <v>511</v>
      </c>
      <c r="D48" s="629" t="s">
        <v>512</v>
      </c>
      <c r="E48" s="631" t="s">
        <v>513</v>
      </c>
      <c r="F48" s="629" t="s">
        <v>514</v>
      </c>
      <c r="G48" s="629" t="s">
        <v>515</v>
      </c>
      <c r="H48" s="631" t="s">
        <v>516</v>
      </c>
    </row>
    <row r="49" spans="1:8">
      <c r="A49" s="892"/>
      <c r="B49" s="896" t="s">
        <v>1771</v>
      </c>
      <c r="C49" s="625">
        <v>9</v>
      </c>
      <c r="D49" s="625">
        <v>30</v>
      </c>
      <c r="E49" s="625">
        <v>31</v>
      </c>
      <c r="F49" s="625">
        <v>32</v>
      </c>
      <c r="G49" s="625">
        <v>12</v>
      </c>
      <c r="H49" s="625">
        <v>11</v>
      </c>
    </row>
    <row r="50" spans="1:8">
      <c r="A50" s="892"/>
      <c r="B50" s="629"/>
      <c r="C50" s="639" t="s">
        <v>969</v>
      </c>
      <c r="D50" s="639" t="s">
        <v>970</v>
      </c>
      <c r="E50" s="639" t="s">
        <v>971</v>
      </c>
      <c r="F50" s="639" t="s">
        <v>972</v>
      </c>
      <c r="G50" s="639" t="s">
        <v>974</v>
      </c>
      <c r="H50" s="639" t="s">
        <v>973</v>
      </c>
    </row>
    <row r="51" spans="1:8">
      <c r="A51" s="892">
        <v>29</v>
      </c>
      <c r="B51" s="642" t="s">
        <v>524</v>
      </c>
      <c r="C51" s="643">
        <f t="shared" ref="C51:C63" si="8">+C31-I31</f>
        <v>919909236.11000001</v>
      </c>
      <c r="D51" s="643">
        <f t="shared" ref="D51" si="9">+D31-J31</f>
        <v>284525424</v>
      </c>
      <c r="E51" s="643">
        <f t="shared" ref="E51" si="10">+E31-K31</f>
        <v>53436882.770000003</v>
      </c>
      <c r="F51" s="643">
        <f t="shared" ref="F51" si="11">+F31-L31</f>
        <v>29627601.469999999</v>
      </c>
      <c r="G51" s="643">
        <f>+G31-M31</f>
        <v>0</v>
      </c>
      <c r="H51" s="643">
        <f>+H31-N31</f>
        <v>0</v>
      </c>
    </row>
    <row r="52" spans="1:8">
      <c r="A52" s="892">
        <v>30</v>
      </c>
      <c r="B52" s="642" t="s">
        <v>525</v>
      </c>
      <c r="C52" s="643">
        <f t="shared" si="8"/>
        <v>931215680.63914311</v>
      </c>
      <c r="D52" s="643">
        <f t="shared" ref="D52:D63" si="12">+D32-J32</f>
        <v>287957749.83074898</v>
      </c>
      <c r="E52" s="643">
        <f t="shared" ref="E52:E63" si="13">+E32-K32</f>
        <v>54358653.304349497</v>
      </c>
      <c r="F52" s="643">
        <f t="shared" ref="F52:F63" si="14">+F32-L32</f>
        <v>30784261.030016799</v>
      </c>
      <c r="G52" s="643">
        <f t="shared" ref="G52:H52" si="15">+G32-M32</f>
        <v>0</v>
      </c>
      <c r="H52" s="643">
        <f t="shared" si="15"/>
        <v>0</v>
      </c>
    </row>
    <row r="53" spans="1:8">
      <c r="A53" s="892">
        <v>31</v>
      </c>
      <c r="B53" s="621" t="s">
        <v>526</v>
      </c>
      <c r="C53" s="643">
        <f t="shared" si="8"/>
        <v>942524516.57678974</v>
      </c>
      <c r="D53" s="643">
        <f t="shared" si="12"/>
        <v>291398122.96017599</v>
      </c>
      <c r="E53" s="643">
        <f t="shared" si="13"/>
        <v>55283151.349055193</v>
      </c>
      <c r="F53" s="643">
        <f t="shared" si="14"/>
        <v>31952973.168884598</v>
      </c>
      <c r="G53" s="643">
        <f t="shared" ref="G53:H53" si="16">+G33-M33</f>
        <v>0</v>
      </c>
      <c r="H53" s="643">
        <f t="shared" si="16"/>
        <v>0</v>
      </c>
    </row>
    <row r="54" spans="1:8">
      <c r="A54" s="892">
        <v>32</v>
      </c>
      <c r="B54" s="621" t="s">
        <v>527</v>
      </c>
      <c r="C54" s="643">
        <f t="shared" si="8"/>
        <v>953905992.63274741</v>
      </c>
      <c r="D54" s="643">
        <f t="shared" si="12"/>
        <v>294850470.02711099</v>
      </c>
      <c r="E54" s="643">
        <f t="shared" si="13"/>
        <v>56239544.2184214</v>
      </c>
      <c r="F54" s="643">
        <f t="shared" si="14"/>
        <v>33223064.658695493</v>
      </c>
      <c r="G54" s="643">
        <f t="shared" ref="G54:H54" si="17">+G34-M34</f>
        <v>0</v>
      </c>
      <c r="H54" s="643">
        <f t="shared" si="17"/>
        <v>0</v>
      </c>
    </row>
    <row r="55" spans="1:8">
      <c r="A55" s="892">
        <v>33</v>
      </c>
      <c r="B55" s="621" t="s">
        <v>171</v>
      </c>
      <c r="C55" s="643">
        <f t="shared" si="8"/>
        <v>965402424.02806759</v>
      </c>
      <c r="D55" s="643">
        <f t="shared" si="12"/>
        <v>298393893.41499203</v>
      </c>
      <c r="E55" s="643">
        <f t="shared" si="13"/>
        <v>57182374.880800195</v>
      </c>
      <c r="F55" s="643">
        <f t="shared" si="14"/>
        <v>34553987.517219</v>
      </c>
      <c r="G55" s="643">
        <f t="shared" ref="G55:H55" si="18">+G35-M35</f>
        <v>0</v>
      </c>
      <c r="H55" s="643">
        <f t="shared" si="18"/>
        <v>0</v>
      </c>
    </row>
    <row r="56" spans="1:8">
      <c r="A56" s="892">
        <v>34</v>
      </c>
      <c r="B56" s="621" t="s">
        <v>172</v>
      </c>
      <c r="C56" s="643">
        <f t="shared" si="8"/>
        <v>977079270.13574696</v>
      </c>
      <c r="D56" s="643">
        <f t="shared" si="12"/>
        <v>302044329.79603404</v>
      </c>
      <c r="E56" s="643">
        <f t="shared" si="13"/>
        <v>58130448.110492997</v>
      </c>
      <c r="F56" s="643">
        <f t="shared" si="14"/>
        <v>35893050.756231695</v>
      </c>
      <c r="G56" s="643">
        <f t="shared" ref="G56:H56" si="19">+G36-M36</f>
        <v>0</v>
      </c>
      <c r="H56" s="643">
        <f t="shared" si="19"/>
        <v>0</v>
      </c>
    </row>
    <row r="57" spans="1:8">
      <c r="A57" s="892">
        <v>35</v>
      </c>
      <c r="B57" s="621" t="s">
        <v>173</v>
      </c>
      <c r="C57" s="643">
        <f t="shared" si="8"/>
        <v>988865610.21733057</v>
      </c>
      <c r="D57" s="643">
        <f t="shared" si="12"/>
        <v>305736894.301144</v>
      </c>
      <c r="E57" s="643">
        <f t="shared" si="13"/>
        <v>59086591.343695208</v>
      </c>
      <c r="F57" s="643">
        <f t="shared" si="14"/>
        <v>37295694.052819096</v>
      </c>
      <c r="G57" s="643">
        <f t="shared" ref="G57:H57" si="20">+G37-M37</f>
        <v>0</v>
      </c>
      <c r="H57" s="643">
        <f t="shared" si="20"/>
        <v>0</v>
      </c>
    </row>
    <row r="58" spans="1:8">
      <c r="A58" s="892">
        <v>36</v>
      </c>
      <c r="B58" s="621" t="s">
        <v>528</v>
      </c>
      <c r="C58" s="643">
        <f t="shared" si="8"/>
        <v>1000695086.8642578</v>
      </c>
      <c r="D58" s="643">
        <f t="shared" si="12"/>
        <v>309435934.67176002</v>
      </c>
      <c r="E58" s="643">
        <f t="shared" si="13"/>
        <v>60050349.606761895</v>
      </c>
      <c r="F58" s="643">
        <f t="shared" si="14"/>
        <v>38737006.322521396</v>
      </c>
      <c r="G58" s="643">
        <f t="shared" ref="G58:H58" si="21">+G38-M38</f>
        <v>0</v>
      </c>
      <c r="H58" s="643">
        <f t="shared" si="21"/>
        <v>0</v>
      </c>
    </row>
    <row r="59" spans="1:8">
      <c r="A59" s="892">
        <v>37</v>
      </c>
      <c r="B59" s="621" t="s">
        <v>529</v>
      </c>
      <c r="C59" s="643">
        <f t="shared" si="8"/>
        <v>1012566258.5038749</v>
      </c>
      <c r="D59" s="643">
        <f t="shared" si="12"/>
        <v>313143119.87841803</v>
      </c>
      <c r="E59" s="643">
        <f t="shared" si="13"/>
        <v>61021769.440546907</v>
      </c>
      <c r="F59" s="643">
        <f t="shared" si="14"/>
        <v>40192552.677895598</v>
      </c>
      <c r="G59" s="643">
        <f t="shared" ref="G59:H59" si="22">+G39-M39</f>
        <v>0</v>
      </c>
      <c r="H59" s="643">
        <f t="shared" si="22"/>
        <v>0</v>
      </c>
    </row>
    <row r="60" spans="1:8">
      <c r="A60" s="892">
        <v>38</v>
      </c>
      <c r="B60" s="621" t="s">
        <v>530</v>
      </c>
      <c r="C60" s="643">
        <f t="shared" si="8"/>
        <v>1024481780.3288153</v>
      </c>
      <c r="D60" s="643">
        <f t="shared" si="12"/>
        <v>316859526.58533603</v>
      </c>
      <c r="E60" s="643">
        <f t="shared" si="13"/>
        <v>62000304.131143801</v>
      </c>
      <c r="F60" s="643">
        <f t="shared" si="14"/>
        <v>41657661.780237004</v>
      </c>
      <c r="G60" s="643">
        <f t="shared" ref="G60:H60" si="23">+G40-M40</f>
        <v>0</v>
      </c>
      <c r="H60" s="643">
        <f t="shared" si="23"/>
        <v>0</v>
      </c>
    </row>
    <row r="61" spans="1:8">
      <c r="A61" s="892">
        <v>39</v>
      </c>
      <c r="B61" s="621" t="s">
        <v>531</v>
      </c>
      <c r="C61" s="643">
        <f t="shared" si="8"/>
        <v>1036446819.21097</v>
      </c>
      <c r="D61" s="643">
        <f t="shared" si="12"/>
        <v>320582136.87581402</v>
      </c>
      <c r="E61" s="643">
        <f t="shared" si="13"/>
        <v>62989394.545229912</v>
      </c>
      <c r="F61" s="643">
        <f t="shared" si="14"/>
        <v>43133899.660523295</v>
      </c>
      <c r="G61" s="643">
        <f t="shared" ref="G61:H61" si="24">+G41-M41</f>
        <v>0</v>
      </c>
      <c r="H61" s="643">
        <f t="shared" si="24"/>
        <v>0</v>
      </c>
    </row>
    <row r="62" spans="1:8">
      <c r="A62" s="892">
        <v>40</v>
      </c>
      <c r="B62" s="621" t="s">
        <v>532</v>
      </c>
      <c r="C62" s="643">
        <f t="shared" si="8"/>
        <v>1048456957.6865567</v>
      </c>
      <c r="D62" s="643">
        <f t="shared" si="12"/>
        <v>324310097.42071104</v>
      </c>
      <c r="E62" s="643">
        <f t="shared" si="13"/>
        <v>63991934.855286501</v>
      </c>
      <c r="F62" s="643">
        <f t="shared" si="14"/>
        <v>44620052.783359997</v>
      </c>
      <c r="G62" s="643">
        <f t="shared" ref="G62:H62" si="25">+G42-M42</f>
        <v>0</v>
      </c>
      <c r="H62" s="643">
        <f t="shared" si="25"/>
        <v>0</v>
      </c>
    </row>
    <row r="63" spans="1:8">
      <c r="A63" s="892">
        <v>41</v>
      </c>
      <c r="B63" s="621" t="s">
        <v>533</v>
      </c>
      <c r="C63" s="643">
        <f t="shared" si="8"/>
        <v>1060567982.3926284</v>
      </c>
      <c r="D63" s="643">
        <f t="shared" si="12"/>
        <v>328049634.69160604</v>
      </c>
      <c r="E63" s="643">
        <f t="shared" si="13"/>
        <v>65017056.087928116</v>
      </c>
      <c r="F63" s="643">
        <f t="shared" si="14"/>
        <v>46137994.502524994</v>
      </c>
      <c r="G63" s="643">
        <f t="shared" ref="G63:H63" si="26">+G43-M43</f>
        <v>0</v>
      </c>
      <c r="H63" s="643">
        <f t="shared" si="26"/>
        <v>0</v>
      </c>
    </row>
    <row r="64" spans="1:8" ht="13.5" thickBot="1">
      <c r="A64" s="892">
        <v>42</v>
      </c>
      <c r="B64" s="623" t="s">
        <v>534</v>
      </c>
      <c r="C64" s="645">
        <f t="shared" ref="C64:F64" si="27">SUM(C51:C63)/13</f>
        <v>989393662.71745598</v>
      </c>
      <c r="D64" s="645">
        <f t="shared" si="27"/>
        <v>305945179.5733732</v>
      </c>
      <c r="E64" s="645">
        <f t="shared" si="27"/>
        <v>59137573.43413166</v>
      </c>
      <c r="F64" s="645">
        <f t="shared" si="27"/>
        <v>37523830.798533</v>
      </c>
      <c r="G64" s="645">
        <f t="shared" ref="G64:H64" si="28">SUM(G51:G63)/13</f>
        <v>0</v>
      </c>
      <c r="H64" s="645">
        <f t="shared" si="28"/>
        <v>0</v>
      </c>
    </row>
    <row r="65" spans="1:2" ht="13.5" thickTop="1"/>
    <row r="68" spans="1:2">
      <c r="A68" s="624" t="s">
        <v>662</v>
      </c>
    </row>
    <row r="69" spans="1:2">
      <c r="A69" s="624" t="s">
        <v>9</v>
      </c>
      <c r="B69" s="1140" t="s">
        <v>1191</v>
      </c>
    </row>
    <row r="70" spans="1:2">
      <c r="A70" s="624"/>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topLeftCell="A98" zoomScale="90" zoomScaleNormal="90" workbookViewId="0">
      <selection activeCell="L128" sqref="L128"/>
    </sheetView>
  </sheetViews>
  <sheetFormatPr defaultColWidth="9.1796875" defaultRowHeight="15.5"/>
  <cols>
    <col min="1" max="1" width="6.1796875" style="672" customWidth="1"/>
    <col min="2" max="2" width="79.7265625" style="672" customWidth="1"/>
    <col min="3" max="6" width="15" style="672" customWidth="1"/>
    <col min="7" max="7" width="14.1796875" style="672" bestFit="1" customWidth="1"/>
    <col min="8" max="8" width="9.1796875" style="672"/>
    <col min="9" max="9" width="17.7265625" style="672" bestFit="1" customWidth="1"/>
    <col min="10" max="10" width="16" style="672" bestFit="1" customWidth="1"/>
    <col min="11" max="11" width="9.1796875" style="672"/>
    <col min="12" max="12" width="11.453125" style="672" bestFit="1" customWidth="1"/>
    <col min="13" max="13" width="17.54296875" style="672" customWidth="1"/>
    <col min="14" max="16384" width="9.1796875" style="672"/>
  </cols>
  <sheetData>
    <row r="1" spans="1:13" ht="18">
      <c r="A1" s="1900" t="s">
        <v>1547</v>
      </c>
      <c r="B1" s="1900"/>
      <c r="C1" s="1900"/>
      <c r="D1" s="1900"/>
      <c r="E1" s="1900"/>
      <c r="F1" s="671"/>
      <c r="I1" s="970"/>
    </row>
    <row r="2" spans="1:13" ht="20">
      <c r="A2" s="673"/>
      <c r="B2" s="674"/>
      <c r="C2" s="675"/>
      <c r="D2" s="671"/>
      <c r="E2" s="671"/>
      <c r="F2" s="671"/>
    </row>
    <row r="3" spans="1:13">
      <c r="A3" s="1901" t="s">
        <v>556</v>
      </c>
      <c r="B3" s="1901"/>
      <c r="C3" s="1901"/>
      <c r="D3" s="1901"/>
      <c r="E3" s="1901"/>
      <c r="F3" s="671"/>
    </row>
    <row r="4" spans="1:13">
      <c r="B4" s="669" t="s">
        <v>510</v>
      </c>
      <c r="C4" s="669" t="s">
        <v>511</v>
      </c>
      <c r="D4" s="669" t="s">
        <v>512</v>
      </c>
      <c r="E4" s="669" t="s">
        <v>513</v>
      </c>
      <c r="F4" s="669" t="s">
        <v>550</v>
      </c>
      <c r="G4" s="669" t="s">
        <v>551</v>
      </c>
      <c r="H4" s="965"/>
      <c r="I4" s="669"/>
      <c r="J4" s="669"/>
      <c r="K4" s="669"/>
      <c r="L4" s="669"/>
      <c r="M4" s="669"/>
    </row>
    <row r="5" spans="1:13">
      <c r="B5" s="676" t="s">
        <v>552</v>
      </c>
    </row>
    <row r="6" spans="1:13">
      <c r="B6" s="642" t="s">
        <v>553</v>
      </c>
      <c r="C6" s="677" t="s">
        <v>44</v>
      </c>
      <c r="D6" s="677" t="s">
        <v>767</v>
      </c>
      <c r="E6" s="678"/>
      <c r="F6" s="678"/>
      <c r="G6" s="679" t="s">
        <v>44</v>
      </c>
    </row>
    <row r="7" spans="1:13">
      <c r="A7" s="679">
        <v>1</v>
      </c>
      <c r="B7" s="680" t="s">
        <v>766</v>
      </c>
      <c r="C7" s="950">
        <v>0</v>
      </c>
      <c r="D7" s="998">
        <v>1</v>
      </c>
      <c r="E7" s="885"/>
      <c r="F7" s="885"/>
      <c r="G7" s="681">
        <f>+C7*D7</f>
        <v>0</v>
      </c>
      <c r="H7" s="679"/>
    </row>
    <row r="8" spans="1:13">
      <c r="A8" s="679">
        <v>2</v>
      </c>
      <c r="B8" s="680" t="s">
        <v>564</v>
      </c>
      <c r="C8" s="1624">
        <v>-21209.119999999995</v>
      </c>
      <c r="D8" s="998">
        <f>+'ATT H-1A'!H16</f>
        <v>0.13888944064369446</v>
      </c>
      <c r="E8" s="885"/>
      <c r="F8" s="885"/>
      <c r="G8" s="681">
        <f>+C8*D8</f>
        <v>-2945.7228133449926</v>
      </c>
      <c r="H8" s="679"/>
    </row>
    <row r="9" spans="1:13">
      <c r="A9" s="679">
        <v>3</v>
      </c>
      <c r="B9" s="680"/>
      <c r="C9" s="685"/>
      <c r="D9" s="885"/>
      <c r="E9" s="885"/>
      <c r="F9" s="885"/>
      <c r="G9" s="681">
        <f t="shared" ref="G9" si="0">+C9*D9</f>
        <v>0</v>
      </c>
      <c r="H9" s="679"/>
    </row>
    <row r="10" spans="1:13">
      <c r="A10" s="679">
        <v>4</v>
      </c>
      <c r="B10" s="642" t="s">
        <v>44</v>
      </c>
      <c r="C10" s="681">
        <f>SUM(C7:C9)</f>
        <v>-21209.119999999995</v>
      </c>
      <c r="D10" s="681"/>
      <c r="E10" s="681"/>
      <c r="F10" s="681"/>
      <c r="G10" s="681">
        <f>SUM(G7:G9)</f>
        <v>-2945.7228133449926</v>
      </c>
      <c r="H10" s="679"/>
      <c r="L10" s="1149"/>
    </row>
    <row r="11" spans="1:13">
      <c r="A11" s="679">
        <v>5</v>
      </c>
      <c r="B11" s="904"/>
      <c r="C11" s="904"/>
      <c r="D11" s="904"/>
      <c r="E11" s="904"/>
      <c r="F11" s="904"/>
      <c r="G11" s="904"/>
      <c r="H11" s="679"/>
      <c r="L11" s="1149"/>
    </row>
    <row r="12" spans="1:13">
      <c r="A12" s="679">
        <v>6</v>
      </c>
      <c r="B12" s="676" t="s">
        <v>804</v>
      </c>
      <c r="C12" s="904"/>
      <c r="D12" s="904"/>
      <c r="E12" s="904"/>
      <c r="F12" s="904"/>
      <c r="G12" s="904"/>
      <c r="H12" s="679"/>
    </row>
    <row r="13" spans="1:13">
      <c r="A13" s="679">
        <v>7</v>
      </c>
      <c r="B13" s="642" t="s">
        <v>553</v>
      </c>
      <c r="C13" s="677" t="s">
        <v>44</v>
      </c>
      <c r="D13" s="677" t="s">
        <v>767</v>
      </c>
      <c r="E13" s="905"/>
      <c r="F13" s="905"/>
      <c r="G13" s="679" t="s">
        <v>44</v>
      </c>
      <c r="H13" s="679"/>
    </row>
    <row r="14" spans="1:13">
      <c r="A14" s="679">
        <v>8</v>
      </c>
      <c r="B14" s="680" t="s">
        <v>805</v>
      </c>
      <c r="C14" s="1624">
        <f>+C86</f>
        <v>23718.212</v>
      </c>
      <c r="D14" s="998">
        <f>+'ATT H-1A'!H16</f>
        <v>0.13888944064369446</v>
      </c>
      <c r="E14" s="907"/>
      <c r="F14" s="907"/>
      <c r="G14" s="908">
        <f>+C14*D14</f>
        <v>3294.2091977485616</v>
      </c>
      <c r="H14" s="679"/>
    </row>
    <row r="15" spans="1:13">
      <c r="A15" s="679">
        <v>9</v>
      </c>
      <c r="B15" s="680" t="s">
        <v>806</v>
      </c>
      <c r="C15" s="1624">
        <f>+D86</f>
        <v>174669.87000000034</v>
      </c>
      <c r="D15" s="998">
        <f>+'ATT H-1A'!H16</f>
        <v>0.13888944064369446</v>
      </c>
      <c r="E15" s="907"/>
      <c r="F15" s="907"/>
      <c r="G15" s="908">
        <f>+C15*D15</f>
        <v>24259.800541606877</v>
      </c>
      <c r="H15" s="679"/>
    </row>
    <row r="16" spans="1:13">
      <c r="A16" s="679">
        <v>10</v>
      </c>
      <c r="B16" s="680"/>
      <c r="C16" s="906"/>
      <c r="D16" s="907"/>
      <c r="E16" s="907"/>
      <c r="F16" s="907"/>
      <c r="G16" s="908">
        <f t="shared" ref="G16" si="1">+C16*D16</f>
        <v>0</v>
      </c>
      <c r="H16" s="679"/>
    </row>
    <row r="17" spans="1:9">
      <c r="A17" s="679">
        <v>11</v>
      </c>
      <c r="B17" s="642" t="s">
        <v>44</v>
      </c>
      <c r="C17" s="681">
        <f>SUM(C14:C16)</f>
        <v>198388.08200000034</v>
      </c>
      <c r="D17" s="908"/>
      <c r="E17" s="908"/>
      <c r="F17" s="908"/>
      <c r="G17" s="908">
        <f>SUM(G14:G16)</f>
        <v>27554.009739355439</v>
      </c>
      <c r="H17" s="679"/>
    </row>
    <row r="18" spans="1:9">
      <c r="A18" s="666"/>
      <c r="B18" s="642"/>
      <c r="C18" s="681"/>
      <c r="D18" s="681"/>
      <c r="E18" s="681"/>
      <c r="F18" s="681"/>
      <c r="G18" s="681"/>
      <c r="H18" s="679"/>
    </row>
    <row r="19" spans="1:9">
      <c r="A19" s="667"/>
      <c r="B19" s="676" t="s">
        <v>860</v>
      </c>
      <c r="C19" s="909" t="s">
        <v>229</v>
      </c>
      <c r="D19" s="909" t="s">
        <v>796</v>
      </c>
      <c r="H19" s="679"/>
    </row>
    <row r="20" spans="1:9">
      <c r="B20" s="676" t="s">
        <v>548</v>
      </c>
      <c r="C20" s="642"/>
      <c r="D20" s="642"/>
      <c r="E20" s="642"/>
      <c r="F20" s="642"/>
      <c r="G20" s="679" t="s">
        <v>44</v>
      </c>
    </row>
    <row r="21" spans="1:9">
      <c r="A21" s="679">
        <v>12</v>
      </c>
      <c r="B21" s="642" t="s">
        <v>524</v>
      </c>
      <c r="C21" s="1624">
        <f>+C90*$C$14/($C$14+$C$15)</f>
        <v>115885.64771627665</v>
      </c>
      <c r="D21" s="1624">
        <f>+C90-C21</f>
        <v>853425.67228372348</v>
      </c>
      <c r="E21" s="682"/>
      <c r="F21" s="682"/>
      <c r="G21" s="681">
        <f t="shared" ref="G21:G33" si="2">SUM(C21:F21)</f>
        <v>969311.32000000018</v>
      </c>
      <c r="H21" s="679"/>
      <c r="I21" s="324"/>
    </row>
    <row r="22" spans="1:9">
      <c r="A22" s="679">
        <v>13</v>
      </c>
      <c r="B22" s="642" t="s">
        <v>525</v>
      </c>
      <c r="C22" s="1624">
        <f t="shared" ref="C22:C33" si="3">+C91*$C$14/($C$14+$C$15)</f>
        <v>115885.64771627665</v>
      </c>
      <c r="D22" s="1624">
        <f t="shared" ref="D22:D33" si="4">+C91-C22</f>
        <v>853425.67228372348</v>
      </c>
      <c r="E22" s="682"/>
      <c r="F22" s="682"/>
      <c r="G22" s="681">
        <f t="shared" si="2"/>
        <v>969311.32000000018</v>
      </c>
      <c r="H22" s="679"/>
      <c r="I22" s="324"/>
    </row>
    <row r="23" spans="1:9">
      <c r="A23" s="679">
        <v>14</v>
      </c>
      <c r="B23" s="642" t="s">
        <v>526</v>
      </c>
      <c r="C23" s="1624">
        <f t="shared" si="3"/>
        <v>115885.64771627665</v>
      </c>
      <c r="D23" s="1624">
        <f t="shared" si="4"/>
        <v>853425.67228372348</v>
      </c>
      <c r="E23" s="682"/>
      <c r="F23" s="682"/>
      <c r="G23" s="681">
        <f t="shared" si="2"/>
        <v>969311.32000000018</v>
      </c>
      <c r="H23" s="679"/>
      <c r="I23" s="324"/>
    </row>
    <row r="24" spans="1:9">
      <c r="A24" s="679">
        <v>15</v>
      </c>
      <c r="B24" s="642" t="s">
        <v>527</v>
      </c>
      <c r="C24" s="1624">
        <f t="shared" si="3"/>
        <v>115885.64771627665</v>
      </c>
      <c r="D24" s="1624">
        <f t="shared" si="4"/>
        <v>853425.67228372348</v>
      </c>
      <c r="E24" s="682"/>
      <c r="F24" s="682"/>
      <c r="G24" s="681">
        <f t="shared" si="2"/>
        <v>969311.32000000018</v>
      </c>
      <c r="H24" s="679"/>
      <c r="I24" s="324"/>
    </row>
    <row r="25" spans="1:9">
      <c r="A25" s="679">
        <v>16</v>
      </c>
      <c r="B25" s="642" t="s">
        <v>171</v>
      </c>
      <c r="C25" s="1624">
        <f t="shared" si="3"/>
        <v>115885.64771627665</v>
      </c>
      <c r="D25" s="1624">
        <f t="shared" si="4"/>
        <v>853425.67228372348</v>
      </c>
      <c r="E25" s="682"/>
      <c r="F25" s="682"/>
      <c r="G25" s="681">
        <f t="shared" si="2"/>
        <v>969311.32000000018</v>
      </c>
      <c r="H25" s="679"/>
      <c r="I25" s="324"/>
    </row>
    <row r="26" spans="1:9">
      <c r="A26" s="679">
        <v>17</v>
      </c>
      <c r="B26" s="642" t="s">
        <v>172</v>
      </c>
      <c r="C26" s="1624">
        <f t="shared" si="3"/>
        <v>115885.64771627665</v>
      </c>
      <c r="D26" s="1624">
        <f t="shared" si="4"/>
        <v>853425.67228372348</v>
      </c>
      <c r="E26" s="682"/>
      <c r="F26" s="682"/>
      <c r="G26" s="681">
        <f t="shared" si="2"/>
        <v>969311.32000000018</v>
      </c>
      <c r="H26" s="679"/>
      <c r="I26" s="324"/>
    </row>
    <row r="27" spans="1:9">
      <c r="A27" s="679">
        <v>18</v>
      </c>
      <c r="B27" s="642" t="s">
        <v>173</v>
      </c>
      <c r="C27" s="1624">
        <f t="shared" si="3"/>
        <v>115885.64771627665</v>
      </c>
      <c r="D27" s="1624">
        <f t="shared" si="4"/>
        <v>853425.67228372348</v>
      </c>
      <c r="E27" s="682"/>
      <c r="F27" s="682"/>
      <c r="G27" s="681">
        <f t="shared" si="2"/>
        <v>969311.32000000018</v>
      </c>
      <c r="H27" s="679"/>
      <c r="I27" s="324"/>
    </row>
    <row r="28" spans="1:9">
      <c r="A28" s="679">
        <v>19</v>
      </c>
      <c r="B28" s="642" t="s">
        <v>528</v>
      </c>
      <c r="C28" s="1624">
        <f t="shared" si="3"/>
        <v>115885.64771627665</v>
      </c>
      <c r="D28" s="1624">
        <f t="shared" si="4"/>
        <v>853425.67228372348</v>
      </c>
      <c r="E28" s="682"/>
      <c r="F28" s="682"/>
      <c r="G28" s="681">
        <f t="shared" si="2"/>
        <v>969311.32000000018</v>
      </c>
      <c r="H28" s="679"/>
      <c r="I28" s="324"/>
    </row>
    <row r="29" spans="1:9">
      <c r="A29" s="679">
        <v>20</v>
      </c>
      <c r="B29" s="642" t="s">
        <v>529</v>
      </c>
      <c r="C29" s="1624">
        <f t="shared" si="3"/>
        <v>115885.64771627665</v>
      </c>
      <c r="D29" s="1624">
        <f t="shared" si="4"/>
        <v>853425.67228372348</v>
      </c>
      <c r="E29" s="682"/>
      <c r="F29" s="682"/>
      <c r="G29" s="681">
        <f t="shared" si="2"/>
        <v>969311.32000000018</v>
      </c>
      <c r="H29" s="679"/>
      <c r="I29" s="324"/>
    </row>
    <row r="30" spans="1:9">
      <c r="A30" s="679">
        <v>21</v>
      </c>
      <c r="B30" s="642" t="s">
        <v>530</v>
      </c>
      <c r="C30" s="1624">
        <f t="shared" si="3"/>
        <v>115885.64771627665</v>
      </c>
      <c r="D30" s="1624">
        <f t="shared" si="4"/>
        <v>853425.67228372348</v>
      </c>
      <c r="E30" s="682"/>
      <c r="F30" s="682"/>
      <c r="G30" s="681">
        <f t="shared" si="2"/>
        <v>969311.32000000018</v>
      </c>
      <c r="H30" s="679"/>
      <c r="I30" s="324"/>
    </row>
    <row r="31" spans="1:9">
      <c r="A31" s="679">
        <v>22</v>
      </c>
      <c r="B31" s="642" t="s">
        <v>531</v>
      </c>
      <c r="C31" s="1624">
        <f t="shared" si="3"/>
        <v>115885.64771627665</v>
      </c>
      <c r="D31" s="1624">
        <f t="shared" si="4"/>
        <v>853425.67228372348</v>
      </c>
      <c r="E31" s="682"/>
      <c r="F31" s="682"/>
      <c r="G31" s="681">
        <f t="shared" si="2"/>
        <v>969311.32000000018</v>
      </c>
      <c r="H31" s="679"/>
      <c r="I31" s="324"/>
    </row>
    <row r="32" spans="1:9">
      <c r="A32" s="679">
        <v>23</v>
      </c>
      <c r="B32" s="642" t="s">
        <v>532</v>
      </c>
      <c r="C32" s="1624">
        <f t="shared" si="3"/>
        <v>115885.64771627665</v>
      </c>
      <c r="D32" s="1624">
        <f t="shared" si="4"/>
        <v>853425.67228372348</v>
      </c>
      <c r="E32" s="682"/>
      <c r="F32" s="682"/>
      <c r="G32" s="681">
        <f t="shared" si="2"/>
        <v>969311.32000000018</v>
      </c>
      <c r="H32" s="679"/>
      <c r="I32" s="324"/>
    </row>
    <row r="33" spans="1:9">
      <c r="A33" s="679">
        <v>24</v>
      </c>
      <c r="B33" s="642" t="s">
        <v>533</v>
      </c>
      <c r="C33" s="1624">
        <f t="shared" si="3"/>
        <v>115885.64771627665</v>
      </c>
      <c r="D33" s="1624">
        <f t="shared" si="4"/>
        <v>853425.67228372348</v>
      </c>
      <c r="E33" s="682"/>
      <c r="F33" s="682"/>
      <c r="G33" s="681">
        <f t="shared" si="2"/>
        <v>969311.32000000018</v>
      </c>
      <c r="H33" s="679"/>
      <c r="I33" s="324"/>
    </row>
    <row r="34" spans="1:9">
      <c r="A34" s="679">
        <v>25</v>
      </c>
      <c r="B34" s="642" t="s">
        <v>547</v>
      </c>
      <c r="C34" s="683">
        <f>AVERAGE(C21:C33)</f>
        <v>115885.64771627665</v>
      </c>
      <c r="D34" s="683">
        <f>AVERAGE(D21:D33)</f>
        <v>853425.67228372383</v>
      </c>
      <c r="E34" s="683"/>
      <c r="F34" s="683"/>
      <c r="G34" s="683">
        <f>AVERAGE(G21:G33)</f>
        <v>969311.32000000018</v>
      </c>
      <c r="H34" s="679"/>
      <c r="I34" s="324"/>
    </row>
    <row r="35" spans="1:9">
      <c r="A35" s="679"/>
      <c r="B35" s="642"/>
      <c r="C35" s="683"/>
      <c r="D35" s="683"/>
      <c r="E35" s="683"/>
      <c r="I35" s="324"/>
    </row>
    <row r="36" spans="1:9">
      <c r="I36" s="324"/>
    </row>
    <row r="37" spans="1:9">
      <c r="B37" s="676" t="s">
        <v>73</v>
      </c>
      <c r="C37" s="909" t="s">
        <v>229</v>
      </c>
      <c r="D37" s="909" t="s">
        <v>796</v>
      </c>
      <c r="E37" s="642"/>
      <c r="F37" s="642"/>
      <c r="G37" s="679" t="s">
        <v>44</v>
      </c>
      <c r="I37" s="324"/>
    </row>
    <row r="38" spans="1:9">
      <c r="A38" s="679">
        <v>26</v>
      </c>
      <c r="B38" s="642" t="s">
        <v>524</v>
      </c>
      <c r="C38" s="1624">
        <v>54776.212</v>
      </c>
      <c r="D38" s="1625">
        <v>520305.95602833305</v>
      </c>
      <c r="E38" s="682"/>
      <c r="F38" s="682"/>
      <c r="G38" s="681">
        <f t="shared" ref="G38:G50" si="5">SUM(C38:F38)</f>
        <v>575082.16802833299</v>
      </c>
      <c r="H38" s="679"/>
      <c r="I38" s="324"/>
    </row>
    <row r="39" spans="1:9">
      <c r="A39" s="679">
        <v>27</v>
      </c>
      <c r="B39" s="642" t="s">
        <v>525</v>
      </c>
      <c r="C39" s="1624">
        <v>56752.729666666666</v>
      </c>
      <c r="D39" s="1624">
        <v>534861.82436166645</v>
      </c>
      <c r="E39" s="682"/>
      <c r="F39" s="682"/>
      <c r="G39" s="681">
        <f t="shared" si="5"/>
        <v>591614.55402833316</v>
      </c>
      <c r="H39" s="679"/>
      <c r="I39" s="324"/>
    </row>
    <row r="40" spans="1:9">
      <c r="A40" s="679">
        <v>28</v>
      </c>
      <c r="B40" s="642" t="s">
        <v>526</v>
      </c>
      <c r="C40" s="1624">
        <v>58729.247333333333</v>
      </c>
      <c r="D40" s="1624">
        <v>549417.64269499981</v>
      </c>
      <c r="E40" s="682"/>
      <c r="F40" s="682"/>
      <c r="G40" s="681">
        <f t="shared" si="5"/>
        <v>608146.89002833317</v>
      </c>
      <c r="H40" s="679"/>
      <c r="I40" s="324"/>
    </row>
    <row r="41" spans="1:9">
      <c r="A41" s="679">
        <v>29</v>
      </c>
      <c r="B41" s="642" t="s">
        <v>527</v>
      </c>
      <c r="C41" s="1624">
        <v>60705.764999999999</v>
      </c>
      <c r="D41" s="1624">
        <v>563973.46102833317</v>
      </c>
      <c r="E41" s="682"/>
      <c r="F41" s="682"/>
      <c r="G41" s="681">
        <f t="shared" si="5"/>
        <v>624679.22602833319</v>
      </c>
      <c r="H41" s="679"/>
      <c r="I41" s="324"/>
    </row>
    <row r="42" spans="1:9">
      <c r="A42" s="679">
        <v>30</v>
      </c>
      <c r="B42" s="642" t="s">
        <v>171</v>
      </c>
      <c r="C42" s="1624">
        <v>62682.282666666666</v>
      </c>
      <c r="D42" s="1624">
        <v>578529.27936166653</v>
      </c>
      <c r="E42" s="682"/>
      <c r="F42" s="682"/>
      <c r="G42" s="681">
        <f t="shared" si="5"/>
        <v>641211.5620283332</v>
      </c>
      <c r="H42" s="679"/>
      <c r="I42" s="324"/>
    </row>
    <row r="43" spans="1:9">
      <c r="A43" s="679">
        <v>31</v>
      </c>
      <c r="B43" s="642" t="s">
        <v>172</v>
      </c>
      <c r="C43" s="1624">
        <v>64658.800333333333</v>
      </c>
      <c r="D43" s="1624">
        <v>593085.09769499989</v>
      </c>
      <c r="E43" s="682"/>
      <c r="F43" s="682"/>
      <c r="G43" s="681">
        <f t="shared" si="5"/>
        <v>657743.89802833321</v>
      </c>
      <c r="H43" s="679"/>
      <c r="I43" s="324"/>
    </row>
    <row r="44" spans="1:9">
      <c r="A44" s="679">
        <v>32</v>
      </c>
      <c r="B44" s="642" t="s">
        <v>173</v>
      </c>
      <c r="C44" s="1624">
        <v>66635.317999999999</v>
      </c>
      <c r="D44" s="1624">
        <v>607640.91602833325</v>
      </c>
      <c r="E44" s="682"/>
      <c r="F44" s="682"/>
      <c r="G44" s="681">
        <f t="shared" si="5"/>
        <v>674276.23402833322</v>
      </c>
      <c r="H44" s="679"/>
      <c r="I44" s="324"/>
    </row>
    <row r="45" spans="1:9">
      <c r="A45" s="679">
        <v>33</v>
      </c>
      <c r="B45" s="642" t="s">
        <v>528</v>
      </c>
      <c r="C45" s="1624">
        <v>68611.835666666666</v>
      </c>
      <c r="D45" s="1624">
        <v>622196.7343616666</v>
      </c>
      <c r="E45" s="682"/>
      <c r="F45" s="682"/>
      <c r="G45" s="681">
        <f t="shared" si="5"/>
        <v>690808.57002833323</v>
      </c>
      <c r="H45" s="679"/>
      <c r="I45" s="324"/>
    </row>
    <row r="46" spans="1:9">
      <c r="A46" s="679">
        <v>34</v>
      </c>
      <c r="B46" s="642" t="s">
        <v>529</v>
      </c>
      <c r="C46" s="1624">
        <v>70588.353333333333</v>
      </c>
      <c r="D46" s="1624">
        <v>636752.55269499996</v>
      </c>
      <c r="E46" s="682"/>
      <c r="F46" s="682"/>
      <c r="G46" s="681">
        <f t="shared" si="5"/>
        <v>707340.90602833335</v>
      </c>
      <c r="H46" s="679"/>
      <c r="I46" s="324"/>
    </row>
    <row r="47" spans="1:9">
      <c r="A47" s="679">
        <v>35</v>
      </c>
      <c r="B47" s="642" t="s">
        <v>530</v>
      </c>
      <c r="C47" s="1624">
        <v>72564.870999999999</v>
      </c>
      <c r="D47" s="1624">
        <v>651308.37102833332</v>
      </c>
      <c r="E47" s="682"/>
      <c r="F47" s="682"/>
      <c r="G47" s="681">
        <f t="shared" si="5"/>
        <v>723873.24202833336</v>
      </c>
      <c r="H47" s="679"/>
      <c r="I47" s="324"/>
    </row>
    <row r="48" spans="1:9">
      <c r="A48" s="679">
        <v>36</v>
      </c>
      <c r="B48" s="642" t="s">
        <v>531</v>
      </c>
      <c r="C48" s="1624">
        <v>74541.388666666666</v>
      </c>
      <c r="D48" s="1624">
        <v>665864.18936166668</v>
      </c>
      <c r="E48" s="682"/>
      <c r="F48" s="682"/>
      <c r="G48" s="681">
        <f t="shared" si="5"/>
        <v>740405.57802833337</v>
      </c>
      <c r="H48" s="679"/>
      <c r="I48" s="324"/>
    </row>
    <row r="49" spans="1:9">
      <c r="A49" s="679">
        <v>37</v>
      </c>
      <c r="B49" s="642" t="s">
        <v>532</v>
      </c>
      <c r="C49" s="1624">
        <v>76517.906333333332</v>
      </c>
      <c r="D49" s="1624">
        <v>680420.00769500004</v>
      </c>
      <c r="E49" s="682"/>
      <c r="F49" s="682"/>
      <c r="G49" s="681">
        <f t="shared" si="5"/>
        <v>756937.91402833338</v>
      </c>
      <c r="H49" s="679"/>
      <c r="I49" s="324"/>
    </row>
    <row r="50" spans="1:9">
      <c r="A50" s="679">
        <v>38</v>
      </c>
      <c r="B50" s="642" t="s">
        <v>533</v>
      </c>
      <c r="C50" s="1624">
        <v>78494.423999999999</v>
      </c>
      <c r="D50" s="1625">
        <v>694975.82602833339</v>
      </c>
      <c r="E50" s="682"/>
      <c r="F50" s="682"/>
      <c r="G50" s="681">
        <f t="shared" si="5"/>
        <v>773470.25002833339</v>
      </c>
      <c r="H50" s="679"/>
      <c r="I50" s="324"/>
    </row>
    <row r="51" spans="1:9">
      <c r="A51" s="679">
        <v>39</v>
      </c>
      <c r="B51" s="642" t="s">
        <v>547</v>
      </c>
      <c r="C51" s="683">
        <f>AVERAGE(C38:C50)</f>
        <v>66635.317999999999</v>
      </c>
      <c r="D51" s="683">
        <f>AVERAGE(D38:D50)</f>
        <v>607640.91218217928</v>
      </c>
      <c r="E51" s="683"/>
      <c r="F51" s="683"/>
      <c r="G51" s="683">
        <f>AVERAGE(G38:G50)</f>
        <v>674276.23018217937</v>
      </c>
      <c r="I51" s="324"/>
    </row>
    <row r="52" spans="1:9" ht="18">
      <c r="B52" s="1900" t="s">
        <v>1547</v>
      </c>
      <c r="C52" s="1900"/>
      <c r="D52" s="1900"/>
      <c r="E52" s="1900"/>
      <c r="F52" s="1900"/>
    </row>
    <row r="53" spans="1:9" ht="20">
      <c r="A53" s="673"/>
      <c r="B53" s="674"/>
      <c r="C53" s="675"/>
      <c r="D53" s="671"/>
      <c r="E53" s="671"/>
      <c r="F53" s="671"/>
    </row>
    <row r="54" spans="1:9">
      <c r="A54" s="1901" t="s">
        <v>556</v>
      </c>
      <c r="B54" s="1901"/>
      <c r="C54" s="1901"/>
      <c r="D54" s="1901"/>
      <c r="E54" s="1901"/>
      <c r="F54" s="671"/>
    </row>
    <row r="55" spans="1:9">
      <c r="B55" s="669" t="s">
        <v>510</v>
      </c>
      <c r="C55" s="669" t="s">
        <v>511</v>
      </c>
      <c r="D55" s="669" t="s">
        <v>512</v>
      </c>
      <c r="E55" s="669" t="s">
        <v>513</v>
      </c>
      <c r="F55" s="669" t="s">
        <v>550</v>
      </c>
      <c r="G55" s="669" t="s">
        <v>551</v>
      </c>
    </row>
    <row r="56" spans="1:9">
      <c r="A56" s="671"/>
      <c r="B56" s="676" t="s">
        <v>554</v>
      </c>
      <c r="C56" s="909" t="s">
        <v>229</v>
      </c>
      <c r="D56" s="909" t="s">
        <v>796</v>
      </c>
      <c r="E56" s="642"/>
      <c r="F56" s="642"/>
      <c r="G56" s="679" t="s">
        <v>44</v>
      </c>
    </row>
    <row r="57" spans="1:9">
      <c r="A57" s="679">
        <v>40</v>
      </c>
      <c r="B57" s="642" t="s">
        <v>524</v>
      </c>
      <c r="C57" s="683">
        <f>C21-C38</f>
        <v>61109.435716276654</v>
      </c>
      <c r="D57" s="683">
        <f>D21-D38</f>
        <v>333119.71625539043</v>
      </c>
      <c r="E57" s="683">
        <f t="shared" ref="C57:F69" si="6">E21-E38</f>
        <v>0</v>
      </c>
      <c r="F57" s="683">
        <f t="shared" si="6"/>
        <v>0</v>
      </c>
      <c r="G57" s="681">
        <f t="shared" ref="G57:G69" si="7">SUM(C57:F57)</f>
        <v>394229.15197166707</v>
      </c>
      <c r="H57" s="679"/>
    </row>
    <row r="58" spans="1:9">
      <c r="A58" s="679">
        <v>41</v>
      </c>
      <c r="B58" s="642" t="s">
        <v>525</v>
      </c>
      <c r="C58" s="683">
        <f t="shared" si="6"/>
        <v>59132.918049609987</v>
      </c>
      <c r="D58" s="683">
        <f t="shared" si="6"/>
        <v>318563.84792205703</v>
      </c>
      <c r="E58" s="683">
        <f t="shared" si="6"/>
        <v>0</v>
      </c>
      <c r="F58" s="683">
        <f t="shared" si="6"/>
        <v>0</v>
      </c>
      <c r="G58" s="681">
        <f t="shared" si="7"/>
        <v>377696.76597166702</v>
      </c>
      <c r="H58" s="679"/>
    </row>
    <row r="59" spans="1:9">
      <c r="A59" s="679">
        <v>42</v>
      </c>
      <c r="B59" s="642" t="s">
        <v>526</v>
      </c>
      <c r="C59" s="683">
        <f t="shared" si="6"/>
        <v>57156.40038294332</v>
      </c>
      <c r="D59" s="683">
        <f t="shared" si="6"/>
        <v>304008.02958872367</v>
      </c>
      <c r="E59" s="683">
        <f t="shared" si="6"/>
        <v>0</v>
      </c>
      <c r="F59" s="683">
        <f t="shared" si="6"/>
        <v>0</v>
      </c>
      <c r="G59" s="681">
        <f t="shared" si="7"/>
        <v>361164.42997166701</v>
      </c>
      <c r="H59" s="679"/>
    </row>
    <row r="60" spans="1:9">
      <c r="A60" s="679">
        <v>43</v>
      </c>
      <c r="B60" s="642" t="s">
        <v>527</v>
      </c>
      <c r="C60" s="683">
        <f t="shared" si="6"/>
        <v>55179.882716276654</v>
      </c>
      <c r="D60" s="683">
        <f t="shared" si="6"/>
        <v>289452.21125539031</v>
      </c>
      <c r="E60" s="683">
        <f t="shared" si="6"/>
        <v>0</v>
      </c>
      <c r="F60" s="683">
        <f t="shared" si="6"/>
        <v>0</v>
      </c>
      <c r="G60" s="681">
        <f t="shared" si="7"/>
        <v>344632.093971667</v>
      </c>
      <c r="H60" s="679"/>
    </row>
    <row r="61" spans="1:9">
      <c r="A61" s="679">
        <v>44</v>
      </c>
      <c r="B61" s="642" t="s">
        <v>171</v>
      </c>
      <c r="C61" s="683">
        <f t="shared" si="6"/>
        <v>53203.365049609987</v>
      </c>
      <c r="D61" s="683">
        <f t="shared" si="6"/>
        <v>274896.39292205696</v>
      </c>
      <c r="E61" s="683">
        <f t="shared" si="6"/>
        <v>0</v>
      </c>
      <c r="F61" s="683">
        <f t="shared" si="6"/>
        <v>0</v>
      </c>
      <c r="G61" s="681">
        <f t="shared" si="7"/>
        <v>328099.75797166693</v>
      </c>
      <c r="H61" s="679"/>
    </row>
    <row r="62" spans="1:9">
      <c r="A62" s="679">
        <v>45</v>
      </c>
      <c r="B62" s="642" t="s">
        <v>172</v>
      </c>
      <c r="C62" s="683">
        <f t="shared" si="6"/>
        <v>51226.847382943321</v>
      </c>
      <c r="D62" s="683">
        <f t="shared" si="6"/>
        <v>260340.5745887236</v>
      </c>
      <c r="E62" s="683">
        <f t="shared" si="6"/>
        <v>0</v>
      </c>
      <c r="F62" s="683">
        <f t="shared" si="6"/>
        <v>0</v>
      </c>
      <c r="G62" s="681">
        <f t="shared" si="7"/>
        <v>311567.42197166692</v>
      </c>
      <c r="H62" s="679"/>
    </row>
    <row r="63" spans="1:9">
      <c r="A63" s="679">
        <v>46</v>
      </c>
      <c r="B63" s="642" t="s">
        <v>173</v>
      </c>
      <c r="C63" s="683">
        <f t="shared" si="6"/>
        <v>49250.329716276654</v>
      </c>
      <c r="D63" s="683">
        <f t="shared" si="6"/>
        <v>245784.75625539024</v>
      </c>
      <c r="E63" s="683">
        <f t="shared" si="6"/>
        <v>0</v>
      </c>
      <c r="F63" s="683">
        <f t="shared" si="6"/>
        <v>0</v>
      </c>
      <c r="G63" s="681">
        <f t="shared" si="7"/>
        <v>295035.08597166691</v>
      </c>
      <c r="H63" s="679"/>
    </row>
    <row r="64" spans="1:9">
      <c r="A64" s="679">
        <v>47</v>
      </c>
      <c r="B64" s="642" t="s">
        <v>528</v>
      </c>
      <c r="C64" s="683">
        <f t="shared" si="6"/>
        <v>47273.812049609987</v>
      </c>
      <c r="D64" s="683">
        <f t="shared" si="6"/>
        <v>231228.93792205688</v>
      </c>
      <c r="E64" s="683">
        <f t="shared" si="6"/>
        <v>0</v>
      </c>
      <c r="F64" s="683">
        <f t="shared" si="6"/>
        <v>0</v>
      </c>
      <c r="G64" s="681">
        <f t="shared" si="7"/>
        <v>278502.74997166684</v>
      </c>
      <c r="H64" s="679"/>
    </row>
    <row r="65" spans="1:8">
      <c r="A65" s="679">
        <v>48</v>
      </c>
      <c r="B65" s="642" t="s">
        <v>529</v>
      </c>
      <c r="C65" s="683">
        <f t="shared" si="6"/>
        <v>45297.294382943321</v>
      </c>
      <c r="D65" s="683">
        <f t="shared" si="6"/>
        <v>216673.11958872352</v>
      </c>
      <c r="E65" s="683">
        <f t="shared" si="6"/>
        <v>0</v>
      </c>
      <c r="F65" s="683">
        <f t="shared" si="6"/>
        <v>0</v>
      </c>
      <c r="G65" s="681">
        <f t="shared" si="7"/>
        <v>261970.41397166683</v>
      </c>
      <c r="H65" s="679"/>
    </row>
    <row r="66" spans="1:8">
      <c r="A66" s="679">
        <v>49</v>
      </c>
      <c r="B66" s="642" t="s">
        <v>530</v>
      </c>
      <c r="C66" s="683">
        <f t="shared" si="6"/>
        <v>43320.776716276654</v>
      </c>
      <c r="D66" s="683">
        <f t="shared" si="6"/>
        <v>202117.30125539016</v>
      </c>
      <c r="E66" s="683">
        <f t="shared" si="6"/>
        <v>0</v>
      </c>
      <c r="F66" s="683">
        <f t="shared" si="6"/>
        <v>0</v>
      </c>
      <c r="G66" s="681">
        <f t="shared" si="7"/>
        <v>245438.07797166682</v>
      </c>
      <c r="H66" s="679"/>
    </row>
    <row r="67" spans="1:8">
      <c r="A67" s="679">
        <v>50</v>
      </c>
      <c r="B67" s="642" t="s">
        <v>531</v>
      </c>
      <c r="C67" s="683">
        <f t="shared" si="6"/>
        <v>41344.259049609987</v>
      </c>
      <c r="D67" s="683">
        <f t="shared" si="6"/>
        <v>187561.48292205681</v>
      </c>
      <c r="E67" s="683">
        <f t="shared" si="6"/>
        <v>0</v>
      </c>
      <c r="F67" s="683">
        <f t="shared" si="6"/>
        <v>0</v>
      </c>
      <c r="G67" s="681">
        <f t="shared" si="7"/>
        <v>228905.74197166681</v>
      </c>
      <c r="H67" s="679"/>
    </row>
    <row r="68" spans="1:8">
      <c r="A68" s="679">
        <v>51</v>
      </c>
      <c r="B68" s="642" t="s">
        <v>532</v>
      </c>
      <c r="C68" s="683">
        <f t="shared" si="6"/>
        <v>39367.741382943321</v>
      </c>
      <c r="D68" s="683">
        <f t="shared" si="6"/>
        <v>173005.66458872345</v>
      </c>
      <c r="E68" s="683">
        <f t="shared" si="6"/>
        <v>0</v>
      </c>
      <c r="F68" s="683">
        <f t="shared" si="6"/>
        <v>0</v>
      </c>
      <c r="G68" s="681">
        <f t="shared" si="7"/>
        <v>212373.40597166677</v>
      </c>
      <c r="H68" s="679"/>
    </row>
    <row r="69" spans="1:8">
      <c r="A69" s="679">
        <v>52</v>
      </c>
      <c r="B69" s="642" t="s">
        <v>533</v>
      </c>
      <c r="C69" s="683">
        <f t="shared" si="6"/>
        <v>37391.223716276654</v>
      </c>
      <c r="D69" s="683">
        <f t="shared" si="6"/>
        <v>158449.84625539009</v>
      </c>
      <c r="E69" s="683">
        <f t="shared" si="6"/>
        <v>0</v>
      </c>
      <c r="F69" s="683">
        <f t="shared" si="6"/>
        <v>0</v>
      </c>
      <c r="G69" s="681">
        <f t="shared" si="7"/>
        <v>195841.06997166673</v>
      </c>
      <c r="H69" s="679"/>
    </row>
    <row r="70" spans="1:8">
      <c r="A70" s="679">
        <v>53</v>
      </c>
      <c r="B70" s="642" t="s">
        <v>547</v>
      </c>
      <c r="C70" s="683">
        <f>AVERAGE(C57:C69)</f>
        <v>49250.329716276661</v>
      </c>
      <c r="D70" s="683">
        <f t="shared" ref="D70:F70" si="8">AVERAGE(D57:D69)</f>
        <v>245784.76010154403</v>
      </c>
      <c r="E70" s="683">
        <f t="shared" si="8"/>
        <v>0</v>
      </c>
      <c r="F70" s="683">
        <f t="shared" si="8"/>
        <v>0</v>
      </c>
      <c r="G70" s="683">
        <f>AVERAGE(G57:G69)</f>
        <v>295035.08981782076</v>
      </c>
      <c r="H70" s="679"/>
    </row>
    <row r="71" spans="1:8">
      <c r="A71" s="671"/>
    </row>
    <row r="72" spans="1:8">
      <c r="A72" s="671"/>
    </row>
    <row r="73" spans="1:8">
      <c r="A73" s="671"/>
      <c r="B73" s="676" t="s">
        <v>555</v>
      </c>
      <c r="C73" s="909" t="s">
        <v>229</v>
      </c>
      <c r="D73" s="909" t="s">
        <v>796</v>
      </c>
      <c r="G73" s="679" t="s">
        <v>44</v>
      </c>
    </row>
    <row r="74" spans="1:8">
      <c r="A74" s="679">
        <v>54</v>
      </c>
      <c r="B74" s="642" t="s">
        <v>525</v>
      </c>
      <c r="C74" s="683">
        <f>C39-C38</f>
        <v>1976.5176666666666</v>
      </c>
      <c r="D74" s="683">
        <f>D39-D38</f>
        <v>14555.868333333405</v>
      </c>
      <c r="G74" s="681">
        <f t="shared" ref="G74:G86" si="9">SUM(C74:F74)</f>
        <v>16532.386000000071</v>
      </c>
      <c r="H74" s="679"/>
    </row>
    <row r="75" spans="1:8">
      <c r="A75" s="679">
        <v>55</v>
      </c>
      <c r="B75" s="642" t="s">
        <v>526</v>
      </c>
      <c r="C75" s="683">
        <f>C40-C39</f>
        <v>1976.5176666666666</v>
      </c>
      <c r="D75" s="683">
        <f>D40-D39</f>
        <v>14555.818333333358</v>
      </c>
      <c r="G75" s="681">
        <f t="shared" si="9"/>
        <v>16532.336000000025</v>
      </c>
      <c r="H75" s="679"/>
    </row>
    <row r="76" spans="1:8">
      <c r="A76" s="679">
        <v>56</v>
      </c>
      <c r="B76" s="642" t="s">
        <v>527</v>
      </c>
      <c r="C76" s="683">
        <f t="shared" ref="C76:D85" si="10">C41-C40</f>
        <v>1976.5176666666666</v>
      </c>
      <c r="D76" s="683">
        <f t="shared" si="10"/>
        <v>14555.818333333358</v>
      </c>
      <c r="G76" s="681">
        <f t="shared" si="9"/>
        <v>16532.336000000025</v>
      </c>
      <c r="H76" s="679"/>
    </row>
    <row r="77" spans="1:8">
      <c r="A77" s="679">
        <v>57</v>
      </c>
      <c r="B77" s="642" t="s">
        <v>171</v>
      </c>
      <c r="C77" s="683">
        <f t="shared" si="10"/>
        <v>1976.5176666666666</v>
      </c>
      <c r="D77" s="683">
        <f t="shared" si="10"/>
        <v>14555.818333333358</v>
      </c>
      <c r="G77" s="681">
        <f t="shared" si="9"/>
        <v>16532.336000000025</v>
      </c>
      <c r="H77" s="679"/>
    </row>
    <row r="78" spans="1:8">
      <c r="A78" s="679">
        <v>58</v>
      </c>
      <c r="B78" s="642" t="s">
        <v>172</v>
      </c>
      <c r="C78" s="683">
        <f t="shared" si="10"/>
        <v>1976.5176666666666</v>
      </c>
      <c r="D78" s="683">
        <f t="shared" si="10"/>
        <v>14555.818333333358</v>
      </c>
      <c r="G78" s="681">
        <f t="shared" si="9"/>
        <v>16532.336000000025</v>
      </c>
      <c r="H78" s="679"/>
    </row>
    <row r="79" spans="1:8">
      <c r="A79" s="679">
        <v>59</v>
      </c>
      <c r="B79" s="642" t="s">
        <v>173</v>
      </c>
      <c r="C79" s="683">
        <f t="shared" si="10"/>
        <v>1976.5176666666666</v>
      </c>
      <c r="D79" s="683">
        <f t="shared" si="10"/>
        <v>14555.818333333358</v>
      </c>
      <c r="G79" s="681">
        <f t="shared" si="9"/>
        <v>16532.336000000025</v>
      </c>
      <c r="H79" s="679"/>
    </row>
    <row r="80" spans="1:8">
      <c r="A80" s="679">
        <v>60</v>
      </c>
      <c r="B80" s="642" t="s">
        <v>528</v>
      </c>
      <c r="C80" s="683">
        <f t="shared" si="10"/>
        <v>1976.5176666666666</v>
      </c>
      <c r="D80" s="683">
        <f t="shared" si="10"/>
        <v>14555.818333333358</v>
      </c>
      <c r="G80" s="681">
        <f t="shared" si="9"/>
        <v>16532.336000000025</v>
      </c>
      <c r="H80" s="679"/>
    </row>
    <row r="81" spans="1:8">
      <c r="A81" s="679">
        <v>61</v>
      </c>
      <c r="B81" s="642" t="s">
        <v>529</v>
      </c>
      <c r="C81" s="683">
        <f t="shared" si="10"/>
        <v>1976.5176666666666</v>
      </c>
      <c r="D81" s="683">
        <f t="shared" si="10"/>
        <v>14555.818333333358</v>
      </c>
      <c r="G81" s="681">
        <f t="shared" si="9"/>
        <v>16532.336000000025</v>
      </c>
      <c r="H81" s="679"/>
    </row>
    <row r="82" spans="1:8">
      <c r="A82" s="679">
        <v>62</v>
      </c>
      <c r="B82" s="642" t="s">
        <v>530</v>
      </c>
      <c r="C82" s="683">
        <f t="shared" si="10"/>
        <v>1976.5176666666666</v>
      </c>
      <c r="D82" s="683">
        <f t="shared" si="10"/>
        <v>14555.818333333358</v>
      </c>
      <c r="G82" s="681">
        <f t="shared" si="9"/>
        <v>16532.336000000025</v>
      </c>
      <c r="H82" s="679"/>
    </row>
    <row r="83" spans="1:8">
      <c r="A83" s="679">
        <v>63</v>
      </c>
      <c r="B83" s="642" t="s">
        <v>531</v>
      </c>
      <c r="C83" s="683">
        <f t="shared" si="10"/>
        <v>1976.5176666666666</v>
      </c>
      <c r="D83" s="683">
        <f t="shared" si="10"/>
        <v>14555.818333333358</v>
      </c>
      <c r="G83" s="681">
        <f t="shared" si="9"/>
        <v>16532.336000000025</v>
      </c>
      <c r="H83" s="679"/>
    </row>
    <row r="84" spans="1:8">
      <c r="A84" s="679">
        <v>64</v>
      </c>
      <c r="B84" s="642" t="s">
        <v>532</v>
      </c>
      <c r="C84" s="683">
        <f t="shared" si="10"/>
        <v>1976.5176666666666</v>
      </c>
      <c r="D84" s="683">
        <f t="shared" si="10"/>
        <v>14555.818333333358</v>
      </c>
      <c r="G84" s="681">
        <f t="shared" si="9"/>
        <v>16532.336000000025</v>
      </c>
      <c r="H84" s="679"/>
    </row>
    <row r="85" spans="1:8">
      <c r="A85" s="679">
        <v>65</v>
      </c>
      <c r="B85" s="642" t="s">
        <v>533</v>
      </c>
      <c r="C85" s="683">
        <f t="shared" si="10"/>
        <v>1976.5176666666666</v>
      </c>
      <c r="D85" s="683">
        <f t="shared" si="10"/>
        <v>14555.818333333358</v>
      </c>
      <c r="G85" s="681">
        <f t="shared" si="9"/>
        <v>16532.336000000025</v>
      </c>
      <c r="H85" s="679"/>
    </row>
    <row r="86" spans="1:8">
      <c r="A86" s="679">
        <v>66</v>
      </c>
      <c r="B86" s="642" t="s">
        <v>44</v>
      </c>
      <c r="C86" s="683">
        <f>SUM(C74:C85)</f>
        <v>23718.212</v>
      </c>
      <c r="D86" s="683">
        <f>SUM(D74:D85)</f>
        <v>174669.87000000034</v>
      </c>
      <c r="G86" s="681">
        <f t="shared" si="9"/>
        <v>198388.08200000034</v>
      </c>
    </row>
    <row r="87" spans="1:8">
      <c r="G87" s="683"/>
    </row>
    <row r="89" spans="1:8">
      <c r="B89" s="676" t="s">
        <v>809</v>
      </c>
      <c r="C89" s="642"/>
    </row>
    <row r="90" spans="1:8">
      <c r="A90" s="679">
        <v>67</v>
      </c>
      <c r="B90" s="642" t="s">
        <v>524</v>
      </c>
      <c r="C90" s="1624">
        <v>969311.32000000018</v>
      </c>
    </row>
    <row r="91" spans="1:8">
      <c r="A91" s="679">
        <v>68</v>
      </c>
      <c r="B91" s="642" t="s">
        <v>525</v>
      </c>
      <c r="C91" s="1624">
        <v>969311.32000000018</v>
      </c>
    </row>
    <row r="92" spans="1:8">
      <c r="A92" s="679">
        <v>69</v>
      </c>
      <c r="B92" s="642" t="s">
        <v>526</v>
      </c>
      <c r="C92" s="1624">
        <v>969311.32000000018</v>
      </c>
    </row>
    <row r="93" spans="1:8">
      <c r="A93" s="679">
        <v>70</v>
      </c>
      <c r="B93" s="642" t="s">
        <v>527</v>
      </c>
      <c r="C93" s="1624">
        <v>969311.32000000018</v>
      </c>
    </row>
    <row r="94" spans="1:8">
      <c r="A94" s="679">
        <v>71</v>
      </c>
      <c r="B94" s="642" t="s">
        <v>171</v>
      </c>
      <c r="C94" s="1624">
        <v>969311.32000000018</v>
      </c>
    </row>
    <row r="95" spans="1:8">
      <c r="A95" s="679">
        <v>72</v>
      </c>
      <c r="B95" s="642" t="s">
        <v>172</v>
      </c>
      <c r="C95" s="1624">
        <v>969311.32000000018</v>
      </c>
    </row>
    <row r="96" spans="1:8">
      <c r="A96" s="679">
        <v>73</v>
      </c>
      <c r="B96" s="642" t="s">
        <v>173</v>
      </c>
      <c r="C96" s="1624">
        <v>969311.32000000018</v>
      </c>
    </row>
    <row r="97" spans="1:3">
      <c r="A97" s="679">
        <v>74</v>
      </c>
      <c r="B97" s="642" t="s">
        <v>528</v>
      </c>
      <c r="C97" s="1624">
        <v>969311.32000000018</v>
      </c>
    </row>
    <row r="98" spans="1:3">
      <c r="A98" s="679">
        <v>75</v>
      </c>
      <c r="B98" s="642" t="s">
        <v>529</v>
      </c>
      <c r="C98" s="1624">
        <v>969311.32000000018</v>
      </c>
    </row>
    <row r="99" spans="1:3">
      <c r="A99" s="679">
        <v>76</v>
      </c>
      <c r="B99" s="642" t="s">
        <v>530</v>
      </c>
      <c r="C99" s="1624">
        <v>969311.32000000018</v>
      </c>
    </row>
    <row r="100" spans="1:3">
      <c r="A100" s="679">
        <v>77</v>
      </c>
      <c r="B100" s="642" t="s">
        <v>531</v>
      </c>
      <c r="C100" s="1624">
        <v>969311.32000000018</v>
      </c>
    </row>
    <row r="101" spans="1:3">
      <c r="A101" s="679">
        <v>78</v>
      </c>
      <c r="B101" s="642" t="s">
        <v>532</v>
      </c>
      <c r="C101" s="1624">
        <v>969311.32000000018</v>
      </c>
    </row>
    <row r="102" spans="1:3">
      <c r="A102" s="679">
        <v>79</v>
      </c>
      <c r="B102" s="642" t="s">
        <v>533</v>
      </c>
      <c r="C102" s="1624">
        <v>969311.32000000018</v>
      </c>
    </row>
    <row r="103" spans="1:3">
      <c r="A103" s="679">
        <v>80</v>
      </c>
      <c r="B103" s="642" t="s">
        <v>547</v>
      </c>
      <c r="C103" s="1624">
        <f>AVERAGE(C90:C102)</f>
        <v>969311.32000000018</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topLeftCell="A102" zoomScaleNormal="100" workbookViewId="0">
      <selection activeCell="L128" sqref="L128"/>
    </sheetView>
  </sheetViews>
  <sheetFormatPr defaultColWidth="11.453125" defaultRowHeight="14"/>
  <cols>
    <col min="1" max="1" width="5.26953125" style="1073" customWidth="1"/>
    <col min="2" max="2" width="46.54296875" style="1073" customWidth="1"/>
    <col min="3" max="3" width="2.1796875" style="1073" customWidth="1"/>
    <col min="4" max="4" width="6.81640625" style="1073" bestFit="1" customWidth="1"/>
    <col min="5" max="5" width="21.81640625" style="1073" bestFit="1" customWidth="1"/>
    <col min="6" max="6" width="18" style="1073" bestFit="1" customWidth="1"/>
    <col min="7" max="7" width="19" style="1073" bestFit="1" customWidth="1"/>
    <col min="8" max="8" width="15.7265625" style="1073" customWidth="1"/>
    <col min="9" max="16384" width="11.453125" style="1073"/>
  </cols>
  <sheetData>
    <row r="1" spans="1:8">
      <c r="A1" s="1075"/>
      <c r="B1" s="1902" t="s">
        <v>1547</v>
      </c>
      <c r="C1" s="1902"/>
      <c r="D1" s="1902"/>
      <c r="E1" s="1902"/>
      <c r="F1" s="1075"/>
      <c r="G1" s="1075"/>
      <c r="H1" s="1075"/>
    </row>
    <row r="2" spans="1:8">
      <c r="A2" s="1075"/>
      <c r="B2" s="1903" t="s">
        <v>1095</v>
      </c>
      <c r="C2" s="1903"/>
      <c r="D2" s="1903"/>
      <c r="E2" s="1903"/>
      <c r="F2" s="1075"/>
      <c r="G2" s="1075"/>
      <c r="H2" s="1075"/>
    </row>
    <row r="3" spans="1:8">
      <c r="A3" s="1075"/>
      <c r="B3" s="1075"/>
      <c r="C3" s="1075"/>
      <c r="D3" s="1075"/>
      <c r="E3" s="1075"/>
      <c r="F3" s="1075"/>
      <c r="G3" s="1075"/>
      <c r="H3" s="1075"/>
    </row>
    <row r="4" spans="1:8">
      <c r="A4" s="1075"/>
      <c r="B4" s="1096"/>
      <c r="C4" s="1096"/>
      <c r="D4" s="1096"/>
      <c r="E4" s="1096"/>
      <c r="F4" s="1075"/>
      <c r="G4" s="1075"/>
      <c r="H4" s="1075"/>
    </row>
    <row r="5" spans="1:8">
      <c r="A5" s="1075"/>
      <c r="B5" s="1096"/>
      <c r="C5" s="1075"/>
      <c r="D5" s="1075"/>
      <c r="E5" s="1075"/>
      <c r="F5" s="1075"/>
      <c r="G5" s="1075"/>
      <c r="H5" s="1075"/>
    </row>
    <row r="6" spans="1:8">
      <c r="A6" s="1075"/>
      <c r="B6" s="1075"/>
      <c r="C6" s="1075"/>
      <c r="D6" s="1075"/>
      <c r="E6" s="1097" t="s">
        <v>510</v>
      </c>
      <c r="F6" s="1097" t="s">
        <v>511</v>
      </c>
      <c r="G6" s="1097" t="s">
        <v>512</v>
      </c>
      <c r="H6" s="1075"/>
    </row>
    <row r="7" spans="1:8">
      <c r="A7" s="1075"/>
      <c r="B7" s="1075"/>
      <c r="C7" s="1075"/>
      <c r="D7" s="1075"/>
      <c r="E7" s="1098" t="s">
        <v>1096</v>
      </c>
      <c r="F7" s="1075"/>
      <c r="G7" s="1075"/>
      <c r="H7" s="1075"/>
    </row>
    <row r="8" spans="1:8">
      <c r="A8" s="1075"/>
      <c r="B8" s="1075"/>
      <c r="C8" s="1075"/>
      <c r="D8" s="1075"/>
      <c r="E8" s="1099"/>
      <c r="F8" s="1100"/>
      <c r="G8" s="1100"/>
      <c r="H8" s="1075"/>
    </row>
    <row r="9" spans="1:8">
      <c r="A9" s="1075"/>
      <c r="B9" s="1101"/>
      <c r="C9" s="1102"/>
      <c r="D9" s="1103"/>
      <c r="E9" s="1104" t="s">
        <v>44</v>
      </c>
      <c r="F9" s="1104" t="s">
        <v>1097</v>
      </c>
      <c r="G9" s="1104" t="s">
        <v>1098</v>
      </c>
      <c r="H9" s="1075"/>
    </row>
    <row r="10" spans="1:8">
      <c r="A10" s="1105">
        <v>1</v>
      </c>
      <c r="B10" s="1106" t="s">
        <v>1099</v>
      </c>
      <c r="C10" s="1075"/>
      <c r="D10" s="1107">
        <v>560</v>
      </c>
      <c r="E10" s="1095">
        <v>2897495</v>
      </c>
      <c r="F10" s="1120"/>
      <c r="G10" s="1109">
        <f>E10-F10</f>
        <v>2897495</v>
      </c>
      <c r="H10" s="1075"/>
    </row>
    <row r="11" spans="1:8">
      <c r="A11" s="1105">
        <f>A10+1</f>
        <v>2</v>
      </c>
      <c r="B11" s="1106" t="s">
        <v>1100</v>
      </c>
      <c r="C11" s="1075"/>
      <c r="D11" s="1107">
        <v>561.1</v>
      </c>
      <c r="E11" s="1074">
        <v>3066</v>
      </c>
      <c r="F11" s="1120"/>
      <c r="G11" s="1109">
        <f t="shared" ref="G11:G34" si="0">E11-F11</f>
        <v>3066</v>
      </c>
      <c r="H11" s="1075"/>
    </row>
    <row r="12" spans="1:8">
      <c r="A12" s="1105">
        <f t="shared" ref="A12:A35" si="1">A11+1</f>
        <v>3</v>
      </c>
      <c r="B12" s="1106" t="s">
        <v>1101</v>
      </c>
      <c r="C12" s="1075"/>
      <c r="D12" s="1107">
        <v>561.20000000000005</v>
      </c>
      <c r="E12" s="1074">
        <v>988559</v>
      </c>
      <c r="F12" s="1122"/>
      <c r="G12" s="1109">
        <f t="shared" si="0"/>
        <v>988559</v>
      </c>
      <c r="H12" s="1075"/>
    </row>
    <row r="13" spans="1:8">
      <c r="A13" s="1105">
        <f t="shared" si="1"/>
        <v>4</v>
      </c>
      <c r="B13" s="1106" t="s">
        <v>1102</v>
      </c>
      <c r="C13" s="1075"/>
      <c r="D13" s="1107">
        <v>561.29999999999995</v>
      </c>
      <c r="E13" s="1074">
        <v>1408</v>
      </c>
      <c r="F13" s="1122"/>
      <c r="G13" s="1109">
        <f t="shared" si="0"/>
        <v>1408</v>
      </c>
      <c r="H13" s="1075"/>
    </row>
    <row r="14" spans="1:8">
      <c r="A14" s="1105">
        <f t="shared" si="1"/>
        <v>5</v>
      </c>
      <c r="B14" s="1106" t="s">
        <v>1103</v>
      </c>
      <c r="C14" s="1075"/>
      <c r="D14" s="1107">
        <v>561.4</v>
      </c>
      <c r="E14" s="1074">
        <v>-3038</v>
      </c>
      <c r="F14" s="1122"/>
      <c r="G14" s="1109">
        <f t="shared" si="0"/>
        <v>-3038</v>
      </c>
      <c r="H14" s="1075"/>
    </row>
    <row r="15" spans="1:8">
      <c r="A15" s="1105">
        <f t="shared" si="1"/>
        <v>6</v>
      </c>
      <c r="B15" s="1106" t="s">
        <v>1104</v>
      </c>
      <c r="C15" s="1075"/>
      <c r="D15" s="1107">
        <v>561.5</v>
      </c>
      <c r="E15" s="1074">
        <v>5916</v>
      </c>
      <c r="F15" s="1122"/>
      <c r="G15" s="1109">
        <f t="shared" si="0"/>
        <v>5916</v>
      </c>
      <c r="H15" s="1075"/>
    </row>
    <row r="16" spans="1:8">
      <c r="A16" s="1105">
        <f t="shared" si="1"/>
        <v>7</v>
      </c>
      <c r="B16" s="1106" t="s">
        <v>1105</v>
      </c>
      <c r="C16" s="1075"/>
      <c r="D16" s="1107">
        <v>561.6</v>
      </c>
      <c r="E16" s="1074">
        <v>0</v>
      </c>
      <c r="F16" s="1122"/>
      <c r="G16" s="1109">
        <f t="shared" si="0"/>
        <v>0</v>
      </c>
      <c r="H16" s="1075"/>
    </row>
    <row r="17" spans="1:8">
      <c r="A17" s="1105">
        <f t="shared" si="1"/>
        <v>8</v>
      </c>
      <c r="B17" s="1106" t="s">
        <v>1106</v>
      </c>
      <c r="C17" s="1075"/>
      <c r="D17" s="1111">
        <v>561.70000000000005</v>
      </c>
      <c r="E17" s="1074">
        <v>0</v>
      </c>
      <c r="F17" s="1122"/>
      <c r="G17" s="1109">
        <f t="shared" si="0"/>
        <v>0</v>
      </c>
      <c r="H17" s="1075"/>
    </row>
    <row r="18" spans="1:8">
      <c r="A18" s="1105">
        <f t="shared" si="1"/>
        <v>9</v>
      </c>
      <c r="B18" s="1106" t="s">
        <v>1107</v>
      </c>
      <c r="C18" s="1075"/>
      <c r="D18" s="1107">
        <v>561.79999999999995</v>
      </c>
      <c r="E18" s="1074">
        <v>-120</v>
      </c>
      <c r="F18" s="1122"/>
      <c r="G18" s="1109">
        <f t="shared" si="0"/>
        <v>-120</v>
      </c>
      <c r="H18" s="1075"/>
    </row>
    <row r="19" spans="1:8">
      <c r="A19" s="1105">
        <f t="shared" si="1"/>
        <v>10</v>
      </c>
      <c r="B19" s="1106" t="s">
        <v>1108</v>
      </c>
      <c r="C19" s="1075"/>
      <c r="D19" s="1107">
        <v>562</v>
      </c>
      <c r="E19" s="1074">
        <v>0</v>
      </c>
      <c r="F19" s="1122"/>
      <c r="G19" s="1109">
        <f t="shared" si="0"/>
        <v>0</v>
      </c>
      <c r="H19" s="1075"/>
    </row>
    <row r="20" spans="1:8">
      <c r="A20" s="1105">
        <f t="shared" si="1"/>
        <v>11</v>
      </c>
      <c r="B20" s="1106" t="s">
        <v>1109</v>
      </c>
      <c r="C20" s="1075"/>
      <c r="D20" s="1107">
        <v>563</v>
      </c>
      <c r="E20" s="1074">
        <v>0</v>
      </c>
      <c r="F20" s="1122"/>
      <c r="G20" s="1109">
        <f t="shared" si="0"/>
        <v>0</v>
      </c>
      <c r="H20" s="1075"/>
    </row>
    <row r="21" spans="1:8">
      <c r="A21" s="1105">
        <f t="shared" si="1"/>
        <v>12</v>
      </c>
      <c r="B21" s="1106" t="s">
        <v>1110</v>
      </c>
      <c r="C21" s="1075"/>
      <c r="D21" s="1107">
        <v>564</v>
      </c>
      <c r="E21" s="1074">
        <v>0</v>
      </c>
      <c r="F21" s="1122"/>
      <c r="G21" s="1109">
        <f t="shared" si="0"/>
        <v>0</v>
      </c>
      <c r="H21" s="1075"/>
    </row>
    <row r="22" spans="1:8">
      <c r="A22" s="1105">
        <f t="shared" si="1"/>
        <v>13</v>
      </c>
      <c r="B22" s="1106" t="s">
        <v>1111</v>
      </c>
      <c r="C22" s="1075"/>
      <c r="D22" s="1107">
        <v>565</v>
      </c>
      <c r="E22" s="1074">
        <v>0</v>
      </c>
      <c r="F22" s="1122"/>
      <c r="G22" s="1109">
        <f t="shared" si="0"/>
        <v>0</v>
      </c>
      <c r="H22" s="1075"/>
    </row>
    <row r="23" spans="1:8">
      <c r="A23" s="1105">
        <f t="shared" si="1"/>
        <v>14</v>
      </c>
      <c r="B23" s="1106" t="s">
        <v>1112</v>
      </c>
      <c r="C23" s="1075"/>
      <c r="D23" s="1107">
        <v>566</v>
      </c>
      <c r="E23" s="1074">
        <v>1939060</v>
      </c>
      <c r="F23" s="1122"/>
      <c r="G23" s="1109">
        <f>E23-F23</f>
        <v>1939060</v>
      </c>
      <c r="H23" s="1075"/>
    </row>
    <row r="24" spans="1:8">
      <c r="A24" s="1105">
        <f t="shared" si="1"/>
        <v>15</v>
      </c>
      <c r="B24" s="1106" t="s">
        <v>1025</v>
      </c>
      <c r="C24" s="1075"/>
      <c r="D24" s="1107">
        <v>567</v>
      </c>
      <c r="E24" s="1074">
        <v>0</v>
      </c>
      <c r="F24" s="1122"/>
      <c r="G24" s="1109">
        <f t="shared" si="0"/>
        <v>0</v>
      </c>
      <c r="H24" s="1075"/>
    </row>
    <row r="25" spans="1:8">
      <c r="A25" s="1105">
        <f t="shared" si="1"/>
        <v>16</v>
      </c>
      <c r="B25" s="1106" t="s">
        <v>1113</v>
      </c>
      <c r="C25" s="1075"/>
      <c r="D25" s="1107">
        <v>568</v>
      </c>
      <c r="E25" s="1074"/>
      <c r="F25" s="1122"/>
      <c r="G25" s="1109">
        <f t="shared" si="0"/>
        <v>0</v>
      </c>
      <c r="H25" s="1075"/>
    </row>
    <row r="26" spans="1:8">
      <c r="A26" s="1105">
        <f t="shared" si="1"/>
        <v>17</v>
      </c>
      <c r="B26" s="1106" t="s">
        <v>1114</v>
      </c>
      <c r="C26" s="1075"/>
      <c r="D26" s="1107">
        <v>569</v>
      </c>
      <c r="E26" s="1074">
        <v>856080</v>
      </c>
      <c r="F26" s="1122"/>
      <c r="G26" s="1109">
        <f t="shared" si="0"/>
        <v>856080</v>
      </c>
      <c r="H26" s="1075"/>
    </row>
    <row r="27" spans="1:8">
      <c r="A27" s="1105">
        <f t="shared" si="1"/>
        <v>18</v>
      </c>
      <c r="B27" s="1106" t="s">
        <v>1115</v>
      </c>
      <c r="C27" s="1075"/>
      <c r="D27" s="1107">
        <v>569.1</v>
      </c>
      <c r="E27" s="1074">
        <v>0</v>
      </c>
      <c r="F27" s="1122"/>
      <c r="G27" s="1109">
        <f t="shared" si="0"/>
        <v>0</v>
      </c>
      <c r="H27" s="1075"/>
    </row>
    <row r="28" spans="1:8">
      <c r="A28" s="1105">
        <f t="shared" si="1"/>
        <v>19</v>
      </c>
      <c r="B28" s="1106" t="s">
        <v>1116</v>
      </c>
      <c r="C28" s="1075"/>
      <c r="D28" s="1107">
        <v>569.20000000000005</v>
      </c>
      <c r="E28" s="1074"/>
      <c r="F28" s="1122"/>
      <c r="G28" s="1109">
        <f t="shared" si="0"/>
        <v>0</v>
      </c>
      <c r="H28" s="1075"/>
    </row>
    <row r="29" spans="1:8">
      <c r="A29" s="1105">
        <f t="shared" si="1"/>
        <v>20</v>
      </c>
      <c r="B29" s="1106" t="s">
        <v>1117</v>
      </c>
      <c r="C29" s="1075"/>
      <c r="D29" s="1107">
        <v>569.29999999999995</v>
      </c>
      <c r="E29" s="1074">
        <v>0</v>
      </c>
      <c r="F29" s="1122"/>
      <c r="G29" s="1109">
        <f t="shared" si="0"/>
        <v>0</v>
      </c>
      <c r="H29" s="1075"/>
    </row>
    <row r="30" spans="1:8">
      <c r="A30" s="1105">
        <f t="shared" si="1"/>
        <v>21</v>
      </c>
      <c r="B30" s="1106" t="s">
        <v>1118</v>
      </c>
      <c r="C30" s="1075"/>
      <c r="D30" s="1107">
        <v>569.4</v>
      </c>
      <c r="E30" s="1074">
        <v>0</v>
      </c>
      <c r="F30" s="1122"/>
      <c r="G30" s="1109">
        <f t="shared" si="0"/>
        <v>0</v>
      </c>
      <c r="H30" s="1075"/>
    </row>
    <row r="31" spans="1:8">
      <c r="A31" s="1105">
        <f t="shared" si="1"/>
        <v>22</v>
      </c>
      <c r="B31" s="1106" t="s">
        <v>1119</v>
      </c>
      <c r="C31" s="1075"/>
      <c r="D31" s="1107">
        <v>570</v>
      </c>
      <c r="E31" s="1074">
        <v>6883492</v>
      </c>
      <c r="F31" s="1122"/>
      <c r="G31" s="1109">
        <f t="shared" si="0"/>
        <v>6883492</v>
      </c>
      <c r="H31" s="1075"/>
    </row>
    <row r="32" spans="1:8">
      <c r="A32" s="1105">
        <f t="shared" si="1"/>
        <v>23</v>
      </c>
      <c r="B32" s="1106" t="s">
        <v>1120</v>
      </c>
      <c r="C32" s="1075"/>
      <c r="D32" s="1107">
        <v>571</v>
      </c>
      <c r="E32" s="1074">
        <v>8030202</v>
      </c>
      <c r="F32" s="1122"/>
      <c r="G32" s="1109">
        <f t="shared" si="0"/>
        <v>8030202</v>
      </c>
      <c r="H32" s="1075"/>
    </row>
    <row r="33" spans="1:8">
      <c r="A33" s="1105">
        <f t="shared" si="1"/>
        <v>24</v>
      </c>
      <c r="B33" s="1106" t="s">
        <v>1121</v>
      </c>
      <c r="C33" s="1075"/>
      <c r="D33" s="1107">
        <v>572</v>
      </c>
      <c r="E33" s="1074">
        <v>38303</v>
      </c>
      <c r="F33" s="1122"/>
      <c r="G33" s="1109">
        <f t="shared" si="0"/>
        <v>38303</v>
      </c>
      <c r="H33" s="1075"/>
    </row>
    <row r="34" spans="1:8">
      <c r="A34" s="1105">
        <f t="shared" si="1"/>
        <v>25</v>
      </c>
      <c r="B34" s="1112" t="s">
        <v>1122</v>
      </c>
      <c r="C34" s="1075"/>
      <c r="D34" s="1107">
        <v>573</v>
      </c>
      <c r="E34" s="1074">
        <v>493582</v>
      </c>
      <c r="F34" s="1120"/>
      <c r="G34" s="1109">
        <f t="shared" si="0"/>
        <v>493582</v>
      </c>
      <c r="H34" s="1110"/>
    </row>
    <row r="35" spans="1:8">
      <c r="A35" s="1105">
        <f t="shared" si="1"/>
        <v>26</v>
      </c>
      <c r="B35" s="1096" t="s">
        <v>1286</v>
      </c>
      <c r="C35" s="1075"/>
      <c r="D35" s="1105"/>
      <c r="E35" s="1113">
        <f>SUM(E10:E34)</f>
        <v>22134005</v>
      </c>
      <c r="F35" s="1113">
        <f>SUM(F10:F34)</f>
        <v>0</v>
      </c>
      <c r="G35" s="1113">
        <f>SUM(G10:G34)</f>
        <v>22134005</v>
      </c>
      <c r="H35" s="1075"/>
    </row>
    <row r="36" spans="1:8">
      <c r="A36" s="1105"/>
      <c r="B36" s="1075"/>
      <c r="C36" s="1075"/>
      <c r="D36" s="1075"/>
      <c r="E36" s="1075"/>
      <c r="F36" s="1075"/>
      <c r="G36" s="1075"/>
      <c r="H36" s="1075"/>
    </row>
    <row r="37" spans="1:8">
      <c r="A37" s="1075"/>
      <c r="B37" s="1075"/>
      <c r="C37" s="1075"/>
      <c r="D37" s="1075"/>
      <c r="E37" s="1114"/>
      <c r="F37" s="1115"/>
      <c r="G37" s="1115"/>
      <c r="H37" s="1075"/>
    </row>
    <row r="38" spans="1:8">
      <c r="A38" s="1105">
        <f>A35+1</f>
        <v>27</v>
      </c>
      <c r="B38" s="1114" t="s">
        <v>1123</v>
      </c>
      <c r="C38" s="1075"/>
      <c r="D38" s="1075"/>
      <c r="E38" s="1075"/>
      <c r="F38" s="1114" t="s">
        <v>44</v>
      </c>
      <c r="G38" s="1110">
        <f>+G35</f>
        <v>22134005</v>
      </c>
      <c r="H38" s="1075"/>
    </row>
    <row r="39" spans="1:8">
      <c r="A39" s="1105"/>
      <c r="B39" s="1075"/>
      <c r="C39" s="1075"/>
      <c r="D39" s="1075"/>
      <c r="E39" s="1075"/>
      <c r="F39" s="1075"/>
      <c r="G39" s="1116"/>
      <c r="H39" s="1117"/>
    </row>
    <row r="40" spans="1:8">
      <c r="A40" s="1075"/>
      <c r="B40" s="1075"/>
      <c r="C40" s="1075"/>
      <c r="D40" s="1075"/>
      <c r="E40" s="1075"/>
      <c r="F40" s="1075"/>
      <c r="G40" s="1075"/>
      <c r="H40" s="1075"/>
    </row>
    <row r="41" spans="1:8">
      <c r="A41" s="1075"/>
      <c r="B41" s="1075"/>
      <c r="C41" s="1075"/>
      <c r="D41" s="1075"/>
      <c r="E41" s="1075"/>
      <c r="F41" s="1075"/>
      <c r="G41" s="1153"/>
      <c r="H41" s="1075"/>
    </row>
  </sheetData>
  <mergeCells count="2">
    <mergeCell ref="B1:E1"/>
    <mergeCell ref="B2:E2"/>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M24" sqref="M24"/>
    </sheetView>
  </sheetViews>
  <sheetFormatPr defaultColWidth="11.453125" defaultRowHeight="14"/>
  <cols>
    <col min="1" max="1" width="5.26953125" style="1073" customWidth="1"/>
    <col min="2" max="2" width="46.54296875" style="1073" customWidth="1"/>
    <col min="3" max="3" width="2.1796875" style="1073" customWidth="1"/>
    <col min="4" max="4" width="9.7265625" style="1073" customWidth="1"/>
    <col min="5" max="5" width="21.81640625" style="1073" bestFit="1" customWidth="1"/>
    <col min="6" max="6" width="2.81640625" style="1073" customWidth="1"/>
    <col min="7" max="7" width="19" style="1073" bestFit="1" customWidth="1"/>
    <col min="8" max="8" width="22.54296875" style="1073" bestFit="1" customWidth="1"/>
    <col min="9" max="9" width="18" style="1073" bestFit="1" customWidth="1"/>
    <col min="10" max="10" width="19" style="1073" bestFit="1" customWidth="1"/>
    <col min="11" max="11" width="5.54296875" style="1073" customWidth="1"/>
    <col min="12" max="16384" width="11.453125" style="1073"/>
  </cols>
  <sheetData>
    <row r="1" spans="1:12">
      <c r="A1" s="1075"/>
      <c r="B1" s="1902" t="s">
        <v>1547</v>
      </c>
      <c r="C1" s="1902"/>
      <c r="D1" s="1902"/>
      <c r="E1" s="1902"/>
      <c r="F1" s="1902"/>
      <c r="G1" s="1902"/>
      <c r="H1" s="1075"/>
      <c r="I1" s="1075"/>
      <c r="J1" s="1075"/>
      <c r="K1" s="1075"/>
      <c r="L1" s="1075"/>
    </row>
    <row r="2" spans="1:12">
      <c r="A2" s="1075"/>
      <c r="B2" s="1903" t="s">
        <v>1124</v>
      </c>
      <c r="C2" s="1903"/>
      <c r="D2" s="1903"/>
      <c r="E2" s="1903"/>
      <c r="F2" s="1903"/>
      <c r="G2" s="1903"/>
      <c r="H2" s="1075"/>
      <c r="I2" s="1075"/>
      <c r="J2" s="1075"/>
      <c r="K2" s="1075"/>
      <c r="L2" s="1075"/>
    </row>
    <row r="3" spans="1:12">
      <c r="A3" s="1075"/>
      <c r="B3" s="1075"/>
      <c r="C3" s="1075"/>
      <c r="D3" s="1075"/>
      <c r="E3" s="1075"/>
      <c r="F3" s="1075"/>
      <c r="G3" s="1075"/>
      <c r="H3" s="1075"/>
      <c r="I3" s="1075"/>
      <c r="J3" s="1075"/>
      <c r="K3" s="1075"/>
      <c r="L3" s="1075"/>
    </row>
    <row r="4" spans="1:12">
      <c r="A4" s="1075"/>
      <c r="B4" s="1096"/>
      <c r="C4" s="1096"/>
      <c r="D4" s="1096"/>
      <c r="E4" s="1096"/>
      <c r="F4" s="1096"/>
      <c r="G4" s="1096"/>
      <c r="H4" s="1075"/>
      <c r="I4" s="1075"/>
      <c r="J4" s="1075"/>
      <c r="K4" s="1075"/>
      <c r="L4" s="1075"/>
    </row>
    <row r="5" spans="1:12">
      <c r="A5" s="1075"/>
      <c r="B5" s="1096"/>
      <c r="C5" s="1075"/>
      <c r="D5" s="1075"/>
      <c r="E5" s="1075"/>
      <c r="F5" s="1075"/>
      <c r="G5" s="1075"/>
      <c r="H5" s="1075"/>
      <c r="I5" s="1075"/>
      <c r="J5" s="1075"/>
      <c r="K5" s="1075"/>
      <c r="L5" s="1075"/>
    </row>
    <row r="6" spans="1:12">
      <c r="A6" s="1075"/>
      <c r="B6" s="1075"/>
      <c r="C6" s="1075"/>
      <c r="D6" s="1075"/>
      <c r="E6" s="1097" t="s">
        <v>510</v>
      </c>
      <c r="F6" s="1075"/>
      <c r="G6" s="1097" t="s">
        <v>511</v>
      </c>
      <c r="H6" s="1097" t="s">
        <v>512</v>
      </c>
      <c r="I6" s="1118" t="s">
        <v>513</v>
      </c>
      <c r="J6" s="1097" t="s">
        <v>514</v>
      </c>
      <c r="K6" s="1075"/>
      <c r="L6" s="1075"/>
    </row>
    <row r="7" spans="1:12">
      <c r="A7" s="1075"/>
      <c r="B7" s="1075"/>
      <c r="C7" s="1075"/>
      <c r="D7" s="1075"/>
      <c r="E7" s="1098" t="s">
        <v>1125</v>
      </c>
      <c r="F7" s="1075"/>
      <c r="G7" s="1075"/>
      <c r="H7" s="1075"/>
      <c r="I7" s="1075"/>
      <c r="J7" s="1075"/>
      <c r="K7" s="1075"/>
      <c r="L7" s="1075"/>
    </row>
    <row r="8" spans="1:12">
      <c r="A8" s="1075"/>
      <c r="B8" s="1075"/>
      <c r="C8" s="1075"/>
      <c r="D8" s="1075"/>
      <c r="E8" s="1099"/>
      <c r="F8" s="1100"/>
      <c r="G8" s="1100"/>
      <c r="H8" s="1100"/>
      <c r="I8" s="1100"/>
      <c r="J8" s="1100"/>
      <c r="K8" s="1075"/>
      <c r="L8" s="1075"/>
    </row>
    <row r="9" spans="1:12">
      <c r="A9" s="1075"/>
      <c r="B9" s="1101"/>
      <c r="C9" s="1102"/>
      <c r="D9" s="1103"/>
      <c r="E9" s="1104" t="s">
        <v>44</v>
      </c>
      <c r="F9" s="1104"/>
      <c r="G9" s="1104" t="s">
        <v>1126</v>
      </c>
      <c r="H9" s="1104" t="s">
        <v>1127</v>
      </c>
      <c r="I9" s="1104" t="s">
        <v>1097</v>
      </c>
      <c r="J9" s="1104" t="s">
        <v>1098</v>
      </c>
      <c r="K9" s="1075"/>
      <c r="L9" s="1075"/>
    </row>
    <row r="10" spans="1:12">
      <c r="A10" s="1105">
        <v>1</v>
      </c>
      <c r="B10" s="1106" t="s">
        <v>1128</v>
      </c>
      <c r="C10" s="1075"/>
      <c r="D10" s="1107">
        <v>920</v>
      </c>
      <c r="E10" s="1095">
        <f>SUM(G10:J10)</f>
        <v>3793261</v>
      </c>
      <c r="F10" s="1119"/>
      <c r="G10" s="1095">
        <v>3793261</v>
      </c>
      <c r="H10" s="1108"/>
      <c r="I10" s="1120"/>
      <c r="J10" s="1109">
        <v>0</v>
      </c>
      <c r="K10" s="1075"/>
      <c r="L10" s="1075"/>
    </row>
    <row r="11" spans="1:12">
      <c r="A11" s="1105">
        <f>A10+1</f>
        <v>2</v>
      </c>
      <c r="B11" s="1106" t="s">
        <v>1129</v>
      </c>
      <c r="C11" s="1075"/>
      <c r="D11" s="1107">
        <v>921</v>
      </c>
      <c r="E11" s="1095">
        <f t="shared" ref="E11:E23" si="0">SUM(G11:J11)</f>
        <v>3593725</v>
      </c>
      <c r="F11" s="1121"/>
      <c r="G11" s="1074">
        <v>3593725</v>
      </c>
      <c r="H11" s="1110"/>
      <c r="I11" s="1122"/>
      <c r="J11" s="1123">
        <v>0</v>
      </c>
      <c r="K11" s="1075"/>
      <c r="L11" s="1075"/>
    </row>
    <row r="12" spans="1:12">
      <c r="A12" s="1105">
        <f t="shared" ref="A12:A24" si="1">A11+1</f>
        <v>3</v>
      </c>
      <c r="B12" s="1106" t="s">
        <v>1130</v>
      </c>
      <c r="C12" s="1075"/>
      <c r="D12" s="1107">
        <v>922</v>
      </c>
      <c r="E12" s="1095">
        <f t="shared" si="0"/>
        <v>0</v>
      </c>
      <c r="F12" s="1121"/>
      <c r="G12" s="1074">
        <v>0</v>
      </c>
      <c r="H12" s="1110"/>
      <c r="I12" s="1122"/>
      <c r="J12" s="1123">
        <v>0</v>
      </c>
      <c r="K12" s="1075"/>
      <c r="L12" s="1075"/>
    </row>
    <row r="13" spans="1:12">
      <c r="A13" s="1105">
        <f t="shared" si="1"/>
        <v>4</v>
      </c>
      <c r="B13" s="1106" t="s">
        <v>1131</v>
      </c>
      <c r="C13" s="1075"/>
      <c r="D13" s="1107">
        <v>923</v>
      </c>
      <c r="E13" s="1095">
        <f t="shared" si="0"/>
        <v>71246114</v>
      </c>
      <c r="F13" s="1121"/>
      <c r="G13" s="1074">
        <f>71246114-I13</f>
        <v>70870986.455129996</v>
      </c>
      <c r="H13" s="1126"/>
      <c r="I13" s="1122">
        <f>+'5 - Cost Support 1'!H209+'5 - Cost Support 1'!K209+'5 - Cost Support 1'!J209+'5 - Cost Support 1'!I209</f>
        <v>375127.54486999998</v>
      </c>
      <c r="J13" s="1123">
        <v>0</v>
      </c>
      <c r="K13" s="1075"/>
      <c r="L13" s="1075"/>
    </row>
    <row r="14" spans="1:12">
      <c r="A14" s="1105">
        <f t="shared" si="1"/>
        <v>5</v>
      </c>
      <c r="B14" s="1106" t="s">
        <v>1026</v>
      </c>
      <c r="C14" s="1075"/>
      <c r="D14" s="1107">
        <v>924</v>
      </c>
      <c r="E14" s="1095">
        <f t="shared" si="0"/>
        <v>595673</v>
      </c>
      <c r="F14" s="1121"/>
      <c r="G14" s="1074"/>
      <c r="H14" s="1122">
        <v>595673</v>
      </c>
      <c r="I14" s="1122"/>
      <c r="J14" s="1123">
        <v>0</v>
      </c>
      <c r="K14" s="1075"/>
      <c r="L14" s="1075"/>
    </row>
    <row r="15" spans="1:12">
      <c r="A15" s="1105">
        <f t="shared" si="1"/>
        <v>6</v>
      </c>
      <c r="B15" s="1106" t="s">
        <v>1132</v>
      </c>
      <c r="C15" s="1075"/>
      <c r="D15" s="1107">
        <v>925</v>
      </c>
      <c r="E15" s="1095">
        <f t="shared" si="0"/>
        <v>1594625</v>
      </c>
      <c r="F15" s="1121"/>
      <c r="G15" s="1074">
        <v>1594625</v>
      </c>
      <c r="H15" s="1110"/>
      <c r="I15" s="1122"/>
      <c r="J15" s="1123">
        <v>0</v>
      </c>
      <c r="K15" s="1075"/>
      <c r="L15" s="1075"/>
    </row>
    <row r="16" spans="1:12">
      <c r="A16" s="1105">
        <f t="shared" si="1"/>
        <v>7</v>
      </c>
      <c r="B16" s="1106" t="s">
        <v>1133</v>
      </c>
      <c r="C16" s="1075"/>
      <c r="D16" s="1111">
        <v>926</v>
      </c>
      <c r="E16" s="1095">
        <f t="shared" si="0"/>
        <v>11763379</v>
      </c>
      <c r="F16" s="1121"/>
      <c r="G16" s="1074">
        <v>11763379</v>
      </c>
      <c r="H16" s="1110"/>
      <c r="I16" s="1122"/>
      <c r="J16" s="1123">
        <v>0</v>
      </c>
      <c r="K16" s="1075"/>
      <c r="L16" s="1075"/>
    </row>
    <row r="17" spans="1:12">
      <c r="A17" s="1105">
        <f t="shared" si="1"/>
        <v>8</v>
      </c>
      <c r="B17" s="1106" t="s">
        <v>1134</v>
      </c>
      <c r="C17" s="1075"/>
      <c r="D17" s="1107">
        <v>927</v>
      </c>
      <c r="E17" s="1095">
        <f t="shared" si="0"/>
        <v>0</v>
      </c>
      <c r="F17" s="1121"/>
      <c r="G17" s="1074">
        <v>0</v>
      </c>
      <c r="H17" s="1110"/>
      <c r="I17" s="1122"/>
      <c r="J17" s="1123">
        <v>0</v>
      </c>
      <c r="K17" s="1075"/>
      <c r="L17" s="1075"/>
    </row>
    <row r="18" spans="1:12">
      <c r="A18" s="1105">
        <f t="shared" si="1"/>
        <v>9</v>
      </c>
      <c r="B18" s="1106" t="s">
        <v>1135</v>
      </c>
      <c r="C18" s="1075"/>
      <c r="D18" s="1107">
        <v>928</v>
      </c>
      <c r="E18" s="1095">
        <f t="shared" si="0"/>
        <v>1551388</v>
      </c>
      <c r="F18" s="1121"/>
      <c r="G18" s="1074">
        <v>0</v>
      </c>
      <c r="H18" s="1110"/>
      <c r="I18" s="1122">
        <f>1551388-J18</f>
        <v>1285847</v>
      </c>
      <c r="J18" s="1074">
        <f>+'5 - Cost Support 1'!H50</f>
        <v>265541</v>
      </c>
      <c r="K18" s="1075"/>
      <c r="L18" s="1075"/>
    </row>
    <row r="19" spans="1:12">
      <c r="A19" s="1105">
        <f t="shared" si="1"/>
        <v>10</v>
      </c>
      <c r="B19" s="1106" t="s">
        <v>1136</v>
      </c>
      <c r="C19" s="1075"/>
      <c r="D19" s="1107">
        <v>929</v>
      </c>
      <c r="E19" s="1095">
        <f t="shared" si="0"/>
        <v>0</v>
      </c>
      <c r="F19" s="1121"/>
      <c r="G19" s="1074">
        <v>0</v>
      </c>
      <c r="H19" s="1110"/>
      <c r="I19" s="1122"/>
      <c r="J19" s="1123">
        <v>0</v>
      </c>
      <c r="K19" s="1075"/>
      <c r="L19" s="1075"/>
    </row>
    <row r="20" spans="1:12">
      <c r="A20" s="1105">
        <f t="shared" si="1"/>
        <v>11</v>
      </c>
      <c r="B20" s="1106" t="s">
        <v>1137</v>
      </c>
      <c r="C20" s="1075"/>
      <c r="D20" s="1107">
        <v>930.1</v>
      </c>
      <c r="E20" s="1095">
        <f t="shared" si="0"/>
        <v>458332</v>
      </c>
      <c r="F20" s="1121"/>
      <c r="G20" s="1074"/>
      <c r="H20" s="1110"/>
      <c r="I20" s="1122">
        <v>458332</v>
      </c>
      <c r="J20" s="1123">
        <v>0</v>
      </c>
      <c r="K20" s="1075"/>
      <c r="L20" s="1075"/>
    </row>
    <row r="21" spans="1:12">
      <c r="A21" s="1105">
        <f t="shared" si="1"/>
        <v>12</v>
      </c>
      <c r="B21" s="1106" t="s">
        <v>1138</v>
      </c>
      <c r="C21" s="1075"/>
      <c r="D21" s="1107">
        <v>930.2</v>
      </c>
      <c r="E21" s="1095">
        <f t="shared" si="0"/>
        <v>952692</v>
      </c>
      <c r="F21" s="1121"/>
      <c r="G21" s="1074">
        <f>952692-I21</f>
        <v>686358</v>
      </c>
      <c r="H21" s="1110"/>
      <c r="I21" s="1122">
        <f>+'5 - Cost Support 1'!G44</f>
        <v>266334</v>
      </c>
      <c r="J21" s="1123">
        <v>0</v>
      </c>
      <c r="K21" s="1075"/>
      <c r="L21" s="1075"/>
    </row>
    <row r="22" spans="1:12">
      <c r="A22" s="1105">
        <f t="shared" si="1"/>
        <v>13</v>
      </c>
      <c r="B22" s="1106" t="s">
        <v>1025</v>
      </c>
      <c r="C22" s="1075"/>
      <c r="D22" s="1107">
        <v>931</v>
      </c>
      <c r="E22" s="1095">
        <f t="shared" si="0"/>
        <v>0</v>
      </c>
      <c r="F22" s="1121"/>
      <c r="G22" s="1074">
        <v>0</v>
      </c>
      <c r="H22" s="1110"/>
      <c r="I22" s="1122"/>
      <c r="J22" s="1123">
        <v>0</v>
      </c>
      <c r="K22" s="1075"/>
      <c r="L22" s="1075"/>
    </row>
    <row r="23" spans="1:12">
      <c r="A23" s="1105">
        <f t="shared" si="1"/>
        <v>14</v>
      </c>
      <c r="B23" s="1112" t="s">
        <v>1139</v>
      </c>
      <c r="C23" s="1075"/>
      <c r="D23" s="1103">
        <v>935</v>
      </c>
      <c r="E23" s="1095">
        <f t="shared" si="0"/>
        <v>1763</v>
      </c>
      <c r="F23" s="1121"/>
      <c r="G23" s="1095">
        <v>1763</v>
      </c>
      <c r="H23" s="1108"/>
      <c r="I23" s="1120"/>
      <c r="J23" s="1124">
        <v>0</v>
      </c>
      <c r="K23" s="1110"/>
      <c r="L23" s="1075"/>
    </row>
    <row r="24" spans="1:12">
      <c r="A24" s="1105">
        <f t="shared" si="1"/>
        <v>15</v>
      </c>
      <c r="B24" s="1096" t="s">
        <v>1140</v>
      </c>
      <c r="C24" s="1075"/>
      <c r="D24" s="1105"/>
      <c r="E24" s="1113">
        <f>SUM(E10:E23)</f>
        <v>95550952</v>
      </c>
      <c r="F24" s="1125"/>
      <c r="G24" s="1113">
        <f>SUM(G10:G23)</f>
        <v>92304097.455129996</v>
      </c>
      <c r="H24" s="1113">
        <f t="shared" ref="H24:J24" si="2">SUM(H10:H23)</f>
        <v>595673</v>
      </c>
      <c r="I24" s="1113">
        <f t="shared" si="2"/>
        <v>2385640.5448699999</v>
      </c>
      <c r="J24" s="1113">
        <f t="shared" si="2"/>
        <v>265541</v>
      </c>
      <c r="K24" s="1075"/>
      <c r="L24" s="1075"/>
    </row>
    <row r="25" spans="1:12">
      <c r="A25" s="1105"/>
      <c r="B25" s="1075"/>
      <c r="C25" s="1075"/>
      <c r="D25" s="1075"/>
      <c r="E25" s="1075"/>
      <c r="F25" s="1075"/>
      <c r="G25" s="1075"/>
      <c r="H25" s="1075"/>
      <c r="I25" s="1075"/>
      <c r="J25" s="1075"/>
      <c r="K25" s="1075"/>
      <c r="L25" s="1075"/>
    </row>
    <row r="26" spans="1:12">
      <c r="A26" s="1105">
        <f>A24+1</f>
        <v>16</v>
      </c>
      <c r="B26" s="1075"/>
      <c r="C26" s="1075"/>
      <c r="D26" s="1075"/>
      <c r="E26" s="1114" t="s">
        <v>1046</v>
      </c>
      <c r="F26" s="1075"/>
      <c r="G26" s="1115">
        <f>+'ATT H-1A'!H16</f>
        <v>0.13888944064369446</v>
      </c>
      <c r="H26" s="1115">
        <f>+'ATT H-1A'!H40</f>
        <v>0.39867126579105949</v>
      </c>
      <c r="I26" s="1115">
        <v>0</v>
      </c>
      <c r="J26" s="1115">
        <v>1</v>
      </c>
      <c r="K26" s="1075"/>
      <c r="L26" s="1075"/>
    </row>
    <row r="27" spans="1:12" ht="15.5">
      <c r="A27" s="1105">
        <f t="shared" ref="A27:A28" si="3">A26+1</f>
        <v>17</v>
      </c>
      <c r="B27" s="1075"/>
      <c r="C27" s="1075"/>
      <c r="D27" s="1075"/>
      <c r="E27" s="1114" t="s">
        <v>1183</v>
      </c>
      <c r="F27" s="1075"/>
      <c r="G27" s="1110">
        <f>G24*G26</f>
        <v>12820064.464664066</v>
      </c>
      <c r="H27" s="1110">
        <f t="shared" ref="H27:J27" si="4">H24*H26</f>
        <v>237477.70890755777</v>
      </c>
      <c r="I27" s="1110">
        <f t="shared" si="4"/>
        <v>0</v>
      </c>
      <c r="J27" s="1110">
        <f t="shared" si="4"/>
        <v>265541</v>
      </c>
      <c r="K27" s="1075"/>
      <c r="L27" s="1075"/>
    </row>
    <row r="28" spans="1:12" ht="15.5">
      <c r="A28" s="1105">
        <f t="shared" si="3"/>
        <v>18</v>
      </c>
      <c r="B28" s="1075"/>
      <c r="C28" s="1075"/>
      <c r="D28" s="1075"/>
      <c r="E28" s="1075"/>
      <c r="F28" s="1075"/>
      <c r="G28" s="1075"/>
      <c r="H28" s="1075"/>
      <c r="I28" s="1114" t="s">
        <v>1184</v>
      </c>
      <c r="J28" s="1116">
        <f>SUM(G27:J27)</f>
        <v>13323083.173571624</v>
      </c>
      <c r="K28" s="1117"/>
      <c r="L28" s="1075"/>
    </row>
    <row r="29" spans="1:12">
      <c r="A29" s="1075"/>
      <c r="B29" s="1075"/>
      <c r="C29" s="1075"/>
      <c r="D29" s="1075"/>
      <c r="E29" s="1075"/>
      <c r="F29" s="1075"/>
      <c r="G29" s="1075"/>
      <c r="H29" s="1075"/>
      <c r="I29" s="1075"/>
      <c r="J29" s="1075"/>
      <c r="K29" s="1075"/>
      <c r="L29" s="1075"/>
    </row>
    <row r="30" spans="1:12" ht="15.5">
      <c r="A30" s="1075" t="s">
        <v>1185</v>
      </c>
      <c r="B30" s="1075"/>
      <c r="C30" s="1075"/>
      <c r="D30" s="1075"/>
      <c r="E30" s="1075"/>
      <c r="F30" s="1075"/>
      <c r="G30" s="1075"/>
      <c r="H30" s="1075"/>
      <c r="I30" s="1075"/>
      <c r="J30" s="1075"/>
      <c r="K30" s="1075"/>
      <c r="L30" s="1075"/>
    </row>
    <row r="31" spans="1:12" ht="15.5">
      <c r="A31" s="1075" t="s">
        <v>1186</v>
      </c>
      <c r="B31" s="1075"/>
      <c r="C31" s="1075"/>
      <c r="D31" s="1075"/>
      <c r="E31" s="1075"/>
      <c r="F31" s="1075"/>
      <c r="G31" s="1110"/>
      <c r="H31" s="1075"/>
      <c r="I31" s="1075"/>
      <c r="J31" s="1075"/>
      <c r="K31" s="1075"/>
      <c r="L31" s="1075"/>
    </row>
    <row r="32" spans="1:12">
      <c r="A32" s="1075"/>
      <c r="B32" s="1075"/>
      <c r="C32" s="1075"/>
      <c r="D32" s="1075"/>
      <c r="E32" s="1075"/>
      <c r="F32" s="1075"/>
      <c r="G32" s="1110"/>
      <c r="H32" s="1075"/>
      <c r="I32" s="1075"/>
      <c r="J32" s="1075"/>
      <c r="K32" s="1075"/>
      <c r="L32" s="1075"/>
    </row>
    <row r="33" spans="7:7">
      <c r="G33" s="1148"/>
    </row>
    <row r="34" spans="7:7">
      <c r="G34" s="1148"/>
    </row>
    <row r="35" spans="7:7">
      <c r="G35" s="1148"/>
    </row>
    <row r="36" spans="7:7">
      <c r="G36" s="1148"/>
    </row>
    <row r="37" spans="7:7">
      <c r="G37" s="1148"/>
    </row>
    <row r="38" spans="7:7">
      <c r="G38" s="1148"/>
    </row>
    <row r="39" spans="7:7">
      <c r="G39" s="1148"/>
    </row>
    <row r="40" spans="7:7">
      <c r="G40" s="1148"/>
    </row>
    <row r="41" spans="7:7">
      <c r="G41" s="1148"/>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60"/>
  <sheetViews>
    <sheetView topLeftCell="A102" zoomScaleNormal="100" workbookViewId="0">
      <selection activeCell="L128" sqref="L128"/>
    </sheetView>
  </sheetViews>
  <sheetFormatPr defaultColWidth="9.1796875" defaultRowHeight="14"/>
  <cols>
    <col min="1" max="1" width="25.1796875" style="1073" customWidth="1"/>
    <col min="2" max="2" width="61" style="1073" customWidth="1"/>
    <col min="3" max="3" width="18" style="1073" bestFit="1" customWidth="1"/>
    <col min="4" max="16384" width="9.1796875" style="1073"/>
  </cols>
  <sheetData>
    <row r="1" spans="1:4">
      <c r="A1" s="1904" t="s">
        <v>1547</v>
      </c>
      <c r="B1" s="1904"/>
      <c r="C1" s="1904"/>
    </row>
    <row r="2" spans="1:4">
      <c r="A2" s="1905" t="s">
        <v>1141</v>
      </c>
      <c r="B2" s="1905"/>
      <c r="C2" s="1905"/>
    </row>
    <row r="3" spans="1:4">
      <c r="A3" s="1076"/>
      <c r="B3" s="1076"/>
      <c r="C3" s="1076"/>
    </row>
    <row r="4" spans="1:4">
      <c r="A4" s="1076"/>
      <c r="B4" s="1076"/>
      <c r="C4" s="1076"/>
    </row>
    <row r="5" spans="1:4">
      <c r="A5" s="1077" t="s">
        <v>174</v>
      </c>
      <c r="B5" s="1077" t="s">
        <v>175</v>
      </c>
      <c r="C5" s="1078" t="s">
        <v>1142</v>
      </c>
      <c r="D5" s="1079"/>
    </row>
    <row r="6" spans="1:4">
      <c r="A6" s="1076"/>
      <c r="B6" s="1080"/>
      <c r="C6" s="1081"/>
      <c r="D6" s="1079"/>
    </row>
    <row r="7" spans="1:4">
      <c r="A7" s="1076"/>
      <c r="B7" s="1080"/>
      <c r="C7" s="1081" t="s">
        <v>1143</v>
      </c>
      <c r="D7" s="1079"/>
    </row>
    <row r="8" spans="1:4">
      <c r="A8" s="1077" t="s">
        <v>1144</v>
      </c>
      <c r="B8" s="1077" t="s">
        <v>1145</v>
      </c>
      <c r="C8" s="1081" t="s">
        <v>1146</v>
      </c>
      <c r="D8" s="1079"/>
    </row>
    <row r="9" spans="1:4">
      <c r="A9" s="1077"/>
      <c r="B9" s="1082"/>
      <c r="C9" s="1083"/>
      <c r="D9" s="1079"/>
    </row>
    <row r="10" spans="1:4">
      <c r="A10" s="1077"/>
      <c r="B10" s="1082"/>
      <c r="C10" s="1083"/>
      <c r="D10" s="1079"/>
    </row>
    <row r="11" spans="1:4">
      <c r="A11" s="1084"/>
      <c r="B11" s="1076"/>
      <c r="C11" s="1085"/>
      <c r="D11" s="1079"/>
    </row>
    <row r="12" spans="1:4">
      <c r="A12" s="1084"/>
      <c r="B12" s="1086" t="s">
        <v>1147</v>
      </c>
      <c r="C12" s="1087"/>
      <c r="D12" s="1079"/>
    </row>
    <row r="13" spans="1:4">
      <c r="A13" s="1084"/>
      <c r="B13" s="1086"/>
      <c r="C13" s="1087"/>
      <c r="D13" s="1079"/>
    </row>
    <row r="14" spans="1:4">
      <c r="A14" s="1088">
        <v>350</v>
      </c>
      <c r="B14" s="1088" t="s">
        <v>1148</v>
      </c>
      <c r="C14" s="1698" t="s">
        <v>1549</v>
      </c>
      <c r="D14" s="1079"/>
    </row>
    <row r="15" spans="1:4">
      <c r="A15" s="1088">
        <v>352</v>
      </c>
      <c r="B15" s="1088" t="s">
        <v>1149</v>
      </c>
      <c r="C15" s="1697">
        <v>2.2200000000000001E-2</v>
      </c>
      <c r="D15" s="1079"/>
    </row>
    <row r="16" spans="1:4">
      <c r="A16" s="1088">
        <v>353</v>
      </c>
      <c r="B16" s="1088" t="s">
        <v>1150</v>
      </c>
      <c r="C16" s="1697">
        <v>2.5000000000000001E-2</v>
      </c>
      <c r="D16" s="1079"/>
    </row>
    <row r="17" spans="1:4">
      <c r="A17" s="1088">
        <v>354</v>
      </c>
      <c r="B17" s="1088" t="s">
        <v>1151</v>
      </c>
      <c r="C17" s="1697">
        <v>1.8200000000000001E-2</v>
      </c>
      <c r="D17" s="1079"/>
    </row>
    <row r="18" spans="1:4">
      <c r="A18" s="1088">
        <v>355</v>
      </c>
      <c r="B18" s="1088" t="s">
        <v>1152</v>
      </c>
      <c r="C18" s="1697">
        <v>3.0300000000000001E-2</v>
      </c>
      <c r="D18" s="1079"/>
    </row>
    <row r="19" spans="1:4">
      <c r="A19" s="1088">
        <v>356</v>
      </c>
      <c r="B19" s="1088" t="s">
        <v>1153</v>
      </c>
      <c r="C19" s="1697">
        <v>2.2700000000000001E-2</v>
      </c>
      <c r="D19" s="1079"/>
    </row>
    <row r="20" spans="1:4">
      <c r="A20" s="1088">
        <v>357</v>
      </c>
      <c r="B20" s="1088" t="s">
        <v>1154</v>
      </c>
      <c r="C20" s="1697">
        <v>0.02</v>
      </c>
      <c r="D20" s="1079"/>
    </row>
    <row r="21" spans="1:4">
      <c r="A21" s="1088">
        <v>358</v>
      </c>
      <c r="B21" s="1088" t="s">
        <v>1155</v>
      </c>
      <c r="C21" s="1697">
        <v>2.5600000000000001E-2</v>
      </c>
      <c r="D21" s="1079"/>
    </row>
    <row r="22" spans="1:4">
      <c r="A22" s="1088">
        <v>359</v>
      </c>
      <c r="B22" s="1088" t="s">
        <v>1156</v>
      </c>
      <c r="C22" s="1697" t="s">
        <v>1549</v>
      </c>
      <c r="D22" s="1079"/>
    </row>
    <row r="23" spans="1:4">
      <c r="A23" s="1088"/>
      <c r="B23" s="1088"/>
      <c r="C23" s="1081"/>
      <c r="D23" s="1079"/>
    </row>
    <row r="24" spans="1:4">
      <c r="A24" s="1084"/>
      <c r="B24" s="1086" t="s">
        <v>1157</v>
      </c>
      <c r="C24" s="1087"/>
      <c r="D24" s="1079"/>
    </row>
    <row r="25" spans="1:4">
      <c r="A25" s="1088">
        <v>390</v>
      </c>
      <c r="B25" s="1088" t="s">
        <v>1149</v>
      </c>
      <c r="C25" s="1697">
        <v>1.29E-2</v>
      </c>
      <c r="D25" s="1079"/>
    </row>
    <row r="26" spans="1:4">
      <c r="A26" s="1088">
        <v>390.1</v>
      </c>
      <c r="B26" s="1088" t="s">
        <v>1149</v>
      </c>
      <c r="C26" s="1697">
        <v>2.4E-2</v>
      </c>
      <c r="D26" s="1079"/>
    </row>
    <row r="27" spans="1:4">
      <c r="A27" s="1088">
        <v>390.2</v>
      </c>
      <c r="B27" s="1088" t="s">
        <v>1149</v>
      </c>
      <c r="C27" s="1697">
        <v>3.5900000000000001E-2</v>
      </c>
      <c r="D27" s="1079"/>
    </row>
    <row r="28" spans="1:4">
      <c r="A28" s="1088">
        <v>390.3</v>
      </c>
      <c r="B28" s="1088" t="s">
        <v>1149</v>
      </c>
      <c r="C28" s="1697">
        <v>2.6100000000000002E-2</v>
      </c>
      <c r="D28" s="1079"/>
    </row>
    <row r="29" spans="1:4">
      <c r="A29" s="1088">
        <v>391</v>
      </c>
      <c r="B29" s="1088" t="s">
        <v>1158</v>
      </c>
      <c r="C29" s="1697">
        <v>0.2</v>
      </c>
      <c r="D29" s="1079"/>
    </row>
    <row r="30" spans="1:4">
      <c r="A30" s="1088">
        <v>391.1</v>
      </c>
      <c r="B30" s="1088" t="s">
        <v>1158</v>
      </c>
      <c r="C30" s="1697">
        <v>7.3000000000000001E-3</v>
      </c>
      <c r="D30" s="1079"/>
    </row>
    <row r="31" spans="1:4">
      <c r="A31" s="1088">
        <v>392</v>
      </c>
      <c r="B31" s="1088" t="s">
        <v>1548</v>
      </c>
      <c r="C31" s="1697">
        <v>9.0800000000000006E-2</v>
      </c>
      <c r="D31" s="1079"/>
    </row>
    <row r="32" spans="1:4">
      <c r="A32" s="1088">
        <v>392.1</v>
      </c>
      <c r="B32" s="1088" t="s">
        <v>1548</v>
      </c>
      <c r="C32" s="1697">
        <v>9.0800000000000006E-2</v>
      </c>
      <c r="D32" s="1079"/>
    </row>
    <row r="33" spans="1:9">
      <c r="A33" s="1088">
        <v>393</v>
      </c>
      <c r="B33" s="1088" t="s">
        <v>1159</v>
      </c>
      <c r="C33" s="1697">
        <v>0.04</v>
      </c>
      <c r="D33" s="1079"/>
    </row>
    <row r="34" spans="1:9">
      <c r="A34" s="1088">
        <v>394</v>
      </c>
      <c r="B34" s="1088" t="s">
        <v>1160</v>
      </c>
      <c r="C34" s="1697">
        <v>0.04</v>
      </c>
      <c r="D34" s="1079"/>
    </row>
    <row r="35" spans="1:9">
      <c r="A35" s="1088">
        <v>394.1</v>
      </c>
      <c r="B35" s="1088" t="s">
        <v>1160</v>
      </c>
      <c r="C35" s="1697">
        <v>0.04</v>
      </c>
      <c r="D35" s="1079"/>
    </row>
    <row r="36" spans="1:9">
      <c r="A36" s="1088">
        <v>395</v>
      </c>
      <c r="B36" s="1088" t="s">
        <v>1161</v>
      </c>
      <c r="C36" s="1697"/>
      <c r="D36" s="1079"/>
    </row>
    <row r="37" spans="1:9">
      <c r="A37" s="1088">
        <v>396</v>
      </c>
      <c r="B37" s="1088" t="s">
        <v>1162</v>
      </c>
      <c r="C37" s="1697" t="s">
        <v>1549</v>
      </c>
      <c r="D37" s="1079"/>
    </row>
    <row r="38" spans="1:9">
      <c r="A38" s="1088">
        <v>397.1</v>
      </c>
      <c r="B38" s="1088" t="s">
        <v>1163</v>
      </c>
      <c r="C38" s="1697">
        <v>6.6699999999999995E-2</v>
      </c>
      <c r="D38" s="1079"/>
    </row>
    <row r="39" spans="1:9">
      <c r="A39" s="1088">
        <v>397.2</v>
      </c>
      <c r="B39" s="1088" t="s">
        <v>1163</v>
      </c>
      <c r="C39" s="1697">
        <v>3.8699999999999998E-2</v>
      </c>
      <c r="D39" s="1079"/>
    </row>
    <row r="40" spans="1:9">
      <c r="A40" s="1088">
        <v>398.1</v>
      </c>
      <c r="B40" s="1076" t="s">
        <v>1164</v>
      </c>
      <c r="C40" s="1697">
        <v>4.87E-2</v>
      </c>
      <c r="D40" s="1079"/>
    </row>
    <row r="41" spans="1:9" ht="16.5" customHeight="1">
      <c r="A41" s="1088"/>
      <c r="B41" s="1076"/>
      <c r="C41" s="1076"/>
      <c r="D41" s="1079"/>
    </row>
    <row r="42" spans="1:9">
      <c r="A42" s="1088"/>
      <c r="B42" s="1076"/>
      <c r="C42" s="1076"/>
      <c r="D42" s="1079"/>
    </row>
    <row r="43" spans="1:9">
      <c r="A43" s="1088"/>
      <c r="B43" s="1086" t="s">
        <v>1165</v>
      </c>
      <c r="C43" s="1087"/>
      <c r="D43" s="1079"/>
    </row>
    <row r="44" spans="1:9">
      <c r="A44" s="1088">
        <v>302</v>
      </c>
      <c r="B44" s="1088" t="s">
        <v>1166</v>
      </c>
      <c r="C44" s="1155"/>
      <c r="D44" s="1079"/>
    </row>
    <row r="45" spans="1:9">
      <c r="A45" s="1088">
        <v>303</v>
      </c>
      <c r="B45" s="1088" t="s">
        <v>1167</v>
      </c>
      <c r="C45" s="1155"/>
      <c r="D45" s="1079"/>
    </row>
    <row r="46" spans="1:9">
      <c r="A46" s="1152">
        <v>303.10000000000002</v>
      </c>
      <c r="B46" s="1152" t="s">
        <v>1193</v>
      </c>
      <c r="C46" s="1696">
        <f>1/2</f>
        <v>0.5</v>
      </c>
      <c r="D46" s="1079"/>
    </row>
    <row r="47" spans="1:9">
      <c r="A47" s="1152">
        <v>303.2</v>
      </c>
      <c r="B47" s="1152" t="s">
        <v>1168</v>
      </c>
      <c r="C47" s="1696">
        <v>0.33333333333333331</v>
      </c>
      <c r="D47" s="1079"/>
    </row>
    <row r="48" spans="1:9" ht="16.5" customHeight="1">
      <c r="A48" s="1152">
        <v>303.3</v>
      </c>
      <c r="B48" s="1152" t="s">
        <v>1169</v>
      </c>
      <c r="C48" s="1696">
        <v>0.25</v>
      </c>
      <c r="D48" s="1089"/>
      <c r="E48" s="1089"/>
      <c r="F48" s="1089"/>
      <c r="G48" s="1089"/>
      <c r="H48" s="1089"/>
      <c r="I48" s="1089"/>
    </row>
    <row r="49" spans="1:9">
      <c r="A49" s="1152">
        <v>303.39999999999998</v>
      </c>
      <c r="B49" s="1152" t="s">
        <v>1170</v>
      </c>
      <c r="C49" s="1696">
        <v>0.2</v>
      </c>
    </row>
    <row r="50" spans="1:9">
      <c r="A50" s="1152">
        <v>303.5</v>
      </c>
      <c r="B50" s="1152" t="s">
        <v>1171</v>
      </c>
      <c r="C50" s="1696">
        <v>0.14285714285714285</v>
      </c>
    </row>
    <row r="51" spans="1:9">
      <c r="A51" s="1152">
        <v>303.60000000000002</v>
      </c>
      <c r="B51" s="1152" t="s">
        <v>1172</v>
      </c>
      <c r="C51" s="1696">
        <v>0.1</v>
      </c>
      <c r="D51" s="1079"/>
    </row>
    <row r="52" spans="1:9">
      <c r="A52" s="1152">
        <v>303.7</v>
      </c>
      <c r="B52" s="1152" t="s">
        <v>1173</v>
      </c>
      <c r="C52" s="1696">
        <v>8.3333333333333329E-2</v>
      </c>
      <c r="D52" s="1079"/>
    </row>
    <row r="53" spans="1:9" ht="16.5" customHeight="1">
      <c r="A53" s="1152">
        <v>303.8</v>
      </c>
      <c r="B53" s="1152" t="s">
        <v>1174</v>
      </c>
      <c r="C53" s="1696">
        <v>6.6666666666666666E-2</v>
      </c>
      <c r="D53" s="1089"/>
      <c r="E53" s="1089"/>
      <c r="F53" s="1089"/>
      <c r="G53" s="1089"/>
      <c r="H53" s="1089"/>
      <c r="I53" s="1089"/>
    </row>
    <row r="54" spans="1:9">
      <c r="A54" s="1150"/>
      <c r="B54" s="1151"/>
    </row>
    <row r="55" spans="1:9">
      <c r="A55" s="1150"/>
      <c r="B55" s="1150"/>
    </row>
    <row r="56" spans="1:9">
      <c r="A56" s="1150"/>
      <c r="B56" s="1150"/>
    </row>
    <row r="57" spans="1:9">
      <c r="A57" s="1150"/>
      <c r="B57" s="1150"/>
    </row>
    <row r="58" spans="1:9">
      <c r="A58" s="1114" t="s">
        <v>1194</v>
      </c>
      <c r="B58" s="1154" t="s">
        <v>1195</v>
      </c>
      <c r="C58" s="1155"/>
    </row>
    <row r="59" spans="1:9">
      <c r="A59" s="1150"/>
      <c r="B59" s="1150"/>
    </row>
    <row r="60" spans="1:9">
      <c r="A60" s="1150"/>
      <c r="B60" s="1150"/>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6"/>
  <sheetViews>
    <sheetView topLeftCell="D67" zoomScale="80" zoomScaleNormal="80" zoomScaleSheetLayoutView="55" workbookViewId="0">
      <selection activeCell="J67" sqref="J67"/>
    </sheetView>
  </sheetViews>
  <sheetFormatPr defaultColWidth="9.1796875" defaultRowHeight="12.5"/>
  <cols>
    <col min="1" max="1" width="5.7265625" style="1350" customWidth="1"/>
    <col min="2" max="2" width="11.453125" style="1352" customWidth="1"/>
    <col min="3" max="3" width="75.1796875" style="1350" customWidth="1"/>
    <col min="4" max="4" width="0.54296875" style="1350" customWidth="1"/>
    <col min="5" max="5" width="29.1796875" style="1350" customWidth="1"/>
    <col min="6" max="6" width="26.453125" style="1350" customWidth="1"/>
    <col min="7" max="7" width="18.81640625" style="1350" customWidth="1"/>
    <col min="8" max="8" width="27.81640625" style="1350" customWidth="1"/>
    <col min="9" max="9" width="28.81640625" style="1350" customWidth="1"/>
    <col min="10" max="10" width="85.7265625" style="1350" customWidth="1"/>
    <col min="11" max="11" width="5.7265625" style="1350" customWidth="1"/>
    <col min="12" max="16384" width="9.1796875" style="1350"/>
  </cols>
  <sheetData>
    <row r="1" spans="1:18" ht="15.5">
      <c r="A1" s="1742" t="s">
        <v>1547</v>
      </c>
      <c r="B1" s="1742"/>
      <c r="C1" s="1742"/>
      <c r="D1" s="1742"/>
      <c r="E1" s="1742"/>
      <c r="F1" s="1742"/>
      <c r="G1" s="1742"/>
      <c r="H1" s="1742"/>
      <c r="I1" s="1742"/>
      <c r="J1" s="1742"/>
      <c r="K1" s="1742"/>
    </row>
    <row r="2" spans="1:18" ht="15.5">
      <c r="A2" s="1743" t="s">
        <v>896</v>
      </c>
      <c r="B2" s="1743"/>
      <c r="C2" s="1743"/>
      <c r="D2" s="1743"/>
      <c r="E2" s="1743"/>
      <c r="F2" s="1743"/>
      <c r="G2" s="1743"/>
      <c r="H2" s="1743"/>
      <c r="I2" s="1743"/>
      <c r="J2" s="1743"/>
      <c r="K2" s="1743"/>
    </row>
    <row r="3" spans="1:18" ht="15.5">
      <c r="A3" s="1742" t="s">
        <v>1328</v>
      </c>
      <c r="B3" s="1742"/>
      <c r="C3" s="1742"/>
      <c r="D3" s="1742"/>
      <c r="E3" s="1742"/>
      <c r="F3" s="1742"/>
      <c r="G3" s="1742"/>
      <c r="H3" s="1742"/>
      <c r="I3" s="1742"/>
      <c r="J3" s="1742"/>
      <c r="K3" s="1742"/>
    </row>
    <row r="4" spans="1:18" ht="13">
      <c r="B4" s="1351"/>
    </row>
    <row r="5" spans="1:18" ht="13">
      <c r="I5" s="1353"/>
    </row>
    <row r="6" spans="1:18" ht="13">
      <c r="B6" s="1744" t="s">
        <v>1804</v>
      </c>
      <c r="C6" s="1744"/>
      <c r="D6" s="1744"/>
      <c r="E6" s="1744"/>
      <c r="F6" s="1744"/>
      <c r="G6" s="1744"/>
      <c r="H6" s="1744"/>
      <c r="I6" s="1744"/>
      <c r="J6" s="1744"/>
    </row>
    <row r="7" spans="1:18" ht="13">
      <c r="F7" s="1354" t="s">
        <v>1329</v>
      </c>
      <c r="G7" s="1355" t="s">
        <v>258</v>
      </c>
      <c r="H7" s="1355"/>
    </row>
    <row r="8" spans="1:18" ht="13">
      <c r="F8" s="1354" t="s">
        <v>1330</v>
      </c>
      <c r="G8" s="1355" t="s">
        <v>228</v>
      </c>
      <c r="H8" s="1355" t="s">
        <v>259</v>
      </c>
      <c r="I8" s="1355" t="s">
        <v>260</v>
      </c>
    </row>
    <row r="9" spans="1:18" ht="13">
      <c r="B9" s="1356" t="s">
        <v>573</v>
      </c>
      <c r="C9" s="1356" t="s">
        <v>926</v>
      </c>
      <c r="E9" s="1357" t="s">
        <v>44</v>
      </c>
      <c r="F9" s="1357" t="s">
        <v>1331</v>
      </c>
      <c r="G9" s="1358" t="s">
        <v>261</v>
      </c>
      <c r="H9" s="1358" t="s">
        <v>261</v>
      </c>
      <c r="I9" s="1358" t="s">
        <v>261</v>
      </c>
    </row>
    <row r="10" spans="1:18" ht="5.15" customHeight="1"/>
    <row r="11" spans="1:18">
      <c r="B11" s="1352">
        <v>1</v>
      </c>
      <c r="C11" s="1359" t="s">
        <v>263</v>
      </c>
      <c r="E11" s="1360">
        <f>F11+G11+H11+I11</f>
        <v>16211638.327771388</v>
      </c>
      <c r="F11" s="1360">
        <f>F77</f>
        <v>0</v>
      </c>
      <c r="G11" s="1360">
        <f>G77</f>
        <v>0</v>
      </c>
      <c r="H11" s="1360">
        <f>H77</f>
        <v>15315337.285796501</v>
      </c>
      <c r="I11" s="1360">
        <f>I77</f>
        <v>896301.04197488748</v>
      </c>
    </row>
    <row r="12" spans="1:18">
      <c r="B12" s="1352">
        <f>B11+1</f>
        <v>2</v>
      </c>
      <c r="C12" s="1359" t="s">
        <v>927</v>
      </c>
      <c r="E12" s="1360">
        <f>F12+G12+H12+I12</f>
        <v>0</v>
      </c>
      <c r="F12" s="1360">
        <v>0</v>
      </c>
      <c r="G12" s="1360">
        <v>0</v>
      </c>
      <c r="H12" s="1360">
        <v>0</v>
      </c>
      <c r="I12" s="1360">
        <v>0</v>
      </c>
      <c r="O12" s="1361"/>
      <c r="P12" s="1361"/>
      <c r="Q12" s="1361"/>
      <c r="R12" s="1361"/>
    </row>
    <row r="13" spans="1:18">
      <c r="B13" s="1352">
        <f>B12+1</f>
        <v>3</v>
      </c>
      <c r="C13" s="1359" t="s">
        <v>928</v>
      </c>
      <c r="E13" s="1360">
        <f>F13+G13+H13+I13</f>
        <v>-188855432.57418644</v>
      </c>
      <c r="F13" s="1360">
        <f>F147</f>
        <v>0</v>
      </c>
      <c r="G13" s="1360">
        <f>G147</f>
        <v>0</v>
      </c>
      <c r="H13" s="1360">
        <f>H147</f>
        <v>-188855432.57418644</v>
      </c>
      <c r="I13" s="1360">
        <f>I147</f>
        <v>0</v>
      </c>
      <c r="O13" s="1361"/>
      <c r="P13" s="1361"/>
      <c r="Q13" s="1361"/>
      <c r="R13" s="1361"/>
    </row>
    <row r="14" spans="1:18">
      <c r="B14" s="1352">
        <f>B13+1</f>
        <v>4</v>
      </c>
      <c r="C14" s="1359" t="s">
        <v>262</v>
      </c>
      <c r="E14" s="1360">
        <f>F14+G14+H14+I14</f>
        <v>-1659743.2889467473</v>
      </c>
      <c r="F14" s="1360">
        <f>F220</f>
        <v>0</v>
      </c>
      <c r="G14" s="1360">
        <f>G220</f>
        <v>-378604.44019500003</v>
      </c>
      <c r="H14" s="1360">
        <f>H220</f>
        <v>52584.691937654417</v>
      </c>
      <c r="I14" s="1360">
        <f>I220</f>
        <v>-1333723.5406894016</v>
      </c>
      <c r="O14" s="1361"/>
      <c r="P14" s="1361"/>
      <c r="Q14" s="1361"/>
      <c r="R14" s="1361"/>
    </row>
    <row r="15" spans="1:18">
      <c r="B15" s="1352">
        <f>B14+1</f>
        <v>5</v>
      </c>
      <c r="C15" s="1359" t="s">
        <v>276</v>
      </c>
      <c r="E15" s="1360">
        <f>F15+G15+H15+I15</f>
        <v>0</v>
      </c>
      <c r="F15" s="1360">
        <f>F293</f>
        <v>0</v>
      </c>
      <c r="G15" s="1360">
        <f>G293</f>
        <v>0</v>
      </c>
      <c r="H15" s="1360">
        <f>H293</f>
        <v>0</v>
      </c>
      <c r="I15" s="1360">
        <f>I293</f>
        <v>0</v>
      </c>
      <c r="O15" s="1361"/>
      <c r="P15" s="1361"/>
      <c r="Q15" s="1361"/>
      <c r="R15" s="1361"/>
    </row>
    <row r="16" spans="1:18" ht="5.15" customHeight="1">
      <c r="E16" s="1362"/>
      <c r="F16" s="1362"/>
      <c r="G16" s="1362"/>
      <c r="H16" s="1362"/>
      <c r="I16" s="1362"/>
    </row>
    <row r="17" spans="2:10" ht="13">
      <c r="B17" s="1352">
        <f>B16+6</f>
        <v>6</v>
      </c>
      <c r="C17" s="1363" t="s">
        <v>929</v>
      </c>
      <c r="E17" s="1360">
        <f>E11+E12+E13+E14+E15</f>
        <v>-174303537.5353618</v>
      </c>
      <c r="F17" s="1360">
        <f>F11+F12+F13+F14+F15</f>
        <v>0</v>
      </c>
      <c r="G17" s="1360">
        <f>G11+G12+G13+G14+G15</f>
        <v>-378604.44019500003</v>
      </c>
      <c r="H17" s="1360">
        <f>H11+H12+H13+H14+H15</f>
        <v>-173487510.5964523</v>
      </c>
      <c r="I17" s="1360">
        <f>I11+I12+I13+I14+I15</f>
        <v>-437422.49871451408</v>
      </c>
      <c r="J17" s="1364"/>
    </row>
    <row r="18" spans="2:10">
      <c r="C18" s="1352"/>
      <c r="F18" s="1361"/>
      <c r="G18" s="1361"/>
      <c r="H18" s="1361"/>
      <c r="I18" s="1365"/>
    </row>
    <row r="19" spans="2:10">
      <c r="C19" s="1352"/>
      <c r="F19" s="1361"/>
      <c r="G19" s="1361"/>
      <c r="H19" s="1361"/>
      <c r="I19" s="1365"/>
    </row>
    <row r="20" spans="2:10" ht="13">
      <c r="B20" s="1366" t="s">
        <v>573</v>
      </c>
      <c r="C20" s="1366" t="s">
        <v>1332</v>
      </c>
      <c r="D20" s="367"/>
      <c r="E20" s="1357" t="s">
        <v>44</v>
      </c>
      <c r="F20" s="367"/>
      <c r="G20" s="367"/>
      <c r="H20" s="367"/>
      <c r="I20" s="1367"/>
    </row>
    <row r="21" spans="2:10">
      <c r="B21" s="367"/>
      <c r="C21" s="367"/>
      <c r="D21" s="367"/>
      <c r="E21" s="367"/>
      <c r="F21" s="367"/>
      <c r="G21" s="367"/>
      <c r="H21" s="367"/>
      <c r="I21" s="1367"/>
    </row>
    <row r="22" spans="2:10">
      <c r="B22" s="1368">
        <f>B17+1</f>
        <v>7</v>
      </c>
      <c r="C22" s="1350" t="s">
        <v>1333</v>
      </c>
      <c r="E22" s="1360">
        <v>-1038322</v>
      </c>
      <c r="I22" s="1369"/>
    </row>
    <row r="23" spans="2:10">
      <c r="B23" s="1350"/>
    </row>
    <row r="24" spans="2:10" ht="12.75" customHeight="1">
      <c r="B24" s="1745" t="s">
        <v>1757</v>
      </c>
      <c r="C24" s="1745"/>
      <c r="D24" s="1745"/>
      <c r="E24" s="1745"/>
      <c r="F24" s="1745"/>
      <c r="G24" s="1745"/>
      <c r="H24" s="1745"/>
      <c r="I24" s="1745"/>
    </row>
    <row r="25" spans="2:10">
      <c r="B25" s="1745"/>
      <c r="C25" s="1745"/>
      <c r="D25" s="1745"/>
      <c r="E25" s="1745"/>
      <c r="F25" s="1745"/>
      <c r="G25" s="1745"/>
      <c r="H25" s="1745"/>
      <c r="I25" s="1745"/>
    </row>
    <row r="26" spans="2:10">
      <c r="B26" s="1745"/>
      <c r="C26" s="1745"/>
      <c r="D26" s="1745"/>
      <c r="E26" s="1745"/>
      <c r="F26" s="1745"/>
      <c r="G26" s="1745"/>
      <c r="H26" s="1745"/>
      <c r="I26" s="1745"/>
    </row>
    <row r="27" spans="2:10">
      <c r="B27" s="367"/>
      <c r="C27" s="367"/>
      <c r="D27" s="367"/>
      <c r="E27" s="367"/>
      <c r="F27" s="367"/>
      <c r="G27" s="367"/>
      <c r="H27" s="367"/>
      <c r="I27" s="1367"/>
    </row>
    <row r="29" spans="2:10" ht="15" customHeight="1">
      <c r="B29" s="1745" t="s">
        <v>1334</v>
      </c>
      <c r="C29" s="1745"/>
      <c r="D29" s="1745"/>
      <c r="E29" s="1745"/>
      <c r="F29" s="1745"/>
      <c r="G29" s="1745"/>
      <c r="H29" s="1745"/>
      <c r="I29" s="1745"/>
      <c r="J29" s="1686"/>
    </row>
    <row r="30" spans="2:10">
      <c r="B30" s="1745"/>
      <c r="C30" s="1745"/>
      <c r="D30" s="1745"/>
      <c r="E30" s="1745"/>
      <c r="F30" s="1745"/>
      <c r="G30" s="1745"/>
      <c r="H30" s="1745"/>
      <c r="I30" s="1745"/>
      <c r="J30" s="1686"/>
    </row>
    <row r="31" spans="2:10" ht="13">
      <c r="I31" s="1353"/>
    </row>
    <row r="32" spans="2:10" ht="13">
      <c r="B32" s="1354" t="s">
        <v>174</v>
      </c>
      <c r="C32" s="1354"/>
      <c r="D32" s="1354"/>
      <c r="E32" s="1354" t="s">
        <v>175</v>
      </c>
      <c r="F32" s="1354" t="s">
        <v>1142</v>
      </c>
      <c r="G32" s="1354" t="s">
        <v>1295</v>
      </c>
      <c r="H32" s="1354" t="s">
        <v>1296</v>
      </c>
      <c r="I32" s="1354" t="s">
        <v>1297</v>
      </c>
      <c r="J32" s="1354" t="s">
        <v>1298</v>
      </c>
    </row>
    <row r="33" spans="2:10" ht="13">
      <c r="B33" s="1363"/>
      <c r="C33" s="367"/>
      <c r="D33" s="367"/>
      <c r="E33" s="1354"/>
      <c r="F33" s="1354" t="s">
        <v>1329</v>
      </c>
      <c r="G33" s="1354" t="s">
        <v>258</v>
      </c>
      <c r="H33" s="1354"/>
      <c r="I33" s="1354"/>
      <c r="J33" s="1687"/>
    </row>
    <row r="34" spans="2:10" ht="13">
      <c r="B34" s="1370"/>
      <c r="C34" s="367"/>
      <c r="D34" s="367"/>
      <c r="E34" s="1354"/>
      <c r="F34" s="1354" t="s">
        <v>1330</v>
      </c>
      <c r="G34" s="1354" t="s">
        <v>228</v>
      </c>
      <c r="H34" s="1354" t="s">
        <v>259</v>
      </c>
      <c r="I34" s="1354" t="s">
        <v>260</v>
      </c>
      <c r="J34" s="1687"/>
    </row>
    <row r="35" spans="2:10" ht="13">
      <c r="B35" s="1363" t="s">
        <v>930</v>
      </c>
      <c r="C35" s="367"/>
      <c r="D35" s="367"/>
      <c r="E35" s="1354" t="s">
        <v>44</v>
      </c>
      <c r="F35" s="1357" t="s">
        <v>1331</v>
      </c>
      <c r="G35" s="1354" t="s">
        <v>261</v>
      </c>
      <c r="H35" s="1354" t="s">
        <v>261</v>
      </c>
      <c r="I35" s="1354" t="s">
        <v>261</v>
      </c>
      <c r="J35" s="1354" t="s">
        <v>265</v>
      </c>
    </row>
    <row r="36" spans="2:10" ht="25">
      <c r="B36" s="1638" t="s">
        <v>1507</v>
      </c>
      <c r="C36" s="1639"/>
      <c r="D36" s="1639"/>
      <c r="E36" s="1640">
        <f>SUM(F36:I36)</f>
        <v>910738.32713700004</v>
      </c>
      <c r="F36" s="1640">
        <v>0</v>
      </c>
      <c r="G36" s="1640">
        <v>0</v>
      </c>
      <c r="H36" s="1640">
        <v>0</v>
      </c>
      <c r="I36" s="1640">
        <v>910738.32713700004</v>
      </c>
      <c r="J36" s="1723" t="s">
        <v>1530</v>
      </c>
    </row>
    <row r="37" spans="2:10" ht="25">
      <c r="B37" s="1638" t="s">
        <v>1085</v>
      </c>
      <c r="C37" s="1639"/>
      <c r="D37" s="1641"/>
      <c r="E37" s="1640">
        <f t="shared" ref="E37:E63" si="0">SUM(F37:I37)</f>
        <v>2337728.2309890003</v>
      </c>
      <c r="F37" s="1640">
        <v>0</v>
      </c>
      <c r="G37" s="1640">
        <v>0</v>
      </c>
      <c r="H37" s="1640">
        <v>0</v>
      </c>
      <c r="I37" s="1640">
        <v>2337728.2309890003</v>
      </c>
      <c r="J37" s="1723" t="s">
        <v>1530</v>
      </c>
    </row>
    <row r="38" spans="2:10">
      <c r="B38" s="1638" t="s">
        <v>1508</v>
      </c>
      <c r="C38" s="1639"/>
      <c r="D38" s="1641"/>
      <c r="E38" s="1640">
        <f t="shared" si="0"/>
        <v>335676.990177</v>
      </c>
      <c r="F38" s="1640">
        <v>335676.990177</v>
      </c>
      <c r="G38" s="1640">
        <v>0</v>
      </c>
      <c r="H38" s="1640">
        <v>0</v>
      </c>
      <c r="I38" s="1640">
        <v>0</v>
      </c>
      <c r="J38" s="1723" t="s">
        <v>1531</v>
      </c>
    </row>
    <row r="39" spans="2:10">
      <c r="B39" s="1638" t="s">
        <v>1794</v>
      </c>
      <c r="C39" s="1639"/>
      <c r="D39" s="1641"/>
      <c r="E39" s="1640">
        <f t="shared" si="0"/>
        <v>17568.75</v>
      </c>
      <c r="F39" s="1640">
        <v>17568.75</v>
      </c>
      <c r="G39" s="1640">
        <v>0</v>
      </c>
      <c r="H39" s="1640">
        <v>0</v>
      </c>
      <c r="I39" s="1640">
        <v>0</v>
      </c>
      <c r="J39" s="1723"/>
    </row>
    <row r="40" spans="2:10" ht="37.5">
      <c r="B40" s="1638" t="s">
        <v>1509</v>
      </c>
      <c r="C40" s="1639"/>
      <c r="D40" s="1641"/>
      <c r="E40" s="1640">
        <f t="shared" si="0"/>
        <v>3352661.6843010001</v>
      </c>
      <c r="F40" s="1640">
        <v>0</v>
      </c>
      <c r="G40" s="1640">
        <v>0</v>
      </c>
      <c r="H40" s="1640">
        <v>0</v>
      </c>
      <c r="I40" s="1640">
        <v>3352661.6843010001</v>
      </c>
      <c r="J40" s="1723" t="s">
        <v>1532</v>
      </c>
    </row>
    <row r="41" spans="2:10">
      <c r="B41" s="1638" t="s">
        <v>1510</v>
      </c>
      <c r="C41" s="1639"/>
      <c r="D41" s="1641"/>
      <c r="E41" s="1640">
        <f t="shared" si="0"/>
        <v>1455931.6835946334</v>
      </c>
      <c r="F41" s="1640">
        <v>1455931.6835946334</v>
      </c>
      <c r="G41" s="1640">
        <v>0</v>
      </c>
      <c r="H41" s="1640">
        <v>0</v>
      </c>
      <c r="I41" s="1640">
        <v>0</v>
      </c>
      <c r="J41" s="1723" t="s">
        <v>1531</v>
      </c>
    </row>
    <row r="42" spans="2:10" ht="25">
      <c r="B42" s="1638" t="s">
        <v>1511</v>
      </c>
      <c r="C42" s="1639"/>
      <c r="D42" s="1641"/>
      <c r="E42" s="1640">
        <f t="shared" si="0"/>
        <v>172674.39191100001</v>
      </c>
      <c r="F42" s="1640">
        <v>0</v>
      </c>
      <c r="G42" s="1640">
        <v>0</v>
      </c>
      <c r="H42" s="1640">
        <v>0</v>
      </c>
      <c r="I42" s="1640">
        <v>172674.39191100001</v>
      </c>
      <c r="J42" s="1723" t="s">
        <v>1530</v>
      </c>
    </row>
    <row r="43" spans="2:10" ht="25">
      <c r="B43" s="1638" t="s">
        <v>1259</v>
      </c>
      <c r="C43" s="1639"/>
      <c r="D43" s="1641"/>
      <c r="E43" s="1640">
        <f t="shared" si="0"/>
        <v>2248.8168660000001</v>
      </c>
      <c r="F43" s="1640">
        <v>0</v>
      </c>
      <c r="G43" s="1640">
        <v>0</v>
      </c>
      <c r="H43" s="1640">
        <v>0</v>
      </c>
      <c r="I43" s="1640">
        <v>2248.8168660000001</v>
      </c>
      <c r="J43" s="1723" t="s">
        <v>1530</v>
      </c>
    </row>
    <row r="44" spans="2:10" ht="25">
      <c r="B44" s="1638" t="s">
        <v>1466</v>
      </c>
      <c r="C44" s="1639"/>
      <c r="D44" s="1641"/>
      <c r="E44" s="1640">
        <f t="shared" si="0"/>
        <v>2461.7079510000003</v>
      </c>
      <c r="F44" s="1640">
        <v>0</v>
      </c>
      <c r="G44" s="1640">
        <v>0</v>
      </c>
      <c r="H44" s="1640">
        <v>0</v>
      </c>
      <c r="I44" s="1640">
        <v>2461.7079510000003</v>
      </c>
      <c r="J44" s="1723" t="s">
        <v>1530</v>
      </c>
    </row>
    <row r="45" spans="2:10">
      <c r="B45" s="1638" t="s">
        <v>1087</v>
      </c>
      <c r="C45" s="1639"/>
      <c r="D45" s="1641"/>
      <c r="E45" s="1640">
        <f t="shared" si="0"/>
        <v>877645.03131300013</v>
      </c>
      <c r="F45" s="1640">
        <v>877645.03131300013</v>
      </c>
      <c r="G45" s="1640">
        <v>0</v>
      </c>
      <c r="H45" s="1640">
        <v>0</v>
      </c>
      <c r="I45" s="1640">
        <v>0</v>
      </c>
      <c r="J45" s="1723" t="s">
        <v>1531</v>
      </c>
    </row>
    <row r="46" spans="2:10" ht="25">
      <c r="B46" s="1638" t="s">
        <v>1512</v>
      </c>
      <c r="C46" s="1639"/>
      <c r="D46" s="1641"/>
      <c r="E46" s="1640">
        <f t="shared" si="0"/>
        <v>3027490.3905960005</v>
      </c>
      <c r="F46" s="1640">
        <v>0</v>
      </c>
      <c r="G46" s="1640">
        <v>0</v>
      </c>
      <c r="H46" s="1640">
        <v>0</v>
      </c>
      <c r="I46" s="1640">
        <v>3027490.3905960005</v>
      </c>
      <c r="J46" s="1723" t="s">
        <v>1530</v>
      </c>
    </row>
    <row r="47" spans="2:10">
      <c r="B47" s="1638" t="s">
        <v>267</v>
      </c>
      <c r="C47" s="1639"/>
      <c r="D47" s="1641"/>
      <c r="E47" s="1640">
        <f t="shared" si="0"/>
        <v>12178747.415457003</v>
      </c>
      <c r="F47" s="1640">
        <v>12178747.415457003</v>
      </c>
      <c r="G47" s="1640">
        <v>0</v>
      </c>
      <c r="H47" s="1640">
        <v>0</v>
      </c>
      <c r="I47" s="1640">
        <v>0</v>
      </c>
      <c r="J47" s="1723" t="s">
        <v>1531</v>
      </c>
    </row>
    <row r="48" spans="2:10">
      <c r="B48" s="1638" t="s">
        <v>1513</v>
      </c>
      <c r="C48" s="1639"/>
      <c r="D48" s="1641"/>
      <c r="E48" s="1640">
        <f t="shared" si="0"/>
        <v>1593987.8157720002</v>
      </c>
      <c r="F48" s="1640">
        <v>1593987.8157720002</v>
      </c>
      <c r="G48" s="1640">
        <v>0</v>
      </c>
      <c r="H48" s="1640">
        <v>0</v>
      </c>
      <c r="I48" s="1640">
        <v>0</v>
      </c>
      <c r="J48" s="1723" t="s">
        <v>1531</v>
      </c>
    </row>
    <row r="49" spans="2:10">
      <c r="B49" s="1638" t="s">
        <v>266</v>
      </c>
      <c r="C49" s="1639"/>
      <c r="D49" s="1641"/>
      <c r="E49" s="1640">
        <f t="shared" si="0"/>
        <v>20113.596087000002</v>
      </c>
      <c r="F49" s="1640">
        <v>20113.596087000002</v>
      </c>
      <c r="G49" s="1640">
        <v>0</v>
      </c>
      <c r="H49" s="1640">
        <v>0</v>
      </c>
      <c r="I49" s="1640">
        <v>0</v>
      </c>
      <c r="J49" s="1723" t="s">
        <v>1531</v>
      </c>
    </row>
    <row r="50" spans="2:10">
      <c r="B50" s="1638" t="s">
        <v>1795</v>
      </c>
      <c r="C50" s="1639"/>
      <c r="D50" s="1641"/>
      <c r="E50" s="1640">
        <f t="shared" si="0"/>
        <v>3289206.0606720001</v>
      </c>
      <c r="F50" s="1640">
        <v>3289206.0606720001</v>
      </c>
      <c r="G50" s="1640">
        <v>0</v>
      </c>
      <c r="H50" s="1640">
        <v>0</v>
      </c>
      <c r="I50" s="1640">
        <v>0</v>
      </c>
      <c r="J50" s="1723" t="s">
        <v>1531</v>
      </c>
    </row>
    <row r="51" spans="2:10">
      <c r="B51" s="1638" t="s">
        <v>1627</v>
      </c>
      <c r="C51" s="1639"/>
      <c r="D51" s="1641"/>
      <c r="E51" s="1640">
        <f t="shared" si="0"/>
        <v>443467.26630000002</v>
      </c>
      <c r="F51" s="1640">
        <v>0</v>
      </c>
      <c r="G51" s="1640">
        <v>0</v>
      </c>
      <c r="H51" s="1640">
        <v>443467.26630000002</v>
      </c>
      <c r="I51" s="1640">
        <v>0</v>
      </c>
      <c r="J51" s="1723" t="s">
        <v>1628</v>
      </c>
    </row>
    <row r="52" spans="2:10">
      <c r="B52" s="1638" t="s">
        <v>1515</v>
      </c>
      <c r="C52" s="1639"/>
      <c r="D52" s="1641"/>
      <c r="E52" s="1640">
        <f t="shared" si="0"/>
        <v>-223213.35810000001</v>
      </c>
      <c r="F52" s="1640">
        <v>-223213.35810000001</v>
      </c>
      <c r="G52" s="1640">
        <v>0</v>
      </c>
      <c r="H52" s="1640">
        <v>0</v>
      </c>
      <c r="I52" s="1640">
        <v>0</v>
      </c>
      <c r="J52" s="1723" t="s">
        <v>1531</v>
      </c>
    </row>
    <row r="53" spans="2:10">
      <c r="B53" s="1638" t="s">
        <v>1796</v>
      </c>
      <c r="C53" s="1639"/>
      <c r="D53" s="1641"/>
      <c r="E53" s="1640">
        <f t="shared" si="0"/>
        <v>-130869.579396</v>
      </c>
      <c r="F53" s="1640">
        <v>-130869.579396</v>
      </c>
      <c r="G53" s="1640">
        <v>0</v>
      </c>
      <c r="H53" s="1640">
        <v>0</v>
      </c>
      <c r="I53" s="1640">
        <v>0</v>
      </c>
      <c r="J53" s="1723" t="s">
        <v>1531</v>
      </c>
    </row>
    <row r="54" spans="2:10">
      <c r="B54" s="1638" t="s">
        <v>1516</v>
      </c>
      <c r="C54" s="1639"/>
      <c r="D54" s="1641"/>
      <c r="E54" s="1640">
        <f t="shared" si="0"/>
        <v>8082488.4548699996</v>
      </c>
      <c r="F54" s="1640">
        <v>8082488.4548699996</v>
      </c>
      <c r="G54" s="1640">
        <v>0</v>
      </c>
      <c r="H54" s="1640">
        <v>0</v>
      </c>
      <c r="I54" s="1640">
        <v>0</v>
      </c>
      <c r="J54" s="1723" t="s">
        <v>1531</v>
      </c>
    </row>
    <row r="55" spans="2:10">
      <c r="B55" s="1638" t="s">
        <v>1517</v>
      </c>
      <c r="C55" s="1639"/>
      <c r="D55" s="1641"/>
      <c r="E55" s="1640">
        <f t="shared" si="0"/>
        <v>305989.43729999999</v>
      </c>
      <c r="F55" s="1640">
        <v>305989.43729999999</v>
      </c>
      <c r="G55" s="1640">
        <v>0</v>
      </c>
      <c r="H55" s="1640">
        <v>0</v>
      </c>
      <c r="I55" s="1640">
        <v>0</v>
      </c>
      <c r="J55" s="1723" t="s">
        <v>1531</v>
      </c>
    </row>
    <row r="56" spans="2:10">
      <c r="B56" s="1638" t="s">
        <v>1797</v>
      </c>
      <c r="C56" s="1639"/>
      <c r="D56" s="1641"/>
      <c r="E56" s="1640">
        <f t="shared" si="0"/>
        <v>-281.10000000000582</v>
      </c>
      <c r="F56" s="1640">
        <v>-281.10000000000582</v>
      </c>
      <c r="G56" s="1640">
        <v>0</v>
      </c>
      <c r="H56" s="1640">
        <v>0</v>
      </c>
      <c r="I56" s="1640">
        <v>0</v>
      </c>
      <c r="J56" s="1723" t="s">
        <v>1797</v>
      </c>
    </row>
    <row r="57" spans="2:10">
      <c r="B57" s="1638" t="s">
        <v>1471</v>
      </c>
      <c r="C57" s="1639"/>
      <c r="D57" s="1641"/>
      <c r="E57" s="1640">
        <f t="shared" si="0"/>
        <v>173731.57020000002</v>
      </c>
      <c r="F57" s="1640">
        <v>173731.57020000002</v>
      </c>
      <c r="G57" s="1640">
        <v>0</v>
      </c>
      <c r="H57" s="1640">
        <v>0</v>
      </c>
      <c r="I57" s="1640">
        <v>0</v>
      </c>
      <c r="J57" s="1723" t="s">
        <v>1531</v>
      </c>
    </row>
    <row r="58" spans="2:10" ht="25">
      <c r="B58" s="1638" t="s">
        <v>1518</v>
      </c>
      <c r="C58" s="1639"/>
      <c r="D58" s="1641"/>
      <c r="E58" s="1640">
        <f t="shared" si="0"/>
        <v>39896228.86974325</v>
      </c>
      <c r="F58" s="1640">
        <v>0</v>
      </c>
      <c r="G58" s="1640">
        <v>0</v>
      </c>
      <c r="H58" s="1640">
        <v>39896228.86974325</v>
      </c>
      <c r="I58" s="1640">
        <v>0</v>
      </c>
      <c r="J58" s="1723" t="s">
        <v>1533</v>
      </c>
    </row>
    <row r="59" spans="2:10" ht="50">
      <c r="B59" s="1638" t="s">
        <v>1519</v>
      </c>
      <c r="C59" s="1639"/>
      <c r="D59" s="1641"/>
      <c r="E59" s="1640">
        <f t="shared" si="0"/>
        <v>672385.23732809257</v>
      </c>
      <c r="F59" s="1640">
        <v>0</v>
      </c>
      <c r="G59" s="1640">
        <v>0</v>
      </c>
      <c r="H59" s="1640">
        <v>672385.23732809257</v>
      </c>
      <c r="I59" s="1640">
        <v>0</v>
      </c>
      <c r="J59" s="1723" t="s">
        <v>1534</v>
      </c>
    </row>
    <row r="60" spans="2:10">
      <c r="B60" s="1638" t="s">
        <v>1520</v>
      </c>
      <c r="C60" s="1639"/>
      <c r="D60" s="1641"/>
      <c r="E60" s="1640">
        <f t="shared" si="0"/>
        <v>3584.8967000000002</v>
      </c>
      <c r="F60" s="1640">
        <v>3584.8967000000002</v>
      </c>
      <c r="G60" s="1640">
        <v>0</v>
      </c>
      <c r="H60" s="1640">
        <v>0</v>
      </c>
      <c r="I60" s="1640">
        <v>0</v>
      </c>
      <c r="J60" s="1723" t="s">
        <v>1531</v>
      </c>
    </row>
    <row r="61" spans="2:10" ht="37.5">
      <c r="B61" s="1638" t="s">
        <v>1521</v>
      </c>
      <c r="C61" s="1639"/>
      <c r="D61" s="1641"/>
      <c r="E61" s="1640">
        <f t="shared" si="0"/>
        <v>74684673.721850991</v>
      </c>
      <c r="F61" s="1640">
        <v>74684673.721850991</v>
      </c>
      <c r="G61" s="1640">
        <v>0</v>
      </c>
      <c r="H61" s="1640">
        <v>0</v>
      </c>
      <c r="I61" s="1640">
        <v>0</v>
      </c>
      <c r="J61" s="1724" t="s">
        <v>1535</v>
      </c>
    </row>
    <row r="62" spans="2:10">
      <c r="B62" s="1638" t="s">
        <v>1474</v>
      </c>
      <c r="C62" s="1639"/>
      <c r="D62" s="1641"/>
      <c r="E62" s="1640">
        <f t="shared" si="0"/>
        <v>0</v>
      </c>
      <c r="F62" s="1640">
        <v>0</v>
      </c>
      <c r="G62" s="1640">
        <v>0</v>
      </c>
      <c r="H62" s="1640">
        <v>0</v>
      </c>
      <c r="I62" s="1640">
        <v>0</v>
      </c>
      <c r="J62" s="1723" t="s">
        <v>1531</v>
      </c>
    </row>
    <row r="63" spans="2:10" ht="25">
      <c r="B63" s="1638" t="s">
        <v>1514</v>
      </c>
      <c r="C63" s="1639"/>
      <c r="D63" s="1641"/>
      <c r="E63" s="1640">
        <f t="shared" si="0"/>
        <v>0</v>
      </c>
      <c r="F63" s="1640">
        <v>0</v>
      </c>
      <c r="G63" s="1640">
        <v>0</v>
      </c>
      <c r="H63" s="1640">
        <v>0</v>
      </c>
      <c r="I63" s="1640">
        <v>0</v>
      </c>
      <c r="J63" s="1723" t="s">
        <v>1530</v>
      </c>
    </row>
    <row r="64" spans="2:10" ht="13">
      <c r="B64" s="1374" t="s">
        <v>931</v>
      </c>
      <c r="C64" s="1375"/>
      <c r="D64" s="1376"/>
      <c r="E64" s="1377">
        <f>SUM(E36:E63)</f>
        <v>153483066.30961996</v>
      </c>
      <c r="F64" s="1377">
        <f>SUM(F36:F63)</f>
        <v>102664981.38649763</v>
      </c>
      <c r="G64" s="1377">
        <f>SUM(G36:G63)</f>
        <v>0</v>
      </c>
      <c r="H64" s="1377">
        <f>SUM(H36:H63)</f>
        <v>41012081.37337134</v>
      </c>
      <c r="I64" s="1377">
        <f>SUM(I36:I63)</f>
        <v>9806003.5497510023</v>
      </c>
      <c r="J64" s="1690"/>
    </row>
    <row r="65" spans="2:10" ht="13">
      <c r="B65" s="1378"/>
      <c r="C65" s="1376"/>
      <c r="D65" s="1376"/>
      <c r="E65" s="1377"/>
      <c r="F65" s="1377"/>
      <c r="G65" s="1377"/>
      <c r="H65" s="1377"/>
      <c r="I65" s="1377"/>
      <c r="J65" s="1690"/>
    </row>
    <row r="66" spans="2:10">
      <c r="B66" s="1379" t="s">
        <v>1335</v>
      </c>
      <c r="C66" s="1380"/>
      <c r="D66" s="1380"/>
      <c r="E66" s="1381">
        <f>SUM(F66:I66)</f>
        <v>0</v>
      </c>
      <c r="F66" s="1381"/>
      <c r="G66" s="1381"/>
      <c r="H66" s="1381"/>
      <c r="I66" s="1381"/>
      <c r="J66" s="1382"/>
    </row>
    <row r="67" spans="2:10">
      <c r="B67" s="1379" t="s">
        <v>1336</v>
      </c>
      <c r="C67" s="1380"/>
      <c r="D67" s="1380"/>
      <c r="E67" s="1381">
        <f>SUM(F67:I67)</f>
        <v>-672385.2373280921</v>
      </c>
      <c r="F67" s="1381">
        <v>0</v>
      </c>
      <c r="G67" s="1381">
        <v>0</v>
      </c>
      <c r="H67" s="1381">
        <v>-672385.2373280921</v>
      </c>
      <c r="I67" s="1381">
        <v>0</v>
      </c>
      <c r="J67" s="1382"/>
    </row>
    <row r="68" spans="2:10">
      <c r="B68" s="1379" t="s">
        <v>1337</v>
      </c>
      <c r="C68" s="1380"/>
      <c r="D68" s="1380"/>
      <c r="E68" s="1381">
        <f>SUM(F68:I68)</f>
        <v>-61111549.075853027</v>
      </c>
      <c r="F68" s="1381">
        <v>-61111549.075853027</v>
      </c>
      <c r="G68" s="1381">
        <v>0</v>
      </c>
      <c r="H68" s="1381">
        <v>0</v>
      </c>
      <c r="I68" s="1381">
        <v>0</v>
      </c>
      <c r="J68" s="1382"/>
    </row>
    <row r="69" spans="2:10">
      <c r="B69" s="1379" t="s">
        <v>1007</v>
      </c>
      <c r="C69" s="1380"/>
      <c r="D69" s="1380"/>
      <c r="E69" s="1381">
        <f>SUM(F69:I69)</f>
        <v>-3352661.6843009936</v>
      </c>
      <c r="F69" s="1381">
        <v>0</v>
      </c>
      <c r="G69" s="1381">
        <v>0</v>
      </c>
      <c r="H69" s="1381">
        <v>0</v>
      </c>
      <c r="I69" s="1381">
        <v>-3352661.6843009936</v>
      </c>
      <c r="J69" s="1382"/>
    </row>
    <row r="70" spans="2:10" ht="5.15" customHeight="1">
      <c r="B70" s="1374"/>
      <c r="C70" s="1375"/>
      <c r="D70" s="1376"/>
      <c r="E70" s="1377"/>
      <c r="F70" s="1377"/>
      <c r="G70" s="1377"/>
      <c r="H70" s="1377"/>
      <c r="I70" s="1377"/>
      <c r="J70" s="1690"/>
    </row>
    <row r="71" spans="2:10" ht="13">
      <c r="B71" s="1378" t="s">
        <v>932</v>
      </c>
      <c r="C71" s="1376"/>
      <c r="D71" s="1376"/>
      <c r="E71" s="1377">
        <f>SUM(E66:E70)+E64</f>
        <v>88346470.312137842</v>
      </c>
      <c r="F71" s="1377">
        <f>SUM(F66:F70)+F64</f>
        <v>41553432.310644604</v>
      </c>
      <c r="G71" s="1377">
        <f>SUM(G66:G70)+G64</f>
        <v>0</v>
      </c>
      <c r="H71" s="1377">
        <f>SUM(H66:H70)+H64</f>
        <v>40339696.136043251</v>
      </c>
      <c r="I71" s="1377">
        <f>SUM(I66:I70)+I64</f>
        <v>6453341.8654500088</v>
      </c>
      <c r="J71" s="1690"/>
    </row>
    <row r="72" spans="2:10" ht="13">
      <c r="B72" s="1378"/>
      <c r="C72" s="1376"/>
      <c r="D72" s="1376"/>
      <c r="E72" s="1377"/>
      <c r="F72" s="1377"/>
      <c r="G72" s="1377"/>
      <c r="H72" s="1377"/>
      <c r="I72" s="1377"/>
      <c r="J72" s="1690"/>
    </row>
    <row r="73" spans="2:10" ht="13">
      <c r="B73" s="1383" t="s">
        <v>264</v>
      </c>
      <c r="C73" s="1384"/>
      <c r="D73" s="1385"/>
      <c r="E73" s="1386"/>
      <c r="F73" s="1386"/>
      <c r="G73" s="1386"/>
      <c r="H73" s="1386"/>
      <c r="I73" s="1387">
        <f>'ATT H-1A'!$H$16</f>
        <v>0.13888944064369446</v>
      </c>
      <c r="J73" s="1388"/>
    </row>
    <row r="74" spans="2:10" ht="13">
      <c r="B74" s="1383" t="s">
        <v>237</v>
      </c>
      <c r="C74" s="1384"/>
      <c r="D74" s="1385"/>
      <c r="E74" s="1386"/>
      <c r="F74" s="1386"/>
      <c r="G74" s="1386"/>
      <c r="H74" s="1387">
        <f>'ATT H-1A'!$H$37</f>
        <v>0.37965921295357374</v>
      </c>
      <c r="I74" s="1386"/>
      <c r="J74" s="1388"/>
    </row>
    <row r="75" spans="2:10" ht="13">
      <c r="B75" s="1383" t="s">
        <v>933</v>
      </c>
      <c r="C75" s="1384"/>
      <c r="D75" s="1385"/>
      <c r="E75" s="1386"/>
      <c r="F75" s="1386"/>
      <c r="G75" s="1387">
        <v>1</v>
      </c>
      <c r="H75" s="1386"/>
      <c r="I75" s="1386"/>
      <c r="J75" s="1388"/>
    </row>
    <row r="76" spans="2:10" ht="13">
      <c r="B76" s="1383" t="s">
        <v>934</v>
      </c>
      <c r="C76" s="1384"/>
      <c r="D76" s="1385"/>
      <c r="E76" s="1386"/>
      <c r="F76" s="1387">
        <v>0</v>
      </c>
      <c r="G76" s="1386"/>
      <c r="H76" s="1386"/>
      <c r="I76" s="1386"/>
      <c r="J76" s="1388"/>
    </row>
    <row r="77" spans="2:10" ht="13">
      <c r="B77" s="1389" t="s">
        <v>935</v>
      </c>
      <c r="C77" s="1384"/>
      <c r="D77" s="1385"/>
      <c r="E77" s="1386">
        <f>F77+G77+H77+I77</f>
        <v>16211638.327771388</v>
      </c>
      <c r="F77" s="1386">
        <f>F76*F71</f>
        <v>0</v>
      </c>
      <c r="G77" s="1386">
        <f>G71*G75</f>
        <v>0</v>
      </c>
      <c r="H77" s="1386">
        <f>H71*H74</f>
        <v>15315337.285796501</v>
      </c>
      <c r="I77" s="1386">
        <f>I73*I71</f>
        <v>896301.04197488748</v>
      </c>
      <c r="J77" s="1388"/>
    </row>
    <row r="78" spans="2:10" ht="13">
      <c r="B78" s="1390"/>
      <c r="E78" s="1361"/>
      <c r="F78" s="1361"/>
      <c r="G78" s="1361"/>
      <c r="H78" s="1361"/>
      <c r="I78" s="1361"/>
      <c r="J78" s="1391"/>
    </row>
    <row r="79" spans="2:10" ht="13">
      <c r="B79" s="1363"/>
      <c r="E79" s="1361"/>
      <c r="F79" s="1361"/>
      <c r="G79" s="1361"/>
      <c r="H79" s="1361"/>
      <c r="I79" s="1361"/>
      <c r="J79" s="1391"/>
    </row>
    <row r="80" spans="2:10" ht="13">
      <c r="B80" s="1354" t="s">
        <v>174</v>
      </c>
      <c r="C80" s="1354"/>
      <c r="D80" s="1354"/>
      <c r="E80" s="1354" t="s">
        <v>175</v>
      </c>
      <c r="F80" s="1354" t="s">
        <v>1142</v>
      </c>
      <c r="G80" s="1354" t="s">
        <v>1295</v>
      </c>
      <c r="H80" s="1354" t="s">
        <v>1296</v>
      </c>
      <c r="I80" s="1354" t="s">
        <v>1297</v>
      </c>
      <c r="J80" s="1354" t="s">
        <v>1298</v>
      </c>
    </row>
    <row r="81" spans="2:10" ht="13">
      <c r="B81" s="1363"/>
      <c r="C81" s="367"/>
      <c r="D81" s="367"/>
      <c r="E81" s="1354"/>
      <c r="F81" s="1354" t="s">
        <v>1329</v>
      </c>
      <c r="G81" s="1354" t="s">
        <v>258</v>
      </c>
      <c r="H81" s="1354"/>
      <c r="I81" s="1354"/>
      <c r="J81" s="1687"/>
    </row>
    <row r="82" spans="2:10" ht="13">
      <c r="B82" s="1370"/>
      <c r="C82" s="367"/>
      <c r="D82" s="367"/>
      <c r="E82" s="1354"/>
      <c r="F82" s="1354" t="s">
        <v>1330</v>
      </c>
      <c r="G82" s="1354" t="s">
        <v>228</v>
      </c>
      <c r="H82" s="1354" t="s">
        <v>259</v>
      </c>
      <c r="I82" s="1354" t="s">
        <v>260</v>
      </c>
      <c r="J82" s="1687"/>
    </row>
    <row r="83" spans="2:10" ht="13">
      <c r="B83" s="1363" t="s">
        <v>936</v>
      </c>
      <c r="C83" s="367"/>
      <c r="D83" s="367"/>
      <c r="E83" s="1354" t="s">
        <v>44</v>
      </c>
      <c r="F83" s="1357" t="s">
        <v>1331</v>
      </c>
      <c r="G83" s="1354" t="s">
        <v>261</v>
      </c>
      <c r="H83" s="1354" t="s">
        <v>261</v>
      </c>
      <c r="I83" s="1354" t="s">
        <v>261</v>
      </c>
      <c r="J83" s="1354" t="s">
        <v>265</v>
      </c>
    </row>
    <row r="84" spans="2:10">
      <c r="B84" s="1371"/>
      <c r="C84" s="1392"/>
      <c r="D84" s="1393"/>
      <c r="E84" s="1372"/>
      <c r="F84" s="1372"/>
      <c r="G84" s="1372"/>
      <c r="H84" s="1372"/>
      <c r="I84" s="1372"/>
      <c r="J84" s="1373"/>
    </row>
    <row r="85" spans="2:10">
      <c r="B85" s="1371"/>
      <c r="C85" s="1392"/>
      <c r="D85" s="1394"/>
      <c r="E85" s="1372"/>
      <c r="F85" s="1372"/>
      <c r="G85" s="1372"/>
      <c r="H85" s="1372"/>
      <c r="I85" s="1372"/>
      <c r="J85" s="1373"/>
    </row>
    <row r="86" spans="2:10">
      <c r="B86" s="1371"/>
      <c r="C86" s="1392"/>
      <c r="D86" s="1394"/>
      <c r="E86" s="1372"/>
      <c r="F86" s="1372"/>
      <c r="G86" s="1372"/>
      <c r="H86" s="1372"/>
      <c r="I86" s="1372"/>
      <c r="J86" s="1373"/>
    </row>
    <row r="87" spans="2:10">
      <c r="B87" s="1371"/>
      <c r="C87" s="1392"/>
      <c r="D87" s="1394"/>
      <c r="E87" s="1372"/>
      <c r="F87" s="1372"/>
      <c r="G87" s="1372"/>
      <c r="H87" s="1372"/>
      <c r="I87" s="1372"/>
      <c r="J87" s="1373"/>
    </row>
    <row r="88" spans="2:10">
      <c r="B88" s="1371"/>
      <c r="C88" s="1392"/>
      <c r="D88" s="1394"/>
      <c r="E88" s="1372"/>
      <c r="F88" s="1372"/>
      <c r="G88" s="1372"/>
      <c r="H88" s="1372"/>
      <c r="I88" s="1372"/>
      <c r="J88" s="1373"/>
    </row>
    <row r="89" spans="2:10">
      <c r="B89" s="1371"/>
      <c r="C89" s="1392"/>
      <c r="D89" s="1394"/>
      <c r="E89" s="1372"/>
      <c r="F89" s="1372"/>
      <c r="G89" s="1372"/>
      <c r="H89" s="1372"/>
      <c r="I89" s="1372"/>
      <c r="J89" s="1373"/>
    </row>
    <row r="90" spans="2:10">
      <c r="B90" s="1371"/>
      <c r="C90" s="1392"/>
      <c r="D90" s="1393"/>
      <c r="E90" s="1395"/>
      <c r="F90" s="1395"/>
      <c r="G90" s="1395"/>
      <c r="H90" s="1395"/>
      <c r="I90" s="1395"/>
      <c r="J90" s="1691"/>
    </row>
    <row r="91" spans="2:10" ht="13">
      <c r="B91" s="1378" t="s">
        <v>937</v>
      </c>
      <c r="C91" s="1376"/>
      <c r="D91" s="1376"/>
      <c r="E91" s="1377">
        <f>SUM(E84:E90)</f>
        <v>0</v>
      </c>
      <c r="F91" s="1377">
        <f>SUM(F84:F90)</f>
        <v>0</v>
      </c>
      <c r="G91" s="1377">
        <f>SUM(G84:G90)</f>
        <v>0</v>
      </c>
      <c r="H91" s="1377">
        <f>SUM(H84:H90)</f>
        <v>0</v>
      </c>
      <c r="I91" s="1377">
        <f>SUM(I84:I90)</f>
        <v>0</v>
      </c>
      <c r="J91" s="1690"/>
    </row>
    <row r="92" spans="2:10" ht="13">
      <c r="B92" s="1378"/>
      <c r="C92" s="1376"/>
      <c r="D92" s="1376"/>
      <c r="E92" s="1377"/>
      <c r="F92" s="1377"/>
      <c r="G92" s="1377"/>
      <c r="H92" s="1377"/>
      <c r="I92" s="1377"/>
      <c r="J92" s="1690"/>
    </row>
    <row r="93" spans="2:10">
      <c r="B93" s="1396" t="s">
        <v>1335</v>
      </c>
      <c r="C93" s="1397"/>
      <c r="D93" s="1398"/>
      <c r="E93" s="1381">
        <f>SUM(F93:I93)</f>
        <v>0</v>
      </c>
      <c r="F93" s="1372"/>
      <c r="G93" s="1372"/>
      <c r="H93" s="1372"/>
      <c r="I93" s="1372"/>
      <c r="J93" s="1382"/>
    </row>
    <row r="94" spans="2:10">
      <c r="B94" s="1379" t="s">
        <v>1336</v>
      </c>
      <c r="C94" s="1380"/>
      <c r="D94" s="1398"/>
      <c r="E94" s="1381">
        <f>SUM(F94:I94)</f>
        <v>0</v>
      </c>
      <c r="F94" s="1372"/>
      <c r="G94" s="1372"/>
      <c r="H94" s="1372"/>
      <c r="I94" s="1372"/>
      <c r="J94" s="1382"/>
    </row>
    <row r="95" spans="2:10">
      <c r="B95" s="1379" t="s">
        <v>1337</v>
      </c>
      <c r="C95" s="1380"/>
      <c r="D95" s="1398"/>
      <c r="E95" s="1381">
        <f>SUM(F95:I95)</f>
        <v>0</v>
      </c>
      <c r="F95" s="1372"/>
      <c r="G95" s="1372"/>
      <c r="H95" s="1372"/>
      <c r="I95" s="1372"/>
      <c r="J95" s="1382"/>
    </row>
    <row r="96" spans="2:10">
      <c r="B96" s="1379" t="s">
        <v>1007</v>
      </c>
      <c r="C96" s="1380"/>
      <c r="D96" s="1398"/>
      <c r="E96" s="1381">
        <f>SUM(F96:I96)</f>
        <v>0</v>
      </c>
      <c r="F96" s="1372"/>
      <c r="G96" s="1372"/>
      <c r="H96" s="1372"/>
      <c r="I96" s="1372"/>
      <c r="J96" s="1382"/>
    </row>
    <row r="97" spans="2:10" ht="5.15" customHeight="1">
      <c r="B97" s="1374"/>
      <c r="C97" s="1375"/>
      <c r="D97" s="1376"/>
      <c r="E97" s="1377"/>
      <c r="F97" s="1377"/>
      <c r="G97" s="1377"/>
      <c r="H97" s="1377"/>
      <c r="I97" s="1377"/>
      <c r="J97" s="1690"/>
    </row>
    <row r="98" spans="2:10" ht="13">
      <c r="B98" s="1399" t="s">
        <v>938</v>
      </c>
      <c r="C98" s="1400"/>
      <c r="D98" s="1376"/>
      <c r="E98" s="1377">
        <f>SUM(E93:E97)+E91</f>
        <v>0</v>
      </c>
      <c r="F98" s="1377">
        <f>SUM(F93:F97)+F91</f>
        <v>0</v>
      </c>
      <c r="G98" s="1377">
        <f>SUM(G93:G97)+G91</f>
        <v>0</v>
      </c>
      <c r="H98" s="1377">
        <f>SUM(H93:H97)+H91</f>
        <v>0</v>
      </c>
      <c r="I98" s="1377">
        <f>SUM(I93:I97)+I91</f>
        <v>0</v>
      </c>
      <c r="J98" s="1690"/>
    </row>
    <row r="99" spans="2:10" ht="13">
      <c r="B99" s="1401"/>
      <c r="C99" s="1402"/>
      <c r="D99" s="1402"/>
      <c r="E99" s="1386"/>
      <c r="F99" s="1377"/>
      <c r="G99" s="1377"/>
      <c r="H99" s="1377"/>
      <c r="I99" s="1377"/>
      <c r="J99" s="1388"/>
    </row>
    <row r="100" spans="2:10" ht="13">
      <c r="B100" s="1403" t="s">
        <v>264</v>
      </c>
      <c r="C100" s="1404"/>
      <c r="D100" s="1385"/>
      <c r="E100" s="1386"/>
      <c r="F100" s="1386"/>
      <c r="G100" s="1386"/>
      <c r="H100" s="1386"/>
      <c r="I100" s="1387">
        <f>'ATT H-1A'!$H$16</f>
        <v>0.13888944064369446</v>
      </c>
      <c r="J100" s="1388"/>
    </row>
    <row r="101" spans="2:10" ht="13">
      <c r="B101" s="1383" t="s">
        <v>237</v>
      </c>
      <c r="C101" s="1384"/>
      <c r="D101" s="1385"/>
      <c r="E101" s="1386"/>
      <c r="F101" s="1386"/>
      <c r="G101" s="1386"/>
      <c r="H101" s="1387">
        <f>'ATT H-1A'!$H$37</f>
        <v>0.37965921295357374</v>
      </c>
      <c r="I101" s="1386"/>
      <c r="J101" s="1388"/>
    </row>
    <row r="102" spans="2:10" ht="13">
      <c r="B102" s="1383" t="s">
        <v>933</v>
      </c>
      <c r="C102" s="1384"/>
      <c r="D102" s="1385"/>
      <c r="E102" s="1386"/>
      <c r="F102" s="1386"/>
      <c r="G102" s="1387">
        <v>1</v>
      </c>
      <c r="H102" s="1386"/>
      <c r="I102" s="1386"/>
      <c r="J102" s="1388"/>
    </row>
    <row r="103" spans="2:10" ht="13">
      <c r="B103" s="1383" t="s">
        <v>934</v>
      </c>
      <c r="C103" s="1384"/>
      <c r="D103" s="1385"/>
      <c r="E103" s="1386"/>
      <c r="F103" s="1387">
        <v>0</v>
      </c>
      <c r="G103" s="1386"/>
      <c r="H103" s="1386"/>
      <c r="I103" s="1386"/>
      <c r="J103" s="1388"/>
    </row>
    <row r="104" spans="2:10" ht="13">
      <c r="B104" s="1389" t="s">
        <v>935</v>
      </c>
      <c r="C104" s="1384"/>
      <c r="D104" s="1385"/>
      <c r="E104" s="1386">
        <f>F104+G104+H104+I104</f>
        <v>0</v>
      </c>
      <c r="F104" s="1386">
        <f>F103*F98</f>
        <v>0</v>
      </c>
      <c r="G104" s="1386">
        <f>G98*G102</f>
        <v>0</v>
      </c>
      <c r="H104" s="1386">
        <f>H98*H101</f>
        <v>0</v>
      </c>
      <c r="I104" s="1386">
        <f>I100*I98</f>
        <v>0</v>
      </c>
      <c r="J104" s="1388"/>
    </row>
    <row r="105" spans="2:10" ht="13">
      <c r="B105" s="1390"/>
      <c r="E105" s="1361"/>
      <c r="F105" s="1361"/>
      <c r="G105" s="1361"/>
      <c r="H105" s="1361"/>
      <c r="I105" s="1361"/>
      <c r="J105" s="1391"/>
    </row>
    <row r="106" spans="2:10" ht="13">
      <c r="B106" s="1390"/>
      <c r="E106" s="1361"/>
      <c r="F106" s="1361"/>
      <c r="G106" s="1361"/>
      <c r="H106" s="1361"/>
      <c r="I106" s="1361"/>
      <c r="J106" s="1391"/>
    </row>
    <row r="107" spans="2:10" ht="13">
      <c r="B107" s="1354" t="s">
        <v>174</v>
      </c>
      <c r="C107" s="1354"/>
      <c r="D107" s="1354"/>
      <c r="E107" s="1354" t="s">
        <v>175</v>
      </c>
      <c r="F107" s="1354" t="s">
        <v>1142</v>
      </c>
      <c r="G107" s="1354" t="s">
        <v>1295</v>
      </c>
      <c r="H107" s="1354" t="s">
        <v>1296</v>
      </c>
      <c r="I107" s="1354" t="s">
        <v>1297</v>
      </c>
      <c r="J107" s="1354" t="s">
        <v>1298</v>
      </c>
    </row>
    <row r="108" spans="2:10" ht="13">
      <c r="B108" s="1363"/>
      <c r="C108" s="367"/>
      <c r="D108" s="367"/>
      <c r="E108" s="1354"/>
      <c r="F108" s="1354" t="s">
        <v>1329</v>
      </c>
      <c r="G108" s="1354" t="s">
        <v>258</v>
      </c>
      <c r="H108" s="1354"/>
      <c r="I108" s="1354"/>
      <c r="J108" s="1687"/>
    </row>
    <row r="109" spans="2:10" ht="13">
      <c r="B109" s="1405"/>
      <c r="C109" s="367"/>
      <c r="D109" s="367"/>
      <c r="E109" s="1354"/>
      <c r="F109" s="1354" t="s">
        <v>1330</v>
      </c>
      <c r="G109" s="1354" t="s">
        <v>228</v>
      </c>
      <c r="H109" s="1354" t="s">
        <v>259</v>
      </c>
      <c r="I109" s="1354" t="s">
        <v>260</v>
      </c>
      <c r="J109" s="1687"/>
    </row>
    <row r="110" spans="2:10" ht="13">
      <c r="B110" s="1363" t="s">
        <v>1338</v>
      </c>
      <c r="E110" s="1354" t="s">
        <v>44</v>
      </c>
      <c r="F110" s="1357" t="s">
        <v>1331</v>
      </c>
      <c r="G110" s="1354" t="s">
        <v>261</v>
      </c>
      <c r="H110" s="1354" t="s">
        <v>261</v>
      </c>
      <c r="I110" s="1354" t="s">
        <v>261</v>
      </c>
      <c r="J110" s="1354" t="s">
        <v>265</v>
      </c>
    </row>
    <row r="111" spans="2:10">
      <c r="B111" s="1385" t="s">
        <v>930</v>
      </c>
      <c r="C111" s="1385"/>
      <c r="D111" s="1385"/>
      <c r="E111" s="1377">
        <f>SUM(F111:I111)</f>
        <v>153483066.30961999</v>
      </c>
      <c r="F111" s="1386">
        <f>F64</f>
        <v>102664981.38649763</v>
      </c>
      <c r="G111" s="1386">
        <f>G64</f>
        <v>0</v>
      </c>
      <c r="H111" s="1386">
        <f>H64</f>
        <v>41012081.37337134</v>
      </c>
      <c r="I111" s="1386">
        <f>I64</f>
        <v>9806003.5497510023</v>
      </c>
      <c r="J111" s="1388"/>
    </row>
    <row r="112" spans="2:10">
      <c r="B112" s="1385" t="s">
        <v>936</v>
      </c>
      <c r="C112" s="1385"/>
      <c r="D112" s="1385"/>
      <c r="E112" s="1377">
        <f>SUM(F112:I112)</f>
        <v>0</v>
      </c>
      <c r="F112" s="1386">
        <f>F91</f>
        <v>0</v>
      </c>
      <c r="G112" s="1386">
        <f>G91</f>
        <v>0</v>
      </c>
      <c r="H112" s="1386">
        <f>H91</f>
        <v>0</v>
      </c>
      <c r="I112" s="1386">
        <f>I91</f>
        <v>0</v>
      </c>
      <c r="J112" s="1388"/>
    </row>
    <row r="113" spans="2:11" ht="13">
      <c r="B113" s="1406" t="s">
        <v>939</v>
      </c>
      <c r="C113" s="1385"/>
      <c r="D113" s="1385"/>
      <c r="E113" s="1386">
        <f>E111+E112</f>
        <v>153483066.30961999</v>
      </c>
      <c r="F113" s="1386">
        <f>F111+F112</f>
        <v>102664981.38649763</v>
      </c>
      <c r="G113" s="1386">
        <f>G111+G112</f>
        <v>0</v>
      </c>
      <c r="H113" s="1386">
        <f>H111+H112</f>
        <v>41012081.37337134</v>
      </c>
      <c r="I113" s="1386">
        <f>I111+I112</f>
        <v>9806003.5497510023</v>
      </c>
      <c r="J113" s="1388"/>
    </row>
    <row r="114" spans="2:11" ht="13">
      <c r="B114" s="1390"/>
      <c r="E114" s="1361"/>
      <c r="F114" s="1361"/>
      <c r="G114" s="1361"/>
      <c r="H114" s="1361"/>
      <c r="I114" s="1361"/>
      <c r="J114" s="1391"/>
    </row>
    <row r="115" spans="2:11" ht="13">
      <c r="B115" s="1390"/>
      <c r="E115" s="1361"/>
      <c r="F115" s="1361"/>
      <c r="G115" s="1361"/>
      <c r="H115" s="1361"/>
      <c r="I115" s="1361"/>
      <c r="J115" s="1391"/>
    </row>
    <row r="116" spans="2:11" s="367" customFormat="1" ht="12.75" customHeight="1">
      <c r="B116" s="1407" t="s">
        <v>269</v>
      </c>
      <c r="C116" s="1407"/>
      <c r="E116" s="1408"/>
      <c r="G116" s="1408"/>
      <c r="H116" s="1409"/>
      <c r="I116" s="1410"/>
      <c r="J116" s="1692"/>
    </row>
    <row r="117" spans="2:11" s="367" customFormat="1" ht="15.75" customHeight="1">
      <c r="B117" s="1746" t="s">
        <v>1339</v>
      </c>
      <c r="C117" s="1746"/>
      <c r="D117" s="1746"/>
      <c r="E117" s="1746"/>
      <c r="F117" s="1746"/>
      <c r="G117" s="1746"/>
      <c r="H117" s="1746"/>
      <c r="I117" s="1746"/>
      <c r="J117" s="1693"/>
    </row>
    <row r="118" spans="2:11" s="367" customFormat="1" ht="13">
      <c r="B118" s="1411" t="s">
        <v>270</v>
      </c>
      <c r="C118" s="1411"/>
      <c r="H118" s="1410"/>
      <c r="I118" s="1410"/>
      <c r="J118" s="1692"/>
    </row>
    <row r="119" spans="2:11" s="367" customFormat="1" ht="13">
      <c r="B119" s="1411" t="s">
        <v>271</v>
      </c>
      <c r="C119" s="1411"/>
      <c r="H119" s="1410"/>
      <c r="I119" s="1410"/>
      <c r="J119" s="1693"/>
    </row>
    <row r="120" spans="2:11" s="367" customFormat="1" ht="13">
      <c r="B120" s="1411" t="s">
        <v>272</v>
      </c>
      <c r="C120" s="1411"/>
      <c r="H120" s="1410"/>
      <c r="I120" s="1410"/>
      <c r="J120" s="1692"/>
    </row>
    <row r="121" spans="2:11" s="367" customFormat="1" ht="15.75" customHeight="1">
      <c r="B121" s="1746" t="s">
        <v>940</v>
      </c>
      <c r="C121" s="1746"/>
      <c r="D121" s="1746"/>
      <c r="E121" s="1746"/>
      <c r="F121" s="1746"/>
      <c r="G121" s="1746"/>
      <c r="H121" s="1746"/>
      <c r="I121" s="1746"/>
      <c r="J121" s="1687"/>
      <c r="K121" s="1412"/>
    </row>
    <row r="122" spans="2:11" s="367" customFormat="1" ht="15.75" customHeight="1">
      <c r="B122" s="1746"/>
      <c r="C122" s="1746"/>
      <c r="D122" s="1746"/>
      <c r="E122" s="1746"/>
      <c r="F122" s="1746"/>
      <c r="G122" s="1746"/>
      <c r="H122" s="1746"/>
      <c r="I122" s="1746"/>
      <c r="J122" s="1687"/>
      <c r="K122" s="1412"/>
    </row>
    <row r="123" spans="2:11" s="367" customFormat="1" ht="13">
      <c r="B123" s="1411" t="s">
        <v>941</v>
      </c>
      <c r="C123" s="1411"/>
      <c r="H123" s="1410"/>
      <c r="I123" s="1410"/>
      <c r="J123" s="1692"/>
    </row>
    <row r="124" spans="2:11" ht="13">
      <c r="C124" s="1390"/>
      <c r="E124" s="1364"/>
      <c r="F124" s="1364"/>
      <c r="H124" s="1413"/>
      <c r="I124" s="1414"/>
      <c r="J124" s="1391"/>
    </row>
    <row r="125" spans="2:11" ht="13">
      <c r="B125" s="1390"/>
      <c r="C125" s="1415"/>
      <c r="E125" s="1369"/>
    </row>
    <row r="126" spans="2:11" ht="13">
      <c r="B126" s="1354" t="s">
        <v>174</v>
      </c>
      <c r="C126" s="1354"/>
      <c r="D126" s="1354"/>
      <c r="E126" s="1354" t="s">
        <v>175</v>
      </c>
      <c r="F126" s="1354" t="s">
        <v>1142</v>
      </c>
      <c r="G126" s="1354" t="s">
        <v>1295</v>
      </c>
      <c r="H126" s="1354" t="s">
        <v>1296</v>
      </c>
      <c r="I126" s="1354" t="s">
        <v>1297</v>
      </c>
      <c r="J126" s="1354" t="s">
        <v>1298</v>
      </c>
    </row>
    <row r="127" spans="2:11" ht="13">
      <c r="B127" s="1363"/>
      <c r="C127" s="367"/>
      <c r="D127" s="367"/>
      <c r="E127" s="1354"/>
      <c r="F127" s="1354" t="s">
        <v>1329</v>
      </c>
      <c r="G127" s="1354" t="s">
        <v>258</v>
      </c>
      <c r="H127" s="1354"/>
      <c r="I127" s="1354"/>
      <c r="J127" s="1687"/>
    </row>
    <row r="128" spans="2:11" ht="13">
      <c r="B128" s="1363"/>
      <c r="C128" s="1370"/>
      <c r="D128" s="367"/>
      <c r="E128" s="1354"/>
      <c r="F128" s="1354" t="s">
        <v>1330</v>
      </c>
      <c r="G128" s="1354" t="s">
        <v>228</v>
      </c>
      <c r="H128" s="1354" t="s">
        <v>259</v>
      </c>
      <c r="I128" s="1354" t="s">
        <v>260</v>
      </c>
      <c r="J128" s="1687"/>
    </row>
    <row r="129" spans="2:10" ht="13">
      <c r="B129" s="1363" t="s">
        <v>942</v>
      </c>
      <c r="C129" s="367"/>
      <c r="D129" s="367"/>
      <c r="E129" s="1354" t="s">
        <v>44</v>
      </c>
      <c r="F129" s="1357" t="s">
        <v>1331</v>
      </c>
      <c r="G129" s="1354" t="s">
        <v>261</v>
      </c>
      <c r="H129" s="1354" t="s">
        <v>261</v>
      </c>
      <c r="I129" s="1354" t="s">
        <v>261</v>
      </c>
      <c r="J129" s="1354" t="s">
        <v>265</v>
      </c>
    </row>
    <row r="130" spans="2:10">
      <c r="B130" s="1638" t="s">
        <v>1522</v>
      </c>
      <c r="C130" s="1639"/>
      <c r="D130" s="1642"/>
      <c r="E130" s="1640">
        <f>SUM(F130:I130)</f>
        <v>-494521141.84950477</v>
      </c>
      <c r="F130" s="1640">
        <v>2912941.4826977882</v>
      </c>
      <c r="G130" s="1640">
        <v>0</v>
      </c>
      <c r="H130" s="1640">
        <v>-497434083.33220255</v>
      </c>
      <c r="I130" s="1640">
        <v>0</v>
      </c>
      <c r="J130" s="1688" t="s">
        <v>1536</v>
      </c>
    </row>
    <row r="131" spans="2:10">
      <c r="B131" s="1638" t="s">
        <v>27</v>
      </c>
      <c r="C131" s="1639"/>
      <c r="D131" s="1642"/>
      <c r="E131" s="1640">
        <f>SUM(F131:I131)</f>
        <v>22261346.298166826</v>
      </c>
      <c r="F131" s="1640">
        <v>22261346.298166826</v>
      </c>
      <c r="G131" s="1640">
        <v>0</v>
      </c>
      <c r="H131" s="1640">
        <v>0</v>
      </c>
      <c r="I131" s="1640">
        <v>0</v>
      </c>
      <c r="J131" s="1688" t="s">
        <v>1537</v>
      </c>
    </row>
    <row r="132" spans="2:10" ht="37.5">
      <c r="B132" s="1638" t="s">
        <v>1523</v>
      </c>
      <c r="C132" s="1639"/>
      <c r="D132" s="1642"/>
      <c r="E132" s="1640">
        <f>SUM(F132:I132)</f>
        <v>-10255981.162669182</v>
      </c>
      <c r="F132" s="1640">
        <v>-7176432.4899591487</v>
      </c>
      <c r="G132" s="1640">
        <v>-3079548.6727100331</v>
      </c>
      <c r="H132" s="1640">
        <v>0</v>
      </c>
      <c r="I132" s="1640">
        <v>0</v>
      </c>
      <c r="J132" s="1688" t="s">
        <v>1538</v>
      </c>
    </row>
    <row r="133" spans="2:10" ht="25">
      <c r="B133" s="1638" t="s">
        <v>1524</v>
      </c>
      <c r="C133" s="1639"/>
      <c r="D133" s="1642"/>
      <c r="E133" s="1640">
        <f>SUM(F133:I133)</f>
        <v>-15570261.560901204</v>
      </c>
      <c r="F133" s="1640">
        <v>0</v>
      </c>
      <c r="G133" s="1640">
        <v>0</v>
      </c>
      <c r="H133" s="1640">
        <v>-15570261.560901204</v>
      </c>
      <c r="I133" s="1640">
        <v>0</v>
      </c>
      <c r="J133" s="1643" t="s">
        <v>1539</v>
      </c>
    </row>
    <row r="134" spans="2:10" ht="13">
      <c r="B134" s="1378" t="s">
        <v>943</v>
      </c>
      <c r="C134" s="1376"/>
      <c r="D134" s="1376"/>
      <c r="E134" s="1377">
        <f>SUM(E130:E133)</f>
        <v>-498086038.27490836</v>
      </c>
      <c r="F134" s="1377">
        <f>SUM(F130:F133)</f>
        <v>17997855.290905468</v>
      </c>
      <c r="G134" s="1377">
        <f>SUM(G130:G133)</f>
        <v>-3079548.6727100331</v>
      </c>
      <c r="H134" s="1377">
        <f>SUM(H130:H133)</f>
        <v>-513004344.89310378</v>
      </c>
      <c r="I134" s="1377">
        <f>SUM(I130:I133)</f>
        <v>0</v>
      </c>
      <c r="J134" s="1690"/>
    </row>
    <row r="135" spans="2:10" ht="13">
      <c r="B135" s="1378"/>
      <c r="C135" s="1376"/>
      <c r="D135" s="1376"/>
      <c r="E135" s="1377"/>
      <c r="F135" s="1377"/>
      <c r="G135" s="1377"/>
      <c r="H135" s="1377"/>
      <c r="I135" s="1377"/>
      <c r="J135" s="1690"/>
    </row>
    <row r="136" spans="2:10">
      <c r="B136" s="1396" t="s">
        <v>1335</v>
      </c>
      <c r="C136" s="1397"/>
      <c r="D136" s="1398"/>
      <c r="E136" s="1381">
        <f>SUM(F136:I136)</f>
        <v>0</v>
      </c>
      <c r="F136" s="1372">
        <f>-F133</f>
        <v>0</v>
      </c>
      <c r="G136" s="1372">
        <f>-G133</f>
        <v>0</v>
      </c>
      <c r="H136" s="1372"/>
      <c r="I136" s="1372">
        <f>-I133</f>
        <v>0</v>
      </c>
      <c r="J136" s="1382"/>
    </row>
    <row r="137" spans="2:10">
      <c r="B137" s="1379" t="s">
        <v>1540</v>
      </c>
      <c r="C137" s="1380"/>
      <c r="D137" s="1398"/>
      <c r="E137" s="1381">
        <f t="shared" ref="E137:E139" si="1">SUM(F137:I137)</f>
        <v>10255981.162669182</v>
      </c>
      <c r="F137" s="1372">
        <f>-F132</f>
        <v>7176432.4899591487</v>
      </c>
      <c r="G137" s="1372">
        <f>-G132</f>
        <v>3079548.6727100331</v>
      </c>
      <c r="H137" s="1372">
        <f>-H132</f>
        <v>0</v>
      </c>
      <c r="I137" s="1372">
        <f>-I132</f>
        <v>0</v>
      </c>
      <c r="J137" s="1382"/>
    </row>
    <row r="138" spans="2:10">
      <c r="B138" s="1379" t="s">
        <v>1337</v>
      </c>
      <c r="C138" s="1380"/>
      <c r="D138" s="1398"/>
      <c r="E138" s="1381">
        <f t="shared" si="1"/>
        <v>15570261.560901204</v>
      </c>
      <c r="F138" s="1372"/>
      <c r="G138" s="1372"/>
      <c r="H138" s="1372">
        <f>-H133</f>
        <v>15570261.560901204</v>
      </c>
      <c r="I138" s="1372"/>
      <c r="J138" s="1382"/>
    </row>
    <row r="139" spans="2:10">
      <c r="B139" s="1379" t="s">
        <v>1007</v>
      </c>
      <c r="C139" s="1380"/>
      <c r="D139" s="1398"/>
      <c r="E139" s="1381">
        <f t="shared" si="1"/>
        <v>0</v>
      </c>
      <c r="F139" s="1372"/>
      <c r="G139" s="1372"/>
      <c r="H139" s="1372"/>
      <c r="I139" s="1372"/>
      <c r="J139" s="1382"/>
    </row>
    <row r="140" spans="2:10" ht="5.15" customHeight="1">
      <c r="B140" s="1374"/>
      <c r="C140" s="1375"/>
      <c r="D140" s="1376"/>
      <c r="E140" s="1377"/>
      <c r="F140" s="1377"/>
      <c r="G140" s="1377"/>
      <c r="H140" s="1377"/>
      <c r="I140" s="1377"/>
      <c r="J140" s="1690"/>
    </row>
    <row r="141" spans="2:10" ht="13">
      <c r="B141" s="1399" t="s">
        <v>944</v>
      </c>
      <c r="C141" s="1400"/>
      <c r="D141" s="1376"/>
      <c r="E141" s="1377">
        <f>SUM(E136:E139)+E134</f>
        <v>-472259795.55133796</v>
      </c>
      <c r="F141" s="1377">
        <f>SUM(F136:F139)+F134</f>
        <v>25174287.780864619</v>
      </c>
      <c r="G141" s="1377">
        <f>SUM(G136:G139)+G134</f>
        <v>0</v>
      </c>
      <c r="H141" s="1377">
        <f>SUM(H136:H139)+H134</f>
        <v>-497434083.33220255</v>
      </c>
      <c r="I141" s="1377">
        <f>SUM(I136:I139)+I134</f>
        <v>0</v>
      </c>
      <c r="J141" s="1690"/>
    </row>
    <row r="142" spans="2:10" ht="13">
      <c r="B142" s="1401"/>
      <c r="C142" s="1402"/>
      <c r="D142" s="1402"/>
      <c r="E142" s="1386"/>
      <c r="F142" s="1377"/>
      <c r="G142" s="1377"/>
      <c r="H142" s="1377"/>
      <c r="I142" s="1377"/>
      <c r="J142" s="1388"/>
    </row>
    <row r="143" spans="2:10" ht="13">
      <c r="B143" s="1403" t="s">
        <v>264</v>
      </c>
      <c r="C143" s="1404"/>
      <c r="D143" s="1385"/>
      <c r="E143" s="1386"/>
      <c r="F143" s="1386"/>
      <c r="G143" s="1386"/>
      <c r="H143" s="1386"/>
      <c r="I143" s="1387">
        <f>'ATT H-1A'!$H$16</f>
        <v>0.13888944064369446</v>
      </c>
      <c r="J143" s="1388"/>
    </row>
    <row r="144" spans="2:10" ht="13">
      <c r="B144" s="1383" t="s">
        <v>237</v>
      </c>
      <c r="C144" s="1384"/>
      <c r="D144" s="1385"/>
      <c r="E144" s="1386"/>
      <c r="F144" s="1386"/>
      <c r="G144" s="1386"/>
      <c r="H144" s="1387">
        <f>'ATT H-1A'!$H$37</f>
        <v>0.37965921295357374</v>
      </c>
      <c r="I144" s="1386"/>
      <c r="J144" s="1388"/>
    </row>
    <row r="145" spans="2:10" ht="13">
      <c r="B145" s="1383" t="s">
        <v>933</v>
      </c>
      <c r="C145" s="1384"/>
      <c r="D145" s="1385"/>
      <c r="E145" s="1386"/>
      <c r="F145" s="1386"/>
      <c r="G145" s="1387">
        <v>1</v>
      </c>
      <c r="H145" s="1386"/>
      <c r="I145" s="1386"/>
      <c r="J145" s="1388"/>
    </row>
    <row r="146" spans="2:10" ht="13">
      <c r="B146" s="1383" t="s">
        <v>934</v>
      </c>
      <c r="C146" s="1384"/>
      <c r="D146" s="1385"/>
      <c r="E146" s="1386"/>
      <c r="F146" s="1387">
        <v>0</v>
      </c>
      <c r="G146" s="1386"/>
      <c r="H146" s="1386"/>
      <c r="I146" s="1386"/>
      <c r="J146" s="1388"/>
    </row>
    <row r="147" spans="2:10" ht="13">
      <c r="B147" s="1389" t="s">
        <v>935</v>
      </c>
      <c r="C147" s="1384"/>
      <c r="D147" s="1385"/>
      <c r="E147" s="1386">
        <f>F147+G147+H147+I147</f>
        <v>-188855432.57418644</v>
      </c>
      <c r="F147" s="1386">
        <f>F146*F141</f>
        <v>0</v>
      </c>
      <c r="G147" s="1386">
        <f>G141*G145</f>
        <v>0</v>
      </c>
      <c r="H147" s="1386">
        <f>H141*H144</f>
        <v>-188855432.57418644</v>
      </c>
      <c r="I147" s="1386">
        <f>I143*I141</f>
        <v>0</v>
      </c>
      <c r="J147" s="1388"/>
    </row>
    <row r="148" spans="2:10" ht="17.25" customHeight="1">
      <c r="B148" s="1370"/>
      <c r="C148" s="1370"/>
      <c r="E148" s="1361"/>
      <c r="F148" s="1361"/>
      <c r="G148" s="1361"/>
      <c r="H148" s="1361"/>
      <c r="I148" s="1361"/>
      <c r="J148" s="1391"/>
    </row>
    <row r="149" spans="2:10" ht="13">
      <c r="B149" s="1390"/>
      <c r="E149" s="1361"/>
      <c r="F149" s="1361"/>
      <c r="G149" s="1361"/>
      <c r="H149" s="1361"/>
      <c r="I149" s="1361"/>
      <c r="J149" s="1391"/>
    </row>
    <row r="150" spans="2:10" ht="13">
      <c r="B150" s="1354" t="s">
        <v>174</v>
      </c>
      <c r="C150" s="1354"/>
      <c r="D150" s="1354"/>
      <c r="E150" s="1354" t="s">
        <v>175</v>
      </c>
      <c r="F150" s="1354" t="s">
        <v>1142</v>
      </c>
      <c r="G150" s="1354" t="s">
        <v>1295</v>
      </c>
      <c r="H150" s="1354" t="s">
        <v>1296</v>
      </c>
      <c r="I150" s="1354" t="s">
        <v>1297</v>
      </c>
      <c r="J150" s="1354" t="s">
        <v>1298</v>
      </c>
    </row>
    <row r="151" spans="2:10" ht="13">
      <c r="B151" s="1363"/>
      <c r="C151" s="367"/>
      <c r="D151" s="367"/>
      <c r="E151" s="1354"/>
      <c r="F151" s="1354" t="s">
        <v>1329</v>
      </c>
      <c r="G151" s="1354" t="s">
        <v>258</v>
      </c>
      <c r="H151" s="1354"/>
      <c r="I151" s="1354"/>
      <c r="J151" s="1687"/>
    </row>
    <row r="152" spans="2:10" ht="13">
      <c r="B152" s="1363"/>
      <c r="C152" s="367"/>
      <c r="D152" s="367"/>
      <c r="E152" s="1354"/>
      <c r="F152" s="1354" t="s">
        <v>1330</v>
      </c>
      <c r="G152" s="1354" t="s">
        <v>228</v>
      </c>
      <c r="H152" s="1354" t="s">
        <v>259</v>
      </c>
      <c r="I152" s="1354" t="s">
        <v>260</v>
      </c>
      <c r="J152" s="1687"/>
    </row>
    <row r="153" spans="2:10" ht="13">
      <c r="B153" s="1363" t="s">
        <v>945</v>
      </c>
      <c r="C153" s="367"/>
      <c r="D153" s="367"/>
      <c r="E153" s="1354" t="s">
        <v>44</v>
      </c>
      <c r="F153" s="1357" t="s">
        <v>1331</v>
      </c>
      <c r="G153" s="1354" t="s">
        <v>261</v>
      </c>
      <c r="H153" s="1354" t="s">
        <v>261</v>
      </c>
      <c r="I153" s="1354" t="s">
        <v>261</v>
      </c>
      <c r="J153" s="1354" t="s">
        <v>265</v>
      </c>
    </row>
    <row r="154" spans="2:10">
      <c r="B154" s="1416" t="s">
        <v>1522</v>
      </c>
      <c r="C154" s="1639"/>
      <c r="D154" s="1642"/>
      <c r="E154" s="1640">
        <f>F154+G154+H154+I154</f>
        <v>-249055352.99969721</v>
      </c>
      <c r="F154" s="1640"/>
      <c r="G154" s="1640"/>
      <c r="H154" s="1640">
        <v>-249055352.99969721</v>
      </c>
      <c r="I154" s="1640"/>
      <c r="J154" s="1694" t="s">
        <v>1536</v>
      </c>
    </row>
    <row r="155" spans="2:10">
      <c r="B155" s="1638"/>
      <c r="C155" s="1639"/>
      <c r="D155" s="1642"/>
      <c r="E155" s="1640"/>
      <c r="F155" s="1640"/>
      <c r="G155" s="1640"/>
      <c r="H155" s="1640"/>
      <c r="I155" s="1640"/>
      <c r="J155" s="1688"/>
    </row>
    <row r="156" spans="2:10">
      <c r="B156" s="1638"/>
      <c r="C156" s="1639"/>
      <c r="D156" s="1642"/>
      <c r="E156" s="1640"/>
      <c r="F156" s="1640"/>
      <c r="G156" s="1640"/>
      <c r="H156" s="1640"/>
      <c r="I156" s="1640"/>
      <c r="J156" s="1688"/>
    </row>
    <row r="157" spans="2:10">
      <c r="B157" s="1638"/>
      <c r="C157" s="1639"/>
      <c r="D157" s="1642"/>
      <c r="E157" s="1640"/>
      <c r="F157" s="1640"/>
      <c r="G157" s="1640"/>
      <c r="H157" s="1640"/>
      <c r="I157" s="1640"/>
      <c r="J157" s="1643"/>
    </row>
    <row r="158" spans="2:10" ht="13">
      <c r="B158" s="1378" t="s">
        <v>946</v>
      </c>
      <c r="C158" s="1376"/>
      <c r="D158" s="1376"/>
      <c r="E158" s="1377">
        <f>SUM(E154:E157)</f>
        <v>-249055352.99969721</v>
      </c>
      <c r="F158" s="1377">
        <f>SUM(F154:F157)</f>
        <v>0</v>
      </c>
      <c r="G158" s="1377">
        <f>SUM(G154:G157)</f>
        <v>0</v>
      </c>
      <c r="H158" s="1377">
        <f>SUM(H154:H157)</f>
        <v>-249055352.99969721</v>
      </c>
      <c r="I158" s="1377">
        <f>SUM(I154:I157)</f>
        <v>0</v>
      </c>
      <c r="J158" s="1690"/>
    </row>
    <row r="159" spans="2:10" ht="13">
      <c r="B159" s="1378"/>
      <c r="C159" s="1376"/>
      <c r="D159" s="1376"/>
      <c r="E159" s="1377"/>
      <c r="F159" s="1377"/>
      <c r="G159" s="1377"/>
      <c r="H159" s="1377"/>
      <c r="I159" s="1377"/>
      <c r="J159" s="1690"/>
    </row>
    <row r="160" spans="2:10">
      <c r="B160" s="1396" t="s">
        <v>1335</v>
      </c>
      <c r="C160" s="1397"/>
      <c r="D160" s="1398"/>
      <c r="E160" s="1381">
        <f>SUM(F160:I160)</f>
        <v>0</v>
      </c>
      <c r="F160" s="1372"/>
      <c r="G160" s="1372"/>
      <c r="H160" s="1372"/>
      <c r="I160" s="1372"/>
      <c r="J160" s="1382"/>
    </row>
    <row r="161" spans="2:10">
      <c r="B161" s="1379" t="s">
        <v>1336</v>
      </c>
      <c r="C161" s="1380"/>
      <c r="D161" s="1398"/>
      <c r="E161" s="1381">
        <f>SUM(F161:I161)</f>
        <v>0</v>
      </c>
      <c r="F161" s="1372"/>
      <c r="G161" s="1372"/>
      <c r="H161" s="1372"/>
      <c r="I161" s="1372"/>
      <c r="J161" s="1382"/>
    </row>
    <row r="162" spans="2:10">
      <c r="B162" s="1379" t="s">
        <v>1337</v>
      </c>
      <c r="C162" s="1380"/>
      <c r="D162" s="1398"/>
      <c r="E162" s="1381">
        <f>SUM(F162:I162)</f>
        <v>0</v>
      </c>
      <c r="F162" s="1372"/>
      <c r="G162" s="1372"/>
      <c r="H162" s="1372"/>
      <c r="I162" s="1372"/>
      <c r="J162" s="1382"/>
    </row>
    <row r="163" spans="2:10">
      <c r="B163" s="1379" t="s">
        <v>1007</v>
      </c>
      <c r="C163" s="1380"/>
      <c r="D163" s="1398"/>
      <c r="E163" s="1381">
        <f>SUM(F163:I163)</f>
        <v>0</v>
      </c>
      <c r="F163" s="1372"/>
      <c r="G163" s="1372"/>
      <c r="H163" s="1372"/>
      <c r="I163" s="1372"/>
      <c r="J163" s="1382"/>
    </row>
    <row r="164" spans="2:10" ht="5.15" customHeight="1">
      <c r="B164" s="1374"/>
      <c r="C164" s="1375"/>
      <c r="D164" s="1376"/>
      <c r="E164" s="1377"/>
      <c r="F164" s="1377"/>
      <c r="G164" s="1377"/>
      <c r="H164" s="1377"/>
      <c r="I164" s="1377"/>
      <c r="J164" s="1690"/>
    </row>
    <row r="165" spans="2:10" ht="13">
      <c r="B165" s="1399" t="s">
        <v>944</v>
      </c>
      <c r="C165" s="1400"/>
      <c r="D165" s="1376"/>
      <c r="E165" s="1377">
        <f>SUM(E160:E163)+E158</f>
        <v>-249055352.99969721</v>
      </c>
      <c r="F165" s="1377">
        <f>SUM(F160:F163)+F158</f>
        <v>0</v>
      </c>
      <c r="G165" s="1377">
        <f>SUM(G160:G163)+G158</f>
        <v>0</v>
      </c>
      <c r="H165" s="1377">
        <f>SUM(H160:H163)+H158</f>
        <v>-249055352.99969721</v>
      </c>
      <c r="I165" s="1377">
        <f>SUM(I160:I163)+I158</f>
        <v>0</v>
      </c>
      <c r="J165" s="1690"/>
    </row>
    <row r="166" spans="2:10" ht="13">
      <c r="B166" s="1401"/>
      <c r="C166" s="1402"/>
      <c r="D166" s="1402"/>
      <c r="E166" s="1386"/>
      <c r="F166" s="1377"/>
      <c r="G166" s="1377"/>
      <c r="H166" s="1377"/>
      <c r="I166" s="1377"/>
      <c r="J166" s="1388"/>
    </row>
    <row r="167" spans="2:10" ht="13">
      <c r="B167" s="1403" t="s">
        <v>264</v>
      </c>
      <c r="C167" s="1404"/>
      <c r="D167" s="1385"/>
      <c r="E167" s="1386"/>
      <c r="F167" s="1386"/>
      <c r="G167" s="1386"/>
      <c r="H167" s="1386"/>
      <c r="I167" s="1387">
        <f>'ATT H-1A'!$H$16</f>
        <v>0.13888944064369446</v>
      </c>
      <c r="J167" s="1388"/>
    </row>
    <row r="168" spans="2:10" ht="13">
      <c r="B168" s="1383" t="s">
        <v>237</v>
      </c>
      <c r="C168" s="1384"/>
      <c r="D168" s="1385"/>
      <c r="E168" s="1386"/>
      <c r="F168" s="1386"/>
      <c r="G168" s="1386"/>
      <c r="H168" s="1387">
        <f>'ATT H-1A'!$H$37</f>
        <v>0.37965921295357374</v>
      </c>
      <c r="I168" s="1386"/>
      <c r="J168" s="1388"/>
    </row>
    <row r="169" spans="2:10" ht="13">
      <c r="B169" s="1383" t="s">
        <v>933</v>
      </c>
      <c r="C169" s="1384"/>
      <c r="D169" s="1385"/>
      <c r="E169" s="1386"/>
      <c r="F169" s="1386"/>
      <c r="G169" s="1387">
        <v>1</v>
      </c>
      <c r="H169" s="1386"/>
      <c r="I169" s="1386"/>
      <c r="J169" s="1388"/>
    </row>
    <row r="170" spans="2:10" ht="13">
      <c r="B170" s="1383" t="s">
        <v>934</v>
      </c>
      <c r="C170" s="1384"/>
      <c r="D170" s="1385"/>
      <c r="E170" s="1386"/>
      <c r="F170" s="1387">
        <v>0</v>
      </c>
      <c r="G170" s="1386"/>
      <c r="H170" s="1386"/>
      <c r="I170" s="1386"/>
      <c r="J170" s="1388"/>
    </row>
    <row r="171" spans="2:10" ht="13">
      <c r="B171" s="1389" t="s">
        <v>935</v>
      </c>
      <c r="C171" s="1384"/>
      <c r="D171" s="1385"/>
      <c r="E171" s="1386">
        <f>F171+G171+H171+I171</f>
        <v>-94556159.301739529</v>
      </c>
      <c r="F171" s="1386">
        <f>F170*F165</f>
        <v>0</v>
      </c>
      <c r="G171" s="1386">
        <f>G165*G169</f>
        <v>0</v>
      </c>
      <c r="H171" s="1386">
        <f>H165*H168</f>
        <v>-94556159.301739529</v>
      </c>
      <c r="I171" s="1386">
        <f>I167*I165</f>
        <v>0</v>
      </c>
      <c r="J171" s="1388"/>
    </row>
    <row r="172" spans="2:10" ht="13">
      <c r="B172" s="1390"/>
      <c r="E172" s="1361"/>
      <c r="F172" s="1361"/>
      <c r="G172" s="1361"/>
      <c r="H172" s="1361"/>
      <c r="I172" s="1361">
        <f>H172/H168</f>
        <v>0</v>
      </c>
      <c r="J172" s="1391"/>
    </row>
    <row r="173" spans="2:10" ht="13">
      <c r="B173" s="1390"/>
      <c r="E173" s="1361"/>
      <c r="F173" s="1361"/>
      <c r="G173" s="1361"/>
      <c r="H173" s="1361"/>
      <c r="I173" s="1361"/>
      <c r="J173" s="1391"/>
    </row>
    <row r="174" spans="2:10" ht="13">
      <c r="B174" s="1354" t="s">
        <v>174</v>
      </c>
      <c r="C174" s="1354"/>
      <c r="D174" s="1354"/>
      <c r="E174" s="1354" t="s">
        <v>175</v>
      </c>
      <c r="F174" s="1354" t="s">
        <v>1142</v>
      </c>
      <c r="G174" s="1354" t="s">
        <v>1295</v>
      </c>
      <c r="H174" s="1354" t="s">
        <v>1296</v>
      </c>
      <c r="I174" s="1354" t="s">
        <v>1297</v>
      </c>
      <c r="J174" s="1354" t="s">
        <v>1298</v>
      </c>
    </row>
    <row r="175" spans="2:10" ht="13">
      <c r="B175" s="1363"/>
      <c r="C175" s="367"/>
      <c r="D175" s="367"/>
      <c r="E175" s="1354"/>
      <c r="F175" s="1354" t="s">
        <v>1329</v>
      </c>
      <c r="G175" s="1354" t="s">
        <v>258</v>
      </c>
      <c r="H175" s="1354"/>
      <c r="I175" s="1354"/>
      <c r="J175" s="1687"/>
    </row>
    <row r="176" spans="2:10" ht="13">
      <c r="B176" s="1363"/>
      <c r="C176" s="367"/>
      <c r="D176" s="367"/>
      <c r="E176" s="1354"/>
      <c r="F176" s="1354" t="s">
        <v>1330</v>
      </c>
      <c r="G176" s="1354" t="s">
        <v>228</v>
      </c>
      <c r="H176" s="1354" t="s">
        <v>259</v>
      </c>
      <c r="I176" s="1354" t="s">
        <v>260</v>
      </c>
      <c r="J176" s="1687"/>
    </row>
    <row r="177" spans="2:11" ht="13">
      <c r="B177" s="1363" t="s">
        <v>947</v>
      </c>
      <c r="C177" s="367"/>
      <c r="D177" s="367"/>
      <c r="E177" s="1354" t="s">
        <v>44</v>
      </c>
      <c r="F177" s="1357" t="s">
        <v>1331</v>
      </c>
      <c r="G177" s="1354" t="s">
        <v>261</v>
      </c>
      <c r="H177" s="1354" t="s">
        <v>261</v>
      </c>
      <c r="I177" s="1354" t="s">
        <v>261</v>
      </c>
      <c r="J177" s="1354" t="s">
        <v>265</v>
      </c>
    </row>
    <row r="178" spans="2:11">
      <c r="B178" s="1385" t="s">
        <v>948</v>
      </c>
      <c r="C178" s="1385"/>
      <c r="D178" s="1385"/>
      <c r="E178" s="1377">
        <f>SUM(F178:I178)</f>
        <v>-498086038.27490836</v>
      </c>
      <c r="F178" s="1386">
        <f>F134</f>
        <v>17997855.290905468</v>
      </c>
      <c r="G178" s="1386">
        <f>G134</f>
        <v>-3079548.6727100331</v>
      </c>
      <c r="H178" s="1386">
        <f>H134</f>
        <v>-513004344.89310378</v>
      </c>
      <c r="I178" s="1386">
        <f>I134</f>
        <v>0</v>
      </c>
      <c r="J178" s="1388"/>
    </row>
    <row r="179" spans="2:11">
      <c r="B179" s="1385" t="s">
        <v>945</v>
      </c>
      <c r="C179" s="1385"/>
      <c r="D179" s="1385"/>
      <c r="E179" s="1377">
        <f>SUM(F179:I179)</f>
        <v>-249055352.99969721</v>
      </c>
      <c r="F179" s="1386">
        <f>F158</f>
        <v>0</v>
      </c>
      <c r="G179" s="1386">
        <f>G158</f>
        <v>0</v>
      </c>
      <c r="H179" s="1386">
        <f>H158</f>
        <v>-249055352.99969721</v>
      </c>
      <c r="I179" s="1386">
        <f>I158</f>
        <v>0</v>
      </c>
      <c r="J179" s="1388"/>
    </row>
    <row r="180" spans="2:11" ht="13">
      <c r="B180" s="1378" t="s">
        <v>1799</v>
      </c>
      <c r="C180" s="1385"/>
      <c r="D180" s="1385"/>
      <c r="E180" s="1386">
        <f>E178+E179</f>
        <v>-747141391.27460551</v>
      </c>
      <c r="F180" s="1386">
        <f>F178+F179</f>
        <v>17997855.290905468</v>
      </c>
      <c r="G180" s="1386">
        <f>G178+G179</f>
        <v>-3079548.6727100331</v>
      </c>
      <c r="H180" s="1386">
        <f>H178+H179</f>
        <v>-762059697.89280105</v>
      </c>
      <c r="I180" s="1386">
        <f>I178+I179</f>
        <v>0</v>
      </c>
      <c r="J180" s="1388"/>
    </row>
    <row r="181" spans="2:11" ht="13">
      <c r="B181" s="1390"/>
      <c r="E181" s="1361"/>
      <c r="F181" s="1361"/>
      <c r="G181" s="1361"/>
      <c r="H181" s="1361"/>
      <c r="I181" s="1361"/>
      <c r="J181" s="1391"/>
    </row>
    <row r="182" spans="2:11" s="367" customFormat="1" ht="13">
      <c r="B182" s="1363" t="s">
        <v>274</v>
      </c>
      <c r="G182" s="1410"/>
      <c r="H182" s="1410"/>
      <c r="I182" s="1410"/>
      <c r="J182" s="1692"/>
    </row>
    <row r="183" spans="2:11" s="367" customFormat="1" ht="12.75" customHeight="1">
      <c r="B183" s="1746" t="s">
        <v>1339</v>
      </c>
      <c r="C183" s="1746"/>
      <c r="D183" s="1746"/>
      <c r="E183" s="1746"/>
      <c r="F183" s="1746"/>
      <c r="G183" s="1746"/>
      <c r="H183" s="1746"/>
      <c r="I183" s="1746"/>
      <c r="J183" s="1692"/>
    </row>
    <row r="184" spans="2:11" s="367" customFormat="1" ht="13">
      <c r="B184" s="1411" t="s">
        <v>270</v>
      </c>
      <c r="C184" s="1411"/>
      <c r="H184" s="1410"/>
      <c r="I184" s="1410"/>
      <c r="J184" s="1692"/>
    </row>
    <row r="185" spans="2:11" s="367" customFormat="1" ht="13">
      <c r="B185" s="1411" t="s">
        <v>271</v>
      </c>
      <c r="C185" s="1411"/>
      <c r="H185" s="1410"/>
      <c r="I185" s="1410"/>
      <c r="J185" s="1692"/>
    </row>
    <row r="186" spans="2:11" s="367" customFormat="1" ht="13">
      <c r="B186" s="1411" t="s">
        <v>272</v>
      </c>
      <c r="C186" s="1411"/>
      <c r="H186" s="1410"/>
      <c r="I186" s="1410"/>
      <c r="J186" s="1692"/>
    </row>
    <row r="187" spans="2:11" s="367" customFormat="1" ht="15.75" customHeight="1">
      <c r="B187" s="1746" t="s">
        <v>940</v>
      </c>
      <c r="C187" s="1746"/>
      <c r="D187" s="1746"/>
      <c r="E187" s="1746"/>
      <c r="F187" s="1746"/>
      <c r="G187" s="1746"/>
      <c r="H187" s="1746"/>
      <c r="I187" s="1746"/>
      <c r="J187" s="1687"/>
      <c r="K187" s="1412"/>
    </row>
    <row r="188" spans="2:11" s="367" customFormat="1" ht="15.75" customHeight="1">
      <c r="B188" s="1746"/>
      <c r="C188" s="1746"/>
      <c r="D188" s="1746"/>
      <c r="E188" s="1746"/>
      <c r="F188" s="1746"/>
      <c r="G188" s="1746"/>
      <c r="H188" s="1746"/>
      <c r="I188" s="1746"/>
      <c r="J188" s="1687"/>
      <c r="K188" s="1412"/>
    </row>
    <row r="189" spans="2:11" s="367" customFormat="1" ht="13">
      <c r="B189" s="1411" t="s">
        <v>950</v>
      </c>
      <c r="G189" s="1410"/>
      <c r="H189" s="1410"/>
      <c r="I189" s="1410"/>
      <c r="J189" s="1692"/>
    </row>
    <row r="190" spans="2:11" ht="13">
      <c r="B190" s="1417" t="s">
        <v>951</v>
      </c>
    </row>
    <row r="191" spans="2:11" ht="12" customHeight="1">
      <c r="B191" s="1418"/>
      <c r="C191" s="1419"/>
      <c r="D191" s="1420"/>
      <c r="E191" s="1420"/>
      <c r="F191" s="1420"/>
      <c r="G191" s="1420"/>
      <c r="H191" s="1420"/>
      <c r="I191" s="1420"/>
      <c r="J191" s="1420"/>
    </row>
    <row r="192" spans="2:11" ht="13">
      <c r="B192" s="1351"/>
    </row>
    <row r="193" spans="2:12" ht="13">
      <c r="B193" s="1354" t="s">
        <v>174</v>
      </c>
      <c r="C193" s="1354"/>
      <c r="D193" s="1354"/>
      <c r="E193" s="1354" t="s">
        <v>175</v>
      </c>
      <c r="F193" s="1354" t="s">
        <v>1142</v>
      </c>
      <c r="G193" s="1354" t="s">
        <v>1295</v>
      </c>
      <c r="H193" s="1354" t="s">
        <v>1296</v>
      </c>
      <c r="I193" s="1354" t="s">
        <v>1297</v>
      </c>
      <c r="J193" s="1354" t="s">
        <v>1298</v>
      </c>
    </row>
    <row r="194" spans="2:12" ht="13">
      <c r="B194" s="1363"/>
      <c r="C194" s="367"/>
      <c r="D194" s="367"/>
      <c r="E194" s="1354"/>
      <c r="F194" s="1354" t="s">
        <v>1329</v>
      </c>
      <c r="G194" s="1354" t="s">
        <v>258</v>
      </c>
      <c r="H194" s="1354"/>
      <c r="I194" s="1354"/>
      <c r="J194" s="1687"/>
    </row>
    <row r="195" spans="2:12" ht="13">
      <c r="B195" s="1363"/>
      <c r="C195" s="1370"/>
      <c r="D195" s="367"/>
      <c r="E195" s="1354"/>
      <c r="F195" s="1354" t="s">
        <v>1330</v>
      </c>
      <c r="G195" s="1354" t="s">
        <v>228</v>
      </c>
      <c r="H195" s="1354" t="s">
        <v>259</v>
      </c>
      <c r="I195" s="1354" t="s">
        <v>260</v>
      </c>
      <c r="J195" s="1687"/>
      <c r="L195" s="1350" t="s">
        <v>86</v>
      </c>
    </row>
    <row r="196" spans="2:12" ht="13">
      <c r="B196" s="1363" t="s">
        <v>952</v>
      </c>
      <c r="C196" s="367"/>
      <c r="D196" s="367"/>
      <c r="E196" s="1354" t="s">
        <v>44</v>
      </c>
      <c r="F196" s="1357" t="s">
        <v>1331</v>
      </c>
      <c r="G196" s="1354" t="s">
        <v>261</v>
      </c>
      <c r="H196" s="1354" t="s">
        <v>261</v>
      </c>
      <c r="I196" s="1354" t="s">
        <v>261</v>
      </c>
      <c r="J196" s="1354" t="s">
        <v>265</v>
      </c>
    </row>
    <row r="197" spans="2:12">
      <c r="B197" s="1638" t="s">
        <v>1798</v>
      </c>
      <c r="C197" s="1639"/>
      <c r="D197" s="1642"/>
      <c r="E197" s="1640">
        <f>SUM(F197:I197)</f>
        <v>-0.11244000000169763</v>
      </c>
      <c r="F197" s="1640">
        <v>0</v>
      </c>
      <c r="G197" s="1640">
        <v>0</v>
      </c>
      <c r="H197" s="1640">
        <v>-0.11244000000169763</v>
      </c>
      <c r="I197" s="1640">
        <v>0</v>
      </c>
      <c r="J197" s="1688"/>
    </row>
    <row r="198" spans="2:12">
      <c r="B198" s="1638" t="s">
        <v>1513</v>
      </c>
      <c r="C198" s="1639"/>
      <c r="D198" s="1642"/>
      <c r="E198" s="1640">
        <f t="shared" ref="E198:E206" si="2">SUM(F198:I198)</f>
        <v>-216514.79288700002</v>
      </c>
      <c r="F198" s="1640">
        <v>-216514.79288700002</v>
      </c>
      <c r="G198" s="1640">
        <v>0</v>
      </c>
      <c r="H198" s="1640">
        <v>0</v>
      </c>
      <c r="I198" s="1640">
        <v>0</v>
      </c>
      <c r="J198" s="1688" t="s">
        <v>1531</v>
      </c>
    </row>
    <row r="199" spans="2:12">
      <c r="B199" s="1638" t="s">
        <v>1629</v>
      </c>
      <c r="C199" s="1639"/>
      <c r="D199" s="1642"/>
      <c r="E199" s="1640">
        <f t="shared" si="2"/>
        <v>138505.093074</v>
      </c>
      <c r="F199" s="1640">
        <v>0</v>
      </c>
      <c r="G199" s="1640">
        <v>0</v>
      </c>
      <c r="H199" s="1640">
        <v>138505.093074</v>
      </c>
      <c r="I199" s="1640">
        <v>0</v>
      </c>
      <c r="J199" s="1688" t="s">
        <v>1630</v>
      </c>
    </row>
    <row r="200" spans="2:12">
      <c r="B200" s="1638" t="s">
        <v>1525</v>
      </c>
      <c r="C200" s="1639"/>
      <c r="D200" s="1642"/>
      <c r="E200" s="1640">
        <f t="shared" si="2"/>
        <v>-532484.52264899993</v>
      </c>
      <c r="F200" s="1640">
        <v>-532484.52264899993</v>
      </c>
      <c r="G200" s="1640">
        <v>0</v>
      </c>
      <c r="H200" s="1640">
        <v>0</v>
      </c>
      <c r="I200" s="1640">
        <v>0</v>
      </c>
      <c r="J200" s="1644" t="s">
        <v>1531</v>
      </c>
    </row>
    <row r="201" spans="2:12" ht="25">
      <c r="B201" s="1638" t="s">
        <v>1526</v>
      </c>
      <c r="C201" s="1639"/>
      <c r="D201" s="1642"/>
      <c r="E201" s="1640">
        <f t="shared" si="2"/>
        <v>-9602771.3446619902</v>
      </c>
      <c r="F201" s="1640">
        <v>0</v>
      </c>
      <c r="G201" s="1640">
        <v>0</v>
      </c>
      <c r="H201" s="1640">
        <v>0</v>
      </c>
      <c r="I201" s="1640">
        <v>-9602771.3446619902</v>
      </c>
      <c r="J201" s="1688" t="s">
        <v>1631</v>
      </c>
    </row>
    <row r="202" spans="2:12">
      <c r="B202" s="1638" t="s">
        <v>1527</v>
      </c>
      <c r="C202" s="1639"/>
      <c r="D202" s="1642"/>
      <c r="E202" s="1640">
        <f t="shared" si="2"/>
        <v>-30443283.190732379</v>
      </c>
      <c r="F202" s="1640">
        <v>-30443283.190732379</v>
      </c>
      <c r="G202" s="1640">
        <v>0</v>
      </c>
      <c r="H202" s="1640">
        <v>0</v>
      </c>
      <c r="I202" s="1640">
        <v>0</v>
      </c>
      <c r="J202" s="1688" t="s">
        <v>1531</v>
      </c>
    </row>
    <row r="203" spans="2:12">
      <c r="B203" s="1638" t="s">
        <v>1632</v>
      </c>
      <c r="C203" s="1639"/>
      <c r="D203" s="1642"/>
      <c r="E203" s="1640">
        <f t="shared" si="2"/>
        <v>-1416613.2716340001</v>
      </c>
      <c r="F203" s="1640">
        <v>-1416613.2716340001</v>
      </c>
      <c r="G203" s="1640">
        <v>0</v>
      </c>
      <c r="H203" s="1640">
        <v>0</v>
      </c>
      <c r="I203" s="1640">
        <v>0</v>
      </c>
      <c r="J203" s="1688" t="s">
        <v>1531</v>
      </c>
    </row>
    <row r="204" spans="2:12" ht="25">
      <c r="B204" s="1638" t="s">
        <v>1528</v>
      </c>
      <c r="C204" s="1639"/>
      <c r="D204" s="1642"/>
      <c r="E204" s="1640">
        <f t="shared" si="2"/>
        <v>-378604.44019500003</v>
      </c>
      <c r="F204" s="1640">
        <v>0</v>
      </c>
      <c r="G204" s="1640">
        <v>-378604.44019500003</v>
      </c>
      <c r="H204" s="1640">
        <v>0</v>
      </c>
      <c r="I204" s="1640">
        <v>0</v>
      </c>
      <c r="J204" s="1688" t="s">
        <v>1541</v>
      </c>
    </row>
    <row r="205" spans="2:12">
      <c r="B205" s="1638" t="s">
        <v>1633</v>
      </c>
      <c r="C205" s="1639"/>
      <c r="D205" s="1642"/>
      <c r="E205" s="1640">
        <f t="shared" si="2"/>
        <v>-107221.235139</v>
      </c>
      <c r="F205" s="1640">
        <v>-107221.235139</v>
      </c>
      <c r="G205" s="1640">
        <v>0</v>
      </c>
      <c r="H205" s="1640">
        <v>0</v>
      </c>
      <c r="I205" s="1640">
        <v>0</v>
      </c>
      <c r="J205" s="1688" t="s">
        <v>1531</v>
      </c>
    </row>
    <row r="206" spans="2:12" ht="25">
      <c r="B206" s="1638" t="s">
        <v>1529</v>
      </c>
      <c r="C206" s="1639"/>
      <c r="D206" s="1642"/>
      <c r="E206" s="1640">
        <f t="shared" si="2"/>
        <v>-835245.46588209237</v>
      </c>
      <c r="F206" s="1640">
        <v>-835245.46588209237</v>
      </c>
      <c r="G206" s="1640">
        <v>0</v>
      </c>
      <c r="H206" s="1640">
        <v>0</v>
      </c>
      <c r="I206" s="1640">
        <v>0</v>
      </c>
      <c r="J206" s="1689" t="s">
        <v>1542</v>
      </c>
    </row>
    <row r="207" spans="2:12" ht="13">
      <c r="B207" s="1378" t="s">
        <v>953</v>
      </c>
      <c r="C207" s="1376"/>
      <c r="D207" s="1376"/>
      <c r="E207" s="1377">
        <f>SUM(E197:E206)</f>
        <v>-43394233.283146456</v>
      </c>
      <c r="F207" s="1377">
        <f>SUM(F197:F206)</f>
        <v>-33551362.478923474</v>
      </c>
      <c r="G207" s="1377">
        <f>SUM(G197:G206)</f>
        <v>-378604.44019500003</v>
      </c>
      <c r="H207" s="1377">
        <f>SUM(H197:H206)</f>
        <v>138504.98063400001</v>
      </c>
      <c r="I207" s="1377">
        <f>SUM(I197:I206)</f>
        <v>-9602771.3446619902</v>
      </c>
      <c r="J207" s="1690"/>
    </row>
    <row r="208" spans="2:12" ht="13">
      <c r="B208" s="1378"/>
      <c r="C208" s="1376"/>
      <c r="D208" s="1376"/>
      <c r="E208" s="1377"/>
      <c r="F208" s="1377"/>
      <c r="G208" s="1377"/>
      <c r="H208" s="1377"/>
      <c r="I208" s="1377"/>
      <c r="J208" s="1690"/>
    </row>
    <row r="209" spans="2:10">
      <c r="B209" s="1396" t="s">
        <v>1335</v>
      </c>
      <c r="C209" s="1397"/>
      <c r="D209" s="1398"/>
      <c r="E209" s="1381">
        <f>SUM(F209:I209)</f>
        <v>0</v>
      </c>
      <c r="F209" s="1372"/>
      <c r="G209" s="1372"/>
      <c r="H209" s="1372"/>
      <c r="I209" s="1372"/>
      <c r="J209" s="1382"/>
    </row>
    <row r="210" spans="2:10">
      <c r="B210" s="1379" t="s">
        <v>1336</v>
      </c>
      <c r="C210" s="1380"/>
      <c r="D210" s="1398"/>
      <c r="E210" s="1381">
        <f>SUM(F210:I210)</f>
        <v>0</v>
      </c>
      <c r="F210" s="1372"/>
      <c r="G210" s="1372"/>
      <c r="H210" s="1372"/>
      <c r="I210" s="1372"/>
      <c r="J210" s="1382"/>
    </row>
    <row r="211" spans="2:10">
      <c r="B211" s="1379" t="s">
        <v>1337</v>
      </c>
      <c r="C211" s="1380"/>
      <c r="D211" s="1398"/>
      <c r="E211" s="1381">
        <f>SUM(F211:I211)</f>
        <v>0</v>
      </c>
      <c r="F211" s="1372"/>
      <c r="G211" s="1372"/>
      <c r="H211" s="1372"/>
      <c r="I211" s="1372"/>
      <c r="J211" s="1382"/>
    </row>
    <row r="212" spans="2:10">
      <c r="B212" s="1379" t="s">
        <v>1007</v>
      </c>
      <c r="C212" s="1380"/>
      <c r="D212" s="1398"/>
      <c r="E212" s="1381">
        <f>SUM(F212:I212)</f>
        <v>0</v>
      </c>
      <c r="F212" s="1372"/>
      <c r="G212" s="1372"/>
      <c r="H212" s="1372"/>
      <c r="I212" s="1372"/>
      <c r="J212" s="1382"/>
    </row>
    <row r="213" spans="2:10" ht="5.15" customHeight="1">
      <c r="B213" s="1374"/>
      <c r="C213" s="1375"/>
      <c r="D213" s="1376"/>
      <c r="E213" s="1377"/>
      <c r="F213" s="1377"/>
      <c r="G213" s="1377"/>
      <c r="H213" s="1377"/>
      <c r="I213" s="1377"/>
      <c r="J213" s="1690"/>
    </row>
    <row r="214" spans="2:10" ht="13">
      <c r="B214" s="1399" t="s">
        <v>954</v>
      </c>
      <c r="C214" s="1400"/>
      <c r="D214" s="1376"/>
      <c r="E214" s="1377">
        <f>SUM(E209:E212)+E207</f>
        <v>-43394233.283146456</v>
      </c>
      <c r="F214" s="1377">
        <f>SUM(F209:F212)+F207</f>
        <v>-33551362.478923474</v>
      </c>
      <c r="G214" s="1377">
        <f>SUM(G209:G212)+G207</f>
        <v>-378604.44019500003</v>
      </c>
      <c r="H214" s="1377">
        <f>SUM(H209:H212)+H207</f>
        <v>138504.98063400001</v>
      </c>
      <c r="I214" s="1377">
        <f>SUM(I209:I212)+I207</f>
        <v>-9602771.3446619902</v>
      </c>
      <c r="J214" s="1690"/>
    </row>
    <row r="215" spans="2:10" ht="13">
      <c r="B215" s="1401"/>
      <c r="C215" s="1402"/>
      <c r="D215" s="1402"/>
      <c r="E215" s="1386"/>
      <c r="F215" s="1377"/>
      <c r="G215" s="1377"/>
      <c r="H215" s="1377"/>
      <c r="I215" s="1377"/>
      <c r="J215" s="1388"/>
    </row>
    <row r="216" spans="2:10" ht="13">
      <c r="B216" s="1403" t="s">
        <v>264</v>
      </c>
      <c r="C216" s="1404"/>
      <c r="D216" s="1385"/>
      <c r="E216" s="1386"/>
      <c r="F216" s="1386"/>
      <c r="G216" s="1386"/>
      <c r="H216" s="1386"/>
      <c r="I216" s="1387">
        <f>'ATT H-1A'!$H$16</f>
        <v>0.13888944064369446</v>
      </c>
      <c r="J216" s="1388"/>
    </row>
    <row r="217" spans="2:10" ht="13">
      <c r="B217" s="1383" t="s">
        <v>237</v>
      </c>
      <c r="C217" s="1384"/>
      <c r="D217" s="1385"/>
      <c r="E217" s="1386"/>
      <c r="F217" s="1386"/>
      <c r="G217" s="1386"/>
      <c r="H217" s="1387">
        <f>'ATT H-1A'!$H$37</f>
        <v>0.37965921295357374</v>
      </c>
      <c r="I217" s="1386"/>
      <c r="J217" s="1388"/>
    </row>
    <row r="218" spans="2:10" ht="13">
      <c r="B218" s="1383" t="s">
        <v>933</v>
      </c>
      <c r="C218" s="1384"/>
      <c r="D218" s="1385"/>
      <c r="E218" s="1386"/>
      <c r="F218" s="1386"/>
      <c r="G218" s="1387">
        <v>1</v>
      </c>
      <c r="H218" s="1386"/>
      <c r="I218" s="1386"/>
      <c r="J218" s="1388"/>
    </row>
    <row r="219" spans="2:10" ht="13">
      <c r="B219" s="1383" t="s">
        <v>934</v>
      </c>
      <c r="C219" s="1384"/>
      <c r="D219" s="1385"/>
      <c r="E219" s="1386"/>
      <c r="F219" s="1387">
        <v>0</v>
      </c>
      <c r="G219" s="1386"/>
      <c r="H219" s="1386"/>
      <c r="I219" s="1386"/>
      <c r="J219" s="1388"/>
    </row>
    <row r="220" spans="2:10" ht="17.25" customHeight="1">
      <c r="B220" s="1389" t="s">
        <v>935</v>
      </c>
      <c r="C220" s="1384"/>
      <c r="D220" s="1385"/>
      <c r="E220" s="1386">
        <f>F220+G220+H220+I220</f>
        <v>-1659743.2889467473</v>
      </c>
      <c r="F220" s="1386">
        <f>F219*F214</f>
        <v>0</v>
      </c>
      <c r="G220" s="1386">
        <f>G214*G218</f>
        <v>-378604.44019500003</v>
      </c>
      <c r="H220" s="1386">
        <f>H214*H217</f>
        <v>52584.691937654417</v>
      </c>
      <c r="I220" s="1386">
        <f>I216*I214</f>
        <v>-1333723.5406894016</v>
      </c>
      <c r="J220" s="1388"/>
    </row>
    <row r="221" spans="2:10" ht="12.75" customHeight="1">
      <c r="B221" s="1418"/>
      <c r="C221" s="1420"/>
      <c r="D221" s="1420"/>
      <c r="E221" s="1420"/>
      <c r="F221" s="1420"/>
      <c r="G221" s="1420"/>
      <c r="H221" s="1420"/>
      <c r="I221" s="1420"/>
      <c r="J221" s="1420"/>
    </row>
    <row r="222" spans="2:10" ht="13">
      <c r="B222" s="1354"/>
      <c r="C222" s="1354"/>
      <c r="D222" s="1354"/>
      <c r="E222" s="1354"/>
      <c r="F222" s="1354"/>
      <c r="G222" s="1354"/>
      <c r="H222" s="1354"/>
      <c r="I222" s="1354"/>
      <c r="J222" s="1354"/>
    </row>
    <row r="223" spans="2:10" ht="13">
      <c r="B223" s="1354" t="s">
        <v>174</v>
      </c>
      <c r="C223" s="367"/>
      <c r="D223" s="367"/>
      <c r="E223" s="1354" t="s">
        <v>175</v>
      </c>
      <c r="F223" s="1354" t="s">
        <v>1142</v>
      </c>
      <c r="G223" s="1354" t="s">
        <v>1295</v>
      </c>
      <c r="H223" s="1354" t="s">
        <v>1296</v>
      </c>
      <c r="I223" s="1354" t="s">
        <v>1297</v>
      </c>
      <c r="J223" s="1354" t="s">
        <v>1298</v>
      </c>
    </row>
    <row r="224" spans="2:10" ht="13">
      <c r="B224" s="1363"/>
      <c r="C224" s="367"/>
      <c r="D224" s="367"/>
      <c r="E224" s="1354"/>
      <c r="F224" s="1354" t="s">
        <v>1329</v>
      </c>
      <c r="G224" s="1354" t="s">
        <v>258</v>
      </c>
      <c r="H224" s="1354"/>
      <c r="I224" s="1354"/>
      <c r="J224" s="1687"/>
    </row>
    <row r="225" spans="2:10" ht="13">
      <c r="B225" s="1405"/>
      <c r="C225" s="367"/>
      <c r="D225" s="367"/>
      <c r="E225" s="1354"/>
      <c r="F225" s="1354" t="s">
        <v>1330</v>
      </c>
      <c r="G225" s="1354" t="s">
        <v>228</v>
      </c>
      <c r="H225" s="1354" t="s">
        <v>259</v>
      </c>
      <c r="I225" s="1354" t="s">
        <v>260</v>
      </c>
      <c r="J225" s="1687"/>
    </row>
    <row r="226" spans="2:10" ht="13">
      <c r="B226" s="1363" t="s">
        <v>1340</v>
      </c>
      <c r="E226" s="1354" t="s">
        <v>44</v>
      </c>
      <c r="F226" s="1357" t="s">
        <v>1331</v>
      </c>
      <c r="G226" s="1354" t="s">
        <v>261</v>
      </c>
      <c r="H226" s="1354" t="s">
        <v>261</v>
      </c>
      <c r="I226" s="1354" t="s">
        <v>261</v>
      </c>
      <c r="J226" s="1354" t="s">
        <v>265</v>
      </c>
    </row>
    <row r="227" spans="2:10">
      <c r="B227" s="1638"/>
      <c r="C227" s="1639"/>
      <c r="D227" s="1642"/>
      <c r="E227" s="1640"/>
      <c r="F227" s="1640"/>
      <c r="G227" s="1640"/>
      <c r="H227" s="1640"/>
      <c r="I227" s="1640"/>
      <c r="J227" s="1688"/>
    </row>
    <row r="228" spans="2:10">
      <c r="B228" s="1638"/>
      <c r="C228" s="1639"/>
      <c r="D228" s="1642"/>
      <c r="E228" s="1640"/>
      <c r="F228" s="1640"/>
      <c r="G228" s="1640"/>
      <c r="H228" s="1640"/>
      <c r="I228" s="1640"/>
      <c r="J228" s="1688"/>
    </row>
    <row r="229" spans="2:10">
      <c r="B229" s="1638"/>
      <c r="C229" s="1639"/>
      <c r="D229" s="1642"/>
      <c r="E229" s="1640"/>
      <c r="F229" s="1640"/>
      <c r="G229" s="1640"/>
      <c r="H229" s="1640"/>
      <c r="I229" s="1640"/>
      <c r="J229" s="1688"/>
    </row>
    <row r="230" spans="2:10">
      <c r="B230" s="1638"/>
      <c r="C230" s="1639"/>
      <c r="D230" s="1642"/>
      <c r="E230" s="1640"/>
      <c r="F230" s="1640"/>
      <c r="G230" s="1640"/>
      <c r="H230" s="1640"/>
      <c r="I230" s="1640"/>
      <c r="J230" s="1644"/>
    </row>
    <row r="231" spans="2:10">
      <c r="B231" s="1638"/>
      <c r="C231" s="1639"/>
      <c r="D231" s="1642"/>
      <c r="E231" s="1640"/>
      <c r="F231" s="1640"/>
      <c r="G231" s="1640"/>
      <c r="H231" s="1640"/>
      <c r="I231" s="1640"/>
      <c r="J231" s="1688"/>
    </row>
    <row r="232" spans="2:10">
      <c r="B232" s="1638"/>
      <c r="C232" s="1639"/>
      <c r="D232" s="1642"/>
      <c r="E232" s="1640"/>
      <c r="F232" s="1640"/>
      <c r="G232" s="1640"/>
      <c r="H232" s="1640"/>
      <c r="I232" s="1640"/>
      <c r="J232" s="1688"/>
    </row>
    <row r="233" spans="2:10">
      <c r="B233" s="1638"/>
      <c r="C233" s="1639"/>
      <c r="D233" s="1642"/>
      <c r="E233" s="1640"/>
      <c r="F233" s="1640"/>
      <c r="G233" s="1640"/>
      <c r="H233" s="1640"/>
      <c r="I233" s="1640"/>
      <c r="J233" s="1688"/>
    </row>
    <row r="234" spans="2:10">
      <c r="B234" s="1638"/>
      <c r="C234" s="1639"/>
      <c r="D234" s="1642"/>
      <c r="E234" s="1640"/>
      <c r="F234" s="1640"/>
      <c r="G234" s="1640"/>
      <c r="H234" s="1640"/>
      <c r="I234" s="1640"/>
      <c r="J234" s="1688"/>
    </row>
    <row r="235" spans="2:10">
      <c r="B235" s="1638"/>
      <c r="C235" s="1639"/>
      <c r="D235" s="1642"/>
      <c r="E235" s="1640"/>
      <c r="F235" s="1640"/>
      <c r="G235" s="1640"/>
      <c r="H235" s="1640"/>
      <c r="I235" s="1640"/>
      <c r="J235" s="1689"/>
    </row>
    <row r="236" spans="2:10" ht="13">
      <c r="B236" s="1378" t="s">
        <v>1008</v>
      </c>
      <c r="C236" s="1376"/>
      <c r="D236" s="1377"/>
      <c r="E236" s="1377">
        <f>SUM(E227:E235)</f>
        <v>0</v>
      </c>
      <c r="F236" s="1377">
        <f>SUM(F227:F235)</f>
        <v>0</v>
      </c>
      <c r="G236" s="1377">
        <f>SUM(G227:G235)</f>
        <v>0</v>
      </c>
      <c r="H236" s="1377">
        <f>SUM(H227:H235)</f>
        <v>0</v>
      </c>
      <c r="I236" s="1377">
        <f>SUM(I227:I235)</f>
        <v>0</v>
      </c>
      <c r="J236" s="1690"/>
    </row>
    <row r="237" spans="2:10" ht="13">
      <c r="B237" s="1378"/>
      <c r="C237" s="1376"/>
      <c r="D237" s="1376"/>
      <c r="E237" s="1377"/>
      <c r="F237" s="1377"/>
      <c r="G237" s="1377"/>
      <c r="H237" s="1377"/>
      <c r="I237" s="1377"/>
      <c r="J237" s="1690"/>
    </row>
    <row r="238" spans="2:10">
      <c r="B238" s="1396" t="s">
        <v>1335</v>
      </c>
      <c r="C238" s="1397"/>
      <c r="D238" s="1398"/>
      <c r="E238" s="1381">
        <f>SUM(F238:I238)</f>
        <v>0</v>
      </c>
      <c r="F238" s="1372"/>
      <c r="G238" s="1372"/>
      <c r="H238" s="1372"/>
      <c r="I238" s="1372"/>
      <c r="J238" s="1382"/>
    </row>
    <row r="239" spans="2:10">
      <c r="B239" s="1379" t="s">
        <v>1336</v>
      </c>
      <c r="C239" s="1380"/>
      <c r="D239" s="1398"/>
      <c r="E239" s="1381">
        <f>SUM(F239:I239)</f>
        <v>0</v>
      </c>
      <c r="F239" s="1372"/>
      <c r="G239" s="1372"/>
      <c r="H239" s="1372"/>
      <c r="I239" s="1372"/>
      <c r="J239" s="1382"/>
    </row>
    <row r="240" spans="2:10">
      <c r="B240" s="1379" t="s">
        <v>1337</v>
      </c>
      <c r="C240" s="1380"/>
      <c r="D240" s="1398"/>
      <c r="E240" s="1381">
        <f>SUM(F240:I240)</f>
        <v>0</v>
      </c>
      <c r="F240" s="1372"/>
      <c r="G240" s="1372"/>
      <c r="H240" s="1372"/>
      <c r="I240" s="1372"/>
      <c r="J240" s="1382"/>
    </row>
    <row r="241" spans="2:10">
      <c r="B241" s="1379" t="s">
        <v>1007</v>
      </c>
      <c r="C241" s="1380"/>
      <c r="D241" s="1398"/>
      <c r="E241" s="1381">
        <f>SUM(F241:I241)</f>
        <v>0</v>
      </c>
      <c r="F241" s="1372"/>
      <c r="G241" s="1372"/>
      <c r="H241" s="1372"/>
      <c r="I241" s="1372"/>
      <c r="J241" s="1382"/>
    </row>
    <row r="242" spans="2:10" ht="5.15" customHeight="1">
      <c r="B242" s="1374"/>
      <c r="C242" s="1375"/>
      <c r="D242" s="1376"/>
      <c r="E242" s="1377"/>
      <c r="F242" s="1377"/>
      <c r="G242" s="1377"/>
      <c r="H242" s="1377"/>
      <c r="I242" s="1377"/>
      <c r="J242" s="1690"/>
    </row>
    <row r="243" spans="2:10" ht="13">
      <c r="B243" s="1399" t="s">
        <v>956</v>
      </c>
      <c r="C243" s="1400"/>
      <c r="D243" s="1376"/>
      <c r="E243" s="1377">
        <f>SUM(E238:E241)+E236</f>
        <v>0</v>
      </c>
      <c r="F243" s="1377">
        <f>SUM(F238:F241)+F236</f>
        <v>0</v>
      </c>
      <c r="G243" s="1377">
        <f>SUM(G238:G241)+G236</f>
        <v>0</v>
      </c>
      <c r="H243" s="1377">
        <f>SUM(H238:H241)+H236</f>
        <v>0</v>
      </c>
      <c r="I243" s="1377">
        <f>SUM(I238:I241)+I236</f>
        <v>0</v>
      </c>
      <c r="J243" s="1690"/>
    </row>
    <row r="244" spans="2:10" ht="13">
      <c r="B244" s="1401"/>
      <c r="C244" s="1402"/>
      <c r="D244" s="1402"/>
      <c r="E244" s="1386"/>
      <c r="F244" s="1377"/>
      <c r="G244" s="1377"/>
      <c r="H244" s="1377"/>
      <c r="I244" s="1377"/>
      <c r="J244" s="1388"/>
    </row>
    <row r="245" spans="2:10" ht="13">
      <c r="B245" s="1403" t="s">
        <v>264</v>
      </c>
      <c r="C245" s="1404"/>
      <c r="D245" s="1385"/>
      <c r="E245" s="1386"/>
      <c r="F245" s="1386"/>
      <c r="G245" s="1386"/>
      <c r="H245" s="1386"/>
      <c r="I245" s="1387">
        <f>'ATT H-1A'!$H$16</f>
        <v>0.13888944064369446</v>
      </c>
      <c r="J245" s="1388"/>
    </row>
    <row r="246" spans="2:10" ht="13">
      <c r="B246" s="1383" t="s">
        <v>237</v>
      </c>
      <c r="C246" s="1384"/>
      <c r="D246" s="1385"/>
      <c r="E246" s="1386"/>
      <c r="F246" s="1386"/>
      <c r="G246" s="1386"/>
      <c r="H246" s="1387">
        <f>'ATT H-1A'!$H$37</f>
        <v>0.37965921295357374</v>
      </c>
      <c r="I246" s="1386"/>
      <c r="J246" s="1388"/>
    </row>
    <row r="247" spans="2:10" ht="13">
      <c r="B247" s="1383" t="s">
        <v>933</v>
      </c>
      <c r="C247" s="1384"/>
      <c r="D247" s="1385"/>
      <c r="E247" s="1386"/>
      <c r="F247" s="1386"/>
      <c r="G247" s="1387">
        <v>1</v>
      </c>
      <c r="H247" s="1386"/>
      <c r="I247" s="1386"/>
      <c r="J247" s="1388"/>
    </row>
    <row r="248" spans="2:10" ht="13">
      <c r="B248" s="1383" t="s">
        <v>934</v>
      </c>
      <c r="C248" s="1384"/>
      <c r="D248" s="1385"/>
      <c r="E248" s="1386"/>
      <c r="F248" s="1387">
        <v>0</v>
      </c>
      <c r="G248" s="1386"/>
      <c r="H248" s="1386"/>
      <c r="I248" s="1386"/>
      <c r="J248" s="1388"/>
    </row>
    <row r="249" spans="2:10" ht="13">
      <c r="B249" s="1389" t="s">
        <v>935</v>
      </c>
      <c r="C249" s="1384"/>
      <c r="D249" s="1385"/>
      <c r="E249" s="1386">
        <f>F249+G249+H249+I249</f>
        <v>0</v>
      </c>
      <c r="F249" s="1386">
        <f>F248*F243</f>
        <v>0</v>
      </c>
      <c r="G249" s="1386">
        <f>G243*G247</f>
        <v>0</v>
      </c>
      <c r="H249" s="1386">
        <f>H243*H246</f>
        <v>0</v>
      </c>
      <c r="I249" s="1386">
        <f>I245*I243</f>
        <v>0</v>
      </c>
      <c r="J249" s="1388"/>
    </row>
    <row r="250" spans="2:10" ht="13">
      <c r="B250" s="1390"/>
      <c r="E250" s="1361"/>
      <c r="F250" s="1361"/>
      <c r="G250" s="1361"/>
      <c r="H250" s="1361"/>
      <c r="I250" s="1361"/>
      <c r="J250" s="1391"/>
    </row>
    <row r="251" spans="2:10" ht="13">
      <c r="B251" s="1390"/>
      <c r="E251" s="1361"/>
      <c r="F251" s="1361"/>
      <c r="G251" s="1361"/>
      <c r="H251" s="1361"/>
      <c r="I251" s="1361"/>
      <c r="J251" s="1391"/>
    </row>
    <row r="252" spans="2:10" ht="13">
      <c r="B252" s="1354"/>
      <c r="C252" s="1354"/>
      <c r="D252" s="1354"/>
      <c r="E252" s="1354"/>
      <c r="F252" s="1354"/>
      <c r="G252" s="1354"/>
      <c r="H252" s="1354"/>
      <c r="I252" s="1354"/>
      <c r="J252" s="1354"/>
    </row>
    <row r="253" spans="2:10" ht="13">
      <c r="B253" s="1354" t="s">
        <v>174</v>
      </c>
      <c r="C253" s="367"/>
      <c r="D253" s="367"/>
      <c r="E253" s="1354" t="s">
        <v>175</v>
      </c>
      <c r="F253" s="1354" t="s">
        <v>1142</v>
      </c>
      <c r="G253" s="1354" t="s">
        <v>1295</v>
      </c>
      <c r="H253" s="1354" t="s">
        <v>1296</v>
      </c>
      <c r="I253" s="1354" t="s">
        <v>1297</v>
      </c>
      <c r="J253" s="1354" t="s">
        <v>1298</v>
      </c>
    </row>
    <row r="254" spans="2:10" ht="13">
      <c r="B254" s="1363"/>
      <c r="C254" s="367"/>
      <c r="D254" s="367"/>
      <c r="E254" s="1354"/>
      <c r="F254" s="1354" t="s">
        <v>1329</v>
      </c>
      <c r="G254" s="1354" t="s">
        <v>258</v>
      </c>
      <c r="H254" s="1354"/>
      <c r="I254" s="1354"/>
      <c r="J254" s="1687"/>
    </row>
    <row r="255" spans="2:10" ht="13">
      <c r="B255" s="1405"/>
      <c r="C255" s="367"/>
      <c r="D255" s="367"/>
      <c r="E255" s="1354"/>
      <c r="F255" s="1354" t="s">
        <v>1330</v>
      </c>
      <c r="G255" s="1354" t="s">
        <v>228</v>
      </c>
      <c r="H255" s="1354" t="s">
        <v>259</v>
      </c>
      <c r="I255" s="1354" t="s">
        <v>260</v>
      </c>
      <c r="J255" s="1687"/>
    </row>
    <row r="256" spans="2:10" ht="16.5" customHeight="1">
      <c r="B256" s="1363" t="s">
        <v>955</v>
      </c>
      <c r="E256" s="1354" t="s">
        <v>44</v>
      </c>
      <c r="F256" s="1357" t="s">
        <v>1331</v>
      </c>
      <c r="G256" s="1354" t="s">
        <v>261</v>
      </c>
      <c r="H256" s="1354" t="s">
        <v>261</v>
      </c>
      <c r="I256" s="1354" t="s">
        <v>261</v>
      </c>
      <c r="J256" s="1354" t="s">
        <v>265</v>
      </c>
    </row>
    <row r="257" spans="2:11">
      <c r="B257" s="1385" t="s">
        <v>1006</v>
      </c>
      <c r="C257" s="1385"/>
      <c r="D257" s="1385"/>
      <c r="E257" s="1377">
        <f>SUM(F257:I257)</f>
        <v>-43394233.283146463</v>
      </c>
      <c r="F257" s="1386">
        <f>F207</f>
        <v>-33551362.478923474</v>
      </c>
      <c r="G257" s="1386">
        <f>G207</f>
        <v>-378604.44019500003</v>
      </c>
      <c r="H257" s="1386">
        <f>H207</f>
        <v>138504.98063400001</v>
      </c>
      <c r="I257" s="1386">
        <f>I207</f>
        <v>-9602771.3446619902</v>
      </c>
      <c r="J257" s="1388"/>
    </row>
    <row r="258" spans="2:11">
      <c r="B258" s="1385" t="s">
        <v>955</v>
      </c>
      <c r="C258" s="1385"/>
      <c r="D258" s="1385"/>
      <c r="E258" s="1377">
        <f>SUM(F258:I258)</f>
        <v>0</v>
      </c>
      <c r="F258" s="1386">
        <f>F236</f>
        <v>0</v>
      </c>
      <c r="G258" s="1386">
        <f>G236</f>
        <v>0</v>
      </c>
      <c r="H258" s="1386">
        <f>H236</f>
        <v>0</v>
      </c>
      <c r="I258" s="1386">
        <f>I236</f>
        <v>0</v>
      </c>
      <c r="J258" s="1388"/>
    </row>
    <row r="259" spans="2:11" ht="13">
      <c r="B259" s="1378" t="s">
        <v>949</v>
      </c>
      <c r="C259" s="1385"/>
      <c r="D259" s="1385"/>
      <c r="E259" s="1386">
        <f>E257+E258</f>
        <v>-43394233.283146463</v>
      </c>
      <c r="F259" s="1386">
        <f>F257+F258</f>
        <v>-33551362.478923474</v>
      </c>
      <c r="G259" s="1386">
        <f>G257+G258</f>
        <v>-378604.44019500003</v>
      </c>
      <c r="H259" s="1386">
        <f>H257+H258</f>
        <v>138504.98063400001</v>
      </c>
      <c r="I259" s="1386">
        <f>I257+I258</f>
        <v>-9602771.3446619902</v>
      </c>
      <c r="J259" s="1388"/>
    </row>
    <row r="260" spans="2:11" ht="13">
      <c r="B260" s="1390"/>
      <c r="E260" s="1361"/>
      <c r="F260" s="1361"/>
      <c r="G260" s="1361"/>
      <c r="H260" s="1361"/>
      <c r="I260" s="1361"/>
      <c r="J260" s="1391"/>
    </row>
    <row r="261" spans="2:11" s="367" customFormat="1" ht="13">
      <c r="B261" s="1363" t="s">
        <v>275</v>
      </c>
      <c r="G261" s="1410"/>
      <c r="H261" s="1410"/>
      <c r="I261" s="1410"/>
      <c r="J261" s="1692"/>
    </row>
    <row r="262" spans="2:11" s="367" customFormat="1" ht="13">
      <c r="B262" s="1746" t="s">
        <v>1339</v>
      </c>
      <c r="C262" s="1746"/>
      <c r="D262" s="1746"/>
      <c r="E262" s="1746"/>
      <c r="F262" s="1746"/>
      <c r="G262" s="1746"/>
      <c r="H262" s="1746"/>
      <c r="I262" s="1746"/>
      <c r="J262" s="1692"/>
    </row>
    <row r="263" spans="2:11" s="367" customFormat="1" ht="13">
      <c r="B263" s="1417" t="s">
        <v>270</v>
      </c>
      <c r="G263" s="1410"/>
      <c r="H263" s="1410"/>
      <c r="I263" s="1410"/>
      <c r="J263" s="1692"/>
    </row>
    <row r="264" spans="2:11" s="367" customFormat="1" ht="13">
      <c r="B264" s="1417" t="s">
        <v>271</v>
      </c>
      <c r="G264" s="1410"/>
      <c r="H264" s="1410"/>
      <c r="I264" s="1410"/>
      <c r="J264" s="1692"/>
    </row>
    <row r="265" spans="2:11" s="367" customFormat="1" ht="13">
      <c r="B265" s="1417" t="s">
        <v>272</v>
      </c>
      <c r="G265" s="1410"/>
      <c r="H265" s="1410"/>
      <c r="I265" s="1410"/>
      <c r="J265" s="1692"/>
    </row>
    <row r="266" spans="2:11" s="367" customFormat="1" ht="15.75" customHeight="1">
      <c r="B266" s="1741" t="s">
        <v>273</v>
      </c>
      <c r="C266" s="1741"/>
      <c r="D266" s="1741"/>
      <c r="E266" s="1741"/>
      <c r="F266" s="1741"/>
      <c r="G266" s="1741"/>
      <c r="H266" s="1741"/>
      <c r="I266" s="1741"/>
      <c r="J266" s="1687"/>
      <c r="K266" s="1412"/>
    </row>
    <row r="267" spans="2:11" s="367" customFormat="1" ht="15.75" customHeight="1">
      <c r="B267" s="1741"/>
      <c r="C267" s="1741"/>
      <c r="D267" s="1741"/>
      <c r="E267" s="1741"/>
      <c r="F267" s="1741"/>
      <c r="G267" s="1741"/>
      <c r="H267" s="1741"/>
      <c r="I267" s="1741"/>
      <c r="J267" s="1687"/>
      <c r="K267" s="1412"/>
    </row>
    <row r="268" spans="2:11" s="367" customFormat="1" ht="13">
      <c r="B268" s="1411" t="s">
        <v>957</v>
      </c>
      <c r="G268" s="1410"/>
      <c r="H268" s="1410"/>
      <c r="I268" s="1410"/>
      <c r="J268" s="1692"/>
    </row>
    <row r="269" spans="2:11" ht="13">
      <c r="B269" s="1417" t="s">
        <v>951</v>
      </c>
    </row>
    <row r="270" spans="2:11" ht="12" customHeight="1">
      <c r="B270" s="1418"/>
      <c r="C270" s="1419"/>
      <c r="D270" s="1420"/>
      <c r="E270" s="1420"/>
      <c r="F270" s="1420"/>
      <c r="G270" s="1420"/>
      <c r="H270" s="1420"/>
      <c r="I270" s="1420"/>
      <c r="J270" s="1420"/>
    </row>
    <row r="271" spans="2:11" ht="12.75" customHeight="1">
      <c r="B271" s="1418"/>
      <c r="C271" s="1420"/>
      <c r="D271" s="1420"/>
      <c r="E271" s="1420"/>
      <c r="F271" s="1420"/>
      <c r="G271" s="1420"/>
      <c r="H271" s="1420"/>
      <c r="I271" s="1420"/>
      <c r="J271" s="1420"/>
    </row>
    <row r="272" spans="2:11" ht="13">
      <c r="B272" s="1354" t="s">
        <v>174</v>
      </c>
      <c r="C272" s="367"/>
      <c r="D272" s="367"/>
      <c r="E272" s="1354" t="s">
        <v>175</v>
      </c>
      <c r="F272" s="1354" t="s">
        <v>1142</v>
      </c>
      <c r="G272" s="1354" t="s">
        <v>1295</v>
      </c>
      <c r="H272" s="1354" t="s">
        <v>1296</v>
      </c>
      <c r="I272" s="1354" t="s">
        <v>1297</v>
      </c>
      <c r="J272" s="1354" t="s">
        <v>1298</v>
      </c>
    </row>
    <row r="273" spans="2:10" ht="13">
      <c r="B273" s="1363"/>
      <c r="C273" s="367"/>
      <c r="D273" s="367"/>
      <c r="E273" s="1354"/>
      <c r="F273" s="1354" t="s">
        <v>1329</v>
      </c>
      <c r="G273" s="1354" t="s">
        <v>258</v>
      </c>
      <c r="H273" s="1354"/>
      <c r="I273" s="1354"/>
      <c r="J273" s="1687"/>
    </row>
    <row r="274" spans="2:10" ht="13">
      <c r="B274" s="1405"/>
      <c r="C274" s="367"/>
      <c r="D274" s="367"/>
      <c r="E274" s="1354"/>
      <c r="F274" s="1354" t="s">
        <v>1330</v>
      </c>
      <c r="G274" s="1354" t="s">
        <v>228</v>
      </c>
      <c r="H274" s="1354" t="s">
        <v>259</v>
      </c>
      <c r="I274" s="1354" t="s">
        <v>260</v>
      </c>
      <c r="J274" s="1687"/>
    </row>
    <row r="275" spans="2:10" ht="13">
      <c r="B275" s="1363" t="s">
        <v>1341</v>
      </c>
      <c r="E275" s="1354" t="s">
        <v>44</v>
      </c>
      <c r="F275" s="1357" t="s">
        <v>1331</v>
      </c>
      <c r="G275" s="1354" t="s">
        <v>261</v>
      </c>
      <c r="H275" s="1354" t="s">
        <v>261</v>
      </c>
      <c r="I275" s="1354" t="s">
        <v>261</v>
      </c>
      <c r="J275" s="1354" t="s">
        <v>265</v>
      </c>
    </row>
    <row r="276" spans="2:10">
      <c r="B276" s="1371"/>
      <c r="C276" s="1392"/>
      <c r="D276" s="1394"/>
      <c r="E276" s="1372"/>
      <c r="F276" s="1372"/>
      <c r="G276" s="1372"/>
      <c r="H276" s="1372"/>
      <c r="I276" s="1372"/>
      <c r="J276" s="1421"/>
    </row>
    <row r="277" spans="2:10" ht="25">
      <c r="B277" s="1497" t="s">
        <v>1342</v>
      </c>
      <c r="C277" s="1499"/>
      <c r="D277" s="1500"/>
      <c r="E277" s="1498">
        <f>F277+G277+H277+I277</f>
        <v>-2391978.7880757456</v>
      </c>
      <c r="F277" s="1498"/>
      <c r="G277" s="1498"/>
      <c r="H277" s="1498">
        <v>-2391978.7880757456</v>
      </c>
      <c r="I277" s="1372"/>
      <c r="J277" s="1421" t="s">
        <v>1775</v>
      </c>
    </row>
    <row r="278" spans="2:10">
      <c r="B278" s="1371"/>
      <c r="C278" s="1392"/>
      <c r="D278" s="1394"/>
      <c r="E278" s="1372"/>
      <c r="F278" s="1372"/>
      <c r="G278" s="1372"/>
      <c r="H278" s="1372"/>
      <c r="I278" s="1372"/>
      <c r="J278" s="1421"/>
    </row>
    <row r="279" spans="2:10">
      <c r="B279" s="1371"/>
      <c r="C279" s="1392"/>
      <c r="D279" s="1394"/>
      <c r="E279" s="1372"/>
      <c r="F279" s="1372"/>
      <c r="G279" s="1372"/>
      <c r="H279" s="1372"/>
      <c r="I279" s="1372"/>
      <c r="J279" s="1421"/>
    </row>
    <row r="280" spans="2:10">
      <c r="B280" s="1371"/>
      <c r="C280" s="1392"/>
      <c r="D280" s="1394"/>
      <c r="E280" s="1372"/>
      <c r="F280" s="1372"/>
      <c r="G280" s="1372"/>
      <c r="H280" s="1372"/>
      <c r="I280" s="1372"/>
      <c r="J280" s="1421"/>
    </row>
    <row r="281" spans="2:10">
      <c r="B281" s="1371"/>
      <c r="C281" s="1392"/>
      <c r="D281" s="1394"/>
      <c r="E281" s="1372"/>
      <c r="F281" s="1372"/>
      <c r="G281" s="1372"/>
      <c r="H281" s="1372"/>
      <c r="I281" s="1372"/>
      <c r="J281" s="1421"/>
    </row>
    <row r="282" spans="2:10">
      <c r="B282" s="1371"/>
      <c r="C282" s="1392"/>
      <c r="D282" s="1394"/>
      <c r="E282" s="1372"/>
      <c r="F282" s="1372"/>
      <c r="G282" s="1372"/>
      <c r="H282" s="1372"/>
      <c r="I282" s="1372"/>
      <c r="J282" s="1421"/>
    </row>
    <row r="283" spans="2:10" ht="13">
      <c r="B283" s="1378" t="s">
        <v>1343</v>
      </c>
      <c r="C283" s="1400"/>
      <c r="D283" s="1376"/>
      <c r="E283" s="1377">
        <f>SUM(E276:E282)</f>
        <v>-2391978.7880757456</v>
      </c>
      <c r="F283" s="1377">
        <f>SUM(F276:F282)</f>
        <v>0</v>
      </c>
      <c r="G283" s="1377">
        <f>SUM(G276:G282)</f>
        <v>0</v>
      </c>
      <c r="H283" s="1377">
        <f>SUM(H276:H282)</f>
        <v>-2391978.7880757456</v>
      </c>
      <c r="I283" s="1377">
        <f>SUM(I276:I282)</f>
        <v>0</v>
      </c>
      <c r="J283" s="1690"/>
    </row>
    <row r="284" spans="2:10" ht="13">
      <c r="B284" s="1378"/>
      <c r="C284" s="1376"/>
      <c r="D284" s="1376"/>
      <c r="E284" s="1377"/>
      <c r="F284" s="1377"/>
      <c r="G284" s="1377"/>
      <c r="H284" s="1377"/>
      <c r="I284" s="1377"/>
      <c r="J284" s="1690"/>
    </row>
    <row r="285" spans="2:10">
      <c r="B285" s="1379" t="s">
        <v>1344</v>
      </c>
      <c r="C285" s="1380"/>
      <c r="D285" s="1398"/>
      <c r="E285" s="1381">
        <f>SUM(F285:I285)</f>
        <v>2391978.7880757456</v>
      </c>
      <c r="F285" s="1372"/>
      <c r="G285" s="1372"/>
      <c r="H285" s="1372">
        <f>-H277</f>
        <v>2391978.7880757456</v>
      </c>
      <c r="I285" s="1372"/>
      <c r="J285" s="1382"/>
    </row>
    <row r="286" spans="2:10" ht="5.15" customHeight="1">
      <c r="B286" s="1374"/>
      <c r="C286" s="1375"/>
      <c r="D286" s="1376"/>
      <c r="E286" s="1377"/>
      <c r="F286" s="1377"/>
      <c r="G286" s="1377"/>
      <c r="H286" s="1377"/>
      <c r="I286" s="1377"/>
      <c r="J286" s="1690"/>
    </row>
    <row r="287" spans="2:10" ht="13">
      <c r="B287" s="1378" t="s">
        <v>1345</v>
      </c>
      <c r="C287" s="1376"/>
      <c r="D287" s="1376"/>
      <c r="E287" s="1377">
        <f>SUM(E285:E285)+E283</f>
        <v>0</v>
      </c>
      <c r="F287" s="1377">
        <f>SUM(F285:F285)+F283</f>
        <v>0</v>
      </c>
      <c r="G287" s="1377">
        <f>SUM(G285:G285)+G283</f>
        <v>0</v>
      </c>
      <c r="H287" s="1377">
        <f>SUM(H285:H285)+H283</f>
        <v>0</v>
      </c>
      <c r="I287" s="1377">
        <f>SUM(I285:I285)+I283</f>
        <v>0</v>
      </c>
      <c r="J287" s="1690"/>
    </row>
    <row r="288" spans="2:10" ht="13">
      <c r="B288" s="1422"/>
      <c r="C288" s="1385"/>
      <c r="D288" s="1385"/>
      <c r="E288" s="1386"/>
      <c r="F288" s="1377"/>
      <c r="G288" s="1377"/>
      <c r="H288" s="1377"/>
      <c r="I288" s="1377"/>
      <c r="J288" s="1388"/>
    </row>
    <row r="289" spans="2:10" ht="13">
      <c r="B289" s="1383" t="s">
        <v>264</v>
      </c>
      <c r="C289" s="1384"/>
      <c r="D289" s="1385"/>
      <c r="E289" s="1386"/>
      <c r="F289" s="1386"/>
      <c r="G289" s="1386"/>
      <c r="H289" s="1386"/>
      <c r="I289" s="1387">
        <f>'ATT H-1A'!$H$16</f>
        <v>0.13888944064369446</v>
      </c>
      <c r="J289" s="1388"/>
    </row>
    <row r="290" spans="2:10" ht="13">
      <c r="B290" s="1383" t="s">
        <v>237</v>
      </c>
      <c r="C290" s="1384"/>
      <c r="D290" s="1385"/>
      <c r="E290" s="1386"/>
      <c r="F290" s="1386"/>
      <c r="G290" s="1386"/>
      <c r="H290" s="1387">
        <f>+H246</f>
        <v>0.37965921295357374</v>
      </c>
      <c r="I290" s="1386"/>
      <c r="J290" s="1388"/>
    </row>
    <row r="291" spans="2:10" ht="13">
      <c r="B291" s="1383" t="s">
        <v>933</v>
      </c>
      <c r="C291" s="1384"/>
      <c r="D291" s="1385"/>
      <c r="E291" s="1386"/>
      <c r="F291" s="1386"/>
      <c r="G291" s="1387">
        <v>1</v>
      </c>
      <c r="H291" s="1386"/>
      <c r="I291" s="1386"/>
      <c r="J291" s="1388"/>
    </row>
    <row r="292" spans="2:10" ht="13">
      <c r="B292" s="1383" t="s">
        <v>934</v>
      </c>
      <c r="C292" s="1384"/>
      <c r="D292" s="1385"/>
      <c r="E292" s="1386"/>
      <c r="F292" s="1387">
        <v>0</v>
      </c>
      <c r="G292" s="1386"/>
      <c r="H292" s="1386"/>
      <c r="I292" s="1386"/>
      <c r="J292" s="1388"/>
    </row>
    <row r="293" spans="2:10" ht="13">
      <c r="B293" s="1384" t="s">
        <v>1346</v>
      </c>
      <c r="C293" s="1384"/>
      <c r="D293" s="1385"/>
      <c r="E293" s="1386">
        <f>F293+G293+H293+I293</f>
        <v>0</v>
      </c>
      <c r="F293" s="1386">
        <f>F292*F287</f>
        <v>0</v>
      </c>
      <c r="G293" s="1386">
        <f>G287*G291</f>
        <v>0</v>
      </c>
      <c r="H293" s="1386">
        <f>H287*H290</f>
        <v>0</v>
      </c>
      <c r="I293" s="1386">
        <f>I289*I287</f>
        <v>0</v>
      </c>
      <c r="J293" s="1388"/>
    </row>
    <row r="294" spans="2:10" ht="12.75" customHeight="1">
      <c r="B294" s="1418"/>
      <c r="C294" s="1420"/>
      <c r="D294" s="1420"/>
      <c r="E294" s="1420"/>
      <c r="F294" s="1420"/>
      <c r="G294" s="1420"/>
      <c r="H294" s="1420"/>
      <c r="I294" s="1420"/>
      <c r="J294" s="1420"/>
    </row>
    <row r="295" spans="2:10" ht="12.75" customHeight="1">
      <c r="B295" s="1418"/>
      <c r="C295" s="1420"/>
      <c r="D295" s="1420"/>
      <c r="E295" s="1420"/>
      <c r="F295" s="1420"/>
      <c r="G295" s="1420"/>
      <c r="H295" s="1420"/>
      <c r="I295" s="1420"/>
      <c r="J295" s="1420"/>
    </row>
    <row r="296" spans="2:10" ht="13">
      <c r="B296" s="1354" t="s">
        <v>174</v>
      </c>
      <c r="C296" s="367"/>
      <c r="D296" s="367"/>
      <c r="E296" s="1354" t="s">
        <v>175</v>
      </c>
      <c r="F296" s="1354" t="s">
        <v>1142</v>
      </c>
      <c r="G296" s="1354" t="s">
        <v>1295</v>
      </c>
      <c r="H296" s="1354" t="s">
        <v>1296</v>
      </c>
      <c r="I296" s="1354" t="s">
        <v>1297</v>
      </c>
      <c r="J296" s="1354" t="s">
        <v>1298</v>
      </c>
    </row>
    <row r="297" spans="2:10" ht="13">
      <c r="B297" s="1363"/>
      <c r="C297" s="367"/>
      <c r="D297" s="367"/>
      <c r="E297" s="1354"/>
      <c r="F297" s="1354" t="s">
        <v>1329</v>
      </c>
      <c r="G297" s="1354" t="s">
        <v>258</v>
      </c>
      <c r="H297" s="1354"/>
      <c r="I297" s="1354"/>
      <c r="J297" s="1687"/>
    </row>
    <row r="298" spans="2:10" ht="13">
      <c r="B298" s="1405"/>
      <c r="C298" s="367"/>
      <c r="D298" s="367"/>
      <c r="E298" s="1354"/>
      <c r="F298" s="1354" t="s">
        <v>1330</v>
      </c>
      <c r="G298" s="1354" t="s">
        <v>228</v>
      </c>
      <c r="H298" s="1354" t="s">
        <v>259</v>
      </c>
      <c r="I298" s="1354" t="s">
        <v>260</v>
      </c>
      <c r="J298" s="1687"/>
    </row>
    <row r="299" spans="2:10" ht="13">
      <c r="B299" s="1363" t="s">
        <v>1224</v>
      </c>
      <c r="E299" s="1354" t="s">
        <v>44</v>
      </c>
      <c r="F299" s="1357" t="s">
        <v>1331</v>
      </c>
      <c r="G299" s="1354" t="s">
        <v>261</v>
      </c>
      <c r="H299" s="1354" t="s">
        <v>261</v>
      </c>
      <c r="I299" s="1354" t="s">
        <v>261</v>
      </c>
      <c r="J299" s="1354" t="s">
        <v>265</v>
      </c>
    </row>
    <row r="300" spans="2:10">
      <c r="B300" s="1371"/>
      <c r="C300" s="1392"/>
      <c r="D300" s="1394"/>
      <c r="E300" s="1372"/>
      <c r="F300" s="1372"/>
      <c r="G300" s="1372"/>
      <c r="H300" s="1372"/>
      <c r="I300" s="1372"/>
      <c r="J300" s="1421"/>
    </row>
    <row r="301" spans="2:10" ht="50">
      <c r="B301" s="1497" t="s">
        <v>1224</v>
      </c>
      <c r="C301" s="1499"/>
      <c r="D301" s="1500"/>
      <c r="E301" s="1498">
        <f>F301+G301+H301+I301</f>
        <v>316224.21192425297</v>
      </c>
      <c r="F301" s="1498"/>
      <c r="G301" s="1498"/>
      <c r="H301" s="1498">
        <v>316224.21192425297</v>
      </c>
      <c r="I301" s="1498"/>
      <c r="J301" s="1421" t="s">
        <v>1776</v>
      </c>
    </row>
    <row r="302" spans="2:10">
      <c r="B302" s="1371"/>
      <c r="C302" s="1392"/>
      <c r="D302" s="1394"/>
      <c r="E302" s="1372"/>
      <c r="F302" s="1372"/>
      <c r="G302" s="1372"/>
      <c r="H302" s="1372"/>
      <c r="I302" s="1372"/>
      <c r="J302" s="1421"/>
    </row>
    <row r="303" spans="2:10">
      <c r="B303" s="1371"/>
      <c r="C303" s="1392"/>
      <c r="D303" s="1394"/>
      <c r="E303" s="1372"/>
      <c r="F303" s="1372"/>
      <c r="G303" s="1372"/>
      <c r="H303" s="1372"/>
      <c r="I303" s="1372"/>
      <c r="J303" s="1421"/>
    </row>
    <row r="304" spans="2:10">
      <c r="B304" s="1371"/>
      <c r="C304" s="1392"/>
      <c r="D304" s="1394"/>
      <c r="E304" s="1372"/>
      <c r="F304" s="1372"/>
      <c r="G304" s="1372"/>
      <c r="H304" s="1372"/>
      <c r="I304" s="1372"/>
      <c r="J304" s="1421"/>
    </row>
    <row r="305" spans="1:10">
      <c r="B305" s="1371"/>
      <c r="C305" s="1392"/>
      <c r="D305" s="1394"/>
      <c r="E305" s="1372"/>
      <c r="F305" s="1372"/>
      <c r="G305" s="1372"/>
      <c r="H305" s="1372"/>
      <c r="I305" s="1372"/>
      <c r="J305" s="1421"/>
    </row>
    <row r="306" spans="1:10">
      <c r="B306" s="1371"/>
      <c r="C306" s="1392"/>
      <c r="D306" s="1394"/>
      <c r="E306" s="1372"/>
      <c r="F306" s="1372"/>
      <c r="G306" s="1372"/>
      <c r="H306" s="1372"/>
      <c r="I306" s="1372"/>
      <c r="J306" s="1421"/>
    </row>
    <row r="307" spans="1:10" ht="13">
      <c r="B307" s="1378" t="s">
        <v>1347</v>
      </c>
      <c r="C307" s="1423"/>
      <c r="D307" s="1376"/>
      <c r="E307" s="1377">
        <f>SUM(E300:E306)</f>
        <v>316224.21192425297</v>
      </c>
      <c r="F307" s="1377">
        <f>SUM(F300:F306)</f>
        <v>0</v>
      </c>
      <c r="G307" s="1377">
        <f>SUM(G300:G306)</f>
        <v>0</v>
      </c>
      <c r="H307" s="1377">
        <f>SUM(H300:H306)</f>
        <v>316224.21192425297</v>
      </c>
      <c r="I307" s="1377">
        <f>SUM(I300:I306)</f>
        <v>0</v>
      </c>
      <c r="J307" s="1690"/>
    </row>
    <row r="308" spans="1:10" ht="13">
      <c r="B308" s="1401"/>
      <c r="C308" s="1402"/>
      <c r="D308" s="1402"/>
      <c r="E308" s="1386"/>
      <c r="F308" s="1377"/>
      <c r="G308" s="1377"/>
      <c r="H308" s="1377"/>
      <c r="I308" s="1377"/>
      <c r="J308" s="1388"/>
    </row>
    <row r="309" spans="1:10" ht="13">
      <c r="B309" s="1403" t="s">
        <v>264</v>
      </c>
      <c r="C309" s="1404"/>
      <c r="D309" s="1385"/>
      <c r="E309" s="1386"/>
      <c r="F309" s="1386"/>
      <c r="G309" s="1386"/>
      <c r="H309" s="1386"/>
      <c r="I309" s="1387">
        <f>'ATT H-1A'!$H$16</f>
        <v>0.13888944064369446</v>
      </c>
      <c r="J309" s="1388"/>
    </row>
    <row r="310" spans="1:10" ht="13">
      <c r="B310" s="1383" t="s">
        <v>237</v>
      </c>
      <c r="C310" s="1384"/>
      <c r="D310" s="1385"/>
      <c r="E310" s="1386"/>
      <c r="F310" s="1386"/>
      <c r="G310" s="1386"/>
      <c r="H310" s="1387">
        <f>+H290</f>
        <v>0.37965921295357374</v>
      </c>
      <c r="I310" s="1386"/>
      <c r="J310" s="1388"/>
    </row>
    <row r="311" spans="1:10" ht="13">
      <c r="B311" s="1383" t="s">
        <v>933</v>
      </c>
      <c r="C311" s="1384"/>
      <c r="D311" s="1385"/>
      <c r="E311" s="1386"/>
      <c r="F311" s="1386"/>
      <c r="G311" s="1387">
        <v>1</v>
      </c>
      <c r="H311" s="1386"/>
      <c r="I311" s="1386"/>
      <c r="J311" s="1388"/>
    </row>
    <row r="312" spans="1:10" ht="13">
      <c r="B312" s="1383" t="s">
        <v>934</v>
      </c>
      <c r="C312" s="1384"/>
      <c r="D312" s="1385"/>
      <c r="E312" s="1386"/>
      <c r="F312" s="1387">
        <v>0</v>
      </c>
      <c r="G312" s="1386"/>
      <c r="H312" s="1386"/>
      <c r="I312" s="1386"/>
      <c r="J312" s="1388"/>
    </row>
    <row r="313" spans="1:10" ht="13">
      <c r="B313" s="1389" t="s">
        <v>1348</v>
      </c>
      <c r="C313" s="1384"/>
      <c r="D313" s="1385"/>
      <c r="E313" s="1386">
        <f>F313+G313+H313+I313</f>
        <v>120057.435416026</v>
      </c>
      <c r="F313" s="1386">
        <f>F312*F307</f>
        <v>0</v>
      </c>
      <c r="G313" s="1386">
        <f>G307*G311</f>
        <v>0</v>
      </c>
      <c r="H313" s="1386">
        <f>H307*H310</f>
        <v>120057.435416026</v>
      </c>
      <c r="I313" s="1386">
        <f>I309*I307</f>
        <v>0</v>
      </c>
      <c r="J313" s="1388"/>
    </row>
    <row r="314" spans="1:10">
      <c r="G314" s="1365"/>
    </row>
    <row r="316" spans="1:10" s="1246" customFormat="1" ht="15.5">
      <c r="A316" s="1424" t="s">
        <v>489</v>
      </c>
      <c r="B316" s="1425"/>
      <c r="C316" s="1425"/>
      <c r="D316" s="225"/>
      <c r="E316" s="225"/>
      <c r="F316" s="576"/>
      <c r="G316" s="225"/>
      <c r="H316" s="225"/>
      <c r="I316" s="225"/>
      <c r="J316" s="225"/>
    </row>
  </sheetData>
  <mergeCells count="12">
    <mergeCell ref="B266:I267"/>
    <mergeCell ref="A1:K1"/>
    <mergeCell ref="A2:K2"/>
    <mergeCell ref="A3:K3"/>
    <mergeCell ref="B6:J6"/>
    <mergeCell ref="B24:I26"/>
    <mergeCell ref="B29:I30"/>
    <mergeCell ref="B117:I117"/>
    <mergeCell ref="B121:I122"/>
    <mergeCell ref="B183:I183"/>
    <mergeCell ref="B187:I188"/>
    <mergeCell ref="B262:I262"/>
  </mergeCells>
  <pageMargins left="0.25" right="0.25" top="0.75" bottom="0.75" header="0.3" footer="0.3"/>
  <pageSetup scale="41" fitToHeight="0" orientation="landscape" r:id="rId1"/>
  <rowBreaks count="5" manualBreakCount="5">
    <brk id="31" max="16383" man="1"/>
    <brk id="79" max="16383" man="1"/>
    <brk id="125" max="16383" man="1"/>
    <brk id="192"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2D20-7C22-4212-B954-3317AC983EF1}">
  <sheetPr>
    <pageSetUpPr fitToPage="1"/>
  </sheetPr>
  <dimension ref="A1:R316"/>
  <sheetViews>
    <sheetView topLeftCell="D40" zoomScale="80" zoomScaleNormal="80" zoomScaleSheetLayoutView="55" workbookViewId="0">
      <selection activeCell="P40" sqref="O40:P40"/>
    </sheetView>
  </sheetViews>
  <sheetFormatPr defaultColWidth="9.1796875" defaultRowHeight="12.5"/>
  <cols>
    <col min="1" max="1" width="5.7265625" style="1350" customWidth="1"/>
    <col min="2" max="2" width="11.453125" style="1352" customWidth="1"/>
    <col min="3" max="3" width="75.1796875" style="1350" customWidth="1"/>
    <col min="4" max="4" width="0.54296875" style="1350" customWidth="1"/>
    <col min="5" max="5" width="29.1796875" style="1350" customWidth="1"/>
    <col min="6" max="6" width="26.453125" style="1350" customWidth="1"/>
    <col min="7" max="7" width="18.81640625" style="1350" customWidth="1"/>
    <col min="8" max="8" width="27.81640625" style="1350" customWidth="1"/>
    <col min="9" max="9" width="28.81640625" style="1350" customWidth="1"/>
    <col min="10" max="10" width="85.7265625" style="1350" customWidth="1"/>
    <col min="11" max="11" width="5.7265625" style="1350" customWidth="1"/>
    <col min="12" max="16384" width="9.1796875" style="1350"/>
  </cols>
  <sheetData>
    <row r="1" spans="1:18" ht="15.5">
      <c r="A1" s="1742" t="s">
        <v>1547</v>
      </c>
      <c r="B1" s="1742"/>
      <c r="C1" s="1742"/>
      <c r="D1" s="1742"/>
      <c r="E1" s="1742"/>
      <c r="F1" s="1742"/>
      <c r="G1" s="1742"/>
      <c r="H1" s="1742"/>
      <c r="I1" s="1742"/>
      <c r="J1" s="1742"/>
      <c r="K1" s="1742"/>
    </row>
    <row r="2" spans="1:18" ht="15.5">
      <c r="A2" s="1743" t="s">
        <v>896</v>
      </c>
      <c r="B2" s="1743"/>
      <c r="C2" s="1743"/>
      <c r="D2" s="1743"/>
      <c r="E2" s="1743"/>
      <c r="F2" s="1743"/>
      <c r="G2" s="1743"/>
      <c r="H2" s="1743"/>
      <c r="I2" s="1743"/>
      <c r="J2" s="1743"/>
      <c r="K2" s="1743"/>
    </row>
    <row r="3" spans="1:18" ht="15.5">
      <c r="A3" s="1742" t="s">
        <v>1328</v>
      </c>
      <c r="B3" s="1742"/>
      <c r="C3" s="1742"/>
      <c r="D3" s="1742"/>
      <c r="E3" s="1742"/>
      <c r="F3" s="1742"/>
      <c r="G3" s="1742"/>
      <c r="H3" s="1742"/>
      <c r="I3" s="1742"/>
      <c r="J3" s="1742"/>
      <c r="K3" s="1742"/>
    </row>
    <row r="4" spans="1:18" ht="13">
      <c r="B4" s="1351"/>
    </row>
    <row r="5" spans="1:18" ht="13">
      <c r="I5" s="1353"/>
    </row>
    <row r="6" spans="1:18" ht="13">
      <c r="B6" s="1744" t="s">
        <v>1793</v>
      </c>
      <c r="C6" s="1744"/>
      <c r="D6" s="1744"/>
      <c r="E6" s="1744"/>
      <c r="F6" s="1744"/>
      <c r="G6" s="1744"/>
      <c r="H6" s="1744"/>
      <c r="I6" s="1744"/>
      <c r="J6" s="1744"/>
    </row>
    <row r="7" spans="1:18" ht="13">
      <c r="F7" s="1354" t="s">
        <v>1329</v>
      </c>
      <c r="G7" s="1355" t="s">
        <v>258</v>
      </c>
      <c r="H7" s="1355"/>
    </row>
    <row r="8" spans="1:18" ht="13">
      <c r="F8" s="1354" t="s">
        <v>1330</v>
      </c>
      <c r="G8" s="1355" t="s">
        <v>228</v>
      </c>
      <c r="H8" s="1355" t="s">
        <v>259</v>
      </c>
      <c r="I8" s="1355" t="s">
        <v>260</v>
      </c>
    </row>
    <row r="9" spans="1:18" ht="13">
      <c r="B9" s="1356" t="s">
        <v>573</v>
      </c>
      <c r="C9" s="1356" t="s">
        <v>926</v>
      </c>
      <c r="E9" s="1357" t="s">
        <v>44</v>
      </c>
      <c r="F9" s="1357" t="s">
        <v>1331</v>
      </c>
      <c r="G9" s="1358" t="s">
        <v>261</v>
      </c>
      <c r="H9" s="1358" t="s">
        <v>261</v>
      </c>
      <c r="I9" s="1358" t="s">
        <v>261</v>
      </c>
    </row>
    <row r="10" spans="1:18" ht="5.15" customHeight="1"/>
    <row r="11" spans="1:18">
      <c r="B11" s="1352">
        <v>1</v>
      </c>
      <c r="C11" s="1359" t="s">
        <v>263</v>
      </c>
      <c r="E11" s="1360">
        <f>F11+G11+H11+I11</f>
        <v>15125589.748492952</v>
      </c>
      <c r="F11" s="1360">
        <f>F77</f>
        <v>0</v>
      </c>
      <c r="G11" s="1360">
        <f>G77</f>
        <v>0</v>
      </c>
      <c r="H11" s="1360">
        <f>H77</f>
        <v>14229288.706518067</v>
      </c>
      <c r="I11" s="1360">
        <f>I77</f>
        <v>896301.04197488632</v>
      </c>
    </row>
    <row r="12" spans="1:18">
      <c r="B12" s="1352">
        <f>B11+1</f>
        <v>2</v>
      </c>
      <c r="C12" s="1359" t="s">
        <v>927</v>
      </c>
      <c r="E12" s="1360">
        <f>F12+G12+H12+I12</f>
        <v>0</v>
      </c>
      <c r="F12" s="1360">
        <v>0</v>
      </c>
      <c r="G12" s="1360">
        <v>0</v>
      </c>
      <c r="H12" s="1360">
        <v>0</v>
      </c>
      <c r="I12" s="1360">
        <v>0</v>
      </c>
      <c r="O12" s="1361"/>
      <c r="P12" s="1361"/>
      <c r="Q12" s="1361"/>
      <c r="R12" s="1361"/>
    </row>
    <row r="13" spans="1:18">
      <c r="B13" s="1352">
        <f>B12+1</f>
        <v>3</v>
      </c>
      <c r="C13" s="1359" t="s">
        <v>928</v>
      </c>
      <c r="E13" s="1360">
        <f>F13+G13+H13+I13</f>
        <v>-179760360.51164731</v>
      </c>
      <c r="F13" s="1360">
        <f>F147</f>
        <v>0</v>
      </c>
      <c r="G13" s="1360">
        <f>G147</f>
        <v>0</v>
      </c>
      <c r="H13" s="1360">
        <f>H147</f>
        <v>-179760360.51164731</v>
      </c>
      <c r="I13" s="1360">
        <f>I147</f>
        <v>0</v>
      </c>
      <c r="O13" s="1361"/>
      <c r="P13" s="1361"/>
      <c r="Q13" s="1361"/>
      <c r="R13" s="1361"/>
    </row>
    <row r="14" spans="1:18">
      <c r="B14" s="1352">
        <f>B13+1</f>
        <v>4</v>
      </c>
      <c r="C14" s="1359" t="s">
        <v>262</v>
      </c>
      <c r="E14" s="1360">
        <f>F14+G14+H14+I14</f>
        <v>-2010011.8649776131</v>
      </c>
      <c r="F14" s="1360">
        <f>F220</f>
        <v>0</v>
      </c>
      <c r="G14" s="1360">
        <f>G220</f>
        <v>-378604.44019500003</v>
      </c>
      <c r="H14" s="1360">
        <f>H220</f>
        <v>51642.777106791509</v>
      </c>
      <c r="I14" s="1360">
        <f>I220</f>
        <v>-1683050.2018894046</v>
      </c>
      <c r="O14" s="1361"/>
      <c r="P14" s="1361"/>
      <c r="Q14" s="1361"/>
      <c r="R14" s="1361"/>
    </row>
    <row r="15" spans="1:18">
      <c r="B15" s="1352">
        <f>B14+1</f>
        <v>5</v>
      </c>
      <c r="C15" s="1359" t="s">
        <v>276</v>
      </c>
      <c r="E15" s="1360">
        <f>F15+G15+H15+I15</f>
        <v>0</v>
      </c>
      <c r="F15" s="1360">
        <f>F293</f>
        <v>0</v>
      </c>
      <c r="G15" s="1360">
        <f>G293</f>
        <v>0</v>
      </c>
      <c r="H15" s="1360">
        <f>H293</f>
        <v>0</v>
      </c>
      <c r="I15" s="1360">
        <f>I293</f>
        <v>0</v>
      </c>
      <c r="O15" s="1361"/>
      <c r="P15" s="1361"/>
      <c r="Q15" s="1361"/>
      <c r="R15" s="1361"/>
    </row>
    <row r="16" spans="1:18" ht="5.15" customHeight="1">
      <c r="E16" s="1362"/>
      <c r="F16" s="1362"/>
      <c r="G16" s="1362"/>
      <c r="H16" s="1362"/>
      <c r="I16" s="1362"/>
    </row>
    <row r="17" spans="2:10" ht="13">
      <c r="B17" s="1352">
        <f>B16+6</f>
        <v>6</v>
      </c>
      <c r="C17" s="1363" t="s">
        <v>929</v>
      </c>
      <c r="E17" s="1360">
        <f>E11+E12+E13+E14+E15</f>
        <v>-166644782.62813199</v>
      </c>
      <c r="F17" s="1360">
        <f>F11+F12+F13+F14+F15</f>
        <v>0</v>
      </c>
      <c r="G17" s="1360">
        <f>G11+G12+G13+G14+G15</f>
        <v>-378604.44019500003</v>
      </c>
      <c r="H17" s="1360">
        <f>H11+H12+H13+H14+H15</f>
        <v>-165479429.02802247</v>
      </c>
      <c r="I17" s="1360">
        <f>I11+I12+I13+I14+I15</f>
        <v>-786749.15991451824</v>
      </c>
      <c r="J17" s="1364"/>
    </row>
    <row r="18" spans="2:10">
      <c r="C18" s="1352"/>
      <c r="F18" s="1361"/>
      <c r="G18" s="1361"/>
      <c r="H18" s="1361"/>
      <c r="I18" s="1365"/>
    </row>
    <row r="19" spans="2:10">
      <c r="C19" s="1352"/>
      <c r="F19" s="1361"/>
      <c r="G19" s="1361"/>
      <c r="H19" s="1361"/>
      <c r="I19" s="1365"/>
    </row>
    <row r="20" spans="2:10" ht="13">
      <c r="B20" s="1366" t="s">
        <v>573</v>
      </c>
      <c r="C20" s="1366" t="s">
        <v>1332</v>
      </c>
      <c r="D20" s="367"/>
      <c r="E20" s="1357" t="s">
        <v>44</v>
      </c>
      <c r="F20" s="367"/>
      <c r="G20" s="367"/>
      <c r="H20" s="367"/>
      <c r="I20" s="1367"/>
    </row>
    <row r="21" spans="2:10">
      <c r="B21" s="367"/>
      <c r="C21" s="367"/>
      <c r="D21" s="367"/>
      <c r="E21" s="367"/>
      <c r="F21" s="367"/>
      <c r="G21" s="367"/>
      <c r="H21" s="367"/>
      <c r="I21" s="1367"/>
    </row>
    <row r="22" spans="2:10">
      <c r="B22" s="1368">
        <f>B17+1</f>
        <v>7</v>
      </c>
      <c r="C22" s="1350" t="s">
        <v>1333</v>
      </c>
      <c r="E22" s="1360">
        <v>-1038322</v>
      </c>
      <c r="I22" s="1369"/>
    </row>
    <row r="23" spans="2:10">
      <c r="B23" s="1350"/>
    </row>
    <row r="24" spans="2:10" ht="12.75" customHeight="1">
      <c r="B24" s="1745" t="s">
        <v>1757</v>
      </c>
      <c r="C24" s="1745"/>
      <c r="D24" s="1745"/>
      <c r="E24" s="1745"/>
      <c r="F24" s="1745"/>
      <c r="G24" s="1745"/>
      <c r="H24" s="1745"/>
      <c r="I24" s="1745"/>
    </row>
    <row r="25" spans="2:10">
      <c r="B25" s="1745"/>
      <c r="C25" s="1745"/>
      <c r="D25" s="1745"/>
      <c r="E25" s="1745"/>
      <c r="F25" s="1745"/>
      <c r="G25" s="1745"/>
      <c r="H25" s="1745"/>
      <c r="I25" s="1745"/>
    </row>
    <row r="26" spans="2:10">
      <c r="B26" s="1745"/>
      <c r="C26" s="1745"/>
      <c r="D26" s="1745"/>
      <c r="E26" s="1745"/>
      <c r="F26" s="1745"/>
      <c r="G26" s="1745"/>
      <c r="H26" s="1745"/>
      <c r="I26" s="1745"/>
    </row>
    <row r="27" spans="2:10">
      <c r="B27" s="367"/>
      <c r="C27" s="367"/>
      <c r="D27" s="367"/>
      <c r="E27" s="367"/>
      <c r="F27" s="367"/>
      <c r="G27" s="367"/>
      <c r="H27" s="367"/>
      <c r="I27" s="1367"/>
    </row>
    <row r="29" spans="2:10" ht="15" customHeight="1">
      <c r="B29" s="1745" t="s">
        <v>1334</v>
      </c>
      <c r="C29" s="1745"/>
      <c r="D29" s="1745"/>
      <c r="E29" s="1745"/>
      <c r="F29" s="1745"/>
      <c r="G29" s="1745"/>
      <c r="H29" s="1745"/>
      <c r="I29" s="1745"/>
      <c r="J29" s="1686"/>
    </row>
    <row r="30" spans="2:10">
      <c r="B30" s="1745"/>
      <c r="C30" s="1745"/>
      <c r="D30" s="1745"/>
      <c r="E30" s="1745"/>
      <c r="F30" s="1745"/>
      <c r="G30" s="1745"/>
      <c r="H30" s="1745"/>
      <c r="I30" s="1745"/>
      <c r="J30" s="1686"/>
    </row>
    <row r="31" spans="2:10" ht="13">
      <c r="I31" s="1353"/>
    </row>
    <row r="32" spans="2:10" ht="13">
      <c r="B32" s="1354" t="s">
        <v>174</v>
      </c>
      <c r="C32" s="1354"/>
      <c r="D32" s="1354"/>
      <c r="E32" s="1354" t="s">
        <v>175</v>
      </c>
      <c r="F32" s="1354" t="s">
        <v>1142</v>
      </c>
      <c r="G32" s="1354" t="s">
        <v>1295</v>
      </c>
      <c r="H32" s="1354" t="s">
        <v>1296</v>
      </c>
      <c r="I32" s="1354" t="s">
        <v>1297</v>
      </c>
      <c r="J32" s="1354" t="s">
        <v>1298</v>
      </c>
    </row>
    <row r="33" spans="2:10" ht="13">
      <c r="B33" s="1363"/>
      <c r="C33" s="367"/>
      <c r="D33" s="367"/>
      <c r="E33" s="1354"/>
      <c r="F33" s="1354" t="s">
        <v>1329</v>
      </c>
      <c r="G33" s="1354" t="s">
        <v>258</v>
      </c>
      <c r="H33" s="1354"/>
      <c r="I33" s="1354"/>
      <c r="J33" s="1687"/>
    </row>
    <row r="34" spans="2:10" ht="13">
      <c r="B34" s="1370"/>
      <c r="C34" s="367"/>
      <c r="D34" s="367"/>
      <c r="E34" s="1354"/>
      <c r="F34" s="1354" t="s">
        <v>1330</v>
      </c>
      <c r="G34" s="1354" t="s">
        <v>228</v>
      </c>
      <c r="H34" s="1354" t="s">
        <v>259</v>
      </c>
      <c r="I34" s="1354" t="s">
        <v>260</v>
      </c>
      <c r="J34" s="1687"/>
    </row>
    <row r="35" spans="2:10" ht="13">
      <c r="B35" s="1363" t="s">
        <v>930</v>
      </c>
      <c r="C35" s="367"/>
      <c r="D35" s="367"/>
      <c r="E35" s="1354" t="s">
        <v>44</v>
      </c>
      <c r="F35" s="1357" t="s">
        <v>1331</v>
      </c>
      <c r="G35" s="1354" t="s">
        <v>261</v>
      </c>
      <c r="H35" s="1354" t="s">
        <v>261</v>
      </c>
      <c r="I35" s="1354" t="s">
        <v>261</v>
      </c>
      <c r="J35" s="1354" t="s">
        <v>265</v>
      </c>
    </row>
    <row r="36" spans="2:10" ht="25">
      <c r="B36" s="1638" t="s">
        <v>1507</v>
      </c>
      <c r="C36" s="1639"/>
      <c r="D36" s="1639"/>
      <c r="E36" s="1640">
        <f>SUM(F36:I36)</f>
        <v>910738.32713700004</v>
      </c>
      <c r="F36" s="1640">
        <v>0</v>
      </c>
      <c r="G36" s="1640">
        <v>0</v>
      </c>
      <c r="H36" s="1640">
        <v>0</v>
      </c>
      <c r="I36" s="1640">
        <v>910738.32713700004</v>
      </c>
      <c r="J36" s="1688" t="s">
        <v>1530</v>
      </c>
    </row>
    <row r="37" spans="2:10" ht="25">
      <c r="B37" s="1638" t="s">
        <v>1085</v>
      </c>
      <c r="C37" s="1639"/>
      <c r="D37" s="1641"/>
      <c r="E37" s="1640">
        <f t="shared" ref="E37:E63" si="0">SUM(F37:I37)</f>
        <v>2337728.2309890003</v>
      </c>
      <c r="F37" s="1640">
        <v>0</v>
      </c>
      <c r="G37" s="1640">
        <v>0</v>
      </c>
      <c r="H37" s="1640">
        <v>0</v>
      </c>
      <c r="I37" s="1640">
        <v>2337728.2309890003</v>
      </c>
      <c r="J37" s="1688" t="s">
        <v>1530</v>
      </c>
    </row>
    <row r="38" spans="2:10">
      <c r="B38" s="1638" t="s">
        <v>1508</v>
      </c>
      <c r="C38" s="1639"/>
      <c r="D38" s="1641"/>
      <c r="E38" s="1640">
        <f t="shared" si="0"/>
        <v>335676.990177</v>
      </c>
      <c r="F38" s="1640">
        <v>335676.990177</v>
      </c>
      <c r="G38" s="1640">
        <v>0</v>
      </c>
      <c r="H38" s="1640">
        <v>0</v>
      </c>
      <c r="I38" s="1640">
        <v>0</v>
      </c>
      <c r="J38" s="1688" t="s">
        <v>1531</v>
      </c>
    </row>
    <row r="39" spans="2:10">
      <c r="B39" s="1638" t="s">
        <v>1794</v>
      </c>
      <c r="C39" s="1639"/>
      <c r="D39" s="1641"/>
      <c r="E39" s="1640">
        <f t="shared" si="0"/>
        <v>17568.75</v>
      </c>
      <c r="F39" s="1640">
        <v>17568.75</v>
      </c>
      <c r="G39" s="1640">
        <v>0</v>
      </c>
      <c r="H39" s="1640">
        <v>0</v>
      </c>
      <c r="I39" s="1640">
        <v>0</v>
      </c>
      <c r="J39" s="1688"/>
    </row>
    <row r="40" spans="2:10" ht="37.5">
      <c r="B40" s="1638" t="s">
        <v>1509</v>
      </c>
      <c r="C40" s="1639"/>
      <c r="D40" s="1641"/>
      <c r="E40" s="1640">
        <f t="shared" si="0"/>
        <v>4854641.1074010003</v>
      </c>
      <c r="F40" s="1640">
        <v>0</v>
      </c>
      <c r="G40" s="1640">
        <v>0</v>
      </c>
      <c r="H40" s="1640">
        <v>0</v>
      </c>
      <c r="I40" s="1640">
        <v>4854641.1074010003</v>
      </c>
      <c r="J40" s="1688" t="s">
        <v>1532</v>
      </c>
    </row>
    <row r="41" spans="2:10">
      <c r="B41" s="1638" t="s">
        <v>1510</v>
      </c>
      <c r="C41" s="1639"/>
      <c r="D41" s="1641"/>
      <c r="E41" s="1640">
        <f t="shared" si="0"/>
        <v>2181574.8478589999</v>
      </c>
      <c r="F41" s="1640">
        <v>2181574.8478589999</v>
      </c>
      <c r="G41" s="1640">
        <v>0</v>
      </c>
      <c r="H41" s="1640">
        <v>0</v>
      </c>
      <c r="I41" s="1640">
        <v>0</v>
      </c>
      <c r="J41" s="1688" t="s">
        <v>1531</v>
      </c>
    </row>
    <row r="42" spans="2:10" ht="25">
      <c r="B42" s="1638" t="s">
        <v>1511</v>
      </c>
      <c r="C42" s="1639"/>
      <c r="D42" s="1641"/>
      <c r="E42" s="1640">
        <f t="shared" si="0"/>
        <v>172674.39191100001</v>
      </c>
      <c r="F42" s="1640">
        <v>0</v>
      </c>
      <c r="G42" s="1640">
        <v>0</v>
      </c>
      <c r="H42" s="1640">
        <v>0</v>
      </c>
      <c r="I42" s="1640">
        <v>172674.39191100001</v>
      </c>
      <c r="J42" s="1688" t="s">
        <v>1530</v>
      </c>
    </row>
    <row r="43" spans="2:10" ht="25">
      <c r="B43" s="1638" t="s">
        <v>1259</v>
      </c>
      <c r="C43" s="1639"/>
      <c r="D43" s="1641"/>
      <c r="E43" s="1640">
        <f t="shared" si="0"/>
        <v>2248.8168660000001</v>
      </c>
      <c r="F43" s="1640">
        <v>0</v>
      </c>
      <c r="G43" s="1640">
        <v>0</v>
      </c>
      <c r="H43" s="1640">
        <v>0</v>
      </c>
      <c r="I43" s="1640">
        <v>2248.8168660000001</v>
      </c>
      <c r="J43" s="1688" t="s">
        <v>1530</v>
      </c>
    </row>
    <row r="44" spans="2:10" ht="25">
      <c r="B44" s="1638" t="s">
        <v>1466</v>
      </c>
      <c r="C44" s="1639"/>
      <c r="D44" s="1641"/>
      <c r="E44" s="1640">
        <f t="shared" si="0"/>
        <v>2461.7079510000003</v>
      </c>
      <c r="F44" s="1640">
        <v>0</v>
      </c>
      <c r="G44" s="1640">
        <v>0</v>
      </c>
      <c r="H44" s="1640">
        <v>0</v>
      </c>
      <c r="I44" s="1640">
        <v>2461.7079510000003</v>
      </c>
      <c r="J44" s="1688" t="s">
        <v>1530</v>
      </c>
    </row>
    <row r="45" spans="2:10">
      <c r="B45" s="1638" t="s">
        <v>1087</v>
      </c>
      <c r="C45" s="1639"/>
      <c r="D45" s="1641"/>
      <c r="E45" s="1640">
        <f t="shared" si="0"/>
        <v>877645.03131300013</v>
      </c>
      <c r="F45" s="1640">
        <v>877645.03131300013</v>
      </c>
      <c r="G45" s="1640">
        <v>0</v>
      </c>
      <c r="H45" s="1640">
        <v>0</v>
      </c>
      <c r="I45" s="1640">
        <v>0</v>
      </c>
      <c r="J45" s="1688" t="s">
        <v>1531</v>
      </c>
    </row>
    <row r="46" spans="2:10" ht="25">
      <c r="B46" s="1638" t="s">
        <v>1512</v>
      </c>
      <c r="C46" s="1639"/>
      <c r="D46" s="1641"/>
      <c r="E46" s="1640">
        <f t="shared" si="0"/>
        <v>3027490.3905960005</v>
      </c>
      <c r="F46" s="1640">
        <v>0</v>
      </c>
      <c r="G46" s="1640">
        <v>0</v>
      </c>
      <c r="H46" s="1640">
        <v>0</v>
      </c>
      <c r="I46" s="1640">
        <v>3027490.3905960005</v>
      </c>
      <c r="J46" s="1688" t="s">
        <v>1530</v>
      </c>
    </row>
    <row r="47" spans="2:10">
      <c r="B47" s="1638" t="s">
        <v>267</v>
      </c>
      <c r="C47" s="1639"/>
      <c r="D47" s="1641"/>
      <c r="E47" s="1640">
        <f t="shared" si="0"/>
        <v>12178747.415457003</v>
      </c>
      <c r="F47" s="1640">
        <v>12178747.415457003</v>
      </c>
      <c r="G47" s="1640">
        <v>0</v>
      </c>
      <c r="H47" s="1640">
        <v>0</v>
      </c>
      <c r="I47" s="1640">
        <v>0</v>
      </c>
      <c r="J47" s="1688" t="s">
        <v>1531</v>
      </c>
    </row>
    <row r="48" spans="2:10">
      <c r="B48" s="1638" t="s">
        <v>1513</v>
      </c>
      <c r="C48" s="1639"/>
      <c r="D48" s="1641"/>
      <c r="E48" s="1640">
        <f t="shared" si="0"/>
        <v>1593987.8157720002</v>
      </c>
      <c r="F48" s="1640">
        <v>1593987.8157720002</v>
      </c>
      <c r="G48" s="1640">
        <v>0</v>
      </c>
      <c r="H48" s="1640">
        <v>0</v>
      </c>
      <c r="I48" s="1640">
        <v>0</v>
      </c>
      <c r="J48" s="1688" t="s">
        <v>1531</v>
      </c>
    </row>
    <row r="49" spans="2:10">
      <c r="B49" s="1638" t="s">
        <v>266</v>
      </c>
      <c r="C49" s="1639"/>
      <c r="D49" s="1641"/>
      <c r="E49" s="1640">
        <f t="shared" si="0"/>
        <v>20113.596087000002</v>
      </c>
      <c r="F49" s="1640">
        <v>20113.596087000002</v>
      </c>
      <c r="G49" s="1640">
        <v>0</v>
      </c>
      <c r="H49" s="1640">
        <v>0</v>
      </c>
      <c r="I49" s="1640">
        <v>0</v>
      </c>
      <c r="J49" s="1688" t="s">
        <v>1531</v>
      </c>
    </row>
    <row r="50" spans="2:10">
      <c r="B50" s="1638" t="s">
        <v>1795</v>
      </c>
      <c r="C50" s="1639"/>
      <c r="D50" s="1641"/>
      <c r="E50" s="1640">
        <f t="shared" si="0"/>
        <v>3289206.0606720001</v>
      </c>
      <c r="F50" s="1640">
        <v>3289206.0606720001</v>
      </c>
      <c r="G50" s="1640">
        <v>0</v>
      </c>
      <c r="H50" s="1640">
        <v>0</v>
      </c>
      <c r="I50" s="1640">
        <v>0</v>
      </c>
      <c r="J50" s="1688" t="s">
        <v>1531</v>
      </c>
    </row>
    <row r="51" spans="2:10">
      <c r="B51" s="1638" t="s">
        <v>1627</v>
      </c>
      <c r="C51" s="1639"/>
      <c r="D51" s="1641"/>
      <c r="E51" s="1640">
        <f t="shared" si="0"/>
        <v>443467.26630000002</v>
      </c>
      <c r="F51" s="1640">
        <v>0</v>
      </c>
      <c r="G51" s="1640">
        <v>0</v>
      </c>
      <c r="H51" s="1640">
        <v>443467.26630000002</v>
      </c>
      <c r="I51" s="1640">
        <v>0</v>
      </c>
      <c r="J51" s="1688" t="s">
        <v>1628</v>
      </c>
    </row>
    <row r="52" spans="2:10">
      <c r="B52" s="1638" t="s">
        <v>1515</v>
      </c>
      <c r="C52" s="1639"/>
      <c r="D52" s="1641"/>
      <c r="E52" s="1640">
        <f t="shared" si="0"/>
        <v>49150.053900000006</v>
      </c>
      <c r="F52" s="1640">
        <v>49150.053900000006</v>
      </c>
      <c r="G52" s="1640">
        <v>0</v>
      </c>
      <c r="H52" s="1640">
        <v>0</v>
      </c>
      <c r="I52" s="1640">
        <v>0</v>
      </c>
      <c r="J52" s="1688" t="s">
        <v>1531</v>
      </c>
    </row>
    <row r="53" spans="2:10">
      <c r="B53" s="1638" t="s">
        <v>1796</v>
      </c>
      <c r="C53" s="1639"/>
      <c r="D53" s="1641"/>
      <c r="E53" s="1640">
        <f t="shared" si="0"/>
        <v>-130869.579396</v>
      </c>
      <c r="F53" s="1640">
        <v>-130869.579396</v>
      </c>
      <c r="G53" s="1640">
        <v>0</v>
      </c>
      <c r="H53" s="1640">
        <v>0</v>
      </c>
      <c r="I53" s="1640">
        <v>0</v>
      </c>
      <c r="J53" s="1688" t="s">
        <v>1531</v>
      </c>
    </row>
    <row r="54" spans="2:10">
      <c r="B54" s="1638" t="s">
        <v>1516</v>
      </c>
      <c r="C54" s="1639"/>
      <c r="D54" s="1641"/>
      <c r="E54" s="1640">
        <f t="shared" si="0"/>
        <v>8082488.4548699996</v>
      </c>
      <c r="F54" s="1640">
        <v>8082488.4548699996</v>
      </c>
      <c r="G54" s="1640">
        <v>0</v>
      </c>
      <c r="H54" s="1640">
        <v>0</v>
      </c>
      <c r="I54" s="1640">
        <v>0</v>
      </c>
      <c r="J54" s="1688" t="s">
        <v>1531</v>
      </c>
    </row>
    <row r="55" spans="2:10">
      <c r="B55" s="1638" t="s">
        <v>1517</v>
      </c>
      <c r="C55" s="1639"/>
      <c r="D55" s="1641"/>
      <c r="E55" s="1640">
        <f t="shared" si="0"/>
        <v>305989.43729999999</v>
      </c>
      <c r="F55" s="1640">
        <v>305989.43729999999</v>
      </c>
      <c r="G55" s="1640">
        <v>0</v>
      </c>
      <c r="H55" s="1640">
        <v>0</v>
      </c>
      <c r="I55" s="1640">
        <v>0</v>
      </c>
      <c r="J55" s="1688" t="s">
        <v>1531</v>
      </c>
    </row>
    <row r="56" spans="2:10">
      <c r="B56" s="1638" t="s">
        <v>1797</v>
      </c>
      <c r="C56" s="1639"/>
      <c r="D56" s="1641"/>
      <c r="E56" s="1640">
        <f t="shared" si="0"/>
        <v>-210</v>
      </c>
      <c r="F56" s="1640">
        <v>-210</v>
      </c>
      <c r="G56" s="1640">
        <v>0</v>
      </c>
      <c r="H56" s="1640">
        <v>0</v>
      </c>
      <c r="I56" s="1640">
        <v>0</v>
      </c>
      <c r="J56" s="1688" t="s">
        <v>1797</v>
      </c>
    </row>
    <row r="57" spans="2:10">
      <c r="B57" s="1638" t="s">
        <v>1471</v>
      </c>
      <c r="C57" s="1639"/>
      <c r="D57" s="1641"/>
      <c r="E57" s="1640">
        <f t="shared" si="0"/>
        <v>173731.57020000002</v>
      </c>
      <c r="F57" s="1640">
        <v>173731.57020000002</v>
      </c>
      <c r="G57" s="1640">
        <v>0</v>
      </c>
      <c r="H57" s="1640">
        <v>0</v>
      </c>
      <c r="I57" s="1640">
        <v>0</v>
      </c>
      <c r="J57" s="1688" t="s">
        <v>1531</v>
      </c>
    </row>
    <row r="58" spans="2:10" ht="25">
      <c r="B58" s="1638" t="s">
        <v>1518</v>
      </c>
      <c r="C58" s="1639"/>
      <c r="D58" s="1641"/>
      <c r="E58" s="1640">
        <f t="shared" si="0"/>
        <v>37719223.958775453</v>
      </c>
      <c r="F58" s="1640">
        <v>0</v>
      </c>
      <c r="G58" s="1640">
        <v>0</v>
      </c>
      <c r="H58" s="1640">
        <v>37719223.958775453</v>
      </c>
      <c r="I58" s="1640">
        <v>0</v>
      </c>
      <c r="J58" s="1688" t="s">
        <v>1533</v>
      </c>
    </row>
    <row r="59" spans="2:10" ht="50">
      <c r="B59" s="1638" t="s">
        <v>1519</v>
      </c>
      <c r="C59" s="1639"/>
      <c r="D59" s="1641"/>
      <c r="E59" s="1640">
        <f t="shared" si="0"/>
        <v>761275.86330000008</v>
      </c>
      <c r="F59" s="1640">
        <v>0</v>
      </c>
      <c r="G59" s="1640">
        <v>0</v>
      </c>
      <c r="H59" s="1640">
        <v>761275.86330000008</v>
      </c>
      <c r="I59" s="1640">
        <v>0</v>
      </c>
      <c r="J59" s="1688" t="s">
        <v>1534</v>
      </c>
    </row>
    <row r="60" spans="2:10">
      <c r="B60" s="1638" t="s">
        <v>1520</v>
      </c>
      <c r="C60" s="1639"/>
      <c r="D60" s="1641"/>
      <c r="E60" s="1640">
        <f t="shared" si="0"/>
        <v>2327</v>
      </c>
      <c r="F60" s="1640">
        <v>2327</v>
      </c>
      <c r="G60" s="1640">
        <v>0</v>
      </c>
      <c r="H60" s="1640">
        <v>0</v>
      </c>
      <c r="I60" s="1640">
        <v>0</v>
      </c>
      <c r="J60" s="1688" t="s">
        <v>1531</v>
      </c>
    </row>
    <row r="61" spans="2:10" ht="37.5">
      <c r="B61" s="1638" t="s">
        <v>1521</v>
      </c>
      <c r="C61" s="1639"/>
      <c r="D61" s="1641"/>
      <c r="E61" s="1640">
        <f t="shared" si="0"/>
        <v>76260427.779447049</v>
      </c>
      <c r="F61" s="1640">
        <v>76260427.779447049</v>
      </c>
      <c r="G61" s="1640">
        <v>0</v>
      </c>
      <c r="H61" s="1640">
        <v>0</v>
      </c>
      <c r="I61" s="1640">
        <v>0</v>
      </c>
      <c r="J61" s="1689" t="s">
        <v>1535</v>
      </c>
    </row>
    <row r="62" spans="2:10">
      <c r="B62" s="1638" t="s">
        <v>1474</v>
      </c>
      <c r="C62" s="1639"/>
      <c r="D62" s="1641"/>
      <c r="E62" s="1640">
        <f t="shared" si="0"/>
        <v>0</v>
      </c>
      <c r="F62" s="1640">
        <v>0</v>
      </c>
      <c r="G62" s="1640">
        <v>0</v>
      </c>
      <c r="H62" s="1640">
        <v>0</v>
      </c>
      <c r="I62" s="1640">
        <v>0</v>
      </c>
      <c r="J62" s="1688" t="s">
        <v>1531</v>
      </c>
    </row>
    <row r="63" spans="2:10" ht="25">
      <c r="B63" s="1638" t="s">
        <v>1514</v>
      </c>
      <c r="C63" s="1639"/>
      <c r="D63" s="1641"/>
      <c r="E63" s="1640">
        <f t="shared" si="0"/>
        <v>0</v>
      </c>
      <c r="F63" s="1640">
        <v>0</v>
      </c>
      <c r="G63" s="1640">
        <v>0</v>
      </c>
      <c r="H63" s="1640">
        <v>0</v>
      </c>
      <c r="I63" s="1640">
        <v>0</v>
      </c>
      <c r="J63" s="1688" t="s">
        <v>1530</v>
      </c>
    </row>
    <row r="64" spans="2:10" ht="13">
      <c r="B64" s="1374" t="s">
        <v>931</v>
      </c>
      <c r="C64" s="1375"/>
      <c r="D64" s="1376"/>
      <c r="E64" s="1377">
        <f>SUM(E36:E63)</f>
        <v>155469505.28488451</v>
      </c>
      <c r="F64" s="1377">
        <f>SUM(F36:F63)</f>
        <v>105237555.22365806</v>
      </c>
      <c r="G64" s="1377">
        <f>SUM(G36:G63)</f>
        <v>0</v>
      </c>
      <c r="H64" s="1377">
        <f>SUM(H36:H63)</f>
        <v>38923967.088375457</v>
      </c>
      <c r="I64" s="1377">
        <f>SUM(I36:I63)</f>
        <v>11307982.972851001</v>
      </c>
      <c r="J64" s="1690"/>
    </row>
    <row r="65" spans="2:10" ht="13">
      <c r="B65" s="1378"/>
      <c r="C65" s="1376"/>
      <c r="D65" s="1376"/>
      <c r="E65" s="1377"/>
      <c r="F65" s="1377"/>
      <c r="G65" s="1377"/>
      <c r="H65" s="1377"/>
      <c r="I65" s="1377"/>
      <c r="J65" s="1690"/>
    </row>
    <row r="66" spans="2:10">
      <c r="B66" s="1379" t="s">
        <v>1335</v>
      </c>
      <c r="C66" s="1380"/>
      <c r="D66" s="1380"/>
      <c r="E66" s="1381">
        <f>SUM(F66:I66)</f>
        <v>0</v>
      </c>
      <c r="F66" s="1381"/>
      <c r="G66" s="1381"/>
      <c r="H66" s="1381"/>
      <c r="I66" s="1381"/>
      <c r="J66" s="1382"/>
    </row>
    <row r="67" spans="2:10">
      <c r="B67" s="1379" t="s">
        <v>1336</v>
      </c>
      <c r="C67" s="1380"/>
      <c r="D67" s="1380"/>
      <c r="E67" s="1381">
        <f>SUM(F67:I67)</f>
        <v>-761275.86330000008</v>
      </c>
      <c r="F67" s="1381">
        <v>0</v>
      </c>
      <c r="G67" s="1381">
        <v>0</v>
      </c>
      <c r="H67" s="1381">
        <v>-761275.86330000008</v>
      </c>
      <c r="I67" s="1381">
        <v>0</v>
      </c>
      <c r="J67" s="1382"/>
    </row>
    <row r="68" spans="2:10">
      <c r="B68" s="1379" t="s">
        <v>1337</v>
      </c>
      <c r="C68" s="1380"/>
      <c r="D68" s="1380"/>
      <c r="E68" s="1381">
        <f>SUM(F68:I68)</f>
        <v>-76260427.779447049</v>
      </c>
      <c r="F68" s="1381">
        <v>-76260427.779447049</v>
      </c>
      <c r="G68" s="1381">
        <v>0</v>
      </c>
      <c r="H68" s="1381">
        <v>0</v>
      </c>
      <c r="I68" s="1381">
        <v>0</v>
      </c>
      <c r="J68" s="1382"/>
    </row>
    <row r="69" spans="2:10">
      <c r="B69" s="1379" t="s">
        <v>1007</v>
      </c>
      <c r="C69" s="1380"/>
      <c r="D69" s="1380"/>
      <c r="E69" s="1381">
        <f>SUM(F69:I69)</f>
        <v>-4854641.1074010003</v>
      </c>
      <c r="F69" s="1381">
        <v>0</v>
      </c>
      <c r="G69" s="1381">
        <v>0</v>
      </c>
      <c r="H69" s="1381">
        <v>0</v>
      </c>
      <c r="I69" s="1381">
        <v>-4854641.1074010003</v>
      </c>
      <c r="J69" s="1382"/>
    </row>
    <row r="70" spans="2:10" ht="5.15" customHeight="1">
      <c r="B70" s="1374"/>
      <c r="C70" s="1375"/>
      <c r="D70" s="1376"/>
      <c r="E70" s="1377"/>
      <c r="F70" s="1377"/>
      <c r="G70" s="1377"/>
      <c r="H70" s="1377"/>
      <c r="I70" s="1377"/>
      <c r="J70" s="1690"/>
    </row>
    <row r="71" spans="2:10" ht="13">
      <c r="B71" s="1378" t="s">
        <v>932</v>
      </c>
      <c r="C71" s="1376"/>
      <c r="D71" s="1376"/>
      <c r="E71" s="1377">
        <f>SUM(E66:E70)+E64</f>
        <v>73593160.534736469</v>
      </c>
      <c r="F71" s="1377">
        <f>SUM(F66:F70)+F64</f>
        <v>28977127.444211006</v>
      </c>
      <c r="G71" s="1377">
        <f>SUM(G66:G70)+G64</f>
        <v>0</v>
      </c>
      <c r="H71" s="1377">
        <f>SUM(H66:H70)+H64</f>
        <v>38162691.225075454</v>
      </c>
      <c r="I71" s="1377">
        <f>SUM(I66:I70)+I64</f>
        <v>6453341.8654500004</v>
      </c>
      <c r="J71" s="1690"/>
    </row>
    <row r="72" spans="2:10" ht="13">
      <c r="B72" s="1378"/>
      <c r="C72" s="1376"/>
      <c r="D72" s="1376"/>
      <c r="E72" s="1377"/>
      <c r="F72" s="1377"/>
      <c r="G72" s="1377"/>
      <c r="H72" s="1377"/>
      <c r="I72" s="1377"/>
      <c r="J72" s="1690"/>
    </row>
    <row r="73" spans="2:10" ht="13">
      <c r="B73" s="1383" t="s">
        <v>264</v>
      </c>
      <c r="C73" s="1384"/>
      <c r="D73" s="1385"/>
      <c r="E73" s="1386"/>
      <c r="F73" s="1386"/>
      <c r="G73" s="1386"/>
      <c r="H73" s="1386"/>
      <c r="I73" s="1387">
        <v>0.13888944064369446</v>
      </c>
      <c r="J73" s="1388"/>
    </row>
    <row r="74" spans="2:10" ht="13">
      <c r="B74" s="1383" t="s">
        <v>237</v>
      </c>
      <c r="C74" s="1384"/>
      <c r="D74" s="1385"/>
      <c r="E74" s="1386"/>
      <c r="F74" s="1386"/>
      <c r="G74" s="1386"/>
      <c r="H74" s="1387">
        <v>0.37285862840743444</v>
      </c>
      <c r="I74" s="1386"/>
      <c r="J74" s="1388"/>
    </row>
    <row r="75" spans="2:10" ht="13">
      <c r="B75" s="1383" t="s">
        <v>933</v>
      </c>
      <c r="C75" s="1384"/>
      <c r="D75" s="1385"/>
      <c r="E75" s="1386"/>
      <c r="F75" s="1386"/>
      <c r="G75" s="1387">
        <v>1</v>
      </c>
      <c r="H75" s="1386"/>
      <c r="I75" s="1386"/>
      <c r="J75" s="1388"/>
    </row>
    <row r="76" spans="2:10" ht="13">
      <c r="B76" s="1383" t="s">
        <v>934</v>
      </c>
      <c r="C76" s="1384"/>
      <c r="D76" s="1385"/>
      <c r="E76" s="1386"/>
      <c r="F76" s="1387">
        <v>0</v>
      </c>
      <c r="G76" s="1386"/>
      <c r="H76" s="1386"/>
      <c r="I76" s="1386"/>
      <c r="J76" s="1388"/>
    </row>
    <row r="77" spans="2:10" ht="13">
      <c r="B77" s="1389" t="s">
        <v>935</v>
      </c>
      <c r="C77" s="1384"/>
      <c r="D77" s="1385"/>
      <c r="E77" s="1386">
        <f>F77+G77+H77+I77</f>
        <v>15125589.748492952</v>
      </c>
      <c r="F77" s="1386">
        <f>F76*F71</f>
        <v>0</v>
      </c>
      <c r="G77" s="1386">
        <f>G71*G75</f>
        <v>0</v>
      </c>
      <c r="H77" s="1386">
        <f>H71*H74</f>
        <v>14229288.706518067</v>
      </c>
      <c r="I77" s="1386">
        <f>I73*I71</f>
        <v>896301.04197488632</v>
      </c>
      <c r="J77" s="1388"/>
    </row>
    <row r="78" spans="2:10" ht="13">
      <c r="B78" s="1390"/>
      <c r="E78" s="1361"/>
      <c r="F78" s="1361"/>
      <c r="G78" s="1361"/>
      <c r="H78" s="1361"/>
      <c r="I78" s="1361"/>
      <c r="J78" s="1391"/>
    </row>
    <row r="79" spans="2:10" ht="13">
      <c r="B79" s="1363"/>
      <c r="E79" s="1361"/>
      <c r="F79" s="1361"/>
      <c r="G79" s="1361"/>
      <c r="H79" s="1361"/>
      <c r="I79" s="1361"/>
      <c r="J79" s="1391"/>
    </row>
    <row r="80" spans="2:10" ht="13">
      <c r="B80" s="1354" t="s">
        <v>174</v>
      </c>
      <c r="C80" s="1354"/>
      <c r="D80" s="1354"/>
      <c r="E80" s="1354" t="s">
        <v>175</v>
      </c>
      <c r="F80" s="1354" t="s">
        <v>1142</v>
      </c>
      <c r="G80" s="1354" t="s">
        <v>1295</v>
      </c>
      <c r="H80" s="1354" t="s">
        <v>1296</v>
      </c>
      <c r="I80" s="1354" t="s">
        <v>1297</v>
      </c>
      <c r="J80" s="1354" t="s">
        <v>1298</v>
      </c>
    </row>
    <row r="81" spans="2:10" ht="13">
      <c r="B81" s="1363"/>
      <c r="C81" s="367"/>
      <c r="D81" s="367"/>
      <c r="E81" s="1354"/>
      <c r="F81" s="1354" t="s">
        <v>1329</v>
      </c>
      <c r="G81" s="1354" t="s">
        <v>258</v>
      </c>
      <c r="H81" s="1354"/>
      <c r="I81" s="1354"/>
      <c r="J81" s="1687"/>
    </row>
    <row r="82" spans="2:10" ht="13">
      <c r="B82" s="1370"/>
      <c r="C82" s="367"/>
      <c r="D82" s="367"/>
      <c r="E82" s="1354"/>
      <c r="F82" s="1354" t="s">
        <v>1330</v>
      </c>
      <c r="G82" s="1354" t="s">
        <v>228</v>
      </c>
      <c r="H82" s="1354" t="s">
        <v>259</v>
      </c>
      <c r="I82" s="1354" t="s">
        <v>260</v>
      </c>
      <c r="J82" s="1687"/>
    </row>
    <row r="83" spans="2:10" ht="13">
      <c r="B83" s="1363" t="s">
        <v>936</v>
      </c>
      <c r="C83" s="367"/>
      <c r="D83" s="367"/>
      <c r="E83" s="1354" t="s">
        <v>44</v>
      </c>
      <c r="F83" s="1357" t="s">
        <v>1331</v>
      </c>
      <c r="G83" s="1354" t="s">
        <v>261</v>
      </c>
      <c r="H83" s="1354" t="s">
        <v>261</v>
      </c>
      <c r="I83" s="1354" t="s">
        <v>261</v>
      </c>
      <c r="J83" s="1354" t="s">
        <v>265</v>
      </c>
    </row>
    <row r="84" spans="2:10">
      <c r="B84" s="1371"/>
      <c r="C84" s="1392"/>
      <c r="D84" s="1393"/>
      <c r="E84" s="1372"/>
      <c r="F84" s="1372"/>
      <c r="G84" s="1372"/>
      <c r="H84" s="1372"/>
      <c r="I84" s="1372"/>
      <c r="J84" s="1373"/>
    </row>
    <row r="85" spans="2:10">
      <c r="B85" s="1371"/>
      <c r="C85" s="1392"/>
      <c r="D85" s="1394"/>
      <c r="E85" s="1372"/>
      <c r="F85" s="1372"/>
      <c r="G85" s="1372"/>
      <c r="H85" s="1372"/>
      <c r="I85" s="1372"/>
      <c r="J85" s="1373"/>
    </row>
    <row r="86" spans="2:10">
      <c r="B86" s="1371"/>
      <c r="C86" s="1392"/>
      <c r="D86" s="1394"/>
      <c r="E86" s="1372"/>
      <c r="F86" s="1372"/>
      <c r="G86" s="1372"/>
      <c r="H86" s="1372"/>
      <c r="I86" s="1372"/>
      <c r="J86" s="1373"/>
    </row>
    <row r="87" spans="2:10">
      <c r="B87" s="1371"/>
      <c r="C87" s="1392"/>
      <c r="D87" s="1394"/>
      <c r="E87" s="1372"/>
      <c r="F87" s="1372"/>
      <c r="G87" s="1372"/>
      <c r="H87" s="1372"/>
      <c r="I87" s="1372"/>
      <c r="J87" s="1373"/>
    </row>
    <row r="88" spans="2:10">
      <c r="B88" s="1371"/>
      <c r="C88" s="1392"/>
      <c r="D88" s="1394"/>
      <c r="E88" s="1372"/>
      <c r="F88" s="1372"/>
      <c r="G88" s="1372"/>
      <c r="H88" s="1372"/>
      <c r="I88" s="1372"/>
      <c r="J88" s="1373"/>
    </row>
    <row r="89" spans="2:10">
      <c r="B89" s="1371"/>
      <c r="C89" s="1392"/>
      <c r="D89" s="1394"/>
      <c r="E89" s="1372"/>
      <c r="F89" s="1372"/>
      <c r="G89" s="1372"/>
      <c r="H89" s="1372"/>
      <c r="I89" s="1372"/>
      <c r="J89" s="1373"/>
    </row>
    <row r="90" spans="2:10">
      <c r="B90" s="1371"/>
      <c r="C90" s="1392"/>
      <c r="D90" s="1393"/>
      <c r="E90" s="1395"/>
      <c r="F90" s="1395"/>
      <c r="G90" s="1395"/>
      <c r="H90" s="1395"/>
      <c r="I90" s="1395"/>
      <c r="J90" s="1691"/>
    </row>
    <row r="91" spans="2:10" ht="13">
      <c r="B91" s="1378" t="s">
        <v>937</v>
      </c>
      <c r="C91" s="1376"/>
      <c r="D91" s="1376"/>
      <c r="E91" s="1377">
        <f>SUM(E84:E90)</f>
        <v>0</v>
      </c>
      <c r="F91" s="1377">
        <f>SUM(F84:F90)</f>
        <v>0</v>
      </c>
      <c r="G91" s="1377">
        <f>SUM(G84:G90)</f>
        <v>0</v>
      </c>
      <c r="H91" s="1377">
        <f>SUM(H84:H90)</f>
        <v>0</v>
      </c>
      <c r="I91" s="1377">
        <f>SUM(I84:I90)</f>
        <v>0</v>
      </c>
      <c r="J91" s="1690"/>
    </row>
    <row r="92" spans="2:10" ht="13">
      <c r="B92" s="1378"/>
      <c r="C92" s="1376"/>
      <c r="D92" s="1376"/>
      <c r="E92" s="1377"/>
      <c r="F92" s="1377"/>
      <c r="G92" s="1377"/>
      <c r="H92" s="1377"/>
      <c r="I92" s="1377"/>
      <c r="J92" s="1690"/>
    </row>
    <row r="93" spans="2:10">
      <c r="B93" s="1396" t="s">
        <v>1335</v>
      </c>
      <c r="C93" s="1397"/>
      <c r="D93" s="1398"/>
      <c r="E93" s="1381">
        <f>SUM(F93:I93)</f>
        <v>0</v>
      </c>
      <c r="F93" s="1372"/>
      <c r="G93" s="1372"/>
      <c r="H93" s="1372"/>
      <c r="I93" s="1372"/>
      <c r="J93" s="1382"/>
    </row>
    <row r="94" spans="2:10">
      <c r="B94" s="1379" t="s">
        <v>1336</v>
      </c>
      <c r="C94" s="1380"/>
      <c r="D94" s="1398"/>
      <c r="E94" s="1381">
        <f>SUM(F94:I94)</f>
        <v>0</v>
      </c>
      <c r="F94" s="1372"/>
      <c r="G94" s="1372"/>
      <c r="H94" s="1372"/>
      <c r="I94" s="1372"/>
      <c r="J94" s="1382"/>
    </row>
    <row r="95" spans="2:10">
      <c r="B95" s="1379" t="s">
        <v>1337</v>
      </c>
      <c r="C95" s="1380"/>
      <c r="D95" s="1398"/>
      <c r="E95" s="1381">
        <f>SUM(F95:I95)</f>
        <v>0</v>
      </c>
      <c r="F95" s="1372"/>
      <c r="G95" s="1372"/>
      <c r="H95" s="1372"/>
      <c r="I95" s="1372"/>
      <c r="J95" s="1382"/>
    </row>
    <row r="96" spans="2:10">
      <c r="B96" s="1379" t="s">
        <v>1007</v>
      </c>
      <c r="C96" s="1380"/>
      <c r="D96" s="1398"/>
      <c r="E96" s="1381">
        <f>SUM(F96:I96)</f>
        <v>0</v>
      </c>
      <c r="F96" s="1372"/>
      <c r="G96" s="1372"/>
      <c r="H96" s="1372"/>
      <c r="I96" s="1372"/>
      <c r="J96" s="1382"/>
    </row>
    <row r="97" spans="2:10" ht="5.15" customHeight="1">
      <c r="B97" s="1374"/>
      <c r="C97" s="1375"/>
      <c r="D97" s="1376"/>
      <c r="E97" s="1377"/>
      <c r="F97" s="1377"/>
      <c r="G97" s="1377"/>
      <c r="H97" s="1377"/>
      <c r="I97" s="1377"/>
      <c r="J97" s="1690"/>
    </row>
    <row r="98" spans="2:10" ht="13">
      <c r="B98" s="1399" t="s">
        <v>938</v>
      </c>
      <c r="C98" s="1400"/>
      <c r="D98" s="1376"/>
      <c r="E98" s="1377">
        <f>SUM(E93:E97)+E91</f>
        <v>0</v>
      </c>
      <c r="F98" s="1377">
        <f>SUM(F93:F97)+F91</f>
        <v>0</v>
      </c>
      <c r="G98" s="1377">
        <f>SUM(G93:G97)+G91</f>
        <v>0</v>
      </c>
      <c r="H98" s="1377">
        <f>SUM(H93:H97)+H91</f>
        <v>0</v>
      </c>
      <c r="I98" s="1377">
        <f>SUM(I93:I97)+I91</f>
        <v>0</v>
      </c>
      <c r="J98" s="1690"/>
    </row>
    <row r="99" spans="2:10" ht="13">
      <c r="B99" s="1401"/>
      <c r="C99" s="1402"/>
      <c r="D99" s="1402"/>
      <c r="E99" s="1386"/>
      <c r="F99" s="1377"/>
      <c r="G99" s="1377"/>
      <c r="H99" s="1377"/>
      <c r="I99" s="1377"/>
      <c r="J99" s="1388"/>
    </row>
    <row r="100" spans="2:10" ht="13">
      <c r="B100" s="1403" t="s">
        <v>264</v>
      </c>
      <c r="C100" s="1404"/>
      <c r="D100" s="1385"/>
      <c r="E100" s="1386"/>
      <c r="F100" s="1386"/>
      <c r="G100" s="1386"/>
      <c r="H100" s="1386"/>
      <c r="I100" s="1387">
        <v>0.13888944064369446</v>
      </c>
      <c r="J100" s="1388"/>
    </row>
    <row r="101" spans="2:10" ht="13">
      <c r="B101" s="1383" t="s">
        <v>237</v>
      </c>
      <c r="C101" s="1384"/>
      <c r="D101" s="1385"/>
      <c r="E101" s="1386"/>
      <c r="F101" s="1386"/>
      <c r="G101" s="1386"/>
      <c r="H101" s="1387">
        <v>0.37285862840743444</v>
      </c>
      <c r="I101" s="1386"/>
      <c r="J101" s="1388"/>
    </row>
    <row r="102" spans="2:10" ht="13">
      <c r="B102" s="1383" t="s">
        <v>933</v>
      </c>
      <c r="C102" s="1384"/>
      <c r="D102" s="1385"/>
      <c r="E102" s="1386"/>
      <c r="F102" s="1386"/>
      <c r="G102" s="1387">
        <v>1</v>
      </c>
      <c r="H102" s="1386"/>
      <c r="I102" s="1386"/>
      <c r="J102" s="1388"/>
    </row>
    <row r="103" spans="2:10" ht="13">
      <c r="B103" s="1383" t="s">
        <v>934</v>
      </c>
      <c r="C103" s="1384"/>
      <c r="D103" s="1385"/>
      <c r="E103" s="1386"/>
      <c r="F103" s="1387">
        <v>0</v>
      </c>
      <c r="G103" s="1386"/>
      <c r="H103" s="1386"/>
      <c r="I103" s="1386"/>
      <c r="J103" s="1388"/>
    </row>
    <row r="104" spans="2:10" ht="13">
      <c r="B104" s="1389" t="s">
        <v>935</v>
      </c>
      <c r="C104" s="1384"/>
      <c r="D104" s="1385"/>
      <c r="E104" s="1386">
        <f>F104+G104+H104+I104</f>
        <v>0</v>
      </c>
      <c r="F104" s="1386">
        <f>F103*F98</f>
        <v>0</v>
      </c>
      <c r="G104" s="1386">
        <f>G98*G102</f>
        <v>0</v>
      </c>
      <c r="H104" s="1386">
        <f>H98*H101</f>
        <v>0</v>
      </c>
      <c r="I104" s="1386">
        <f>I100*I98</f>
        <v>0</v>
      </c>
      <c r="J104" s="1388"/>
    </row>
    <row r="105" spans="2:10" ht="13">
      <c r="B105" s="1390"/>
      <c r="E105" s="1361"/>
      <c r="F105" s="1361"/>
      <c r="G105" s="1361"/>
      <c r="H105" s="1361"/>
      <c r="I105" s="1361"/>
      <c r="J105" s="1391"/>
    </row>
    <row r="106" spans="2:10" ht="13">
      <c r="B106" s="1390"/>
      <c r="E106" s="1361"/>
      <c r="F106" s="1361"/>
      <c r="G106" s="1361"/>
      <c r="H106" s="1361"/>
      <c r="I106" s="1361"/>
      <c r="J106" s="1391"/>
    </row>
    <row r="107" spans="2:10" ht="13">
      <c r="B107" s="1354" t="s">
        <v>174</v>
      </c>
      <c r="C107" s="1354"/>
      <c r="D107" s="1354"/>
      <c r="E107" s="1354" t="s">
        <v>175</v>
      </c>
      <c r="F107" s="1354" t="s">
        <v>1142</v>
      </c>
      <c r="G107" s="1354" t="s">
        <v>1295</v>
      </c>
      <c r="H107" s="1354" t="s">
        <v>1296</v>
      </c>
      <c r="I107" s="1354" t="s">
        <v>1297</v>
      </c>
      <c r="J107" s="1354" t="s">
        <v>1298</v>
      </c>
    </row>
    <row r="108" spans="2:10" ht="13">
      <c r="B108" s="1363"/>
      <c r="C108" s="367"/>
      <c r="D108" s="367"/>
      <c r="E108" s="1354"/>
      <c r="F108" s="1354" t="s">
        <v>1329</v>
      </c>
      <c r="G108" s="1354" t="s">
        <v>258</v>
      </c>
      <c r="H108" s="1354"/>
      <c r="I108" s="1354"/>
      <c r="J108" s="1687"/>
    </row>
    <row r="109" spans="2:10" ht="13">
      <c r="B109" s="1405"/>
      <c r="C109" s="367"/>
      <c r="D109" s="367"/>
      <c r="E109" s="1354"/>
      <c r="F109" s="1354" t="s">
        <v>1330</v>
      </c>
      <c r="G109" s="1354" t="s">
        <v>228</v>
      </c>
      <c r="H109" s="1354" t="s">
        <v>259</v>
      </c>
      <c r="I109" s="1354" t="s">
        <v>260</v>
      </c>
      <c r="J109" s="1687"/>
    </row>
    <row r="110" spans="2:10" ht="13">
      <c r="B110" s="1363" t="s">
        <v>1338</v>
      </c>
      <c r="E110" s="1354" t="s">
        <v>44</v>
      </c>
      <c r="F110" s="1357" t="s">
        <v>1331</v>
      </c>
      <c r="G110" s="1354" t="s">
        <v>261</v>
      </c>
      <c r="H110" s="1354" t="s">
        <v>261</v>
      </c>
      <c r="I110" s="1354" t="s">
        <v>261</v>
      </c>
      <c r="J110" s="1354" t="s">
        <v>265</v>
      </c>
    </row>
    <row r="111" spans="2:10">
      <c r="B111" s="1385" t="s">
        <v>930</v>
      </c>
      <c r="C111" s="1385"/>
      <c r="D111" s="1385"/>
      <c r="E111" s="1377">
        <f>SUM(F111:I111)</f>
        <v>155469505.28488451</v>
      </c>
      <c r="F111" s="1386">
        <f>F64</f>
        <v>105237555.22365806</v>
      </c>
      <c r="G111" s="1386">
        <f>G64</f>
        <v>0</v>
      </c>
      <c r="H111" s="1386">
        <f>H64</f>
        <v>38923967.088375457</v>
      </c>
      <c r="I111" s="1386">
        <f>I64</f>
        <v>11307982.972851001</v>
      </c>
      <c r="J111" s="1388"/>
    </row>
    <row r="112" spans="2:10">
      <c r="B112" s="1385" t="s">
        <v>936</v>
      </c>
      <c r="C112" s="1385"/>
      <c r="D112" s="1385"/>
      <c r="E112" s="1377">
        <f>SUM(F112:I112)</f>
        <v>0</v>
      </c>
      <c r="F112" s="1386">
        <f>F91</f>
        <v>0</v>
      </c>
      <c r="G112" s="1386">
        <f>G91</f>
        <v>0</v>
      </c>
      <c r="H112" s="1386">
        <f>H91</f>
        <v>0</v>
      </c>
      <c r="I112" s="1386">
        <f>I91</f>
        <v>0</v>
      </c>
      <c r="J112" s="1388"/>
    </row>
    <row r="113" spans="2:11" ht="13">
      <c r="B113" s="1406" t="s">
        <v>939</v>
      </c>
      <c r="C113" s="1385"/>
      <c r="D113" s="1385"/>
      <c r="E113" s="1386">
        <f>E111+E112</f>
        <v>155469505.28488451</v>
      </c>
      <c r="F113" s="1386">
        <f>F111+F112</f>
        <v>105237555.22365806</v>
      </c>
      <c r="G113" s="1386">
        <f>G111+G112</f>
        <v>0</v>
      </c>
      <c r="H113" s="1386">
        <f>H111+H112</f>
        <v>38923967.088375457</v>
      </c>
      <c r="I113" s="1386">
        <f>I111+I112</f>
        <v>11307982.972851001</v>
      </c>
      <c r="J113" s="1388"/>
    </row>
    <row r="114" spans="2:11" ht="13">
      <c r="B114" s="1390"/>
      <c r="E114" s="1361"/>
      <c r="F114" s="1361"/>
      <c r="G114" s="1361"/>
      <c r="H114" s="1361"/>
      <c r="I114" s="1361"/>
      <c r="J114" s="1391"/>
    </row>
    <row r="115" spans="2:11" ht="13">
      <c r="B115" s="1390"/>
      <c r="E115" s="1361"/>
      <c r="F115" s="1361"/>
      <c r="G115" s="1361"/>
      <c r="H115" s="1361"/>
      <c r="I115" s="1361"/>
      <c r="J115" s="1391"/>
    </row>
    <row r="116" spans="2:11" s="367" customFormat="1" ht="12.75" customHeight="1">
      <c r="B116" s="1407" t="s">
        <v>269</v>
      </c>
      <c r="C116" s="1407"/>
      <c r="E116" s="1408"/>
      <c r="G116" s="1408"/>
      <c r="H116" s="1409"/>
      <c r="I116" s="1410"/>
      <c r="J116" s="1692"/>
    </row>
    <row r="117" spans="2:11" s="367" customFormat="1" ht="15.75" customHeight="1">
      <c r="B117" s="1746" t="s">
        <v>1339</v>
      </c>
      <c r="C117" s="1746"/>
      <c r="D117" s="1746"/>
      <c r="E117" s="1746"/>
      <c r="F117" s="1746"/>
      <c r="G117" s="1746"/>
      <c r="H117" s="1746"/>
      <c r="I117" s="1746"/>
      <c r="J117" s="1693"/>
    </row>
    <row r="118" spans="2:11" s="367" customFormat="1" ht="13">
      <c r="B118" s="1411" t="s">
        <v>270</v>
      </c>
      <c r="C118" s="1411"/>
      <c r="H118" s="1410"/>
      <c r="I118" s="1410"/>
      <c r="J118" s="1692"/>
    </row>
    <row r="119" spans="2:11" s="367" customFormat="1" ht="13">
      <c r="B119" s="1411" t="s">
        <v>271</v>
      </c>
      <c r="C119" s="1411"/>
      <c r="H119" s="1410"/>
      <c r="I119" s="1410"/>
      <c r="J119" s="1693"/>
    </row>
    <row r="120" spans="2:11" s="367" customFormat="1" ht="13">
      <c r="B120" s="1411" t="s">
        <v>272</v>
      </c>
      <c r="C120" s="1411"/>
      <c r="H120" s="1410"/>
      <c r="I120" s="1410"/>
      <c r="J120" s="1692"/>
    </row>
    <row r="121" spans="2:11" s="367" customFormat="1" ht="15.75" customHeight="1">
      <c r="B121" s="1746" t="s">
        <v>940</v>
      </c>
      <c r="C121" s="1746"/>
      <c r="D121" s="1746"/>
      <c r="E121" s="1746"/>
      <c r="F121" s="1746"/>
      <c r="G121" s="1746"/>
      <c r="H121" s="1746"/>
      <c r="I121" s="1746"/>
      <c r="J121" s="1687"/>
      <c r="K121" s="1412"/>
    </row>
    <row r="122" spans="2:11" s="367" customFormat="1" ht="15.75" customHeight="1">
      <c r="B122" s="1746"/>
      <c r="C122" s="1746"/>
      <c r="D122" s="1746"/>
      <c r="E122" s="1746"/>
      <c r="F122" s="1746"/>
      <c r="G122" s="1746"/>
      <c r="H122" s="1746"/>
      <c r="I122" s="1746"/>
      <c r="J122" s="1687"/>
      <c r="K122" s="1412"/>
    </row>
    <row r="123" spans="2:11" s="367" customFormat="1" ht="13">
      <c r="B123" s="1411" t="s">
        <v>941</v>
      </c>
      <c r="C123" s="1411"/>
      <c r="H123" s="1410"/>
      <c r="I123" s="1410"/>
      <c r="J123" s="1692"/>
    </row>
    <row r="124" spans="2:11" ht="13">
      <c r="C124" s="1390"/>
      <c r="E124" s="1364"/>
      <c r="F124" s="1364"/>
      <c r="H124" s="1413"/>
      <c r="I124" s="1414"/>
      <c r="J124" s="1391"/>
    </row>
    <row r="125" spans="2:11" ht="13">
      <c r="B125" s="1390"/>
      <c r="C125" s="1415"/>
      <c r="E125" s="1369"/>
    </row>
    <row r="126" spans="2:11" ht="13">
      <c r="B126" s="1354" t="s">
        <v>174</v>
      </c>
      <c r="C126" s="1354"/>
      <c r="D126" s="1354"/>
      <c r="E126" s="1354" t="s">
        <v>175</v>
      </c>
      <c r="F126" s="1354" t="s">
        <v>1142</v>
      </c>
      <c r="G126" s="1354" t="s">
        <v>1295</v>
      </c>
      <c r="H126" s="1354" t="s">
        <v>1296</v>
      </c>
      <c r="I126" s="1354" t="s">
        <v>1297</v>
      </c>
      <c r="J126" s="1354" t="s">
        <v>1298</v>
      </c>
    </row>
    <row r="127" spans="2:11" ht="13">
      <c r="B127" s="1363"/>
      <c r="C127" s="367"/>
      <c r="D127" s="367"/>
      <c r="E127" s="1354"/>
      <c r="F127" s="1354" t="s">
        <v>1329</v>
      </c>
      <c r="G127" s="1354" t="s">
        <v>258</v>
      </c>
      <c r="H127" s="1354"/>
      <c r="I127" s="1354"/>
      <c r="J127" s="1687"/>
    </row>
    <row r="128" spans="2:11" ht="13">
      <c r="B128" s="1363"/>
      <c r="C128" s="1370"/>
      <c r="D128" s="367"/>
      <c r="E128" s="1354"/>
      <c r="F128" s="1354" t="s">
        <v>1330</v>
      </c>
      <c r="G128" s="1354" t="s">
        <v>228</v>
      </c>
      <c r="H128" s="1354" t="s">
        <v>259</v>
      </c>
      <c r="I128" s="1354" t="s">
        <v>260</v>
      </c>
      <c r="J128" s="1687"/>
    </row>
    <row r="129" spans="2:10" ht="13">
      <c r="B129" s="1363" t="s">
        <v>942</v>
      </c>
      <c r="C129" s="367"/>
      <c r="D129" s="367"/>
      <c r="E129" s="1354" t="s">
        <v>44</v>
      </c>
      <c r="F129" s="1357" t="s">
        <v>1331</v>
      </c>
      <c r="G129" s="1354" t="s">
        <v>261</v>
      </c>
      <c r="H129" s="1354" t="s">
        <v>261</v>
      </c>
      <c r="I129" s="1354" t="s">
        <v>261</v>
      </c>
      <c r="J129" s="1354" t="s">
        <v>265</v>
      </c>
    </row>
    <row r="130" spans="2:10">
      <c r="B130" s="1638" t="s">
        <v>1522</v>
      </c>
      <c r="C130" s="1639"/>
      <c r="D130" s="1642"/>
      <c r="E130" s="1640">
        <f>SUM(F130:I130)</f>
        <v>-479224919.37964177</v>
      </c>
      <c r="F130" s="1640">
        <v>2889069.1833839994</v>
      </c>
      <c r="G130" s="1640">
        <v>0</v>
      </c>
      <c r="H130" s="1640">
        <v>-482113988.56302577</v>
      </c>
      <c r="I130" s="1640">
        <v>0</v>
      </c>
      <c r="J130" s="1688" t="s">
        <v>1536</v>
      </c>
    </row>
    <row r="131" spans="2:10">
      <c r="B131" s="1638" t="s">
        <v>27</v>
      </c>
      <c r="C131" s="1639"/>
      <c r="D131" s="1642"/>
      <c r="E131" s="1640">
        <f>SUM(F131:I131)</f>
        <v>19662643.035110999</v>
      </c>
      <c r="F131" s="1640">
        <v>19662643.035110999</v>
      </c>
      <c r="G131" s="1640">
        <v>0</v>
      </c>
      <c r="H131" s="1640">
        <v>0</v>
      </c>
      <c r="I131" s="1640">
        <v>0</v>
      </c>
      <c r="J131" s="1688" t="s">
        <v>1537</v>
      </c>
    </row>
    <row r="132" spans="2:10" ht="37.5">
      <c r="B132" s="1638" t="s">
        <v>1523</v>
      </c>
      <c r="C132" s="1639"/>
      <c r="D132" s="1642"/>
      <c r="E132" s="1640">
        <f>SUM(F132:I132)</f>
        <v>-10079579.185823999</v>
      </c>
      <c r="F132" s="1640">
        <v>-7546253.5337747447</v>
      </c>
      <c r="G132" s="1640">
        <v>-2533325.6520492542</v>
      </c>
      <c r="H132" s="1640">
        <v>0</v>
      </c>
      <c r="I132" s="1640">
        <v>0</v>
      </c>
      <c r="J132" s="1688" t="s">
        <v>1538</v>
      </c>
    </row>
    <row r="133" spans="2:10" ht="25">
      <c r="B133" s="1638" t="s">
        <v>1524</v>
      </c>
      <c r="C133" s="1639"/>
      <c r="D133" s="1642"/>
      <c r="E133" s="1640">
        <f>SUM(F133:I133)</f>
        <v>-15583707.169182003</v>
      </c>
      <c r="F133" s="1640">
        <v>0</v>
      </c>
      <c r="G133" s="1640">
        <v>0</v>
      </c>
      <c r="H133" s="1640">
        <v>-15583707.169182003</v>
      </c>
      <c r="I133" s="1640">
        <v>0</v>
      </c>
      <c r="J133" s="1643" t="s">
        <v>1539</v>
      </c>
    </row>
    <row r="134" spans="2:10" ht="13">
      <c r="B134" s="1378" t="s">
        <v>943</v>
      </c>
      <c r="C134" s="1376"/>
      <c r="D134" s="1376"/>
      <c r="E134" s="1377">
        <f>SUM(E130:E133)</f>
        <v>-485225562.69953674</v>
      </c>
      <c r="F134" s="1377">
        <f>SUM(F130:F133)</f>
        <v>15005458.684720252</v>
      </c>
      <c r="G134" s="1377">
        <f>SUM(G130:G133)</f>
        <v>-2533325.6520492542</v>
      </c>
      <c r="H134" s="1377">
        <f>SUM(H130:H133)</f>
        <v>-497697695.73220778</v>
      </c>
      <c r="I134" s="1377">
        <f>SUM(I130:I133)</f>
        <v>0</v>
      </c>
      <c r="J134" s="1690"/>
    </row>
    <row r="135" spans="2:10" ht="13">
      <c r="B135" s="1378"/>
      <c r="C135" s="1376"/>
      <c r="D135" s="1376"/>
      <c r="E135" s="1377"/>
      <c r="F135" s="1377"/>
      <c r="G135" s="1377"/>
      <c r="H135" s="1377"/>
      <c r="I135" s="1377"/>
      <c r="J135" s="1690"/>
    </row>
    <row r="136" spans="2:10">
      <c r="B136" s="1396" t="s">
        <v>1335</v>
      </c>
      <c r="C136" s="1397"/>
      <c r="D136" s="1398"/>
      <c r="E136" s="1381">
        <f>SUM(F136:I136)</f>
        <v>0</v>
      </c>
      <c r="F136" s="1372">
        <f>-F133</f>
        <v>0</v>
      </c>
      <c r="G136" s="1372">
        <f>-G133</f>
        <v>0</v>
      </c>
      <c r="H136" s="1372"/>
      <c r="I136" s="1372">
        <f>-I133</f>
        <v>0</v>
      </c>
      <c r="J136" s="1382"/>
    </row>
    <row r="137" spans="2:10">
      <c r="B137" s="1379" t="s">
        <v>1540</v>
      </c>
      <c r="C137" s="1380"/>
      <c r="D137" s="1398"/>
      <c r="E137" s="1381">
        <f t="shared" ref="E137:E139" si="1">SUM(F137:I137)</f>
        <v>10079579.185823999</v>
      </c>
      <c r="F137" s="1372">
        <f>-F132</f>
        <v>7546253.5337747447</v>
      </c>
      <c r="G137" s="1372">
        <f>-G132</f>
        <v>2533325.6520492542</v>
      </c>
      <c r="H137" s="1372">
        <f>-H132</f>
        <v>0</v>
      </c>
      <c r="I137" s="1372">
        <f>-I132</f>
        <v>0</v>
      </c>
      <c r="J137" s="1382"/>
    </row>
    <row r="138" spans="2:10">
      <c r="B138" s="1379" t="s">
        <v>1337</v>
      </c>
      <c r="C138" s="1380"/>
      <c r="D138" s="1398"/>
      <c r="E138" s="1381">
        <f t="shared" si="1"/>
        <v>15583707.169182003</v>
      </c>
      <c r="F138" s="1372"/>
      <c r="G138" s="1372"/>
      <c r="H138" s="1372">
        <f>-H133</f>
        <v>15583707.169182003</v>
      </c>
      <c r="I138" s="1372"/>
      <c r="J138" s="1382"/>
    </row>
    <row r="139" spans="2:10">
      <c r="B139" s="1379" t="s">
        <v>1007</v>
      </c>
      <c r="C139" s="1380"/>
      <c r="D139" s="1398"/>
      <c r="E139" s="1381">
        <f t="shared" si="1"/>
        <v>0</v>
      </c>
      <c r="F139" s="1372"/>
      <c r="G139" s="1372"/>
      <c r="H139" s="1372"/>
      <c r="I139" s="1372"/>
      <c r="J139" s="1382"/>
    </row>
    <row r="140" spans="2:10" ht="5.15" customHeight="1">
      <c r="B140" s="1374"/>
      <c r="C140" s="1375"/>
      <c r="D140" s="1376"/>
      <c r="E140" s="1377"/>
      <c r="F140" s="1377"/>
      <c r="G140" s="1377"/>
      <c r="H140" s="1377"/>
      <c r="I140" s="1377"/>
      <c r="J140" s="1690"/>
    </row>
    <row r="141" spans="2:10" ht="13">
      <c r="B141" s="1399" t="s">
        <v>944</v>
      </c>
      <c r="C141" s="1400"/>
      <c r="D141" s="1376"/>
      <c r="E141" s="1377">
        <f>SUM(E136:E139)+E134</f>
        <v>-459562276.34453076</v>
      </c>
      <c r="F141" s="1377">
        <f>SUM(F136:F139)+F134</f>
        <v>22551712.218494996</v>
      </c>
      <c r="G141" s="1377">
        <f>SUM(G136:G139)+G134</f>
        <v>0</v>
      </c>
      <c r="H141" s="1377">
        <f>SUM(H136:H139)+H134</f>
        <v>-482113988.56302577</v>
      </c>
      <c r="I141" s="1377">
        <f>SUM(I136:I139)+I134</f>
        <v>0</v>
      </c>
      <c r="J141" s="1690"/>
    </row>
    <row r="142" spans="2:10" ht="13">
      <c r="B142" s="1401"/>
      <c r="C142" s="1402"/>
      <c r="D142" s="1402"/>
      <c r="E142" s="1386"/>
      <c r="F142" s="1377"/>
      <c r="G142" s="1377"/>
      <c r="H142" s="1377"/>
      <c r="I142" s="1377"/>
      <c r="J142" s="1388"/>
    </row>
    <row r="143" spans="2:10" ht="13">
      <c r="B143" s="1403" t="s">
        <v>264</v>
      </c>
      <c r="C143" s="1404"/>
      <c r="D143" s="1385"/>
      <c r="E143" s="1386"/>
      <c r="F143" s="1386"/>
      <c r="G143" s="1386"/>
      <c r="H143" s="1386"/>
      <c r="I143" s="1387">
        <v>0.13888944064369446</v>
      </c>
      <c r="J143" s="1388"/>
    </row>
    <row r="144" spans="2:10" ht="13">
      <c r="B144" s="1383" t="s">
        <v>237</v>
      </c>
      <c r="C144" s="1384"/>
      <c r="D144" s="1385"/>
      <c r="E144" s="1386"/>
      <c r="F144" s="1386"/>
      <c r="G144" s="1386"/>
      <c r="H144" s="1387">
        <v>0.37285862840743444</v>
      </c>
      <c r="I144" s="1386"/>
      <c r="J144" s="1388"/>
    </row>
    <row r="145" spans="2:10" ht="13">
      <c r="B145" s="1383" t="s">
        <v>933</v>
      </c>
      <c r="C145" s="1384"/>
      <c r="D145" s="1385"/>
      <c r="E145" s="1386"/>
      <c r="F145" s="1386"/>
      <c r="G145" s="1387">
        <v>1</v>
      </c>
      <c r="H145" s="1386"/>
      <c r="I145" s="1386"/>
      <c r="J145" s="1388"/>
    </row>
    <row r="146" spans="2:10" ht="13">
      <c r="B146" s="1383" t="s">
        <v>934</v>
      </c>
      <c r="C146" s="1384"/>
      <c r="D146" s="1385"/>
      <c r="E146" s="1386"/>
      <c r="F146" s="1387">
        <v>0</v>
      </c>
      <c r="G146" s="1386"/>
      <c r="H146" s="1386"/>
      <c r="I146" s="1386"/>
      <c r="J146" s="1388"/>
    </row>
    <row r="147" spans="2:10" ht="13">
      <c r="B147" s="1389" t="s">
        <v>935</v>
      </c>
      <c r="C147" s="1384"/>
      <c r="D147" s="1385"/>
      <c r="E147" s="1386">
        <f>F147+G147+H147+I147</f>
        <v>-179760360.51164731</v>
      </c>
      <c r="F147" s="1386">
        <f>F146*F141</f>
        <v>0</v>
      </c>
      <c r="G147" s="1386">
        <f>G141*G145</f>
        <v>0</v>
      </c>
      <c r="H147" s="1386">
        <f>H141*H144</f>
        <v>-179760360.51164731</v>
      </c>
      <c r="I147" s="1386">
        <f>I143*I141</f>
        <v>0</v>
      </c>
      <c r="J147" s="1388"/>
    </row>
    <row r="148" spans="2:10" ht="17.25" customHeight="1">
      <c r="B148" s="1370"/>
      <c r="C148" s="1370"/>
      <c r="E148" s="1361"/>
      <c r="F148" s="1361"/>
      <c r="G148" s="1361"/>
      <c r="H148" s="1361"/>
      <c r="I148" s="1361"/>
      <c r="J148" s="1391"/>
    </row>
    <row r="149" spans="2:10" ht="13">
      <c r="B149" s="1390"/>
      <c r="E149" s="1361"/>
      <c r="F149" s="1361"/>
      <c r="G149" s="1361"/>
      <c r="H149" s="1361"/>
      <c r="I149" s="1361"/>
      <c r="J149" s="1391"/>
    </row>
    <row r="150" spans="2:10" ht="13">
      <c r="B150" s="1354" t="s">
        <v>174</v>
      </c>
      <c r="C150" s="1354"/>
      <c r="D150" s="1354"/>
      <c r="E150" s="1354" t="s">
        <v>175</v>
      </c>
      <c r="F150" s="1354" t="s">
        <v>1142</v>
      </c>
      <c r="G150" s="1354" t="s">
        <v>1295</v>
      </c>
      <c r="H150" s="1354" t="s">
        <v>1296</v>
      </c>
      <c r="I150" s="1354" t="s">
        <v>1297</v>
      </c>
      <c r="J150" s="1354" t="s">
        <v>1298</v>
      </c>
    </row>
    <row r="151" spans="2:10" ht="13">
      <c r="B151" s="1363"/>
      <c r="C151" s="367"/>
      <c r="D151" s="367"/>
      <c r="E151" s="1354"/>
      <c r="F151" s="1354" t="s">
        <v>1329</v>
      </c>
      <c r="G151" s="1354" t="s">
        <v>258</v>
      </c>
      <c r="H151" s="1354"/>
      <c r="I151" s="1354"/>
      <c r="J151" s="1687"/>
    </row>
    <row r="152" spans="2:10" ht="13">
      <c r="B152" s="1363"/>
      <c r="C152" s="367"/>
      <c r="D152" s="367"/>
      <c r="E152" s="1354"/>
      <c r="F152" s="1354" t="s">
        <v>1330</v>
      </c>
      <c r="G152" s="1354" t="s">
        <v>228</v>
      </c>
      <c r="H152" s="1354" t="s">
        <v>259</v>
      </c>
      <c r="I152" s="1354" t="s">
        <v>260</v>
      </c>
      <c r="J152" s="1687"/>
    </row>
    <row r="153" spans="2:10" ht="13">
      <c r="B153" s="1363" t="s">
        <v>945</v>
      </c>
      <c r="C153" s="367"/>
      <c r="D153" s="367"/>
      <c r="E153" s="1354" t="s">
        <v>44</v>
      </c>
      <c r="F153" s="1357" t="s">
        <v>1331</v>
      </c>
      <c r="G153" s="1354" t="s">
        <v>261</v>
      </c>
      <c r="H153" s="1354" t="s">
        <v>261</v>
      </c>
      <c r="I153" s="1354" t="s">
        <v>261</v>
      </c>
      <c r="J153" s="1354" t="s">
        <v>265</v>
      </c>
    </row>
    <row r="154" spans="2:10">
      <c r="B154" s="1416" t="s">
        <v>1522</v>
      </c>
      <c r="C154" s="1639"/>
      <c r="D154" s="1642"/>
      <c r="E154" s="1640">
        <f>F154+G154+H154+I154</f>
        <v>-240566345.49359995</v>
      </c>
      <c r="F154" s="1640"/>
      <c r="G154" s="1640"/>
      <c r="H154" s="1640">
        <v>-240566345.49359995</v>
      </c>
      <c r="I154" s="1640"/>
      <c r="J154" s="1694" t="s">
        <v>1536</v>
      </c>
    </row>
    <row r="155" spans="2:10">
      <c r="B155" s="1638"/>
      <c r="C155" s="1639"/>
      <c r="D155" s="1642"/>
      <c r="E155" s="1640"/>
      <c r="F155" s="1640"/>
      <c r="G155" s="1640"/>
      <c r="H155" s="1640"/>
      <c r="I155" s="1640"/>
      <c r="J155" s="1688"/>
    </row>
    <row r="156" spans="2:10">
      <c r="B156" s="1638"/>
      <c r="C156" s="1639"/>
      <c r="D156" s="1642"/>
      <c r="E156" s="1640"/>
      <c r="F156" s="1640"/>
      <c r="G156" s="1640"/>
      <c r="H156" s="1640"/>
      <c r="I156" s="1640"/>
      <c r="J156" s="1688"/>
    </row>
    <row r="157" spans="2:10">
      <c r="B157" s="1638"/>
      <c r="C157" s="1639"/>
      <c r="D157" s="1642"/>
      <c r="E157" s="1640"/>
      <c r="F157" s="1640"/>
      <c r="G157" s="1640"/>
      <c r="H157" s="1640"/>
      <c r="I157" s="1640"/>
      <c r="J157" s="1643"/>
    </row>
    <row r="158" spans="2:10" ht="13">
      <c r="B158" s="1378" t="s">
        <v>946</v>
      </c>
      <c r="C158" s="1376"/>
      <c r="D158" s="1376"/>
      <c r="E158" s="1377">
        <f>SUM(E154:E157)</f>
        <v>-240566345.49359995</v>
      </c>
      <c r="F158" s="1377">
        <f>SUM(F154:F157)</f>
        <v>0</v>
      </c>
      <c r="G158" s="1377">
        <f>SUM(G154:G157)</f>
        <v>0</v>
      </c>
      <c r="H158" s="1377">
        <f>SUM(H154:H157)</f>
        <v>-240566345.49359995</v>
      </c>
      <c r="I158" s="1377">
        <f>SUM(I154:I157)</f>
        <v>0</v>
      </c>
      <c r="J158" s="1690"/>
    </row>
    <row r="159" spans="2:10" ht="13">
      <c r="B159" s="1378"/>
      <c r="C159" s="1376"/>
      <c r="D159" s="1376"/>
      <c r="E159" s="1377"/>
      <c r="F159" s="1377"/>
      <c r="G159" s="1377"/>
      <c r="H159" s="1377"/>
      <c r="I159" s="1377"/>
      <c r="J159" s="1690"/>
    </row>
    <row r="160" spans="2:10">
      <c r="B160" s="1396" t="s">
        <v>1335</v>
      </c>
      <c r="C160" s="1397"/>
      <c r="D160" s="1398"/>
      <c r="E160" s="1381">
        <f>SUM(F160:I160)</f>
        <v>0</v>
      </c>
      <c r="F160" s="1372"/>
      <c r="G160" s="1372"/>
      <c r="H160" s="1372"/>
      <c r="I160" s="1372"/>
      <c r="J160" s="1382"/>
    </row>
    <row r="161" spans="2:10">
      <c r="B161" s="1379" t="s">
        <v>1336</v>
      </c>
      <c r="C161" s="1380"/>
      <c r="D161" s="1398"/>
      <c r="E161" s="1381">
        <f>SUM(F161:I161)</f>
        <v>0</v>
      </c>
      <c r="F161" s="1372"/>
      <c r="G161" s="1372"/>
      <c r="H161" s="1372"/>
      <c r="I161" s="1372"/>
      <c r="J161" s="1382"/>
    </row>
    <row r="162" spans="2:10">
      <c r="B162" s="1379" t="s">
        <v>1337</v>
      </c>
      <c r="C162" s="1380"/>
      <c r="D162" s="1398"/>
      <c r="E162" s="1381">
        <f>SUM(F162:I162)</f>
        <v>0</v>
      </c>
      <c r="F162" s="1372"/>
      <c r="G162" s="1372"/>
      <c r="H162" s="1372"/>
      <c r="I162" s="1372"/>
      <c r="J162" s="1382"/>
    </row>
    <row r="163" spans="2:10">
      <c r="B163" s="1379" t="s">
        <v>1007</v>
      </c>
      <c r="C163" s="1380"/>
      <c r="D163" s="1398"/>
      <c r="E163" s="1381">
        <f>SUM(F163:I163)</f>
        <v>0</v>
      </c>
      <c r="F163" s="1372"/>
      <c r="G163" s="1372"/>
      <c r="H163" s="1372"/>
      <c r="I163" s="1372"/>
      <c r="J163" s="1382"/>
    </row>
    <row r="164" spans="2:10" ht="5.15" customHeight="1">
      <c r="B164" s="1374"/>
      <c r="C164" s="1375"/>
      <c r="D164" s="1376"/>
      <c r="E164" s="1377"/>
      <c r="F164" s="1377"/>
      <c r="G164" s="1377"/>
      <c r="H164" s="1377"/>
      <c r="I164" s="1377"/>
      <c r="J164" s="1690"/>
    </row>
    <row r="165" spans="2:10" ht="13">
      <c r="B165" s="1399" t="s">
        <v>944</v>
      </c>
      <c r="C165" s="1400"/>
      <c r="D165" s="1376"/>
      <c r="E165" s="1377">
        <f>SUM(E160:E163)+E158</f>
        <v>-240566345.49359995</v>
      </c>
      <c r="F165" s="1377">
        <f>SUM(F160:F163)+F158</f>
        <v>0</v>
      </c>
      <c r="G165" s="1377">
        <f>SUM(G160:G163)+G158</f>
        <v>0</v>
      </c>
      <c r="H165" s="1377">
        <f>SUM(H160:H163)+H158</f>
        <v>-240566345.49359995</v>
      </c>
      <c r="I165" s="1377">
        <f>SUM(I160:I163)+I158</f>
        <v>0</v>
      </c>
      <c r="J165" s="1690"/>
    </row>
    <row r="166" spans="2:10" ht="13">
      <c r="B166" s="1401"/>
      <c r="C166" s="1402"/>
      <c r="D166" s="1402"/>
      <c r="E166" s="1386"/>
      <c r="F166" s="1377"/>
      <c r="G166" s="1377"/>
      <c r="H166" s="1377"/>
      <c r="I166" s="1377"/>
      <c r="J166" s="1388"/>
    </row>
    <row r="167" spans="2:10" ht="13">
      <c r="B167" s="1403" t="s">
        <v>264</v>
      </c>
      <c r="C167" s="1404"/>
      <c r="D167" s="1385"/>
      <c r="E167" s="1386"/>
      <c r="F167" s="1386"/>
      <c r="G167" s="1386"/>
      <c r="H167" s="1386"/>
      <c r="I167" s="1387">
        <v>0.13888944064369446</v>
      </c>
      <c r="J167" s="1388"/>
    </row>
    <row r="168" spans="2:10" ht="13">
      <c r="B168" s="1383" t="s">
        <v>237</v>
      </c>
      <c r="C168" s="1384"/>
      <c r="D168" s="1385"/>
      <c r="E168" s="1386"/>
      <c r="F168" s="1386"/>
      <c r="G168" s="1386"/>
      <c r="H168" s="1387">
        <v>0.37285862840743444</v>
      </c>
      <c r="I168" s="1386"/>
      <c r="J168" s="1388"/>
    </row>
    <row r="169" spans="2:10" ht="13">
      <c r="B169" s="1383" t="s">
        <v>933</v>
      </c>
      <c r="C169" s="1384"/>
      <c r="D169" s="1385"/>
      <c r="E169" s="1386"/>
      <c r="F169" s="1386"/>
      <c r="G169" s="1387">
        <v>1</v>
      </c>
      <c r="H169" s="1386"/>
      <c r="I169" s="1386"/>
      <c r="J169" s="1388"/>
    </row>
    <row r="170" spans="2:10" ht="13">
      <c r="B170" s="1383" t="s">
        <v>934</v>
      </c>
      <c r="C170" s="1384"/>
      <c r="D170" s="1385"/>
      <c r="E170" s="1386"/>
      <c r="F170" s="1387">
        <v>0</v>
      </c>
      <c r="G170" s="1386"/>
      <c r="H170" s="1386"/>
      <c r="I170" s="1386"/>
      <c r="J170" s="1388"/>
    </row>
    <row r="171" spans="2:10" ht="13">
      <c r="B171" s="1389" t="s">
        <v>935</v>
      </c>
      <c r="C171" s="1384"/>
      <c r="D171" s="1385"/>
      <c r="E171" s="1386">
        <f>F171+G171+H171+I171</f>
        <v>-89697237.621732682</v>
      </c>
      <c r="F171" s="1386">
        <f>F170*F165</f>
        <v>0</v>
      </c>
      <c r="G171" s="1386">
        <f>G165*G169</f>
        <v>0</v>
      </c>
      <c r="H171" s="1386">
        <f>H165*H168</f>
        <v>-89697237.621732682</v>
      </c>
      <c r="I171" s="1386">
        <f>I167*I165</f>
        <v>0</v>
      </c>
      <c r="J171" s="1388"/>
    </row>
    <row r="172" spans="2:10" ht="13">
      <c r="B172" s="1390"/>
      <c r="E172" s="1361"/>
      <c r="F172" s="1361"/>
      <c r="G172" s="1361"/>
      <c r="H172" s="1361"/>
      <c r="I172" s="1361">
        <f>H172/H168</f>
        <v>0</v>
      </c>
      <c r="J172" s="1391"/>
    </row>
    <row r="173" spans="2:10" ht="13">
      <c r="B173" s="1390"/>
      <c r="E173" s="1361"/>
      <c r="F173" s="1361"/>
      <c r="G173" s="1361"/>
      <c r="H173" s="1361"/>
      <c r="I173" s="1361"/>
      <c r="J173" s="1391"/>
    </row>
    <row r="174" spans="2:10" ht="13">
      <c r="B174" s="1354" t="s">
        <v>174</v>
      </c>
      <c r="C174" s="1354"/>
      <c r="D174" s="1354"/>
      <c r="E174" s="1354" t="s">
        <v>175</v>
      </c>
      <c r="F174" s="1354" t="s">
        <v>1142</v>
      </c>
      <c r="G174" s="1354" t="s">
        <v>1295</v>
      </c>
      <c r="H174" s="1354" t="s">
        <v>1296</v>
      </c>
      <c r="I174" s="1354" t="s">
        <v>1297</v>
      </c>
      <c r="J174" s="1354" t="s">
        <v>1298</v>
      </c>
    </row>
    <row r="175" spans="2:10" ht="13">
      <c r="B175" s="1363"/>
      <c r="C175" s="367"/>
      <c r="D175" s="367"/>
      <c r="E175" s="1354"/>
      <c r="F175" s="1354" t="s">
        <v>1329</v>
      </c>
      <c r="G175" s="1354" t="s">
        <v>258</v>
      </c>
      <c r="H175" s="1354"/>
      <c r="I175" s="1354"/>
      <c r="J175" s="1687"/>
    </row>
    <row r="176" spans="2:10" ht="13">
      <c r="B176" s="1363"/>
      <c r="C176" s="367"/>
      <c r="D176" s="367"/>
      <c r="E176" s="1354"/>
      <c r="F176" s="1354" t="s">
        <v>1330</v>
      </c>
      <c r="G176" s="1354" t="s">
        <v>228</v>
      </c>
      <c r="H176" s="1354" t="s">
        <v>259</v>
      </c>
      <c r="I176" s="1354" t="s">
        <v>260</v>
      </c>
      <c r="J176" s="1687"/>
    </row>
    <row r="177" spans="2:11" ht="13">
      <c r="B177" s="1363" t="s">
        <v>947</v>
      </c>
      <c r="C177" s="367"/>
      <c r="D177" s="367"/>
      <c r="E177" s="1354" t="s">
        <v>44</v>
      </c>
      <c r="F177" s="1357" t="s">
        <v>1331</v>
      </c>
      <c r="G177" s="1354" t="s">
        <v>261</v>
      </c>
      <c r="H177" s="1354" t="s">
        <v>261</v>
      </c>
      <c r="I177" s="1354" t="s">
        <v>261</v>
      </c>
      <c r="J177" s="1354" t="s">
        <v>265</v>
      </c>
    </row>
    <row r="178" spans="2:11">
      <c r="B178" s="1385" t="s">
        <v>948</v>
      </c>
      <c r="C178" s="1385"/>
      <c r="D178" s="1385"/>
      <c r="E178" s="1377">
        <f>SUM(F178:I178)</f>
        <v>-485225562.6995368</v>
      </c>
      <c r="F178" s="1386">
        <f>F134</f>
        <v>15005458.684720252</v>
      </c>
      <c r="G178" s="1386">
        <f>G134</f>
        <v>-2533325.6520492542</v>
      </c>
      <c r="H178" s="1386">
        <f>H134</f>
        <v>-497697695.73220778</v>
      </c>
      <c r="I178" s="1386">
        <f>I134</f>
        <v>0</v>
      </c>
      <c r="J178" s="1388"/>
    </row>
    <row r="179" spans="2:11">
      <c r="B179" s="1385" t="s">
        <v>945</v>
      </c>
      <c r="C179" s="1385"/>
      <c r="D179" s="1385"/>
      <c r="E179" s="1377">
        <f>SUM(F179:I179)</f>
        <v>-240566345.49359995</v>
      </c>
      <c r="F179" s="1386">
        <f>F158</f>
        <v>0</v>
      </c>
      <c r="G179" s="1386">
        <f>G158</f>
        <v>0</v>
      </c>
      <c r="H179" s="1386">
        <f>H158</f>
        <v>-240566345.49359995</v>
      </c>
      <c r="I179" s="1386">
        <f>I158</f>
        <v>0</v>
      </c>
      <c r="J179" s="1388"/>
    </row>
    <row r="180" spans="2:11" ht="13">
      <c r="B180" s="1378" t="s">
        <v>1799</v>
      </c>
      <c r="C180" s="1385"/>
      <c r="D180" s="1385"/>
      <c r="E180" s="1386">
        <f>E178+E179</f>
        <v>-725791908.19313669</v>
      </c>
      <c r="F180" s="1386">
        <f>F178+F179</f>
        <v>15005458.684720252</v>
      </c>
      <c r="G180" s="1386">
        <f>G178+G179</f>
        <v>-2533325.6520492542</v>
      </c>
      <c r="H180" s="1386">
        <f>H178+H179</f>
        <v>-738264041.22580767</v>
      </c>
      <c r="I180" s="1386">
        <f>I178+I179</f>
        <v>0</v>
      </c>
      <c r="J180" s="1388"/>
    </row>
    <row r="181" spans="2:11" ht="13">
      <c r="B181" s="1390"/>
      <c r="E181" s="1361"/>
      <c r="F181" s="1361"/>
      <c r="G181" s="1361"/>
      <c r="H181" s="1361"/>
      <c r="I181" s="1361"/>
      <c r="J181" s="1391"/>
    </row>
    <row r="182" spans="2:11" s="367" customFormat="1" ht="13">
      <c r="B182" s="1363" t="s">
        <v>274</v>
      </c>
      <c r="G182" s="1410"/>
      <c r="H182" s="1410"/>
      <c r="I182" s="1410"/>
      <c r="J182" s="1692"/>
    </row>
    <row r="183" spans="2:11" s="367" customFormat="1" ht="12.75" customHeight="1">
      <c r="B183" s="1746" t="s">
        <v>1339</v>
      </c>
      <c r="C183" s="1746"/>
      <c r="D183" s="1746"/>
      <c r="E183" s="1746"/>
      <c r="F183" s="1746"/>
      <c r="G183" s="1746"/>
      <c r="H183" s="1746"/>
      <c r="I183" s="1746"/>
      <c r="J183" s="1692"/>
    </row>
    <row r="184" spans="2:11" s="367" customFormat="1" ht="13">
      <c r="B184" s="1411" t="s">
        <v>270</v>
      </c>
      <c r="C184" s="1411"/>
      <c r="H184" s="1410"/>
      <c r="I184" s="1410"/>
      <c r="J184" s="1692"/>
    </row>
    <row r="185" spans="2:11" s="367" customFormat="1" ht="13">
      <c r="B185" s="1411" t="s">
        <v>271</v>
      </c>
      <c r="C185" s="1411"/>
      <c r="H185" s="1410"/>
      <c r="I185" s="1410"/>
      <c r="J185" s="1692"/>
    </row>
    <row r="186" spans="2:11" s="367" customFormat="1" ht="13">
      <c r="B186" s="1411" t="s">
        <v>272</v>
      </c>
      <c r="C186" s="1411"/>
      <c r="H186" s="1410"/>
      <c r="I186" s="1410"/>
      <c r="J186" s="1692"/>
    </row>
    <row r="187" spans="2:11" s="367" customFormat="1" ht="15.75" customHeight="1">
      <c r="B187" s="1746" t="s">
        <v>940</v>
      </c>
      <c r="C187" s="1746"/>
      <c r="D187" s="1746"/>
      <c r="E187" s="1746"/>
      <c r="F187" s="1746"/>
      <c r="G187" s="1746"/>
      <c r="H187" s="1746"/>
      <c r="I187" s="1746"/>
      <c r="J187" s="1687"/>
      <c r="K187" s="1412"/>
    </row>
    <row r="188" spans="2:11" s="367" customFormat="1" ht="15.75" customHeight="1">
      <c r="B188" s="1746"/>
      <c r="C188" s="1746"/>
      <c r="D188" s="1746"/>
      <c r="E188" s="1746"/>
      <c r="F188" s="1746"/>
      <c r="G188" s="1746"/>
      <c r="H188" s="1746"/>
      <c r="I188" s="1746"/>
      <c r="J188" s="1687"/>
      <c r="K188" s="1412"/>
    </row>
    <row r="189" spans="2:11" s="367" customFormat="1" ht="13">
      <c r="B189" s="1411" t="s">
        <v>950</v>
      </c>
      <c r="G189" s="1410"/>
      <c r="H189" s="1410"/>
      <c r="I189" s="1410"/>
      <c r="J189" s="1692"/>
    </row>
    <row r="190" spans="2:11" ht="13">
      <c r="B190" s="1417" t="s">
        <v>951</v>
      </c>
    </row>
    <row r="191" spans="2:11" ht="12" customHeight="1">
      <c r="B191" s="1418"/>
      <c r="C191" s="1419"/>
      <c r="D191" s="1420"/>
      <c r="E191" s="1420"/>
      <c r="F191" s="1420"/>
      <c r="G191" s="1420"/>
      <c r="H191" s="1420"/>
      <c r="I191" s="1420"/>
      <c r="J191" s="1420"/>
    </row>
    <row r="192" spans="2:11" ht="13">
      <c r="B192" s="1351"/>
    </row>
    <row r="193" spans="2:12" ht="13">
      <c r="B193" s="1354" t="s">
        <v>174</v>
      </c>
      <c r="C193" s="1354"/>
      <c r="D193" s="1354"/>
      <c r="E193" s="1354" t="s">
        <v>175</v>
      </c>
      <c r="F193" s="1354" t="s">
        <v>1142</v>
      </c>
      <c r="G193" s="1354" t="s">
        <v>1295</v>
      </c>
      <c r="H193" s="1354" t="s">
        <v>1296</v>
      </c>
      <c r="I193" s="1354" t="s">
        <v>1297</v>
      </c>
      <c r="J193" s="1354" t="s">
        <v>1298</v>
      </c>
    </row>
    <row r="194" spans="2:12" ht="13">
      <c r="B194" s="1363"/>
      <c r="C194" s="367"/>
      <c r="D194" s="367"/>
      <c r="E194" s="1354"/>
      <c r="F194" s="1354" t="s">
        <v>1329</v>
      </c>
      <c r="G194" s="1354" t="s">
        <v>258</v>
      </c>
      <c r="H194" s="1354"/>
      <c r="I194" s="1354"/>
      <c r="J194" s="1687"/>
    </row>
    <row r="195" spans="2:12" ht="13">
      <c r="B195" s="1363"/>
      <c r="C195" s="1370"/>
      <c r="D195" s="367"/>
      <c r="E195" s="1354"/>
      <c r="F195" s="1354" t="s">
        <v>1330</v>
      </c>
      <c r="G195" s="1354" t="s">
        <v>228</v>
      </c>
      <c r="H195" s="1354" t="s">
        <v>259</v>
      </c>
      <c r="I195" s="1354" t="s">
        <v>260</v>
      </c>
      <c r="J195" s="1687"/>
      <c r="L195" s="1350" t="s">
        <v>86</v>
      </c>
    </row>
    <row r="196" spans="2:12" ht="13">
      <c r="B196" s="1363" t="s">
        <v>952</v>
      </c>
      <c r="C196" s="367"/>
      <c r="D196" s="367"/>
      <c r="E196" s="1354" t="s">
        <v>44</v>
      </c>
      <c r="F196" s="1357" t="s">
        <v>1331</v>
      </c>
      <c r="G196" s="1354" t="s">
        <v>261</v>
      </c>
      <c r="H196" s="1354" t="s">
        <v>261</v>
      </c>
      <c r="I196" s="1354" t="s">
        <v>261</v>
      </c>
      <c r="J196" s="1354" t="s">
        <v>265</v>
      </c>
    </row>
    <row r="197" spans="2:12">
      <c r="B197" s="1638" t="s">
        <v>1798</v>
      </c>
      <c r="C197" s="1639"/>
      <c r="D197" s="1642"/>
      <c r="E197" s="1640">
        <f>SUM(F197:I197)</f>
        <v>-0.11244000000169763</v>
      </c>
      <c r="F197" s="1640">
        <v>0</v>
      </c>
      <c r="G197" s="1640">
        <v>0</v>
      </c>
      <c r="H197" s="1640">
        <v>-0.11244000000169763</v>
      </c>
      <c r="I197" s="1640">
        <v>0</v>
      </c>
      <c r="J197" s="1688"/>
    </row>
    <row r="198" spans="2:12">
      <c r="B198" s="1638" t="s">
        <v>1513</v>
      </c>
      <c r="C198" s="1639"/>
      <c r="D198" s="1642"/>
      <c r="E198" s="1640">
        <f t="shared" ref="E198:E206" si="2">SUM(F198:I198)</f>
        <v>-216514.79288700002</v>
      </c>
      <c r="F198" s="1640">
        <v>-216514.79288700002</v>
      </c>
      <c r="G198" s="1640">
        <v>0</v>
      </c>
      <c r="H198" s="1640">
        <v>0</v>
      </c>
      <c r="I198" s="1640">
        <v>0</v>
      </c>
      <c r="J198" s="1688" t="s">
        <v>1531</v>
      </c>
    </row>
    <row r="199" spans="2:12">
      <c r="B199" s="1638" t="s">
        <v>1629</v>
      </c>
      <c r="C199" s="1639"/>
      <c r="D199" s="1642"/>
      <c r="E199" s="1640">
        <f t="shared" si="2"/>
        <v>138505.093074</v>
      </c>
      <c r="F199" s="1640">
        <v>0</v>
      </c>
      <c r="G199" s="1640">
        <v>0</v>
      </c>
      <c r="H199" s="1640">
        <v>138505.093074</v>
      </c>
      <c r="I199" s="1640">
        <v>0</v>
      </c>
      <c r="J199" s="1688" t="s">
        <v>1630</v>
      </c>
    </row>
    <row r="200" spans="2:12">
      <c r="B200" s="1638" t="s">
        <v>1525</v>
      </c>
      <c r="C200" s="1639"/>
      <c r="D200" s="1642"/>
      <c r="E200" s="1640">
        <f t="shared" si="2"/>
        <v>-532484.52264899993</v>
      </c>
      <c r="F200" s="1640">
        <v>-532484.52264899993</v>
      </c>
      <c r="G200" s="1640">
        <v>0</v>
      </c>
      <c r="H200" s="1640">
        <v>0</v>
      </c>
      <c r="I200" s="1640">
        <v>0</v>
      </c>
      <c r="J200" s="1644" t="s">
        <v>1531</v>
      </c>
    </row>
    <row r="201" spans="2:12" ht="25">
      <c r="B201" s="1638" t="s">
        <v>1526</v>
      </c>
      <c r="C201" s="1639"/>
      <c r="D201" s="1642"/>
      <c r="E201" s="1640">
        <f t="shared" si="2"/>
        <v>-12117913.313562002</v>
      </c>
      <c r="F201" s="1640">
        <v>0</v>
      </c>
      <c r="G201" s="1640">
        <v>0</v>
      </c>
      <c r="H201" s="1640">
        <v>0</v>
      </c>
      <c r="I201" s="1640">
        <v>-12117913.313562002</v>
      </c>
      <c r="J201" s="1688" t="s">
        <v>1631</v>
      </c>
    </row>
    <row r="202" spans="2:12">
      <c r="B202" s="1638" t="s">
        <v>1527</v>
      </c>
      <c r="C202" s="1639"/>
      <c r="D202" s="1642"/>
      <c r="E202" s="1640">
        <f t="shared" si="2"/>
        <v>-36650799.533736005</v>
      </c>
      <c r="F202" s="1640">
        <v>-36650799.533736005</v>
      </c>
      <c r="G202" s="1640">
        <v>0</v>
      </c>
      <c r="H202" s="1640">
        <v>0</v>
      </c>
      <c r="I202" s="1640">
        <v>0</v>
      </c>
      <c r="J202" s="1688" t="s">
        <v>1531</v>
      </c>
    </row>
    <row r="203" spans="2:12">
      <c r="B203" s="1638" t="s">
        <v>1632</v>
      </c>
      <c r="C203" s="1639"/>
      <c r="D203" s="1642"/>
      <c r="E203" s="1640">
        <f t="shared" si="2"/>
        <v>-1416613.2716340001</v>
      </c>
      <c r="F203" s="1640">
        <v>-1416613.2716340001</v>
      </c>
      <c r="G203" s="1640">
        <v>0</v>
      </c>
      <c r="H203" s="1640">
        <v>0</v>
      </c>
      <c r="I203" s="1640">
        <v>0</v>
      </c>
      <c r="J203" s="1688" t="s">
        <v>1531</v>
      </c>
    </row>
    <row r="204" spans="2:12" ht="25">
      <c r="B204" s="1638" t="s">
        <v>1528</v>
      </c>
      <c r="C204" s="1639"/>
      <c r="D204" s="1642"/>
      <c r="E204" s="1640">
        <f t="shared" si="2"/>
        <v>-378604.44019500003</v>
      </c>
      <c r="F204" s="1640">
        <v>0</v>
      </c>
      <c r="G204" s="1640">
        <v>-378604.44019500003</v>
      </c>
      <c r="H204" s="1640">
        <v>0</v>
      </c>
      <c r="I204" s="1640">
        <v>0</v>
      </c>
      <c r="J204" s="1688" t="s">
        <v>1541</v>
      </c>
    </row>
    <row r="205" spans="2:12">
      <c r="B205" s="1638" t="s">
        <v>1633</v>
      </c>
      <c r="C205" s="1639"/>
      <c r="D205" s="1642"/>
      <c r="E205" s="1640">
        <f t="shared" si="2"/>
        <v>-107221.235139</v>
      </c>
      <c r="F205" s="1640">
        <v>-107221.235139</v>
      </c>
      <c r="G205" s="1640">
        <v>0</v>
      </c>
      <c r="H205" s="1640">
        <v>0</v>
      </c>
      <c r="I205" s="1640">
        <v>0</v>
      </c>
      <c r="J205" s="1688" t="s">
        <v>1531</v>
      </c>
    </row>
    <row r="206" spans="2:12" ht="25">
      <c r="B206" s="1638" t="s">
        <v>1529</v>
      </c>
      <c r="C206" s="1639"/>
      <c r="D206" s="1642"/>
      <c r="E206" s="1640">
        <f t="shared" si="2"/>
        <v>-983311.25217300013</v>
      </c>
      <c r="F206" s="1640">
        <v>-983311.25217300013</v>
      </c>
      <c r="G206" s="1640">
        <v>0</v>
      </c>
      <c r="H206" s="1640">
        <v>0</v>
      </c>
      <c r="I206" s="1640">
        <v>0</v>
      </c>
      <c r="J206" s="1689" t="s">
        <v>1542</v>
      </c>
    </row>
    <row r="207" spans="2:12" ht="13">
      <c r="B207" s="1378" t="s">
        <v>953</v>
      </c>
      <c r="C207" s="1376"/>
      <c r="D207" s="1376"/>
      <c r="E207" s="1377">
        <f>SUM(E197:E206)</f>
        <v>-52264957.381341003</v>
      </c>
      <c r="F207" s="1377">
        <f>SUM(F197:F206)</f>
        <v>-39906944.608217999</v>
      </c>
      <c r="G207" s="1377">
        <f>SUM(G197:G206)</f>
        <v>-378604.44019500003</v>
      </c>
      <c r="H207" s="1377">
        <f>SUM(H197:H206)</f>
        <v>138504.98063400001</v>
      </c>
      <c r="I207" s="1377">
        <f>SUM(I197:I206)</f>
        <v>-12117913.313562002</v>
      </c>
      <c r="J207" s="1690"/>
    </row>
    <row r="208" spans="2:12" ht="13">
      <c r="B208" s="1378"/>
      <c r="C208" s="1376"/>
      <c r="D208" s="1376"/>
      <c r="E208" s="1377"/>
      <c r="F208" s="1377"/>
      <c r="G208" s="1377"/>
      <c r="H208" s="1377"/>
      <c r="I208" s="1377"/>
      <c r="J208" s="1690"/>
    </row>
    <row r="209" spans="2:10">
      <c r="B209" s="1396" t="s">
        <v>1335</v>
      </c>
      <c r="C209" s="1397"/>
      <c r="D209" s="1398"/>
      <c r="E209" s="1381">
        <f>SUM(F209:I209)</f>
        <v>0</v>
      </c>
      <c r="F209" s="1372"/>
      <c r="G209" s="1372"/>
      <c r="H209" s="1372"/>
      <c r="I209" s="1372"/>
      <c r="J209" s="1382"/>
    </row>
    <row r="210" spans="2:10">
      <c r="B210" s="1379" t="s">
        <v>1336</v>
      </c>
      <c r="C210" s="1380"/>
      <c r="D210" s="1398"/>
      <c r="E210" s="1381">
        <f>SUM(F210:I210)</f>
        <v>0</v>
      </c>
      <c r="F210" s="1372"/>
      <c r="G210" s="1372"/>
      <c r="H210" s="1372"/>
      <c r="I210" s="1372"/>
      <c r="J210" s="1382"/>
    </row>
    <row r="211" spans="2:10">
      <c r="B211" s="1379" t="s">
        <v>1337</v>
      </c>
      <c r="C211" s="1380"/>
      <c r="D211" s="1398"/>
      <c r="E211" s="1381">
        <f>SUM(F211:I211)</f>
        <v>0</v>
      </c>
      <c r="F211" s="1372"/>
      <c r="G211" s="1372"/>
      <c r="H211" s="1372"/>
      <c r="I211" s="1372"/>
      <c r="J211" s="1382"/>
    </row>
    <row r="212" spans="2:10">
      <c r="B212" s="1379" t="s">
        <v>1007</v>
      </c>
      <c r="C212" s="1380"/>
      <c r="D212" s="1398"/>
      <c r="E212" s="1381">
        <f>SUM(F212:I212)</f>
        <v>0</v>
      </c>
      <c r="F212" s="1372"/>
      <c r="G212" s="1372"/>
      <c r="H212" s="1372"/>
      <c r="I212" s="1372"/>
      <c r="J212" s="1382"/>
    </row>
    <row r="213" spans="2:10" ht="5.15" customHeight="1">
      <c r="B213" s="1374"/>
      <c r="C213" s="1375"/>
      <c r="D213" s="1376"/>
      <c r="E213" s="1377"/>
      <c r="F213" s="1377"/>
      <c r="G213" s="1377"/>
      <c r="H213" s="1377"/>
      <c r="I213" s="1377"/>
      <c r="J213" s="1690"/>
    </row>
    <row r="214" spans="2:10" ht="13">
      <c r="B214" s="1399" t="s">
        <v>954</v>
      </c>
      <c r="C214" s="1400"/>
      <c r="D214" s="1376"/>
      <c r="E214" s="1377">
        <f>SUM(E209:E212)+E207</f>
        <v>-52264957.381341003</v>
      </c>
      <c r="F214" s="1377">
        <f>SUM(F209:F212)+F207</f>
        <v>-39906944.608217999</v>
      </c>
      <c r="G214" s="1377">
        <f>SUM(G209:G212)+G207</f>
        <v>-378604.44019500003</v>
      </c>
      <c r="H214" s="1377">
        <f>SUM(H209:H212)+H207</f>
        <v>138504.98063400001</v>
      </c>
      <c r="I214" s="1377">
        <f>SUM(I209:I212)+I207</f>
        <v>-12117913.313562002</v>
      </c>
      <c r="J214" s="1690"/>
    </row>
    <row r="215" spans="2:10" ht="13">
      <c r="B215" s="1401"/>
      <c r="C215" s="1402"/>
      <c r="D215" s="1402"/>
      <c r="E215" s="1386"/>
      <c r="F215" s="1377"/>
      <c r="G215" s="1377"/>
      <c r="H215" s="1377"/>
      <c r="I215" s="1377"/>
      <c r="J215" s="1388"/>
    </row>
    <row r="216" spans="2:10" ht="13">
      <c r="B216" s="1403" t="s">
        <v>264</v>
      </c>
      <c r="C216" s="1404"/>
      <c r="D216" s="1385"/>
      <c r="E216" s="1386"/>
      <c r="F216" s="1386"/>
      <c r="G216" s="1386"/>
      <c r="H216" s="1386"/>
      <c r="I216" s="1387">
        <v>0.13888944064369446</v>
      </c>
      <c r="J216" s="1388"/>
    </row>
    <row r="217" spans="2:10" ht="13">
      <c r="B217" s="1383" t="s">
        <v>237</v>
      </c>
      <c r="C217" s="1384"/>
      <c r="D217" s="1385"/>
      <c r="E217" s="1386"/>
      <c r="F217" s="1386"/>
      <c r="G217" s="1386"/>
      <c r="H217" s="1387">
        <v>0.37285862840743444</v>
      </c>
      <c r="I217" s="1386"/>
      <c r="J217" s="1388"/>
    </row>
    <row r="218" spans="2:10" ht="13">
      <c r="B218" s="1383" t="s">
        <v>933</v>
      </c>
      <c r="C218" s="1384"/>
      <c r="D218" s="1385"/>
      <c r="E218" s="1386"/>
      <c r="F218" s="1386"/>
      <c r="G218" s="1387">
        <v>1</v>
      </c>
      <c r="H218" s="1386"/>
      <c r="I218" s="1386"/>
      <c r="J218" s="1388"/>
    </row>
    <row r="219" spans="2:10" ht="13">
      <c r="B219" s="1383" t="s">
        <v>934</v>
      </c>
      <c r="C219" s="1384"/>
      <c r="D219" s="1385"/>
      <c r="E219" s="1386"/>
      <c r="F219" s="1387">
        <v>0</v>
      </c>
      <c r="G219" s="1386"/>
      <c r="H219" s="1386"/>
      <c r="I219" s="1386"/>
      <c r="J219" s="1388"/>
    </row>
    <row r="220" spans="2:10" ht="17.25" customHeight="1">
      <c r="B220" s="1389" t="s">
        <v>935</v>
      </c>
      <c r="C220" s="1384"/>
      <c r="D220" s="1385"/>
      <c r="E220" s="1386">
        <f>F220+G220+H220+I220</f>
        <v>-2010011.8649776131</v>
      </c>
      <c r="F220" s="1386">
        <f>F219*F214</f>
        <v>0</v>
      </c>
      <c r="G220" s="1386">
        <f>G214*G218</f>
        <v>-378604.44019500003</v>
      </c>
      <c r="H220" s="1386">
        <f>H214*H217</f>
        <v>51642.777106791509</v>
      </c>
      <c r="I220" s="1386">
        <f>I216*I214</f>
        <v>-1683050.2018894046</v>
      </c>
      <c r="J220" s="1388"/>
    </row>
    <row r="221" spans="2:10" ht="12.75" customHeight="1">
      <c r="B221" s="1418"/>
      <c r="C221" s="1420"/>
      <c r="D221" s="1420"/>
      <c r="E221" s="1420"/>
      <c r="F221" s="1420"/>
      <c r="G221" s="1420"/>
      <c r="H221" s="1420"/>
      <c r="I221" s="1420"/>
      <c r="J221" s="1420"/>
    </row>
    <row r="222" spans="2:10" ht="13">
      <c r="B222" s="1354"/>
      <c r="C222" s="1354"/>
      <c r="D222" s="1354"/>
      <c r="E222" s="1354"/>
      <c r="F222" s="1354"/>
      <c r="G222" s="1354"/>
      <c r="H222" s="1354"/>
      <c r="I222" s="1354"/>
      <c r="J222" s="1354"/>
    </row>
    <row r="223" spans="2:10" ht="13">
      <c r="B223" s="1354" t="s">
        <v>174</v>
      </c>
      <c r="C223" s="367"/>
      <c r="D223" s="367"/>
      <c r="E223" s="1354" t="s">
        <v>175</v>
      </c>
      <c r="F223" s="1354" t="s">
        <v>1142</v>
      </c>
      <c r="G223" s="1354" t="s">
        <v>1295</v>
      </c>
      <c r="H223" s="1354" t="s">
        <v>1296</v>
      </c>
      <c r="I223" s="1354" t="s">
        <v>1297</v>
      </c>
      <c r="J223" s="1354" t="s">
        <v>1298</v>
      </c>
    </row>
    <row r="224" spans="2:10" ht="13">
      <c r="B224" s="1363"/>
      <c r="C224" s="367"/>
      <c r="D224" s="367"/>
      <c r="E224" s="1354"/>
      <c r="F224" s="1354" t="s">
        <v>1329</v>
      </c>
      <c r="G224" s="1354" t="s">
        <v>258</v>
      </c>
      <c r="H224" s="1354"/>
      <c r="I224" s="1354"/>
      <c r="J224" s="1687"/>
    </row>
    <row r="225" spans="2:10" ht="13">
      <c r="B225" s="1405"/>
      <c r="C225" s="367"/>
      <c r="D225" s="367"/>
      <c r="E225" s="1354"/>
      <c r="F225" s="1354" t="s">
        <v>1330</v>
      </c>
      <c r="G225" s="1354" t="s">
        <v>228</v>
      </c>
      <c r="H225" s="1354" t="s">
        <v>259</v>
      </c>
      <c r="I225" s="1354" t="s">
        <v>260</v>
      </c>
      <c r="J225" s="1687"/>
    </row>
    <row r="226" spans="2:10" ht="13">
      <c r="B226" s="1363" t="s">
        <v>1340</v>
      </c>
      <c r="E226" s="1354" t="s">
        <v>44</v>
      </c>
      <c r="F226" s="1357" t="s">
        <v>1331</v>
      </c>
      <c r="G226" s="1354" t="s">
        <v>261</v>
      </c>
      <c r="H226" s="1354" t="s">
        <v>261</v>
      </c>
      <c r="I226" s="1354" t="s">
        <v>261</v>
      </c>
      <c r="J226" s="1354" t="s">
        <v>265</v>
      </c>
    </row>
    <row r="227" spans="2:10">
      <c r="B227" s="1638"/>
      <c r="C227" s="1639"/>
      <c r="D227" s="1642"/>
      <c r="E227" s="1640"/>
      <c r="F227" s="1640"/>
      <c r="G227" s="1640"/>
      <c r="H227" s="1640"/>
      <c r="I227" s="1640"/>
      <c r="J227" s="1688"/>
    </row>
    <row r="228" spans="2:10">
      <c r="B228" s="1638"/>
      <c r="C228" s="1639"/>
      <c r="D228" s="1642"/>
      <c r="E228" s="1640"/>
      <c r="F228" s="1640"/>
      <c r="G228" s="1640"/>
      <c r="H228" s="1640"/>
      <c r="I228" s="1640"/>
      <c r="J228" s="1688"/>
    </row>
    <row r="229" spans="2:10">
      <c r="B229" s="1638"/>
      <c r="C229" s="1639"/>
      <c r="D229" s="1642"/>
      <c r="E229" s="1640"/>
      <c r="F229" s="1640"/>
      <c r="G229" s="1640"/>
      <c r="H229" s="1640"/>
      <c r="I229" s="1640"/>
      <c r="J229" s="1688"/>
    </row>
    <row r="230" spans="2:10">
      <c r="B230" s="1638"/>
      <c r="C230" s="1639"/>
      <c r="D230" s="1642"/>
      <c r="E230" s="1640"/>
      <c r="F230" s="1640"/>
      <c r="G230" s="1640"/>
      <c r="H230" s="1640"/>
      <c r="I230" s="1640"/>
      <c r="J230" s="1644"/>
    </row>
    <row r="231" spans="2:10">
      <c r="B231" s="1638"/>
      <c r="C231" s="1639"/>
      <c r="D231" s="1642"/>
      <c r="E231" s="1640"/>
      <c r="F231" s="1640"/>
      <c r="G231" s="1640"/>
      <c r="H231" s="1640"/>
      <c r="I231" s="1640"/>
      <c r="J231" s="1688"/>
    </row>
    <row r="232" spans="2:10">
      <c r="B232" s="1638"/>
      <c r="C232" s="1639"/>
      <c r="D232" s="1642"/>
      <c r="E232" s="1640"/>
      <c r="F232" s="1640"/>
      <c r="G232" s="1640"/>
      <c r="H232" s="1640"/>
      <c r="I232" s="1640"/>
      <c r="J232" s="1688"/>
    </row>
    <row r="233" spans="2:10">
      <c r="B233" s="1638"/>
      <c r="C233" s="1639"/>
      <c r="D233" s="1642"/>
      <c r="E233" s="1640"/>
      <c r="F233" s="1640"/>
      <c r="G233" s="1640"/>
      <c r="H233" s="1640"/>
      <c r="I233" s="1640"/>
      <c r="J233" s="1688"/>
    </row>
    <row r="234" spans="2:10">
      <c r="B234" s="1638"/>
      <c r="C234" s="1639"/>
      <c r="D234" s="1642"/>
      <c r="E234" s="1640"/>
      <c r="F234" s="1640"/>
      <c r="G234" s="1640"/>
      <c r="H234" s="1640"/>
      <c r="I234" s="1640"/>
      <c r="J234" s="1688"/>
    </row>
    <row r="235" spans="2:10">
      <c r="B235" s="1638"/>
      <c r="C235" s="1639"/>
      <c r="D235" s="1642"/>
      <c r="E235" s="1640"/>
      <c r="F235" s="1640"/>
      <c r="G235" s="1640"/>
      <c r="H235" s="1640"/>
      <c r="I235" s="1640"/>
      <c r="J235" s="1689"/>
    </row>
    <row r="236" spans="2:10" ht="13">
      <c r="B236" s="1378" t="s">
        <v>1008</v>
      </c>
      <c r="C236" s="1376"/>
      <c r="D236" s="1377"/>
      <c r="E236" s="1377">
        <f>SUM(E227:E235)</f>
        <v>0</v>
      </c>
      <c r="F236" s="1377">
        <f>SUM(F227:F235)</f>
        <v>0</v>
      </c>
      <c r="G236" s="1377">
        <f>SUM(G227:G235)</f>
        <v>0</v>
      </c>
      <c r="H236" s="1377">
        <f>SUM(H227:H235)</f>
        <v>0</v>
      </c>
      <c r="I236" s="1377">
        <f>SUM(I227:I235)</f>
        <v>0</v>
      </c>
      <c r="J236" s="1690"/>
    </row>
    <row r="237" spans="2:10" ht="13">
      <c r="B237" s="1378"/>
      <c r="C237" s="1376"/>
      <c r="D237" s="1376"/>
      <c r="E237" s="1377"/>
      <c r="F237" s="1377"/>
      <c r="G237" s="1377"/>
      <c r="H237" s="1377"/>
      <c r="I237" s="1377"/>
      <c r="J237" s="1690"/>
    </row>
    <row r="238" spans="2:10">
      <c r="B238" s="1396" t="s">
        <v>1335</v>
      </c>
      <c r="C238" s="1397"/>
      <c r="D238" s="1398"/>
      <c r="E238" s="1381">
        <f>SUM(F238:I238)</f>
        <v>0</v>
      </c>
      <c r="F238" s="1372"/>
      <c r="G238" s="1372"/>
      <c r="H238" s="1372"/>
      <c r="I238" s="1372"/>
      <c r="J238" s="1382"/>
    </row>
    <row r="239" spans="2:10">
      <c r="B239" s="1379" t="s">
        <v>1336</v>
      </c>
      <c r="C239" s="1380"/>
      <c r="D239" s="1398"/>
      <c r="E239" s="1381">
        <f>SUM(F239:I239)</f>
        <v>0</v>
      </c>
      <c r="F239" s="1372"/>
      <c r="G239" s="1372"/>
      <c r="H239" s="1372"/>
      <c r="I239" s="1372"/>
      <c r="J239" s="1382"/>
    </row>
    <row r="240" spans="2:10">
      <c r="B240" s="1379" t="s">
        <v>1337</v>
      </c>
      <c r="C240" s="1380"/>
      <c r="D240" s="1398"/>
      <c r="E240" s="1381">
        <f>SUM(F240:I240)</f>
        <v>0</v>
      </c>
      <c r="F240" s="1372"/>
      <c r="G240" s="1372"/>
      <c r="H240" s="1372"/>
      <c r="I240" s="1372"/>
      <c r="J240" s="1382"/>
    </row>
    <row r="241" spans="2:10">
      <c r="B241" s="1379" t="s">
        <v>1007</v>
      </c>
      <c r="C241" s="1380"/>
      <c r="D241" s="1398"/>
      <c r="E241" s="1381">
        <f>SUM(F241:I241)</f>
        <v>0</v>
      </c>
      <c r="F241" s="1372"/>
      <c r="G241" s="1372"/>
      <c r="H241" s="1372"/>
      <c r="I241" s="1372"/>
      <c r="J241" s="1382"/>
    </row>
    <row r="242" spans="2:10" ht="5.15" customHeight="1">
      <c r="B242" s="1374"/>
      <c r="C242" s="1375"/>
      <c r="D242" s="1376"/>
      <c r="E242" s="1377"/>
      <c r="F242" s="1377"/>
      <c r="G242" s="1377"/>
      <c r="H242" s="1377"/>
      <c r="I242" s="1377"/>
      <c r="J242" s="1690"/>
    </row>
    <row r="243" spans="2:10" ht="13">
      <c r="B243" s="1399" t="s">
        <v>956</v>
      </c>
      <c r="C243" s="1400"/>
      <c r="D243" s="1376"/>
      <c r="E243" s="1377">
        <f>SUM(E238:E241)+E236</f>
        <v>0</v>
      </c>
      <c r="F243" s="1377">
        <f>SUM(F238:F241)+F236</f>
        <v>0</v>
      </c>
      <c r="G243" s="1377">
        <f>SUM(G238:G241)+G236</f>
        <v>0</v>
      </c>
      <c r="H243" s="1377">
        <f>SUM(H238:H241)+H236</f>
        <v>0</v>
      </c>
      <c r="I243" s="1377">
        <f>SUM(I238:I241)+I236</f>
        <v>0</v>
      </c>
      <c r="J243" s="1690"/>
    </row>
    <row r="244" spans="2:10" ht="13">
      <c r="B244" s="1401"/>
      <c r="C244" s="1402"/>
      <c r="D244" s="1402"/>
      <c r="E244" s="1386"/>
      <c r="F244" s="1377"/>
      <c r="G244" s="1377"/>
      <c r="H244" s="1377"/>
      <c r="I244" s="1377"/>
      <c r="J244" s="1388"/>
    </row>
    <row r="245" spans="2:10" ht="13">
      <c r="B245" s="1403" t="s">
        <v>264</v>
      </c>
      <c r="C245" s="1404"/>
      <c r="D245" s="1385"/>
      <c r="E245" s="1386"/>
      <c r="F245" s="1386"/>
      <c r="G245" s="1386"/>
      <c r="H245" s="1386"/>
      <c r="I245" s="1387">
        <v>0.13888944064369446</v>
      </c>
      <c r="J245" s="1388"/>
    </row>
    <row r="246" spans="2:10" ht="13">
      <c r="B246" s="1383" t="s">
        <v>237</v>
      </c>
      <c r="C246" s="1384"/>
      <c r="D246" s="1385"/>
      <c r="E246" s="1386"/>
      <c r="F246" s="1386"/>
      <c r="G246" s="1386"/>
      <c r="H246" s="1387">
        <v>0.37285862840743444</v>
      </c>
      <c r="I246" s="1386"/>
      <c r="J246" s="1388"/>
    </row>
    <row r="247" spans="2:10" ht="13">
      <c r="B247" s="1383" t="s">
        <v>933</v>
      </c>
      <c r="C247" s="1384"/>
      <c r="D247" s="1385"/>
      <c r="E247" s="1386"/>
      <c r="F247" s="1386"/>
      <c r="G247" s="1387">
        <v>1</v>
      </c>
      <c r="H247" s="1386"/>
      <c r="I247" s="1386"/>
      <c r="J247" s="1388"/>
    </row>
    <row r="248" spans="2:10" ht="13">
      <c r="B248" s="1383" t="s">
        <v>934</v>
      </c>
      <c r="C248" s="1384"/>
      <c r="D248" s="1385"/>
      <c r="E248" s="1386"/>
      <c r="F248" s="1387">
        <v>0</v>
      </c>
      <c r="G248" s="1386"/>
      <c r="H248" s="1386"/>
      <c r="I248" s="1386"/>
      <c r="J248" s="1388"/>
    </row>
    <row r="249" spans="2:10" ht="13">
      <c r="B249" s="1389" t="s">
        <v>935</v>
      </c>
      <c r="C249" s="1384"/>
      <c r="D249" s="1385"/>
      <c r="E249" s="1386">
        <f>F249+G249+H249+I249</f>
        <v>0</v>
      </c>
      <c r="F249" s="1386">
        <f>F248*F243</f>
        <v>0</v>
      </c>
      <c r="G249" s="1386">
        <f>G243*G247</f>
        <v>0</v>
      </c>
      <c r="H249" s="1386">
        <f>H243*H246</f>
        <v>0</v>
      </c>
      <c r="I249" s="1386">
        <f>I245*I243</f>
        <v>0</v>
      </c>
      <c r="J249" s="1388"/>
    </row>
    <row r="250" spans="2:10" ht="13">
      <c r="B250" s="1390"/>
      <c r="E250" s="1361"/>
      <c r="F250" s="1361"/>
      <c r="G250" s="1361"/>
      <c r="H250" s="1361"/>
      <c r="I250" s="1361"/>
      <c r="J250" s="1391"/>
    </row>
    <row r="251" spans="2:10" ht="13">
      <c r="B251" s="1390"/>
      <c r="E251" s="1361"/>
      <c r="F251" s="1361"/>
      <c r="G251" s="1361"/>
      <c r="H251" s="1361"/>
      <c r="I251" s="1361"/>
      <c r="J251" s="1391"/>
    </row>
    <row r="252" spans="2:10" ht="13">
      <c r="B252" s="1354"/>
      <c r="C252" s="1354"/>
      <c r="D252" s="1354"/>
      <c r="E252" s="1354"/>
      <c r="F252" s="1354"/>
      <c r="G252" s="1354"/>
      <c r="H252" s="1354"/>
      <c r="I252" s="1354"/>
      <c r="J252" s="1354"/>
    </row>
    <row r="253" spans="2:10" ht="13">
      <c r="B253" s="1354" t="s">
        <v>174</v>
      </c>
      <c r="C253" s="367"/>
      <c r="D253" s="367"/>
      <c r="E253" s="1354" t="s">
        <v>175</v>
      </c>
      <c r="F253" s="1354" t="s">
        <v>1142</v>
      </c>
      <c r="G253" s="1354" t="s">
        <v>1295</v>
      </c>
      <c r="H253" s="1354" t="s">
        <v>1296</v>
      </c>
      <c r="I253" s="1354" t="s">
        <v>1297</v>
      </c>
      <c r="J253" s="1354" t="s">
        <v>1298</v>
      </c>
    </row>
    <row r="254" spans="2:10" ht="13">
      <c r="B254" s="1363"/>
      <c r="C254" s="367"/>
      <c r="D254" s="367"/>
      <c r="E254" s="1354"/>
      <c r="F254" s="1354" t="s">
        <v>1329</v>
      </c>
      <c r="G254" s="1354" t="s">
        <v>258</v>
      </c>
      <c r="H254" s="1354"/>
      <c r="I254" s="1354"/>
      <c r="J254" s="1687"/>
    </row>
    <row r="255" spans="2:10" ht="13">
      <c r="B255" s="1405"/>
      <c r="C255" s="367"/>
      <c r="D255" s="367"/>
      <c r="E255" s="1354"/>
      <c r="F255" s="1354" t="s">
        <v>1330</v>
      </c>
      <c r="G255" s="1354" t="s">
        <v>228</v>
      </c>
      <c r="H255" s="1354" t="s">
        <v>259</v>
      </c>
      <c r="I255" s="1354" t="s">
        <v>260</v>
      </c>
      <c r="J255" s="1687"/>
    </row>
    <row r="256" spans="2:10" ht="16.5" customHeight="1">
      <c r="B256" s="1363" t="s">
        <v>955</v>
      </c>
      <c r="E256" s="1354" t="s">
        <v>44</v>
      </c>
      <c r="F256" s="1357" t="s">
        <v>1331</v>
      </c>
      <c r="G256" s="1354" t="s">
        <v>261</v>
      </c>
      <c r="H256" s="1354" t="s">
        <v>261</v>
      </c>
      <c r="I256" s="1354" t="s">
        <v>261</v>
      </c>
      <c r="J256" s="1354" t="s">
        <v>265</v>
      </c>
    </row>
    <row r="257" spans="2:11">
      <c r="B257" s="1385" t="s">
        <v>1006</v>
      </c>
      <c r="C257" s="1385"/>
      <c r="D257" s="1385"/>
      <c r="E257" s="1377">
        <f>SUM(F257:I257)</f>
        <v>-52264957.38134101</v>
      </c>
      <c r="F257" s="1386">
        <f>F207</f>
        <v>-39906944.608217999</v>
      </c>
      <c r="G257" s="1386">
        <f>G207</f>
        <v>-378604.44019500003</v>
      </c>
      <c r="H257" s="1386">
        <f>H207</f>
        <v>138504.98063400001</v>
      </c>
      <c r="I257" s="1386">
        <f>I207</f>
        <v>-12117913.313562002</v>
      </c>
      <c r="J257" s="1388"/>
    </row>
    <row r="258" spans="2:11">
      <c r="B258" s="1385" t="s">
        <v>955</v>
      </c>
      <c r="C258" s="1385"/>
      <c r="D258" s="1385"/>
      <c r="E258" s="1377">
        <f>SUM(F258:I258)</f>
        <v>0</v>
      </c>
      <c r="F258" s="1386">
        <f>F236</f>
        <v>0</v>
      </c>
      <c r="G258" s="1386">
        <f>G236</f>
        <v>0</v>
      </c>
      <c r="H258" s="1386">
        <f>H236</f>
        <v>0</v>
      </c>
      <c r="I258" s="1386">
        <f>I236</f>
        <v>0</v>
      </c>
      <c r="J258" s="1388"/>
    </row>
    <row r="259" spans="2:11" ht="13">
      <c r="B259" s="1378" t="s">
        <v>949</v>
      </c>
      <c r="C259" s="1385"/>
      <c r="D259" s="1385"/>
      <c r="E259" s="1386">
        <f>E257+E258</f>
        <v>-52264957.38134101</v>
      </c>
      <c r="F259" s="1386">
        <f>F257+F258</f>
        <v>-39906944.608217999</v>
      </c>
      <c r="G259" s="1386">
        <f>G257+G258</f>
        <v>-378604.44019500003</v>
      </c>
      <c r="H259" s="1386">
        <f>H257+H258</f>
        <v>138504.98063400001</v>
      </c>
      <c r="I259" s="1386">
        <f>I257+I258</f>
        <v>-12117913.313562002</v>
      </c>
      <c r="J259" s="1388"/>
    </row>
    <row r="260" spans="2:11" ht="13">
      <c r="B260" s="1390"/>
      <c r="E260" s="1361"/>
      <c r="F260" s="1361"/>
      <c r="G260" s="1361"/>
      <c r="H260" s="1361"/>
      <c r="I260" s="1361"/>
      <c r="J260" s="1391"/>
    </row>
    <row r="261" spans="2:11" s="367" customFormat="1" ht="13">
      <c r="B261" s="1363" t="s">
        <v>275</v>
      </c>
      <c r="G261" s="1410"/>
      <c r="H261" s="1410"/>
      <c r="I261" s="1410"/>
      <c r="J261" s="1692"/>
    </row>
    <row r="262" spans="2:11" s="367" customFormat="1" ht="13">
      <c r="B262" s="1746" t="s">
        <v>1339</v>
      </c>
      <c r="C262" s="1746"/>
      <c r="D262" s="1746"/>
      <c r="E262" s="1746"/>
      <c r="F262" s="1746"/>
      <c r="G262" s="1746"/>
      <c r="H262" s="1746"/>
      <c r="I262" s="1746"/>
      <c r="J262" s="1692"/>
    </row>
    <row r="263" spans="2:11" s="367" customFormat="1" ht="13">
      <c r="B263" s="1417" t="s">
        <v>270</v>
      </c>
      <c r="G263" s="1410"/>
      <c r="H263" s="1410"/>
      <c r="I263" s="1410"/>
      <c r="J263" s="1692"/>
    </row>
    <row r="264" spans="2:11" s="367" customFormat="1" ht="13">
      <c r="B264" s="1417" t="s">
        <v>271</v>
      </c>
      <c r="G264" s="1410"/>
      <c r="H264" s="1410"/>
      <c r="I264" s="1410"/>
      <c r="J264" s="1692"/>
    </row>
    <row r="265" spans="2:11" s="367" customFormat="1" ht="13">
      <c r="B265" s="1417" t="s">
        <v>272</v>
      </c>
      <c r="G265" s="1410"/>
      <c r="H265" s="1410"/>
      <c r="I265" s="1410"/>
      <c r="J265" s="1692"/>
    </row>
    <row r="266" spans="2:11" s="367" customFormat="1" ht="15.75" customHeight="1">
      <c r="B266" s="1741" t="s">
        <v>273</v>
      </c>
      <c r="C266" s="1741"/>
      <c r="D266" s="1741"/>
      <c r="E266" s="1741"/>
      <c r="F266" s="1741"/>
      <c r="G266" s="1741"/>
      <c r="H266" s="1741"/>
      <c r="I266" s="1741"/>
      <c r="J266" s="1687"/>
      <c r="K266" s="1412"/>
    </row>
    <row r="267" spans="2:11" s="367" customFormat="1" ht="15.75" customHeight="1">
      <c r="B267" s="1741"/>
      <c r="C267" s="1741"/>
      <c r="D267" s="1741"/>
      <c r="E267" s="1741"/>
      <c r="F267" s="1741"/>
      <c r="G267" s="1741"/>
      <c r="H267" s="1741"/>
      <c r="I267" s="1741"/>
      <c r="J267" s="1687"/>
      <c r="K267" s="1412"/>
    </row>
    <row r="268" spans="2:11" s="367" customFormat="1" ht="13">
      <c r="B268" s="1411" t="s">
        <v>957</v>
      </c>
      <c r="G268" s="1410"/>
      <c r="H268" s="1410"/>
      <c r="I268" s="1410"/>
      <c r="J268" s="1692"/>
    </row>
    <row r="269" spans="2:11" ht="13">
      <c r="B269" s="1417" t="s">
        <v>951</v>
      </c>
    </row>
    <row r="270" spans="2:11" ht="12" customHeight="1">
      <c r="B270" s="1418"/>
      <c r="C270" s="1419"/>
      <c r="D270" s="1420"/>
      <c r="E270" s="1420"/>
      <c r="F270" s="1420"/>
      <c r="G270" s="1420"/>
      <c r="H270" s="1420"/>
      <c r="I270" s="1420"/>
      <c r="J270" s="1420"/>
    </row>
    <row r="271" spans="2:11" ht="12.75" customHeight="1">
      <c r="B271" s="1418"/>
      <c r="C271" s="1420"/>
      <c r="D271" s="1420"/>
      <c r="E271" s="1420"/>
      <c r="F271" s="1420"/>
      <c r="G271" s="1420"/>
      <c r="H271" s="1420"/>
      <c r="I271" s="1420"/>
      <c r="J271" s="1420"/>
    </row>
    <row r="272" spans="2:11" ht="13">
      <c r="B272" s="1354" t="s">
        <v>174</v>
      </c>
      <c r="C272" s="367"/>
      <c r="D272" s="367"/>
      <c r="E272" s="1354" t="s">
        <v>175</v>
      </c>
      <c r="F272" s="1354" t="s">
        <v>1142</v>
      </c>
      <c r="G272" s="1354" t="s">
        <v>1295</v>
      </c>
      <c r="H272" s="1354" t="s">
        <v>1296</v>
      </c>
      <c r="I272" s="1354" t="s">
        <v>1297</v>
      </c>
      <c r="J272" s="1354" t="s">
        <v>1298</v>
      </c>
    </row>
    <row r="273" spans="2:10" ht="13">
      <c r="B273" s="1363"/>
      <c r="C273" s="367"/>
      <c r="D273" s="367"/>
      <c r="E273" s="1354"/>
      <c r="F273" s="1354" t="s">
        <v>1329</v>
      </c>
      <c r="G273" s="1354" t="s">
        <v>258</v>
      </c>
      <c r="H273" s="1354"/>
      <c r="I273" s="1354"/>
      <c r="J273" s="1687"/>
    </row>
    <row r="274" spans="2:10" ht="13">
      <c r="B274" s="1405"/>
      <c r="C274" s="367"/>
      <c r="D274" s="367"/>
      <c r="E274" s="1354"/>
      <c r="F274" s="1354" t="s">
        <v>1330</v>
      </c>
      <c r="G274" s="1354" t="s">
        <v>228</v>
      </c>
      <c r="H274" s="1354" t="s">
        <v>259</v>
      </c>
      <c r="I274" s="1354" t="s">
        <v>260</v>
      </c>
      <c r="J274" s="1687"/>
    </row>
    <row r="275" spans="2:10" ht="13">
      <c r="B275" s="1363" t="s">
        <v>1341</v>
      </c>
      <c r="E275" s="1354" t="s">
        <v>44</v>
      </c>
      <c r="F275" s="1357" t="s">
        <v>1331</v>
      </c>
      <c r="G275" s="1354" t="s">
        <v>261</v>
      </c>
      <c r="H275" s="1354" t="s">
        <v>261</v>
      </c>
      <c r="I275" s="1354" t="s">
        <v>261</v>
      </c>
      <c r="J275" s="1354" t="s">
        <v>265</v>
      </c>
    </row>
    <row r="276" spans="2:10">
      <c r="B276" s="1371"/>
      <c r="C276" s="1392"/>
      <c r="D276" s="1394"/>
      <c r="E276" s="1372"/>
      <c r="F276" s="1372"/>
      <c r="G276" s="1372"/>
      <c r="H276" s="1372"/>
      <c r="I276" s="1372"/>
      <c r="J276" s="1421"/>
    </row>
    <row r="277" spans="2:10" ht="25">
      <c r="B277" s="1497" t="s">
        <v>1342</v>
      </c>
      <c r="C277" s="1499"/>
      <c r="D277" s="1500"/>
      <c r="E277" s="1498">
        <f>F277+G277+H277+I277</f>
        <v>-2708204</v>
      </c>
      <c r="F277" s="1498"/>
      <c r="G277" s="1498"/>
      <c r="H277" s="1498">
        <v>-2708204</v>
      </c>
      <c r="I277" s="1372"/>
      <c r="J277" s="1421" t="s">
        <v>1775</v>
      </c>
    </row>
    <row r="278" spans="2:10">
      <c r="B278" s="1371"/>
      <c r="C278" s="1392"/>
      <c r="D278" s="1394"/>
      <c r="E278" s="1372"/>
      <c r="F278" s="1372"/>
      <c r="G278" s="1372"/>
      <c r="H278" s="1372"/>
      <c r="I278" s="1372"/>
      <c r="J278" s="1421"/>
    </row>
    <row r="279" spans="2:10">
      <c r="B279" s="1371"/>
      <c r="C279" s="1392"/>
      <c r="D279" s="1394"/>
      <c r="E279" s="1372"/>
      <c r="F279" s="1372"/>
      <c r="G279" s="1372"/>
      <c r="H279" s="1372"/>
      <c r="I279" s="1372"/>
      <c r="J279" s="1421"/>
    </row>
    <row r="280" spans="2:10">
      <c r="B280" s="1371"/>
      <c r="C280" s="1392"/>
      <c r="D280" s="1394"/>
      <c r="E280" s="1372"/>
      <c r="F280" s="1372"/>
      <c r="G280" s="1372"/>
      <c r="H280" s="1372"/>
      <c r="I280" s="1372"/>
      <c r="J280" s="1421"/>
    </row>
    <row r="281" spans="2:10">
      <c r="B281" s="1371"/>
      <c r="C281" s="1392"/>
      <c r="D281" s="1394"/>
      <c r="E281" s="1372"/>
      <c r="F281" s="1372"/>
      <c r="G281" s="1372"/>
      <c r="H281" s="1372"/>
      <c r="I281" s="1372"/>
      <c r="J281" s="1421"/>
    </row>
    <row r="282" spans="2:10">
      <c r="B282" s="1371"/>
      <c r="C282" s="1392"/>
      <c r="D282" s="1394"/>
      <c r="E282" s="1372"/>
      <c r="F282" s="1372"/>
      <c r="G282" s="1372"/>
      <c r="H282" s="1372"/>
      <c r="I282" s="1372"/>
      <c r="J282" s="1421"/>
    </row>
    <row r="283" spans="2:10" ht="13">
      <c r="B283" s="1378" t="s">
        <v>1343</v>
      </c>
      <c r="C283" s="1400"/>
      <c r="D283" s="1376"/>
      <c r="E283" s="1377">
        <f>SUM(E276:E282)</f>
        <v>-2708204</v>
      </c>
      <c r="F283" s="1377">
        <f>SUM(F276:F282)</f>
        <v>0</v>
      </c>
      <c r="G283" s="1377">
        <f>SUM(G276:G282)</f>
        <v>0</v>
      </c>
      <c r="H283" s="1377">
        <f>SUM(H276:H282)</f>
        <v>-2708204</v>
      </c>
      <c r="I283" s="1377">
        <f>SUM(I276:I282)</f>
        <v>0</v>
      </c>
      <c r="J283" s="1690"/>
    </row>
    <row r="284" spans="2:10" ht="13">
      <c r="B284" s="1378"/>
      <c r="C284" s="1376"/>
      <c r="D284" s="1376"/>
      <c r="E284" s="1377"/>
      <c r="F284" s="1377"/>
      <c r="G284" s="1377"/>
      <c r="H284" s="1377"/>
      <c r="I284" s="1377"/>
      <c r="J284" s="1690"/>
    </row>
    <row r="285" spans="2:10">
      <c r="B285" s="1379" t="s">
        <v>1344</v>
      </c>
      <c r="C285" s="1380"/>
      <c r="D285" s="1398"/>
      <c r="E285" s="1381">
        <f>SUM(F285:I285)</f>
        <v>2708204</v>
      </c>
      <c r="F285" s="1372"/>
      <c r="G285" s="1372"/>
      <c r="H285" s="1372">
        <f>-H277</f>
        <v>2708204</v>
      </c>
      <c r="I285" s="1372"/>
      <c r="J285" s="1382"/>
    </row>
    <row r="286" spans="2:10" ht="5.15" customHeight="1">
      <c r="B286" s="1374"/>
      <c r="C286" s="1375"/>
      <c r="D286" s="1376"/>
      <c r="E286" s="1377"/>
      <c r="F286" s="1377"/>
      <c r="G286" s="1377"/>
      <c r="H286" s="1377"/>
      <c r="I286" s="1377"/>
      <c r="J286" s="1690"/>
    </row>
    <row r="287" spans="2:10" ht="13">
      <c r="B287" s="1378" t="s">
        <v>1345</v>
      </c>
      <c r="C287" s="1376"/>
      <c r="D287" s="1376"/>
      <c r="E287" s="1377">
        <f>SUM(E285:E285)+E283</f>
        <v>0</v>
      </c>
      <c r="F287" s="1377">
        <f>SUM(F285:F285)+F283</f>
        <v>0</v>
      </c>
      <c r="G287" s="1377">
        <f>SUM(G285:G285)+G283</f>
        <v>0</v>
      </c>
      <c r="H287" s="1377">
        <f>SUM(H285:H285)+H283</f>
        <v>0</v>
      </c>
      <c r="I287" s="1377">
        <f>SUM(I285:I285)+I283</f>
        <v>0</v>
      </c>
      <c r="J287" s="1690"/>
    </row>
    <row r="288" spans="2:10" ht="13">
      <c r="B288" s="1422"/>
      <c r="C288" s="1385"/>
      <c r="D288" s="1385"/>
      <c r="E288" s="1386"/>
      <c r="F288" s="1377"/>
      <c r="G288" s="1377"/>
      <c r="H288" s="1377"/>
      <c r="I288" s="1377"/>
      <c r="J288" s="1388"/>
    </row>
    <row r="289" spans="2:10" ht="13">
      <c r="B289" s="1383" t="s">
        <v>264</v>
      </c>
      <c r="C289" s="1384"/>
      <c r="D289" s="1385"/>
      <c r="E289" s="1386"/>
      <c r="F289" s="1386"/>
      <c r="G289" s="1386"/>
      <c r="H289" s="1386"/>
      <c r="I289" s="1387">
        <v>0.13888944064369446</v>
      </c>
      <c r="J289" s="1388"/>
    </row>
    <row r="290" spans="2:10" ht="13">
      <c r="B290" s="1383" t="s">
        <v>237</v>
      </c>
      <c r="C290" s="1384"/>
      <c r="D290" s="1385"/>
      <c r="E290" s="1386"/>
      <c r="F290" s="1386"/>
      <c r="G290" s="1386"/>
      <c r="H290" s="1387">
        <v>0.37285862840743444</v>
      </c>
      <c r="I290" s="1386"/>
      <c r="J290" s="1388"/>
    </row>
    <row r="291" spans="2:10" ht="13">
      <c r="B291" s="1383" t="s">
        <v>933</v>
      </c>
      <c r="C291" s="1384"/>
      <c r="D291" s="1385"/>
      <c r="E291" s="1386"/>
      <c r="F291" s="1386"/>
      <c r="G291" s="1387">
        <v>1</v>
      </c>
      <c r="H291" s="1386"/>
      <c r="I291" s="1386"/>
      <c r="J291" s="1388"/>
    </row>
    <row r="292" spans="2:10" ht="13">
      <c r="B292" s="1383" t="s">
        <v>934</v>
      </c>
      <c r="C292" s="1384"/>
      <c r="D292" s="1385"/>
      <c r="E292" s="1386"/>
      <c r="F292" s="1387">
        <v>0</v>
      </c>
      <c r="G292" s="1386"/>
      <c r="H292" s="1386"/>
      <c r="I292" s="1386"/>
      <c r="J292" s="1388"/>
    </row>
    <row r="293" spans="2:10" ht="13">
      <c r="B293" s="1384" t="s">
        <v>1346</v>
      </c>
      <c r="C293" s="1384"/>
      <c r="D293" s="1385"/>
      <c r="E293" s="1386">
        <f>F293+G293+H293+I293</f>
        <v>0</v>
      </c>
      <c r="F293" s="1386">
        <f>F292*F287</f>
        <v>0</v>
      </c>
      <c r="G293" s="1386">
        <f>G287*G291</f>
        <v>0</v>
      </c>
      <c r="H293" s="1386">
        <f>H287*H290</f>
        <v>0</v>
      </c>
      <c r="I293" s="1386">
        <f>I289*I287</f>
        <v>0</v>
      </c>
      <c r="J293" s="1388"/>
    </row>
    <row r="294" spans="2:10" ht="12.75" customHeight="1">
      <c r="B294" s="1418"/>
      <c r="C294" s="1420"/>
      <c r="D294" s="1420"/>
      <c r="E294" s="1420"/>
      <c r="F294" s="1420"/>
      <c r="G294" s="1420"/>
      <c r="H294" s="1420"/>
      <c r="I294" s="1420"/>
      <c r="J294" s="1420"/>
    </row>
    <row r="295" spans="2:10" ht="12.75" customHeight="1">
      <c r="B295" s="1418"/>
      <c r="C295" s="1420"/>
      <c r="D295" s="1420"/>
      <c r="E295" s="1420"/>
      <c r="F295" s="1420"/>
      <c r="G295" s="1420"/>
      <c r="H295" s="1420"/>
      <c r="I295" s="1420"/>
      <c r="J295" s="1420"/>
    </row>
    <row r="296" spans="2:10" ht="13">
      <c r="B296" s="1354" t="s">
        <v>174</v>
      </c>
      <c r="C296" s="367"/>
      <c r="D296" s="367"/>
      <c r="E296" s="1354" t="s">
        <v>175</v>
      </c>
      <c r="F296" s="1354" t="s">
        <v>1142</v>
      </c>
      <c r="G296" s="1354" t="s">
        <v>1295</v>
      </c>
      <c r="H296" s="1354" t="s">
        <v>1296</v>
      </c>
      <c r="I296" s="1354" t="s">
        <v>1297</v>
      </c>
      <c r="J296" s="1354" t="s">
        <v>1298</v>
      </c>
    </row>
    <row r="297" spans="2:10" ht="13">
      <c r="B297" s="1363"/>
      <c r="C297" s="367"/>
      <c r="D297" s="367"/>
      <c r="E297" s="1354"/>
      <c r="F297" s="1354" t="s">
        <v>1329</v>
      </c>
      <c r="G297" s="1354" t="s">
        <v>258</v>
      </c>
      <c r="H297" s="1354"/>
      <c r="I297" s="1354"/>
      <c r="J297" s="1687"/>
    </row>
    <row r="298" spans="2:10" ht="13">
      <c r="B298" s="1405"/>
      <c r="C298" s="367"/>
      <c r="D298" s="367"/>
      <c r="E298" s="1354"/>
      <c r="F298" s="1354" t="s">
        <v>1330</v>
      </c>
      <c r="G298" s="1354" t="s">
        <v>228</v>
      </c>
      <c r="H298" s="1354" t="s">
        <v>259</v>
      </c>
      <c r="I298" s="1354" t="s">
        <v>260</v>
      </c>
      <c r="J298" s="1687"/>
    </row>
    <row r="299" spans="2:10" ht="13">
      <c r="B299" s="1363" t="s">
        <v>1224</v>
      </c>
      <c r="E299" s="1354" t="s">
        <v>44</v>
      </c>
      <c r="F299" s="1357" t="s">
        <v>1331</v>
      </c>
      <c r="G299" s="1354" t="s">
        <v>261</v>
      </c>
      <c r="H299" s="1354" t="s">
        <v>261</v>
      </c>
      <c r="I299" s="1354" t="s">
        <v>261</v>
      </c>
      <c r="J299" s="1354" t="s">
        <v>265</v>
      </c>
    </row>
    <row r="300" spans="2:10">
      <c r="B300" s="1371"/>
      <c r="C300" s="1392"/>
      <c r="D300" s="1394"/>
      <c r="E300" s="1372"/>
      <c r="F300" s="1372"/>
      <c r="G300" s="1372"/>
      <c r="H300" s="1372"/>
      <c r="I300" s="1372"/>
      <c r="J300" s="1421"/>
    </row>
    <row r="301" spans="2:10" ht="50">
      <c r="B301" s="1497" t="s">
        <v>1224</v>
      </c>
      <c r="C301" s="1499"/>
      <c r="D301" s="1500"/>
      <c r="E301" s="1498">
        <f>F301+G301+H301+I301</f>
        <v>325763</v>
      </c>
      <c r="F301" s="1498"/>
      <c r="G301" s="1498"/>
      <c r="H301" s="1498">
        <v>325763</v>
      </c>
      <c r="I301" s="1498"/>
      <c r="J301" s="1421" t="s">
        <v>1776</v>
      </c>
    </row>
    <row r="302" spans="2:10">
      <c r="B302" s="1371"/>
      <c r="C302" s="1392"/>
      <c r="D302" s="1394"/>
      <c r="E302" s="1372"/>
      <c r="F302" s="1372"/>
      <c r="G302" s="1372"/>
      <c r="H302" s="1372"/>
      <c r="I302" s="1372"/>
      <c r="J302" s="1421"/>
    </row>
    <row r="303" spans="2:10">
      <c r="B303" s="1371"/>
      <c r="C303" s="1392"/>
      <c r="D303" s="1394"/>
      <c r="E303" s="1372"/>
      <c r="F303" s="1372"/>
      <c r="G303" s="1372"/>
      <c r="H303" s="1372"/>
      <c r="I303" s="1372"/>
      <c r="J303" s="1421"/>
    </row>
    <row r="304" spans="2:10">
      <c r="B304" s="1371"/>
      <c r="C304" s="1392"/>
      <c r="D304" s="1394"/>
      <c r="E304" s="1372"/>
      <c r="F304" s="1372"/>
      <c r="G304" s="1372"/>
      <c r="H304" s="1372"/>
      <c r="I304" s="1372"/>
      <c r="J304" s="1421"/>
    </row>
    <row r="305" spans="1:10">
      <c r="B305" s="1371"/>
      <c r="C305" s="1392"/>
      <c r="D305" s="1394"/>
      <c r="E305" s="1372"/>
      <c r="F305" s="1372"/>
      <c r="G305" s="1372"/>
      <c r="H305" s="1372"/>
      <c r="I305" s="1372"/>
      <c r="J305" s="1421"/>
    </row>
    <row r="306" spans="1:10">
      <c r="B306" s="1371"/>
      <c r="C306" s="1392"/>
      <c r="D306" s="1394"/>
      <c r="E306" s="1372"/>
      <c r="F306" s="1372"/>
      <c r="G306" s="1372"/>
      <c r="H306" s="1372"/>
      <c r="I306" s="1372"/>
      <c r="J306" s="1421"/>
    </row>
    <row r="307" spans="1:10" ht="13">
      <c r="B307" s="1378" t="s">
        <v>1347</v>
      </c>
      <c r="C307" s="1423"/>
      <c r="D307" s="1376"/>
      <c r="E307" s="1377">
        <f>SUM(E300:E306)</f>
        <v>325763</v>
      </c>
      <c r="F307" s="1377">
        <f>SUM(F300:F306)</f>
        <v>0</v>
      </c>
      <c r="G307" s="1377">
        <f>SUM(G300:G306)</f>
        <v>0</v>
      </c>
      <c r="H307" s="1377">
        <f>SUM(H300:H306)</f>
        <v>325763</v>
      </c>
      <c r="I307" s="1377">
        <f>SUM(I300:I306)</f>
        <v>0</v>
      </c>
      <c r="J307" s="1690"/>
    </row>
    <row r="308" spans="1:10" ht="13">
      <c r="B308" s="1401"/>
      <c r="C308" s="1402"/>
      <c r="D308" s="1402"/>
      <c r="E308" s="1386"/>
      <c r="F308" s="1377"/>
      <c r="G308" s="1377"/>
      <c r="H308" s="1377"/>
      <c r="I308" s="1377"/>
      <c r="J308" s="1388"/>
    </row>
    <row r="309" spans="1:10" ht="13">
      <c r="B309" s="1403" t="s">
        <v>264</v>
      </c>
      <c r="C309" s="1404"/>
      <c r="D309" s="1385"/>
      <c r="E309" s="1386"/>
      <c r="F309" s="1386"/>
      <c r="G309" s="1386"/>
      <c r="H309" s="1386"/>
      <c r="I309" s="1387">
        <v>0.13888944064369446</v>
      </c>
      <c r="J309" s="1388"/>
    </row>
    <row r="310" spans="1:10" ht="13">
      <c r="B310" s="1383" t="s">
        <v>237</v>
      </c>
      <c r="C310" s="1384"/>
      <c r="D310" s="1385"/>
      <c r="E310" s="1386"/>
      <c r="F310" s="1386"/>
      <c r="G310" s="1386"/>
      <c r="H310" s="1387">
        <v>0.37285862840743444</v>
      </c>
      <c r="I310" s="1386"/>
      <c r="J310" s="1388"/>
    </row>
    <row r="311" spans="1:10" ht="13">
      <c r="B311" s="1383" t="s">
        <v>933</v>
      </c>
      <c r="C311" s="1384"/>
      <c r="D311" s="1385"/>
      <c r="E311" s="1386"/>
      <c r="F311" s="1386"/>
      <c r="G311" s="1387">
        <v>1</v>
      </c>
      <c r="H311" s="1386"/>
      <c r="I311" s="1386"/>
      <c r="J311" s="1388"/>
    </row>
    <row r="312" spans="1:10" ht="13">
      <c r="B312" s="1383" t="s">
        <v>934</v>
      </c>
      <c r="C312" s="1384"/>
      <c r="D312" s="1385"/>
      <c r="E312" s="1386"/>
      <c r="F312" s="1387">
        <v>0</v>
      </c>
      <c r="G312" s="1386"/>
      <c r="H312" s="1386"/>
      <c r="I312" s="1386"/>
      <c r="J312" s="1388"/>
    </row>
    <row r="313" spans="1:10" ht="13">
      <c r="B313" s="1389" t="s">
        <v>1348</v>
      </c>
      <c r="C313" s="1384"/>
      <c r="D313" s="1385"/>
      <c r="E313" s="1386">
        <f>F313+G313+H313+I313</f>
        <v>121463.54536589107</v>
      </c>
      <c r="F313" s="1386">
        <f>F312*F307</f>
        <v>0</v>
      </c>
      <c r="G313" s="1386">
        <f>G307*G311</f>
        <v>0</v>
      </c>
      <c r="H313" s="1386">
        <f>H307*H310</f>
        <v>121463.54536589107</v>
      </c>
      <c r="I313" s="1386">
        <f>I309*I307</f>
        <v>0</v>
      </c>
      <c r="J313" s="1388"/>
    </row>
    <row r="314" spans="1:10">
      <c r="G314" s="1365"/>
    </row>
    <row r="316" spans="1:10" s="1246" customFormat="1" ht="15.5">
      <c r="A316" s="1424" t="s">
        <v>489</v>
      </c>
      <c r="B316" s="1425"/>
      <c r="C316" s="1425"/>
      <c r="D316" s="225"/>
      <c r="E316" s="225"/>
      <c r="F316" s="576"/>
      <c r="G316" s="225"/>
      <c r="H316" s="225"/>
      <c r="I316" s="225"/>
      <c r="J316" s="225"/>
    </row>
  </sheetData>
  <mergeCells count="12">
    <mergeCell ref="B266:I267"/>
    <mergeCell ref="A1:K1"/>
    <mergeCell ref="A2:K2"/>
    <mergeCell ref="A3:K3"/>
    <mergeCell ref="B6:J6"/>
    <mergeCell ref="B24:I26"/>
    <mergeCell ref="B29:I30"/>
    <mergeCell ref="B117:I117"/>
    <mergeCell ref="B121:I122"/>
    <mergeCell ref="B183:I183"/>
    <mergeCell ref="B187:I188"/>
    <mergeCell ref="B262:I262"/>
  </mergeCells>
  <pageMargins left="0.25" right="0.25" top="0.75" bottom="0.75" header="0.3" footer="0.3"/>
  <pageSetup scale="41" fitToHeight="0" orientation="landscape" r:id="rId1"/>
  <rowBreaks count="5" manualBreakCount="5">
    <brk id="31" max="16383" man="1"/>
    <brk id="79" max="16383" man="1"/>
    <brk id="125" max="16383" man="1"/>
    <brk id="192" max="16383" man="1"/>
    <brk id="2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67"/>
  <sheetViews>
    <sheetView topLeftCell="A93" zoomScale="80" zoomScaleNormal="80" workbookViewId="0">
      <selection activeCell="L128" sqref="L128"/>
    </sheetView>
  </sheetViews>
  <sheetFormatPr defaultColWidth="9.1796875" defaultRowHeight="12.5"/>
  <cols>
    <col min="1" max="1" width="5.7265625" style="1008" customWidth="1"/>
    <col min="2" max="2" width="11" style="1314" customWidth="1"/>
    <col min="3" max="3" width="5.7265625" style="1008" customWidth="1"/>
    <col min="4" max="4" width="32.1796875" style="1008" customWidth="1"/>
    <col min="5" max="5" width="14.453125" style="1008" customWidth="1"/>
    <col min="6" max="6" width="21.81640625" style="1008" customWidth="1"/>
    <col min="7" max="7" width="15.1796875" style="1008" customWidth="1"/>
    <col min="8" max="8" width="20.81640625" style="1008" bestFit="1" customWidth="1"/>
    <col min="9" max="9" width="3.81640625" style="1008" customWidth="1"/>
    <col min="10" max="10" width="27.453125" style="1008" customWidth="1"/>
    <col min="11" max="11" width="21.81640625" style="1008" customWidth="1"/>
    <col min="12" max="12" width="25.1796875" style="1008" customWidth="1"/>
    <col min="13" max="13" width="3.81640625" style="1008" customWidth="1"/>
    <col min="14" max="14" width="19.7265625" style="1008" customWidth="1"/>
    <col min="15" max="15" width="25.453125" style="1008" customWidth="1"/>
    <col min="16" max="16" width="24.7265625" style="1008" customWidth="1"/>
    <col min="17" max="17" width="25" style="1008" customWidth="1"/>
    <col min="18" max="18" width="26.54296875" style="1008" customWidth="1"/>
    <col min="19" max="19" width="3.81640625" style="1008" customWidth="1"/>
    <col min="20" max="16384" width="9.1796875" style="1008"/>
  </cols>
  <sheetData>
    <row r="1" spans="1:19" ht="15.5">
      <c r="A1" s="1736" t="s">
        <v>1547</v>
      </c>
      <c r="B1" s="1736"/>
      <c r="C1" s="1736"/>
      <c r="D1" s="1736"/>
      <c r="E1" s="1736"/>
      <c r="F1" s="1736"/>
      <c r="G1" s="1736"/>
      <c r="H1" s="1736"/>
      <c r="I1" s="1736"/>
      <c r="J1" s="1736"/>
      <c r="K1" s="1736"/>
      <c r="L1" s="1736"/>
      <c r="M1" s="1736"/>
      <c r="N1" s="1736"/>
      <c r="O1" s="1736"/>
      <c r="P1" s="1736"/>
      <c r="Q1" s="1736"/>
      <c r="R1" s="1736"/>
      <c r="S1" s="1311"/>
    </row>
    <row r="2" spans="1:19" ht="15.5">
      <c r="A2" s="1736" t="s">
        <v>1349</v>
      </c>
      <c r="B2" s="1736"/>
      <c r="C2" s="1736"/>
      <c r="D2" s="1736"/>
      <c r="E2" s="1736"/>
      <c r="F2" s="1736"/>
      <c r="G2" s="1736"/>
      <c r="H2" s="1736"/>
      <c r="I2" s="1736"/>
      <c r="J2" s="1736"/>
      <c r="K2" s="1736"/>
      <c r="L2" s="1736"/>
      <c r="M2" s="1736"/>
      <c r="N2" s="1736"/>
      <c r="O2" s="1736"/>
      <c r="P2" s="1736"/>
      <c r="Q2" s="1736"/>
      <c r="R2" s="1736"/>
      <c r="S2" s="1311"/>
    </row>
    <row r="3" spans="1:19" ht="15.5">
      <c r="A3" s="1736" t="s">
        <v>1350</v>
      </c>
      <c r="B3" s="1736"/>
      <c r="C3" s="1736"/>
      <c r="D3" s="1736"/>
      <c r="E3" s="1736"/>
      <c r="F3" s="1736"/>
      <c r="G3" s="1736"/>
      <c r="H3" s="1736"/>
      <c r="I3" s="1736"/>
      <c r="J3" s="1736"/>
      <c r="K3" s="1736"/>
      <c r="L3" s="1736"/>
      <c r="M3" s="1736"/>
      <c r="N3" s="1736"/>
      <c r="O3" s="1736"/>
      <c r="P3" s="1736"/>
      <c r="Q3" s="1736"/>
      <c r="R3" s="1736"/>
      <c r="S3" s="1311"/>
    </row>
    <row r="4" spans="1:19" ht="15.5">
      <c r="A4" s="912"/>
      <c r="B4" s="1633"/>
      <c r="C4" s="912"/>
      <c r="D4" s="911"/>
      <c r="E4" s="911"/>
      <c r="F4" s="911"/>
      <c r="G4" s="911"/>
      <c r="H4" s="911"/>
      <c r="I4" s="911"/>
      <c r="J4" s="911"/>
      <c r="K4" s="911"/>
      <c r="L4" s="911"/>
      <c r="M4" s="911"/>
      <c r="N4" s="911"/>
      <c r="O4" s="911"/>
      <c r="P4" s="911"/>
      <c r="Q4" s="911"/>
      <c r="R4" s="911"/>
    </row>
    <row r="5" spans="1:19" ht="15.5">
      <c r="A5" s="911"/>
      <c r="B5" s="1313"/>
      <c r="C5" s="911"/>
      <c r="D5" s="911" t="s">
        <v>910</v>
      </c>
      <c r="E5" s="913" t="s">
        <v>1801</v>
      </c>
      <c r="F5" s="914"/>
      <c r="G5" s="914"/>
      <c r="H5" s="914"/>
      <c r="I5" s="911"/>
      <c r="J5" s="911"/>
      <c r="K5" s="911"/>
      <c r="L5" s="911"/>
      <c r="M5" s="911"/>
      <c r="N5" s="911"/>
      <c r="O5" s="911"/>
      <c r="P5" s="911"/>
      <c r="Q5" s="911"/>
      <c r="R5" s="911"/>
    </row>
    <row r="6" spans="1:19" ht="13">
      <c r="D6" s="1311"/>
    </row>
    <row r="7" spans="1:19" ht="15.75" customHeight="1">
      <c r="B7" s="1747" t="s">
        <v>1351</v>
      </c>
      <c r="C7" s="1747"/>
      <c r="D7" s="1747"/>
      <c r="E7" s="1747"/>
      <c r="F7" s="1747"/>
      <c r="G7" s="1747"/>
      <c r="H7" s="1747"/>
      <c r="I7" s="1747"/>
      <c r="J7" s="1747"/>
      <c r="K7" s="1747"/>
      <c r="L7" s="1747"/>
      <c r="M7" s="1747"/>
      <c r="N7" s="1747"/>
      <c r="O7" s="1747"/>
      <c r="P7" s="1747"/>
      <c r="Q7" s="1747"/>
      <c r="R7" s="1747"/>
    </row>
    <row r="8" spans="1:19" ht="13">
      <c r="D8" s="1311"/>
    </row>
    <row r="9" spans="1:19" ht="13">
      <c r="D9" s="1311" t="s">
        <v>1352</v>
      </c>
      <c r="J9" s="1737"/>
      <c r="K9" s="1737"/>
      <c r="L9" s="1737"/>
      <c r="N9" s="1737"/>
      <c r="O9" s="1737"/>
      <c r="P9" s="1737"/>
      <c r="Q9" s="1737"/>
      <c r="R9" s="1737"/>
    </row>
    <row r="10" spans="1:19" ht="13">
      <c r="D10" s="1730" t="s">
        <v>912</v>
      </c>
      <c r="E10" s="1731"/>
      <c r="F10" s="1731"/>
      <c r="G10" s="1731"/>
      <c r="H10" s="1732"/>
      <c r="I10" s="1315"/>
      <c r="J10" s="1733" t="s">
        <v>1353</v>
      </c>
      <c r="K10" s="1734"/>
      <c r="L10" s="1735"/>
      <c r="M10" s="1315"/>
      <c r="N10" s="1733" t="s">
        <v>1354</v>
      </c>
      <c r="O10" s="1734"/>
      <c r="P10" s="1734"/>
      <c r="Q10" s="1734"/>
      <c r="R10" s="1735"/>
      <c r="S10" s="1315"/>
    </row>
    <row r="11" spans="1:19" ht="13">
      <c r="D11" s="1316" t="s">
        <v>174</v>
      </c>
      <c r="E11" s="1316" t="s">
        <v>175</v>
      </c>
      <c r="F11" s="1316" t="s">
        <v>1294</v>
      </c>
      <c r="G11" s="1316" t="s">
        <v>1295</v>
      </c>
      <c r="H11" s="1316" t="s">
        <v>1296</v>
      </c>
      <c r="I11" s="1315"/>
      <c r="J11" s="1316" t="s">
        <v>1297</v>
      </c>
      <c r="K11" s="1316" t="s">
        <v>1298</v>
      </c>
      <c r="L11" s="1316" t="s">
        <v>1299</v>
      </c>
      <c r="M11" s="1315"/>
      <c r="N11" s="1316" t="s">
        <v>1300</v>
      </c>
      <c r="O11" s="1316" t="s">
        <v>1301</v>
      </c>
      <c r="P11" s="1316" t="s">
        <v>1302</v>
      </c>
      <c r="Q11" s="1316" t="s">
        <v>1303</v>
      </c>
      <c r="R11" s="1316" t="s">
        <v>1304</v>
      </c>
      <c r="S11" s="1315"/>
    </row>
    <row r="12" spans="1:19" ht="63" customHeight="1">
      <c r="B12" s="1317" t="s">
        <v>1305</v>
      </c>
      <c r="D12" s="1318" t="s">
        <v>169</v>
      </c>
      <c r="E12" s="1318" t="s">
        <v>913</v>
      </c>
      <c r="F12" s="1318" t="s">
        <v>1005</v>
      </c>
      <c r="G12" s="1318" t="s">
        <v>1004</v>
      </c>
      <c r="H12" s="1318" t="s">
        <v>1306</v>
      </c>
      <c r="I12" s="1636"/>
      <c r="J12" s="1318" t="s">
        <v>916</v>
      </c>
      <c r="K12" s="1318" t="s">
        <v>1307</v>
      </c>
      <c r="L12" s="1318" t="s">
        <v>1308</v>
      </c>
      <c r="M12" s="1636"/>
      <c r="N12" s="1318" t="s">
        <v>1003</v>
      </c>
      <c r="O12" s="1318" t="s">
        <v>1309</v>
      </c>
      <c r="P12" s="1318" t="s">
        <v>1310</v>
      </c>
      <c r="Q12" s="1318" t="s">
        <v>1311</v>
      </c>
      <c r="R12" s="1318" t="s">
        <v>1312</v>
      </c>
      <c r="S12" s="1636"/>
    </row>
    <row r="13" spans="1:19">
      <c r="E13" s="1636"/>
      <c r="F13" s="1636"/>
      <c r="G13" s="1636"/>
      <c r="H13" s="1636"/>
      <c r="I13" s="1636"/>
      <c r="J13" s="1636"/>
      <c r="K13" s="1636"/>
      <c r="L13" s="1636"/>
      <c r="M13" s="1636"/>
      <c r="N13" s="1636"/>
      <c r="O13" s="1636"/>
      <c r="P13" s="1636"/>
      <c r="Q13" s="1636"/>
      <c r="R13" s="1636"/>
      <c r="S13" s="1636"/>
    </row>
    <row r="14" spans="1:19">
      <c r="B14" s="1314">
        <v>1</v>
      </c>
      <c r="D14" s="1008" t="s">
        <v>1355</v>
      </c>
      <c r="E14" s="1636"/>
      <c r="F14" s="1636"/>
      <c r="G14" s="1636"/>
      <c r="H14" s="1636"/>
      <c r="I14" s="1636"/>
      <c r="J14" s="1319" t="s">
        <v>1802</v>
      </c>
      <c r="K14" s="1636"/>
      <c r="L14" s="1319">
        <f>'1E - EDIT Amortization'!M88</f>
        <v>3570954</v>
      </c>
      <c r="M14" s="1636"/>
      <c r="N14" s="1319"/>
      <c r="O14" s="1636"/>
      <c r="P14" s="1636"/>
      <c r="Q14" s="1636"/>
      <c r="R14" s="1319">
        <v>0</v>
      </c>
      <c r="S14" s="1636"/>
    </row>
    <row r="15" spans="1:19">
      <c r="E15" s="1636"/>
      <c r="F15" s="1636"/>
      <c r="G15" s="1636"/>
      <c r="H15" s="1636"/>
      <c r="I15" s="1636"/>
      <c r="J15" s="1636"/>
      <c r="K15" s="1636"/>
      <c r="L15" s="1636"/>
      <c r="M15" s="1636"/>
      <c r="N15" s="1636"/>
      <c r="O15" s="1636"/>
      <c r="P15" s="1636"/>
      <c r="Q15" s="1636"/>
      <c r="R15" s="1636"/>
      <c r="S15" s="1636"/>
    </row>
    <row r="16" spans="1:19">
      <c r="B16" s="1314">
        <f>B14+1</f>
        <v>2</v>
      </c>
      <c r="D16" s="1320" t="s">
        <v>525</v>
      </c>
      <c r="E16" s="1319">
        <v>31</v>
      </c>
      <c r="F16" s="1321">
        <v>0</v>
      </c>
      <c r="G16" s="1321">
        <v>214</v>
      </c>
      <c r="H16" s="1322">
        <f t="shared" ref="H16:H27" si="0">IF(F16=0,0.5,F16/G16)</f>
        <v>0.5</v>
      </c>
      <c r="I16" s="1323"/>
      <c r="J16" s="1319">
        <f>'1E - EDIT Amortization'!$O$88/12</f>
        <v>0</v>
      </c>
      <c r="K16" s="1324">
        <f t="shared" ref="K16:K27" si="1">+J16*H16</f>
        <v>0</v>
      </c>
      <c r="L16" s="1324">
        <f>+K16+L14</f>
        <v>3570954</v>
      </c>
      <c r="M16" s="1323"/>
      <c r="N16" s="1319">
        <v>0</v>
      </c>
      <c r="O16" s="1324">
        <f>IF($D$237="True-Up Adjustment",N16-J16,0)</f>
        <v>0</v>
      </c>
      <c r="P16" s="1324">
        <f>IF($D$237="True-Up Adjustment",IF(AND(J16&gt;=0,N16&gt;=0),IF(O16&gt;=0,K16+O16,N16/J16*K16),IF(AND(J16&lt;0,N16&lt;0),IF(O16&lt;0,K16+O16,N16/J16*K16),0)),0)</f>
        <v>0</v>
      </c>
      <c r="Q16" s="1324">
        <f t="shared" ref="Q16:Q27" si="2">IF(AND(J16&gt;=0,N16&lt;0),N16,IF(AND(J16&lt;0,N16&gt;=0),N16,0))</f>
        <v>0</v>
      </c>
      <c r="R16" s="1324">
        <f>+Q16+R14</f>
        <v>0</v>
      </c>
      <c r="S16" s="1323"/>
    </row>
    <row r="17" spans="2:19">
      <c r="B17" s="1314">
        <f t="shared" ref="B17:B28" si="3">+B16+1</f>
        <v>3</v>
      </c>
      <c r="D17" s="1320" t="s">
        <v>526</v>
      </c>
      <c r="E17" s="1319">
        <v>28</v>
      </c>
      <c r="F17" s="1321">
        <v>0</v>
      </c>
      <c r="G17" s="1321">
        <f t="shared" ref="G17:G27" si="4">G16</f>
        <v>214</v>
      </c>
      <c r="H17" s="1322">
        <f t="shared" si="0"/>
        <v>0.5</v>
      </c>
      <c r="I17" s="1323"/>
      <c r="J17" s="1319">
        <f>'1E - EDIT Amortization'!$O$88/12</f>
        <v>0</v>
      </c>
      <c r="K17" s="1324">
        <f t="shared" si="1"/>
        <v>0</v>
      </c>
      <c r="L17" s="1324">
        <f t="shared" ref="L17:L27" si="5">+K17+L16</f>
        <v>3570954</v>
      </c>
      <c r="M17" s="1323"/>
      <c r="N17" s="1319">
        <v>0</v>
      </c>
      <c r="O17" s="1324">
        <f t="shared" ref="O17:O27" si="6">IF($D$237="True-Up Adjustment",N17-J17,0)</f>
        <v>0</v>
      </c>
      <c r="P17" s="1324">
        <f t="shared" ref="P17:P27" si="7">IF($D$237="True-Up Adjustment",IF(AND(J17&gt;=0,N17&gt;=0),IF(O17&gt;=0,K17+O17,N17/J17*K17),IF(AND(J17&lt;0,N17&lt;0),IF(O17&lt;0,K17+O17,N17/J17*K17),0)),0)</f>
        <v>0</v>
      </c>
      <c r="Q17" s="1324">
        <f t="shared" si="2"/>
        <v>0</v>
      </c>
      <c r="R17" s="1324">
        <f t="shared" ref="R17:R27" si="8">R16+P17+Q17</f>
        <v>0</v>
      </c>
      <c r="S17" s="1323"/>
    </row>
    <row r="18" spans="2:19">
      <c r="B18" s="1314">
        <f t="shared" si="3"/>
        <v>4</v>
      </c>
      <c r="D18" s="1320" t="s">
        <v>545</v>
      </c>
      <c r="E18" s="1319">
        <v>31</v>
      </c>
      <c r="F18" s="1321">
        <v>0</v>
      </c>
      <c r="G18" s="1321">
        <f t="shared" si="4"/>
        <v>214</v>
      </c>
      <c r="H18" s="1322">
        <f t="shared" si="0"/>
        <v>0.5</v>
      </c>
      <c r="I18" s="1323"/>
      <c r="J18" s="1319">
        <f>'1E - EDIT Amortization'!$O$88/12</f>
        <v>0</v>
      </c>
      <c r="K18" s="1324">
        <f t="shared" si="1"/>
        <v>0</v>
      </c>
      <c r="L18" s="1324">
        <f t="shared" si="5"/>
        <v>3570954</v>
      </c>
      <c r="M18" s="1323"/>
      <c r="N18" s="1319">
        <v>0</v>
      </c>
      <c r="O18" s="1324">
        <f t="shared" si="6"/>
        <v>0</v>
      </c>
      <c r="P18" s="1324">
        <f t="shared" si="7"/>
        <v>0</v>
      </c>
      <c r="Q18" s="1324">
        <f t="shared" si="2"/>
        <v>0</v>
      </c>
      <c r="R18" s="1324">
        <f t="shared" si="8"/>
        <v>0</v>
      </c>
      <c r="S18" s="1323"/>
    </row>
    <row r="19" spans="2:19">
      <c r="B19" s="1314">
        <f t="shared" si="3"/>
        <v>5</v>
      </c>
      <c r="D19" s="1320" t="s">
        <v>171</v>
      </c>
      <c r="E19" s="1319">
        <v>30</v>
      </c>
      <c r="F19" s="1321">
        <v>0</v>
      </c>
      <c r="G19" s="1321">
        <f t="shared" si="4"/>
        <v>214</v>
      </c>
      <c r="H19" s="1322">
        <f t="shared" si="0"/>
        <v>0.5</v>
      </c>
      <c r="I19" s="1323"/>
      <c r="J19" s="1319">
        <f>'1E - EDIT Amortization'!$O$88/12</f>
        <v>0</v>
      </c>
      <c r="K19" s="1324">
        <f t="shared" si="1"/>
        <v>0</v>
      </c>
      <c r="L19" s="1324">
        <f t="shared" si="5"/>
        <v>3570954</v>
      </c>
      <c r="M19" s="1323"/>
      <c r="N19" s="1319">
        <v>0</v>
      </c>
      <c r="O19" s="1324">
        <f t="shared" si="6"/>
        <v>0</v>
      </c>
      <c r="P19" s="1324">
        <f t="shared" si="7"/>
        <v>0</v>
      </c>
      <c r="Q19" s="1324">
        <f t="shared" si="2"/>
        <v>0</v>
      </c>
      <c r="R19" s="1324">
        <f t="shared" si="8"/>
        <v>0</v>
      </c>
      <c r="S19" s="1323"/>
    </row>
    <row r="20" spans="2:19">
      <c r="B20" s="1314">
        <f t="shared" si="3"/>
        <v>6</v>
      </c>
      <c r="D20" s="1320" t="s">
        <v>172</v>
      </c>
      <c r="E20" s="1319">
        <v>31</v>
      </c>
      <c r="F20" s="1321">
        <v>0</v>
      </c>
      <c r="G20" s="1321">
        <f t="shared" si="4"/>
        <v>214</v>
      </c>
      <c r="H20" s="1322">
        <f t="shared" si="0"/>
        <v>0.5</v>
      </c>
      <c r="I20" s="1323"/>
      <c r="J20" s="1319">
        <f>'1E - EDIT Amortization'!$O$88/12</f>
        <v>0</v>
      </c>
      <c r="K20" s="1324">
        <f t="shared" si="1"/>
        <v>0</v>
      </c>
      <c r="L20" s="1324">
        <f t="shared" si="5"/>
        <v>3570954</v>
      </c>
      <c r="M20" s="1323"/>
      <c r="N20" s="1319">
        <v>0</v>
      </c>
      <c r="O20" s="1324">
        <f t="shared" si="6"/>
        <v>0</v>
      </c>
      <c r="P20" s="1324">
        <f t="shared" si="7"/>
        <v>0</v>
      </c>
      <c r="Q20" s="1324">
        <f t="shared" si="2"/>
        <v>0</v>
      </c>
      <c r="R20" s="1324">
        <f t="shared" si="8"/>
        <v>0</v>
      </c>
      <c r="S20" s="1323"/>
    </row>
    <row r="21" spans="2:19">
      <c r="B21" s="1314">
        <f t="shared" si="3"/>
        <v>7</v>
      </c>
      <c r="D21" s="1320" t="s">
        <v>173</v>
      </c>
      <c r="E21" s="1319">
        <v>30</v>
      </c>
      <c r="F21" s="1321">
        <f t="shared" ref="F21:F26" si="9">E22+F22</f>
        <v>185</v>
      </c>
      <c r="G21" s="1321">
        <f t="shared" si="4"/>
        <v>214</v>
      </c>
      <c r="H21" s="1322">
        <f t="shared" si="0"/>
        <v>0.86448598130841126</v>
      </c>
      <c r="I21" s="1323"/>
      <c r="J21" s="1319">
        <f>'1E - EDIT Amortization'!$O$88/12</f>
        <v>0</v>
      </c>
      <c r="K21" s="1324">
        <f t="shared" si="1"/>
        <v>0</v>
      </c>
      <c r="L21" s="1324">
        <f t="shared" si="5"/>
        <v>3570954</v>
      </c>
      <c r="M21" s="1323"/>
      <c r="N21" s="1319">
        <v>0</v>
      </c>
      <c r="O21" s="1324">
        <f t="shared" si="6"/>
        <v>0</v>
      </c>
      <c r="P21" s="1324">
        <f t="shared" si="7"/>
        <v>0</v>
      </c>
      <c r="Q21" s="1324">
        <f t="shared" si="2"/>
        <v>0</v>
      </c>
      <c r="R21" s="1324">
        <f t="shared" si="8"/>
        <v>0</v>
      </c>
      <c r="S21" s="1323"/>
    </row>
    <row r="22" spans="2:19">
      <c r="B22" s="1314">
        <f t="shared" si="3"/>
        <v>8</v>
      </c>
      <c r="D22" s="1320" t="s">
        <v>528</v>
      </c>
      <c r="E22" s="1319">
        <v>31</v>
      </c>
      <c r="F22" s="1321">
        <f t="shared" si="9"/>
        <v>154</v>
      </c>
      <c r="G22" s="1321">
        <f t="shared" si="4"/>
        <v>214</v>
      </c>
      <c r="H22" s="1322">
        <f t="shared" si="0"/>
        <v>0.71962616822429903</v>
      </c>
      <c r="I22" s="1323"/>
      <c r="J22" s="1319">
        <f>'1E - EDIT Amortization'!$O$88/12</f>
        <v>0</v>
      </c>
      <c r="K22" s="1324">
        <f t="shared" si="1"/>
        <v>0</v>
      </c>
      <c r="L22" s="1324">
        <f t="shared" si="5"/>
        <v>3570954</v>
      </c>
      <c r="M22" s="1323"/>
      <c r="N22" s="1319">
        <v>0</v>
      </c>
      <c r="O22" s="1324">
        <f t="shared" si="6"/>
        <v>0</v>
      </c>
      <c r="P22" s="1324">
        <f t="shared" si="7"/>
        <v>0</v>
      </c>
      <c r="Q22" s="1324">
        <f t="shared" si="2"/>
        <v>0</v>
      </c>
      <c r="R22" s="1324">
        <f t="shared" si="8"/>
        <v>0</v>
      </c>
      <c r="S22" s="1323"/>
    </row>
    <row r="23" spans="2:19">
      <c r="B23" s="1314">
        <f t="shared" si="3"/>
        <v>9</v>
      </c>
      <c r="D23" s="1320" t="s">
        <v>546</v>
      </c>
      <c r="E23" s="1319">
        <v>31</v>
      </c>
      <c r="F23" s="1321">
        <f t="shared" si="9"/>
        <v>123</v>
      </c>
      <c r="G23" s="1321">
        <f t="shared" si="4"/>
        <v>214</v>
      </c>
      <c r="H23" s="1322">
        <f t="shared" si="0"/>
        <v>0.57476635514018692</v>
      </c>
      <c r="I23" s="1323"/>
      <c r="J23" s="1319">
        <f>'1E - EDIT Amortization'!$O$88/12</f>
        <v>0</v>
      </c>
      <c r="K23" s="1324">
        <f t="shared" si="1"/>
        <v>0</v>
      </c>
      <c r="L23" s="1324">
        <f t="shared" si="5"/>
        <v>3570954</v>
      </c>
      <c r="M23" s="1323"/>
      <c r="N23" s="1319">
        <v>0</v>
      </c>
      <c r="O23" s="1324">
        <f t="shared" si="6"/>
        <v>0</v>
      </c>
      <c r="P23" s="1324">
        <f t="shared" si="7"/>
        <v>0</v>
      </c>
      <c r="Q23" s="1324">
        <f t="shared" si="2"/>
        <v>0</v>
      </c>
      <c r="R23" s="1324">
        <f t="shared" si="8"/>
        <v>0</v>
      </c>
      <c r="S23" s="1323"/>
    </row>
    <row r="24" spans="2:19">
      <c r="B24" s="1314">
        <f t="shared" si="3"/>
        <v>10</v>
      </c>
      <c r="D24" s="1320" t="s">
        <v>530</v>
      </c>
      <c r="E24" s="1319">
        <v>30</v>
      </c>
      <c r="F24" s="1321">
        <f t="shared" si="9"/>
        <v>93</v>
      </c>
      <c r="G24" s="1321">
        <f t="shared" si="4"/>
        <v>214</v>
      </c>
      <c r="H24" s="1322">
        <f t="shared" si="0"/>
        <v>0.43457943925233644</v>
      </c>
      <c r="I24" s="1323"/>
      <c r="J24" s="1319">
        <f>'1E - EDIT Amortization'!$O$88/12</f>
        <v>0</v>
      </c>
      <c r="K24" s="1324">
        <f>+J24*H24</f>
        <v>0</v>
      </c>
      <c r="L24" s="1324">
        <f t="shared" si="5"/>
        <v>3570954</v>
      </c>
      <c r="M24" s="1323"/>
      <c r="N24" s="1319">
        <v>0</v>
      </c>
      <c r="O24" s="1324">
        <f t="shared" si="6"/>
        <v>0</v>
      </c>
      <c r="P24" s="1324">
        <f t="shared" si="7"/>
        <v>0</v>
      </c>
      <c r="Q24" s="1324">
        <f t="shared" si="2"/>
        <v>0</v>
      </c>
      <c r="R24" s="1324">
        <f t="shared" si="8"/>
        <v>0</v>
      </c>
      <c r="S24" s="1323"/>
    </row>
    <row r="25" spans="2:19">
      <c r="B25" s="1314">
        <f t="shared" si="3"/>
        <v>11</v>
      </c>
      <c r="D25" s="1320" t="s">
        <v>531</v>
      </c>
      <c r="E25" s="1319">
        <v>31</v>
      </c>
      <c r="F25" s="1321">
        <f t="shared" si="9"/>
        <v>62</v>
      </c>
      <c r="G25" s="1321">
        <f t="shared" si="4"/>
        <v>214</v>
      </c>
      <c r="H25" s="1322">
        <f t="shared" si="0"/>
        <v>0.28971962616822428</v>
      </c>
      <c r="I25" s="1323"/>
      <c r="J25" s="1319">
        <f>'1E - EDIT Amortization'!$O$88/12</f>
        <v>0</v>
      </c>
      <c r="K25" s="1324">
        <f t="shared" si="1"/>
        <v>0</v>
      </c>
      <c r="L25" s="1324">
        <f t="shared" si="5"/>
        <v>3570954</v>
      </c>
      <c r="M25" s="1323"/>
      <c r="N25" s="1319">
        <v>0</v>
      </c>
      <c r="O25" s="1324">
        <f t="shared" si="6"/>
        <v>0</v>
      </c>
      <c r="P25" s="1324">
        <f t="shared" si="7"/>
        <v>0</v>
      </c>
      <c r="Q25" s="1324">
        <f t="shared" si="2"/>
        <v>0</v>
      </c>
      <c r="R25" s="1324">
        <f t="shared" si="8"/>
        <v>0</v>
      </c>
      <c r="S25" s="1323"/>
    </row>
    <row r="26" spans="2:19">
      <c r="B26" s="1314">
        <f t="shared" si="3"/>
        <v>12</v>
      </c>
      <c r="D26" s="1320" t="s">
        <v>532</v>
      </c>
      <c r="E26" s="1319">
        <v>30</v>
      </c>
      <c r="F26" s="1321">
        <f t="shared" si="9"/>
        <v>32</v>
      </c>
      <c r="G26" s="1321">
        <f t="shared" si="4"/>
        <v>214</v>
      </c>
      <c r="H26" s="1322">
        <f t="shared" si="0"/>
        <v>0.14953271028037382</v>
      </c>
      <c r="I26" s="1323"/>
      <c r="J26" s="1319">
        <f>'1E - EDIT Amortization'!$O$88/12</f>
        <v>0</v>
      </c>
      <c r="K26" s="1324">
        <f t="shared" si="1"/>
        <v>0</v>
      </c>
      <c r="L26" s="1324">
        <f t="shared" si="5"/>
        <v>3570954</v>
      </c>
      <c r="M26" s="1323"/>
      <c r="N26" s="1319">
        <v>0</v>
      </c>
      <c r="O26" s="1324">
        <f t="shared" si="6"/>
        <v>0</v>
      </c>
      <c r="P26" s="1324">
        <f t="shared" si="7"/>
        <v>0</v>
      </c>
      <c r="Q26" s="1324">
        <f t="shared" si="2"/>
        <v>0</v>
      </c>
      <c r="R26" s="1324">
        <f t="shared" si="8"/>
        <v>0</v>
      </c>
      <c r="S26" s="1323"/>
    </row>
    <row r="27" spans="2:19">
      <c r="B27" s="1314">
        <f t="shared" si="3"/>
        <v>13</v>
      </c>
      <c r="D27" s="1325" t="s">
        <v>749</v>
      </c>
      <c r="E27" s="1319">
        <v>31</v>
      </c>
      <c r="F27" s="1326">
        <v>1</v>
      </c>
      <c r="G27" s="1321">
        <f t="shared" si="4"/>
        <v>214</v>
      </c>
      <c r="H27" s="1322">
        <f t="shared" si="0"/>
        <v>4.6728971962616819E-3</v>
      </c>
      <c r="I27" s="1323"/>
      <c r="J27" s="1319">
        <f>'1E - EDIT Amortization'!$O$88/12</f>
        <v>0</v>
      </c>
      <c r="K27" s="1324">
        <f t="shared" si="1"/>
        <v>0</v>
      </c>
      <c r="L27" s="1324">
        <f t="shared" si="5"/>
        <v>3570954</v>
      </c>
      <c r="M27" s="1323"/>
      <c r="N27" s="1319">
        <v>0</v>
      </c>
      <c r="O27" s="1324">
        <f t="shared" si="6"/>
        <v>0</v>
      </c>
      <c r="P27" s="1324">
        <f t="shared" si="7"/>
        <v>0</v>
      </c>
      <c r="Q27" s="1324">
        <f t="shared" si="2"/>
        <v>0</v>
      </c>
      <c r="R27" s="1324">
        <f t="shared" si="8"/>
        <v>0</v>
      </c>
      <c r="S27" s="1323"/>
    </row>
    <row r="28" spans="2:19">
      <c r="B28" s="1314">
        <f t="shared" si="3"/>
        <v>14</v>
      </c>
      <c r="D28" s="1327" t="str">
        <f>"Total (Sum of Lines "&amp;B16&amp;" - "&amp;B27&amp;")"</f>
        <v>Total (Sum of Lines 2 - 13)</v>
      </c>
      <c r="E28" s="1328">
        <f>SUM(E16:E27)</f>
        <v>365</v>
      </c>
      <c r="F28" s="1329"/>
      <c r="G28" s="1329"/>
      <c r="H28" s="1330"/>
      <c r="I28" s="1331"/>
      <c r="J28" s="1328">
        <f>SUM(J16:J27)</f>
        <v>0</v>
      </c>
      <c r="K28" s="1328">
        <f>SUM(K16:K27)</f>
        <v>0</v>
      </c>
      <c r="L28" s="1332"/>
      <c r="M28" s="1331"/>
      <c r="N28" s="1328">
        <f>SUM(N16:N27)</f>
        <v>0</v>
      </c>
      <c r="O28" s="1328">
        <f>SUM(O16:O27)</f>
        <v>0</v>
      </c>
      <c r="P28" s="1328">
        <f>SUM(P16:P27)</f>
        <v>0</v>
      </c>
      <c r="Q28" s="1328">
        <f>SUM(Q16:Q27)</f>
        <v>0</v>
      </c>
      <c r="R28" s="1332"/>
      <c r="S28" s="1331"/>
    </row>
    <row r="29" spans="2:19">
      <c r="D29" s="1333"/>
      <c r="E29" s="1333"/>
      <c r="F29" s="1333"/>
      <c r="G29" s="1333"/>
      <c r="H29" s="1334"/>
      <c r="I29" s="1334"/>
      <c r="K29" s="1335"/>
      <c r="L29" s="1334"/>
      <c r="M29" s="1334"/>
      <c r="O29" s="1335"/>
      <c r="P29" s="1335"/>
      <c r="Q29" s="1335"/>
      <c r="R29" s="1334"/>
      <c r="S29" s="1334"/>
    </row>
    <row r="30" spans="2:19">
      <c r="B30" s="1314">
        <f>B28+1</f>
        <v>15</v>
      </c>
      <c r="D30" s="1008" t="s">
        <v>1356</v>
      </c>
      <c r="I30" s="1334"/>
      <c r="J30" s="1319" t="s">
        <v>1802</v>
      </c>
      <c r="L30" s="1319">
        <f>'1E - EDIT Amortization'!M70+'1E - EDIT Amortization'!M79</f>
        <v>-207916.59822440462</v>
      </c>
      <c r="M30" s="1336"/>
      <c r="N30" s="1319"/>
      <c r="R30" s="1319">
        <v>0</v>
      </c>
    </row>
    <row r="31" spans="2:19">
      <c r="B31" s="1314">
        <f>B30+1</f>
        <v>16</v>
      </c>
      <c r="D31" s="1008" t="s">
        <v>1357</v>
      </c>
      <c r="I31" s="1334"/>
      <c r="J31" s="1337" t="s">
        <v>639</v>
      </c>
      <c r="L31" s="1338">
        <v>0</v>
      </c>
      <c r="M31" s="1339"/>
      <c r="N31" s="1337"/>
      <c r="R31" s="1338">
        <v>0</v>
      </c>
    </row>
    <row r="32" spans="2:19">
      <c r="B32" s="1314">
        <f>B31+1</f>
        <v>17</v>
      </c>
      <c r="D32" s="1008" t="s">
        <v>1358</v>
      </c>
      <c r="I32" s="1334"/>
      <c r="J32" s="1327" t="str">
        <f>"(Col. "&amp;L11&amp;", Line "&amp;B30&amp;" + Line "&amp;B31&amp;")"</f>
        <v>(Col. (H), Line 15 + Line 16)</v>
      </c>
      <c r="L32" s="1340">
        <f>L30+L31</f>
        <v>-207916.59822440462</v>
      </c>
      <c r="M32" s="1334"/>
      <c r="N32" s="1327" t="str">
        <f>"(Col. "&amp;R11&amp;", Line "&amp;B30&amp;" + Line "&amp;B31&amp;")"</f>
        <v>(Col. (M), Line 15 + Line 16)</v>
      </c>
      <c r="R32" s="1340">
        <f>R30+R31</f>
        <v>0</v>
      </c>
    </row>
    <row r="33" spans="2:19">
      <c r="I33" s="1334"/>
      <c r="L33" s="1340"/>
      <c r="M33" s="1334"/>
      <c r="R33" s="1340"/>
    </row>
    <row r="34" spans="2:19">
      <c r="B34" s="1314">
        <f>B32+1</f>
        <v>18</v>
      </c>
      <c r="D34" s="1008" t="s">
        <v>1359</v>
      </c>
      <c r="I34" s="1334"/>
      <c r="J34" s="1319" t="s">
        <v>1803</v>
      </c>
      <c r="L34" s="1319">
        <f>'1E - EDIT Amortization'!Q70+'1E - EDIT Amortization'!Q79</f>
        <v>-0.13096587284235284</v>
      </c>
      <c r="M34" s="1336"/>
      <c r="N34" s="1319"/>
      <c r="R34" s="1319">
        <v>0</v>
      </c>
    </row>
    <row r="35" spans="2:19">
      <c r="B35" s="1314">
        <f>B34+1</f>
        <v>19</v>
      </c>
      <c r="D35" s="1008" t="s">
        <v>1360</v>
      </c>
      <c r="I35" s="1334"/>
      <c r="J35" s="1337" t="s">
        <v>639</v>
      </c>
      <c r="L35" s="1338">
        <v>0</v>
      </c>
      <c r="M35" s="1334"/>
      <c r="N35" s="1337"/>
      <c r="R35" s="1338">
        <v>0</v>
      </c>
    </row>
    <row r="36" spans="2:19">
      <c r="B36" s="1314">
        <f>B35+1</f>
        <v>20</v>
      </c>
      <c r="D36" s="1008" t="s">
        <v>1361</v>
      </c>
      <c r="G36" s="1327"/>
      <c r="I36" s="1334"/>
      <c r="J36" s="1327" t="str">
        <f>"(Col. "&amp;L11&amp;", Line "&amp;B34&amp;" + Line "&amp;B35&amp;")"</f>
        <v>(Col. (H), Line 18 + Line 19)</v>
      </c>
      <c r="L36" s="1340">
        <f>L34+L35</f>
        <v>-0.13096587284235284</v>
      </c>
      <c r="M36" s="1334"/>
      <c r="N36" s="1327" t="str">
        <f>"(Col. "&amp;R11&amp;", Line "&amp;B34&amp;" + Line "&amp;B35&amp;")"</f>
        <v>(Col. (M), Line 18 + Line 19)</v>
      </c>
      <c r="R36" s="1340">
        <f>R34+R35</f>
        <v>0</v>
      </c>
    </row>
    <row r="37" spans="2:19">
      <c r="I37" s="1334"/>
      <c r="L37" s="1340"/>
      <c r="M37" s="1334"/>
      <c r="R37" s="1340"/>
    </row>
    <row r="38" spans="2:19">
      <c r="B38" s="1314">
        <f>B36+1</f>
        <v>21</v>
      </c>
      <c r="D38" s="1008" t="s">
        <v>1000</v>
      </c>
      <c r="I38" s="1334"/>
      <c r="J38" s="1327" t="str">
        <f>"([Col. "&amp;L11&amp;", Line "&amp;B32&amp;" + Line "&amp;B36&amp;"] /2)"</f>
        <v>([Col. (H), Line 17 + Line 20] /2)</v>
      </c>
      <c r="L38" s="1324">
        <f>(L32+L36)/2</f>
        <v>-103958.36459513873</v>
      </c>
      <c r="M38" s="1334"/>
      <c r="N38" s="1327" t="str">
        <f>"([Col. "&amp;R11&amp;", Line "&amp;B32&amp;" + Line "&amp;B36&amp;"] /2)"</f>
        <v>([Col. (M), Line 17 + Line 20] /2)</v>
      </c>
      <c r="R38" s="1324">
        <f>(R32+R36)/2</f>
        <v>0</v>
      </c>
    </row>
    <row r="39" spans="2:19">
      <c r="B39" s="1314">
        <f>B38+1</f>
        <v>22</v>
      </c>
      <c r="D39" s="1426" t="s">
        <v>1362</v>
      </c>
      <c r="E39" s="1333"/>
      <c r="F39" s="1333"/>
      <c r="G39" s="1333"/>
      <c r="H39" s="1334"/>
      <c r="I39" s="1334"/>
      <c r="J39" s="1327" t="str">
        <f>"(Col. "&amp;L11&amp;", Line "&amp;B27&amp;" )"</f>
        <v>(Col. (H), Line 13 )</v>
      </c>
      <c r="K39" s="1335"/>
      <c r="L39" s="1324">
        <f>L27</f>
        <v>3570954</v>
      </c>
      <c r="M39" s="1334"/>
      <c r="N39" s="1327" t="str">
        <f>"(Col. "&amp;R11&amp;", Line "&amp;B27&amp;" )"</f>
        <v>(Col. (M), Line 13 )</v>
      </c>
      <c r="R39" s="1324">
        <f>R27</f>
        <v>0</v>
      </c>
    </row>
    <row r="40" spans="2:19" ht="13.5" thickBot="1">
      <c r="B40" s="1314">
        <f>B39+1</f>
        <v>23</v>
      </c>
      <c r="D40" s="1341" t="s">
        <v>1363</v>
      </c>
      <c r="E40" s="1333"/>
      <c r="F40" s="1333"/>
      <c r="G40" s="1333"/>
      <c r="H40" s="1334"/>
      <c r="I40" s="1334"/>
      <c r="J40" s="1327" t="str">
        <f>"(Col. "&amp;L11&amp;", Line "&amp;B38&amp;" + Line "&amp;B39&amp;")"</f>
        <v>(Col. (H), Line 21 + Line 22)</v>
      </c>
      <c r="K40" s="1335"/>
      <c r="L40" s="1342">
        <f>L38+L39</f>
        <v>3466995.6354048611</v>
      </c>
      <c r="M40" s="1334"/>
      <c r="N40" s="1327" t="str">
        <f>"(Col. "&amp;R11&amp;", Line "&amp;B38&amp;" + Line "&amp;B39&amp;")"</f>
        <v>(Col. (M), Line 21 + Line 22)</v>
      </c>
      <c r="R40" s="1342">
        <f>R38+R39</f>
        <v>0</v>
      </c>
    </row>
    <row r="41" spans="2:19">
      <c r="I41" s="1334"/>
      <c r="L41" s="1324"/>
      <c r="M41" s="1334"/>
      <c r="R41" s="1324"/>
      <c r="S41" s="1334"/>
    </row>
    <row r="42" spans="2:19" ht="13">
      <c r="D42" s="1311" t="s">
        <v>1364</v>
      </c>
      <c r="J42" s="1343"/>
      <c r="K42" s="1344"/>
      <c r="L42" s="1344"/>
      <c r="N42" s="1344"/>
      <c r="O42" s="1344"/>
      <c r="P42" s="1344"/>
      <c r="Q42" s="1344"/>
      <c r="R42" s="1344"/>
    </row>
    <row r="43" spans="2:19" ht="13">
      <c r="D43" s="1730" t="s">
        <v>912</v>
      </c>
      <c r="E43" s="1731"/>
      <c r="F43" s="1731"/>
      <c r="G43" s="1731"/>
      <c r="H43" s="1732"/>
      <c r="I43" s="1315"/>
      <c r="J43" s="1733" t="s">
        <v>1353</v>
      </c>
      <c r="K43" s="1734"/>
      <c r="L43" s="1735"/>
      <c r="M43" s="1315"/>
      <c r="N43" s="1733" t="s">
        <v>1354</v>
      </c>
      <c r="O43" s="1734"/>
      <c r="P43" s="1734"/>
      <c r="Q43" s="1734"/>
      <c r="R43" s="1735"/>
      <c r="S43" s="1315"/>
    </row>
    <row r="44" spans="2:19" ht="13">
      <c r="D44" s="1316" t="s">
        <v>174</v>
      </c>
      <c r="E44" s="1316" t="s">
        <v>175</v>
      </c>
      <c r="F44" s="1316" t="s">
        <v>1294</v>
      </c>
      <c r="G44" s="1316" t="s">
        <v>1295</v>
      </c>
      <c r="H44" s="1316" t="s">
        <v>1296</v>
      </c>
      <c r="I44" s="1315"/>
      <c r="J44" s="1316" t="s">
        <v>1297</v>
      </c>
      <c r="K44" s="1316" t="s">
        <v>1298</v>
      </c>
      <c r="L44" s="1316" t="s">
        <v>1299</v>
      </c>
      <c r="M44" s="1315"/>
      <c r="N44" s="1316" t="s">
        <v>1300</v>
      </c>
      <c r="O44" s="1316" t="s">
        <v>1301</v>
      </c>
      <c r="P44" s="1316" t="s">
        <v>1302</v>
      </c>
      <c r="Q44" s="1316" t="s">
        <v>1303</v>
      </c>
      <c r="R44" s="1316" t="s">
        <v>1304</v>
      </c>
      <c r="S44" s="1315"/>
    </row>
    <row r="45" spans="2:19" ht="50">
      <c r="B45" s="1317" t="s">
        <v>1305</v>
      </c>
      <c r="D45" s="1318" t="s">
        <v>169</v>
      </c>
      <c r="E45" s="1318" t="s">
        <v>913</v>
      </c>
      <c r="F45" s="1318" t="s">
        <v>914</v>
      </c>
      <c r="G45" s="1318" t="s">
        <v>915</v>
      </c>
      <c r="H45" s="1318" t="s">
        <v>1306</v>
      </c>
      <c r="I45" s="1636"/>
      <c r="J45" s="1318" t="s">
        <v>916</v>
      </c>
      <c r="K45" s="1318" t="s">
        <v>1307</v>
      </c>
      <c r="L45" s="1318" t="s">
        <v>1308</v>
      </c>
      <c r="M45" s="1636"/>
      <c r="N45" s="1318" t="s">
        <v>1003</v>
      </c>
      <c r="O45" s="1318" t="s">
        <v>1309</v>
      </c>
      <c r="P45" s="1318" t="s">
        <v>1310</v>
      </c>
      <c r="Q45" s="1318" t="s">
        <v>1311</v>
      </c>
      <c r="R45" s="1318" t="s">
        <v>1312</v>
      </c>
      <c r="S45" s="1636"/>
    </row>
    <row r="46" spans="2:19">
      <c r="E46" s="1636"/>
      <c r="F46" s="1636"/>
      <c r="G46" s="1636"/>
      <c r="H46" s="1636"/>
      <c r="I46" s="1636"/>
      <c r="J46" s="1636"/>
      <c r="K46" s="1636"/>
      <c r="L46" s="1636"/>
      <c r="M46" s="1636"/>
      <c r="N46" s="1636"/>
      <c r="O46" s="1636"/>
      <c r="P46" s="1636"/>
      <c r="Q46" s="1636"/>
      <c r="R46" s="1636"/>
      <c r="S46" s="1636"/>
    </row>
    <row r="47" spans="2:19">
      <c r="B47" s="1314">
        <f>B40+1</f>
        <v>24</v>
      </c>
      <c r="D47" s="1008" t="s">
        <v>1355</v>
      </c>
      <c r="E47" s="1636"/>
      <c r="F47" s="1636"/>
      <c r="G47" s="1636"/>
      <c r="H47" s="1636"/>
      <c r="I47" s="1636"/>
      <c r="J47" s="1319" t="s">
        <v>1802</v>
      </c>
      <c r="K47" s="1636"/>
      <c r="L47" s="1319">
        <f>'1E - EDIT Amortization'!M90</f>
        <v>-49648429</v>
      </c>
      <c r="M47" s="1636"/>
      <c r="N47" s="1319"/>
      <c r="O47" s="1636"/>
      <c r="P47" s="1636"/>
      <c r="Q47" s="1636"/>
      <c r="R47" s="1319">
        <v>0</v>
      </c>
      <c r="S47" s="1636"/>
    </row>
    <row r="48" spans="2:19">
      <c r="E48" s="1636"/>
      <c r="F48" s="1636"/>
      <c r="G48" s="1636"/>
      <c r="H48" s="1636"/>
      <c r="I48" s="1636"/>
      <c r="J48" s="1636"/>
      <c r="K48" s="1636"/>
      <c r="L48" s="1636"/>
      <c r="M48" s="1636"/>
      <c r="N48" s="1636"/>
      <c r="O48" s="1636"/>
      <c r="P48" s="1636"/>
      <c r="Q48" s="1636"/>
      <c r="R48" s="1636"/>
      <c r="S48" s="1636"/>
    </row>
    <row r="49" spans="2:19">
      <c r="B49" s="1314">
        <f>B47+1</f>
        <v>25</v>
      </c>
      <c r="D49" s="1320" t="s">
        <v>525</v>
      </c>
      <c r="E49" s="1319">
        <v>31</v>
      </c>
      <c r="F49" s="1321">
        <v>0</v>
      </c>
      <c r="G49" s="1321">
        <v>214</v>
      </c>
      <c r="H49" s="1322">
        <f t="shared" ref="H49:H60" si="10">IF(F49=0,0.5,F49/G49)</f>
        <v>0.5</v>
      </c>
      <c r="I49" s="1323"/>
      <c r="J49" s="1319">
        <f>+'1E - EDIT Amortization'!$O$90/12</f>
        <v>76618.833333333328</v>
      </c>
      <c r="K49" s="1324">
        <f t="shared" ref="K49:K60" si="11">+J49*H49</f>
        <v>38309.416666666664</v>
      </c>
      <c r="L49" s="1324">
        <f>+K49+L47</f>
        <v>-49610119.583333336</v>
      </c>
      <c r="M49" s="1323"/>
      <c r="N49" s="1319">
        <v>0</v>
      </c>
      <c r="O49" s="1324">
        <f>IF($D$237="True-Up Adjustment",N49-J49,0)</f>
        <v>0</v>
      </c>
      <c r="P49" s="1324">
        <f>IF($D$237="True-Up Adjustment",IF(AND(J49&gt;=0,N49&gt;=0),IF(O49&gt;=0,K49+O49,N49/J49*K49),IF(AND(J49&lt;0,N49&lt;0),IF(O49&lt;0,K49+O49,N49/J49*K49),0)),0)</f>
        <v>0</v>
      </c>
      <c r="Q49" s="1324">
        <f t="shared" ref="Q49:Q60" si="12">IF(AND(J49&gt;=0,N49&lt;0),N49,IF(AND(J49&lt;0,N49&gt;=0),N49,0))</f>
        <v>0</v>
      </c>
      <c r="R49" s="1324">
        <f>R47+P49+Q49</f>
        <v>0</v>
      </c>
      <c r="S49" s="1323"/>
    </row>
    <row r="50" spans="2:19">
      <c r="B50" s="1314">
        <f t="shared" ref="B50:B61" si="13">+B49+1</f>
        <v>26</v>
      </c>
      <c r="D50" s="1320" t="s">
        <v>526</v>
      </c>
      <c r="E50" s="1319">
        <v>28</v>
      </c>
      <c r="F50" s="1321">
        <v>0</v>
      </c>
      <c r="G50" s="1321">
        <f t="shared" ref="G50:G60" si="14">G49</f>
        <v>214</v>
      </c>
      <c r="H50" s="1322">
        <f t="shared" si="10"/>
        <v>0.5</v>
      </c>
      <c r="I50" s="1323"/>
      <c r="J50" s="1319">
        <f>+'1E - EDIT Amortization'!$O$90/12</f>
        <v>76618.833333333328</v>
      </c>
      <c r="K50" s="1324">
        <f t="shared" si="11"/>
        <v>38309.416666666664</v>
      </c>
      <c r="L50" s="1324">
        <f t="shared" ref="L50:L60" si="15">+K50+L49</f>
        <v>-49571810.166666672</v>
      </c>
      <c r="M50" s="1323"/>
      <c r="N50" s="1319">
        <v>0</v>
      </c>
      <c r="O50" s="1324">
        <f t="shared" ref="O50:O60" si="16">IF($D$237="True-Up Adjustment",N50-J50,0)</f>
        <v>0</v>
      </c>
      <c r="P50" s="1324">
        <f t="shared" ref="P50:P60" si="17">IF($D$237="True-Up Adjustment",IF(AND(J50&gt;=0,N50&gt;=0),IF(O50&gt;=0,K50+O50,N50/J50*K50),IF(AND(J50&lt;0,N50&lt;0),IF(O50&lt;0,K50+O50,N50/J50*K50),0)),0)</f>
        <v>0</v>
      </c>
      <c r="Q50" s="1324">
        <f t="shared" si="12"/>
        <v>0</v>
      </c>
      <c r="R50" s="1324">
        <f t="shared" ref="R50:R60" si="18">R49+P50+Q50</f>
        <v>0</v>
      </c>
      <c r="S50" s="1323"/>
    </row>
    <row r="51" spans="2:19">
      <c r="B51" s="1314">
        <f t="shared" si="13"/>
        <v>27</v>
      </c>
      <c r="D51" s="1320" t="s">
        <v>545</v>
      </c>
      <c r="E51" s="1319">
        <v>31</v>
      </c>
      <c r="F51" s="1321">
        <v>0</v>
      </c>
      <c r="G51" s="1321">
        <f t="shared" si="14"/>
        <v>214</v>
      </c>
      <c r="H51" s="1322">
        <f t="shared" si="10"/>
        <v>0.5</v>
      </c>
      <c r="I51" s="1323"/>
      <c r="J51" s="1319">
        <f>+'1E - EDIT Amortization'!$O$90/12</f>
        <v>76618.833333333328</v>
      </c>
      <c r="K51" s="1324">
        <f t="shared" si="11"/>
        <v>38309.416666666664</v>
      </c>
      <c r="L51" s="1324">
        <f t="shared" si="15"/>
        <v>-49533500.750000007</v>
      </c>
      <c r="M51" s="1323"/>
      <c r="N51" s="1319">
        <v>0</v>
      </c>
      <c r="O51" s="1324">
        <f t="shared" si="16"/>
        <v>0</v>
      </c>
      <c r="P51" s="1324">
        <f t="shared" si="17"/>
        <v>0</v>
      </c>
      <c r="Q51" s="1324">
        <f t="shared" si="12"/>
        <v>0</v>
      </c>
      <c r="R51" s="1324">
        <f t="shared" si="18"/>
        <v>0</v>
      </c>
      <c r="S51" s="1323"/>
    </row>
    <row r="52" spans="2:19">
      <c r="B52" s="1314">
        <f t="shared" si="13"/>
        <v>28</v>
      </c>
      <c r="D52" s="1320" t="s">
        <v>171</v>
      </c>
      <c r="E52" s="1319">
        <v>30</v>
      </c>
      <c r="F52" s="1321">
        <v>0</v>
      </c>
      <c r="G52" s="1321">
        <f t="shared" si="14"/>
        <v>214</v>
      </c>
      <c r="H52" s="1322">
        <f t="shared" si="10"/>
        <v>0.5</v>
      </c>
      <c r="I52" s="1323"/>
      <c r="J52" s="1319">
        <f>+'1E - EDIT Amortization'!$O$90/12</f>
        <v>76618.833333333328</v>
      </c>
      <c r="K52" s="1324">
        <f t="shared" si="11"/>
        <v>38309.416666666664</v>
      </c>
      <c r="L52" s="1324">
        <f t="shared" si="15"/>
        <v>-49495191.333333343</v>
      </c>
      <c r="M52" s="1323"/>
      <c r="N52" s="1319">
        <v>0</v>
      </c>
      <c r="O52" s="1324">
        <f>IF($D$237="True-Up Adjustment",N52-J52,0)</f>
        <v>0</v>
      </c>
      <c r="P52" s="1324">
        <f t="shared" si="17"/>
        <v>0</v>
      </c>
      <c r="Q52" s="1324">
        <f t="shared" si="12"/>
        <v>0</v>
      </c>
      <c r="R52" s="1324">
        <f t="shared" si="18"/>
        <v>0</v>
      </c>
      <c r="S52" s="1323"/>
    </row>
    <row r="53" spans="2:19">
      <c r="B53" s="1314">
        <f t="shared" si="13"/>
        <v>29</v>
      </c>
      <c r="D53" s="1320" t="s">
        <v>172</v>
      </c>
      <c r="E53" s="1319">
        <v>31</v>
      </c>
      <c r="F53" s="1321">
        <v>0</v>
      </c>
      <c r="G53" s="1321">
        <f t="shared" si="14"/>
        <v>214</v>
      </c>
      <c r="H53" s="1322">
        <f t="shared" si="10"/>
        <v>0.5</v>
      </c>
      <c r="I53" s="1323"/>
      <c r="J53" s="1319">
        <f>+'1E - EDIT Amortization'!$O$90/12</f>
        <v>76618.833333333328</v>
      </c>
      <c r="K53" s="1324">
        <f t="shared" si="11"/>
        <v>38309.416666666664</v>
      </c>
      <c r="L53" s="1324">
        <f t="shared" si="15"/>
        <v>-49456881.916666679</v>
      </c>
      <c r="M53" s="1323"/>
      <c r="N53" s="1319">
        <v>0</v>
      </c>
      <c r="O53" s="1324">
        <f t="shared" si="16"/>
        <v>0</v>
      </c>
      <c r="P53" s="1324">
        <f t="shared" si="17"/>
        <v>0</v>
      </c>
      <c r="Q53" s="1324">
        <f t="shared" si="12"/>
        <v>0</v>
      </c>
      <c r="R53" s="1324">
        <f t="shared" si="18"/>
        <v>0</v>
      </c>
      <c r="S53" s="1323"/>
    </row>
    <row r="54" spans="2:19">
      <c r="B54" s="1314">
        <f t="shared" si="13"/>
        <v>30</v>
      </c>
      <c r="D54" s="1320" t="s">
        <v>173</v>
      </c>
      <c r="E54" s="1319">
        <v>30</v>
      </c>
      <c r="F54" s="1321">
        <f t="shared" ref="F54:F59" si="19">E55+F55</f>
        <v>185</v>
      </c>
      <c r="G54" s="1321">
        <f t="shared" si="14"/>
        <v>214</v>
      </c>
      <c r="H54" s="1322">
        <f t="shared" si="10"/>
        <v>0.86448598130841126</v>
      </c>
      <c r="I54" s="1323"/>
      <c r="J54" s="1319">
        <f>+'1E - EDIT Amortization'!$O$90/12</f>
        <v>76618.833333333328</v>
      </c>
      <c r="K54" s="1324">
        <f t="shared" si="11"/>
        <v>66235.907320872269</v>
      </c>
      <c r="L54" s="1324">
        <f t="shared" si="15"/>
        <v>-49390646.009345807</v>
      </c>
      <c r="M54" s="1323"/>
      <c r="N54" s="1319">
        <v>0</v>
      </c>
      <c r="O54" s="1324">
        <f t="shared" si="16"/>
        <v>0</v>
      </c>
      <c r="P54" s="1324">
        <f t="shared" si="17"/>
        <v>0</v>
      </c>
      <c r="Q54" s="1324">
        <f t="shared" si="12"/>
        <v>0</v>
      </c>
      <c r="R54" s="1324">
        <f t="shared" si="18"/>
        <v>0</v>
      </c>
      <c r="S54" s="1323"/>
    </row>
    <row r="55" spans="2:19">
      <c r="B55" s="1314">
        <f t="shared" si="13"/>
        <v>31</v>
      </c>
      <c r="D55" s="1320" t="s">
        <v>528</v>
      </c>
      <c r="E55" s="1319">
        <v>31</v>
      </c>
      <c r="F55" s="1321">
        <f t="shared" si="19"/>
        <v>154</v>
      </c>
      <c r="G55" s="1321">
        <f t="shared" si="14"/>
        <v>214</v>
      </c>
      <c r="H55" s="1322">
        <f t="shared" si="10"/>
        <v>0.71962616822429903</v>
      </c>
      <c r="I55" s="1323"/>
      <c r="J55" s="1319">
        <f>+'1E - EDIT Amortization'!$O$90/12</f>
        <v>76618.833333333328</v>
      </c>
      <c r="K55" s="1324">
        <f t="shared" si="11"/>
        <v>55136.917445482861</v>
      </c>
      <c r="L55" s="1324">
        <f t="shared" si="15"/>
        <v>-49335509.091900326</v>
      </c>
      <c r="M55" s="1323"/>
      <c r="N55" s="1319">
        <v>0</v>
      </c>
      <c r="O55" s="1324">
        <f t="shared" si="16"/>
        <v>0</v>
      </c>
      <c r="P55" s="1324">
        <f t="shared" si="17"/>
        <v>0</v>
      </c>
      <c r="Q55" s="1324">
        <f t="shared" si="12"/>
        <v>0</v>
      </c>
      <c r="R55" s="1324">
        <f t="shared" si="18"/>
        <v>0</v>
      </c>
      <c r="S55" s="1323"/>
    </row>
    <row r="56" spans="2:19">
      <c r="B56" s="1314">
        <f t="shared" si="13"/>
        <v>32</v>
      </c>
      <c r="D56" s="1320" t="s">
        <v>546</v>
      </c>
      <c r="E56" s="1319">
        <v>31</v>
      </c>
      <c r="F56" s="1321">
        <f t="shared" si="19"/>
        <v>123</v>
      </c>
      <c r="G56" s="1321">
        <f t="shared" si="14"/>
        <v>214</v>
      </c>
      <c r="H56" s="1322">
        <f t="shared" si="10"/>
        <v>0.57476635514018692</v>
      </c>
      <c r="I56" s="1323"/>
      <c r="J56" s="1319">
        <f>+'1E - EDIT Amortization'!$O$90/12</f>
        <v>76618.833333333328</v>
      </c>
      <c r="K56" s="1324">
        <f t="shared" si="11"/>
        <v>44037.927570093452</v>
      </c>
      <c r="L56" s="1324">
        <f t="shared" si="15"/>
        <v>-49291471.164330229</v>
      </c>
      <c r="M56" s="1323"/>
      <c r="N56" s="1319">
        <v>0</v>
      </c>
      <c r="O56" s="1324">
        <f t="shared" si="16"/>
        <v>0</v>
      </c>
      <c r="P56" s="1324">
        <f t="shared" si="17"/>
        <v>0</v>
      </c>
      <c r="Q56" s="1324">
        <f t="shared" si="12"/>
        <v>0</v>
      </c>
      <c r="R56" s="1324">
        <f t="shared" si="18"/>
        <v>0</v>
      </c>
      <c r="S56" s="1323"/>
    </row>
    <row r="57" spans="2:19">
      <c r="B57" s="1314">
        <f t="shared" si="13"/>
        <v>33</v>
      </c>
      <c r="D57" s="1320" t="s">
        <v>530</v>
      </c>
      <c r="E57" s="1319">
        <v>30</v>
      </c>
      <c r="F57" s="1321">
        <f t="shared" si="19"/>
        <v>93</v>
      </c>
      <c r="G57" s="1321">
        <f t="shared" si="14"/>
        <v>214</v>
      </c>
      <c r="H57" s="1322">
        <f t="shared" si="10"/>
        <v>0.43457943925233644</v>
      </c>
      <c r="I57" s="1323"/>
      <c r="J57" s="1319">
        <f>+'1E - EDIT Amortization'!$O$90/12</f>
        <v>76618.833333333328</v>
      </c>
      <c r="K57" s="1324">
        <f t="shared" si="11"/>
        <v>33296.969626168218</v>
      </c>
      <c r="L57" s="1324">
        <f t="shared" si="15"/>
        <v>-49258174.194704063</v>
      </c>
      <c r="M57" s="1323"/>
      <c r="N57" s="1319">
        <v>0</v>
      </c>
      <c r="O57" s="1324">
        <f t="shared" si="16"/>
        <v>0</v>
      </c>
      <c r="P57" s="1324">
        <f t="shared" si="17"/>
        <v>0</v>
      </c>
      <c r="Q57" s="1324">
        <f t="shared" si="12"/>
        <v>0</v>
      </c>
      <c r="R57" s="1324">
        <f t="shared" si="18"/>
        <v>0</v>
      </c>
      <c r="S57" s="1323"/>
    </row>
    <row r="58" spans="2:19">
      <c r="B58" s="1314">
        <f t="shared" si="13"/>
        <v>34</v>
      </c>
      <c r="D58" s="1320" t="s">
        <v>531</v>
      </c>
      <c r="E58" s="1319">
        <v>31</v>
      </c>
      <c r="F58" s="1321">
        <f t="shared" si="19"/>
        <v>62</v>
      </c>
      <c r="G58" s="1321">
        <f t="shared" si="14"/>
        <v>214</v>
      </c>
      <c r="H58" s="1322">
        <f t="shared" si="10"/>
        <v>0.28971962616822428</v>
      </c>
      <c r="I58" s="1323"/>
      <c r="J58" s="1319">
        <f>+'1E - EDIT Amortization'!$O$90/12</f>
        <v>76618.833333333328</v>
      </c>
      <c r="K58" s="1324">
        <f t="shared" si="11"/>
        <v>22197.979750778813</v>
      </c>
      <c r="L58" s="1324">
        <f t="shared" si="15"/>
        <v>-49235976.214953281</v>
      </c>
      <c r="M58" s="1323"/>
      <c r="N58" s="1319">
        <v>0</v>
      </c>
      <c r="O58" s="1324">
        <f t="shared" si="16"/>
        <v>0</v>
      </c>
      <c r="P58" s="1324">
        <f t="shared" si="17"/>
        <v>0</v>
      </c>
      <c r="Q58" s="1324">
        <f t="shared" si="12"/>
        <v>0</v>
      </c>
      <c r="R58" s="1324">
        <f t="shared" si="18"/>
        <v>0</v>
      </c>
      <c r="S58" s="1323"/>
    </row>
    <row r="59" spans="2:19">
      <c r="B59" s="1314">
        <f t="shared" si="13"/>
        <v>35</v>
      </c>
      <c r="D59" s="1320" t="s">
        <v>532</v>
      </c>
      <c r="E59" s="1319">
        <v>30</v>
      </c>
      <c r="F59" s="1321">
        <f t="shared" si="19"/>
        <v>32</v>
      </c>
      <c r="G59" s="1321">
        <f t="shared" si="14"/>
        <v>214</v>
      </c>
      <c r="H59" s="1322">
        <f t="shared" si="10"/>
        <v>0.14953271028037382</v>
      </c>
      <c r="I59" s="1323"/>
      <c r="J59" s="1319">
        <f>+'1E - EDIT Amortization'!$O$90/12</f>
        <v>76618.833333333328</v>
      </c>
      <c r="K59" s="1324">
        <f t="shared" si="11"/>
        <v>11457.021806853581</v>
      </c>
      <c r="L59" s="1324">
        <f t="shared" si="15"/>
        <v>-49224519.19314643</v>
      </c>
      <c r="M59" s="1323"/>
      <c r="N59" s="1319">
        <v>0</v>
      </c>
      <c r="O59" s="1324">
        <f t="shared" si="16"/>
        <v>0</v>
      </c>
      <c r="P59" s="1324">
        <f t="shared" si="17"/>
        <v>0</v>
      </c>
      <c r="Q59" s="1324">
        <f t="shared" si="12"/>
        <v>0</v>
      </c>
      <c r="R59" s="1324">
        <f t="shared" si="18"/>
        <v>0</v>
      </c>
      <c r="S59" s="1323"/>
    </row>
    <row r="60" spans="2:19">
      <c r="B60" s="1314">
        <f t="shared" si="13"/>
        <v>36</v>
      </c>
      <c r="D60" s="1325" t="s">
        <v>749</v>
      </c>
      <c r="E60" s="1319">
        <v>31</v>
      </c>
      <c r="F60" s="1326">
        <v>1</v>
      </c>
      <c r="G60" s="1321">
        <f t="shared" si="14"/>
        <v>214</v>
      </c>
      <c r="H60" s="1322">
        <f t="shared" si="10"/>
        <v>4.6728971962616819E-3</v>
      </c>
      <c r="I60" s="1323"/>
      <c r="J60" s="1319">
        <f>+'1E - EDIT Amortization'!$O$90/12</f>
        <v>76618.833333333328</v>
      </c>
      <c r="K60" s="1324">
        <f t="shared" si="11"/>
        <v>358.03193146417442</v>
      </c>
      <c r="L60" s="1324">
        <f t="shared" si="15"/>
        <v>-49224161.161214963</v>
      </c>
      <c r="M60" s="1323"/>
      <c r="N60" s="1319">
        <v>0</v>
      </c>
      <c r="O60" s="1324">
        <f t="shared" si="16"/>
        <v>0</v>
      </c>
      <c r="P60" s="1324">
        <f t="shared" si="17"/>
        <v>0</v>
      </c>
      <c r="Q60" s="1324">
        <f t="shared" si="12"/>
        <v>0</v>
      </c>
      <c r="R60" s="1324">
        <f t="shared" si="18"/>
        <v>0</v>
      </c>
      <c r="S60" s="1323"/>
    </row>
    <row r="61" spans="2:19">
      <c r="B61" s="1314">
        <f t="shared" si="13"/>
        <v>37</v>
      </c>
      <c r="D61" s="1327" t="str">
        <f>"Total (Sum of Lines "&amp;B49&amp;" - "&amp;B60&amp;")"</f>
        <v>Total (Sum of Lines 25 - 36)</v>
      </c>
      <c r="E61" s="1328">
        <f>SUM(E49:E60)</f>
        <v>365</v>
      </c>
      <c r="F61" s="1329"/>
      <c r="G61" s="1329"/>
      <c r="H61" s="1330"/>
      <c r="I61" s="1331"/>
      <c r="J61" s="1328">
        <f>SUM(J49:J60)</f>
        <v>919426.00000000012</v>
      </c>
      <c r="K61" s="1328">
        <f>SUM(K49:K60)</f>
        <v>424267.83878504665</v>
      </c>
      <c r="L61" s="1328"/>
      <c r="M61" s="1331"/>
      <c r="N61" s="1328">
        <f>SUM(N49:N60)</f>
        <v>0</v>
      </c>
      <c r="O61" s="1328">
        <f>SUM(O49:O60)</f>
        <v>0</v>
      </c>
      <c r="P61" s="1328">
        <f>SUM(P49:P60)</f>
        <v>0</v>
      </c>
      <c r="Q61" s="1328">
        <f>SUM(Q49:Q60)</f>
        <v>0</v>
      </c>
      <c r="R61" s="1332"/>
      <c r="S61" s="1331"/>
    </row>
    <row r="62" spans="2:19">
      <c r="D62" s="1333"/>
      <c r="E62" s="1333"/>
      <c r="F62" s="1333"/>
      <c r="G62" s="1333"/>
      <c r="H62" s="1334"/>
      <c r="I62" s="1334"/>
      <c r="K62" s="1335"/>
      <c r="L62" s="1334"/>
      <c r="M62" s="1334"/>
      <c r="N62" s="1345"/>
      <c r="O62" s="1335"/>
      <c r="P62" s="1335"/>
      <c r="Q62" s="1335"/>
      <c r="R62" s="1334"/>
      <c r="S62" s="1334"/>
    </row>
    <row r="63" spans="2:19" ht="15" customHeight="1">
      <c r="B63" s="1314">
        <f>B61+1</f>
        <v>38</v>
      </c>
      <c r="D63" s="1008" t="s">
        <v>1356</v>
      </c>
      <c r="I63" s="1334"/>
      <c r="J63" s="1319" t="s">
        <v>1802</v>
      </c>
      <c r="L63" s="1319">
        <f>'1E - EDIT Amortization'!M72+'1E - EDIT Amortization'!M81</f>
        <v>-21775172.837621115</v>
      </c>
      <c r="M63" s="1336"/>
      <c r="N63" s="1319"/>
      <c r="R63" s="1319">
        <v>0</v>
      </c>
    </row>
    <row r="64" spans="2:19">
      <c r="B64" s="1314">
        <f>B63+1</f>
        <v>39</v>
      </c>
      <c r="D64" s="1008" t="s">
        <v>1357</v>
      </c>
      <c r="I64" s="1334"/>
      <c r="J64" s="1337" t="s">
        <v>639</v>
      </c>
      <c r="L64" s="1338">
        <v>0</v>
      </c>
      <c r="M64" s="1339"/>
      <c r="N64" s="1337"/>
      <c r="R64" s="1338">
        <v>0</v>
      </c>
    </row>
    <row r="65" spans="2:19">
      <c r="B65" s="1314">
        <f>B64+1</f>
        <v>40</v>
      </c>
      <c r="D65" s="1008" t="s">
        <v>1358</v>
      </c>
      <c r="I65" s="1334"/>
      <c r="J65" s="1327" t="str">
        <f>"(Col. "&amp;L44&amp;", Line "&amp;B63&amp;" + Line "&amp;B64&amp;")"</f>
        <v>(Col. (H), Line 38 + Line 39)</v>
      </c>
      <c r="L65" s="1340">
        <f>L63+L64</f>
        <v>-21775172.837621115</v>
      </c>
      <c r="M65" s="1334"/>
      <c r="N65" s="1327" t="str">
        <f>"(Col. "&amp;R44&amp;", Line "&amp;B63&amp;" + Line "&amp;B64&amp;")"</f>
        <v>(Col. (M), Line 38 + Line 39)</v>
      </c>
      <c r="R65" s="1340">
        <f>R63+R64</f>
        <v>0</v>
      </c>
    </row>
    <row r="66" spans="2:19">
      <c r="I66" s="1334"/>
      <c r="L66" s="1340"/>
      <c r="M66" s="1334"/>
      <c r="R66" s="1340"/>
    </row>
    <row r="67" spans="2:19">
      <c r="B67" s="1314">
        <f>B65+1</f>
        <v>41</v>
      </c>
      <c r="D67" s="1008" t="s">
        <v>1359</v>
      </c>
      <c r="I67" s="1334"/>
      <c r="J67" s="1319" t="s">
        <v>1803</v>
      </c>
      <c r="L67" s="1319">
        <f>'1E - EDIT Amortization'!Q72+'1E - EDIT Amortization'!Q81</f>
        <v>-10887586.450161485</v>
      </c>
      <c r="M67" s="1336"/>
      <c r="N67" s="1319"/>
      <c r="R67" s="1319">
        <v>0</v>
      </c>
    </row>
    <row r="68" spans="2:19">
      <c r="B68" s="1314">
        <f>B67+1</f>
        <v>42</v>
      </c>
      <c r="D68" s="1008" t="s">
        <v>1360</v>
      </c>
      <c r="I68" s="1334"/>
      <c r="J68" s="1337" t="s">
        <v>639</v>
      </c>
      <c r="L68" s="1338">
        <v>0</v>
      </c>
      <c r="M68" s="1334"/>
      <c r="N68" s="1337"/>
      <c r="R68" s="1338">
        <v>0</v>
      </c>
    </row>
    <row r="69" spans="2:19">
      <c r="B69" s="1314">
        <f>B68+1</f>
        <v>43</v>
      </c>
      <c r="D69" s="1008" t="s">
        <v>1361</v>
      </c>
      <c r="I69" s="1334"/>
      <c r="J69" s="1327" t="str">
        <f>"(Col. "&amp;L44&amp;", Line "&amp;B67&amp;" + Line "&amp;B68&amp;")"</f>
        <v>(Col. (H), Line 41 + Line 42)</v>
      </c>
      <c r="L69" s="1340">
        <f>L67+L68</f>
        <v>-10887586.450161485</v>
      </c>
      <c r="M69" s="1334"/>
      <c r="N69" s="1327" t="str">
        <f>"(Col. "&amp;R44&amp;", Line "&amp;B67&amp;" + Line "&amp;B68&amp;")"</f>
        <v>(Col. (M), Line 41 + Line 42)</v>
      </c>
      <c r="R69" s="1340">
        <f>R67+R68</f>
        <v>0</v>
      </c>
    </row>
    <row r="70" spans="2:19">
      <c r="I70" s="1334"/>
      <c r="L70" s="1340"/>
      <c r="M70" s="1334"/>
      <c r="R70" s="1340"/>
    </row>
    <row r="71" spans="2:19">
      <c r="B71" s="1314">
        <f>B69+1</f>
        <v>44</v>
      </c>
      <c r="D71" s="1008" t="s">
        <v>1000</v>
      </c>
      <c r="I71" s="1334"/>
      <c r="J71" s="1327" t="str">
        <f>"([Col. "&amp;L44&amp;", Line "&amp;B65&amp;" + Line "&amp;B69&amp;"] /2)"</f>
        <v>([Col. (H), Line 40 + Line 43] /2)</v>
      </c>
      <c r="L71" s="1324">
        <f>(L65+L69)/2</f>
        <v>-16331379.643891301</v>
      </c>
      <c r="M71" s="1334"/>
      <c r="N71" s="1327" t="str">
        <f>"([Col. "&amp;R44&amp;", Line "&amp;B65&amp;" + Line "&amp;B69&amp;"] /2)"</f>
        <v>([Col. (M), Line 40 + Line 43] /2)</v>
      </c>
      <c r="R71" s="1324">
        <f>(R65+R69)/2</f>
        <v>0</v>
      </c>
    </row>
    <row r="72" spans="2:19">
      <c r="B72" s="1314">
        <f>B71+1</f>
        <v>45</v>
      </c>
      <c r="D72" s="1426" t="s">
        <v>1362</v>
      </c>
      <c r="E72" s="1333"/>
      <c r="F72" s="1333"/>
      <c r="G72" s="1333"/>
      <c r="H72" s="1334"/>
      <c r="I72" s="1334"/>
      <c r="J72" s="1327" t="str">
        <f>"(Col. "&amp;L44&amp;", Line "&amp;B60&amp;" )"</f>
        <v>(Col. (H), Line 36 )</v>
      </c>
      <c r="K72" s="1335"/>
      <c r="L72" s="1324">
        <f>L60</f>
        <v>-49224161.161214963</v>
      </c>
      <c r="M72" s="1334"/>
      <c r="N72" s="1327" t="str">
        <f>"(Col. "&amp;R44&amp;", Line "&amp;B60&amp;" )"</f>
        <v>(Col. (M), Line 36 )</v>
      </c>
      <c r="R72" s="1324">
        <f>R60</f>
        <v>0</v>
      </c>
    </row>
    <row r="73" spans="2:19" ht="13.5" thickBot="1">
      <c r="B73" s="1314">
        <f>B72+1</f>
        <v>46</v>
      </c>
      <c r="D73" s="1341" t="s">
        <v>1365</v>
      </c>
      <c r="E73" s="1333"/>
      <c r="F73" s="1333"/>
      <c r="G73" s="1333"/>
      <c r="H73" s="1334"/>
      <c r="I73" s="1334"/>
      <c r="J73" s="1327" t="str">
        <f>"(Col. "&amp;L44&amp;", Line "&amp;B71&amp;" + Line "&amp;B72&amp;")"</f>
        <v>(Col. (H), Line 44 + Line 45)</v>
      </c>
      <c r="K73" s="1335"/>
      <c r="L73" s="1342">
        <f>L71+L72</f>
        <v>-65555540.805106267</v>
      </c>
      <c r="M73" s="1334"/>
      <c r="N73" s="1327" t="str">
        <f>"(Col. "&amp;R44&amp;", Line "&amp;B71&amp;" + Line "&amp;B72&amp;")"</f>
        <v>(Col. (M), Line 44 + Line 45)</v>
      </c>
      <c r="R73" s="1342">
        <f>R71+R72</f>
        <v>0</v>
      </c>
    </row>
    <row r="74" spans="2:19" ht="13">
      <c r="D74" s="1311"/>
    </row>
    <row r="75" spans="2:19" ht="13">
      <c r="D75" s="1311" t="s">
        <v>1366</v>
      </c>
      <c r="J75" s="1737"/>
      <c r="K75" s="1737"/>
      <c r="L75" s="1737"/>
      <c r="N75" s="1737"/>
      <c r="O75" s="1737"/>
      <c r="P75" s="1737"/>
      <c r="Q75" s="1737"/>
      <c r="R75" s="1737"/>
    </row>
    <row r="76" spans="2:19" ht="13">
      <c r="D76" s="1730" t="s">
        <v>912</v>
      </c>
      <c r="E76" s="1731"/>
      <c r="F76" s="1731"/>
      <c r="G76" s="1731"/>
      <c r="H76" s="1732"/>
      <c r="I76" s="1315"/>
      <c r="J76" s="1733" t="s">
        <v>1353</v>
      </c>
      <c r="K76" s="1734"/>
      <c r="L76" s="1735"/>
      <c r="M76" s="1315"/>
      <c r="N76" s="1733" t="s">
        <v>1354</v>
      </c>
      <c r="O76" s="1734"/>
      <c r="P76" s="1734"/>
      <c r="Q76" s="1734"/>
      <c r="R76" s="1735"/>
      <c r="S76" s="1315"/>
    </row>
    <row r="77" spans="2:19" ht="13">
      <c r="D77" s="1316" t="s">
        <v>174</v>
      </c>
      <c r="E77" s="1316" t="s">
        <v>175</v>
      </c>
      <c r="F77" s="1316" t="s">
        <v>1294</v>
      </c>
      <c r="G77" s="1316" t="s">
        <v>1295</v>
      </c>
      <c r="H77" s="1316" t="s">
        <v>1296</v>
      </c>
      <c r="I77" s="1315"/>
      <c r="J77" s="1316" t="s">
        <v>1297</v>
      </c>
      <c r="K77" s="1316" t="s">
        <v>1298</v>
      </c>
      <c r="L77" s="1316" t="s">
        <v>1299</v>
      </c>
      <c r="M77" s="1315"/>
      <c r="N77" s="1316" t="s">
        <v>1300</v>
      </c>
      <c r="O77" s="1316" t="s">
        <v>1301</v>
      </c>
      <c r="P77" s="1316" t="s">
        <v>1302</v>
      </c>
      <c r="Q77" s="1316" t="s">
        <v>1303</v>
      </c>
      <c r="R77" s="1316" t="s">
        <v>1304</v>
      </c>
      <c r="S77" s="1315"/>
    </row>
    <row r="78" spans="2:19" ht="50">
      <c r="B78" s="1317" t="s">
        <v>1305</v>
      </c>
      <c r="D78" s="1318" t="s">
        <v>169</v>
      </c>
      <c r="E78" s="1318" t="s">
        <v>913</v>
      </c>
      <c r="F78" s="1318" t="s">
        <v>914</v>
      </c>
      <c r="G78" s="1318" t="s">
        <v>915</v>
      </c>
      <c r="H78" s="1318" t="s">
        <v>1306</v>
      </c>
      <c r="I78" s="1636"/>
      <c r="J78" s="1318" t="s">
        <v>916</v>
      </c>
      <c r="K78" s="1318" t="s">
        <v>1307</v>
      </c>
      <c r="L78" s="1318" t="s">
        <v>1308</v>
      </c>
      <c r="M78" s="1636"/>
      <c r="N78" s="1318" t="s">
        <v>1003</v>
      </c>
      <c r="O78" s="1318" t="s">
        <v>1309</v>
      </c>
      <c r="P78" s="1318" t="s">
        <v>1310</v>
      </c>
      <c r="Q78" s="1318" t="s">
        <v>1311</v>
      </c>
      <c r="R78" s="1318" t="s">
        <v>1312</v>
      </c>
      <c r="S78" s="1636"/>
    </row>
    <row r="79" spans="2:19">
      <c r="E79" s="1636"/>
      <c r="F79" s="1636"/>
      <c r="G79" s="1636"/>
      <c r="H79" s="1636"/>
      <c r="I79" s="1636"/>
      <c r="J79" s="1636"/>
      <c r="K79" s="1636"/>
      <c r="L79" s="1636"/>
      <c r="M79" s="1636"/>
      <c r="N79" s="1636"/>
      <c r="O79" s="1636"/>
      <c r="P79" s="1636"/>
      <c r="Q79" s="1636"/>
      <c r="R79" s="1636"/>
      <c r="S79" s="1636"/>
    </row>
    <row r="80" spans="2:19">
      <c r="B80" s="1314">
        <f>B73+1</f>
        <v>47</v>
      </c>
      <c r="D80" s="1008" t="s">
        <v>1002</v>
      </c>
      <c r="E80" s="1636"/>
      <c r="F80" s="1636"/>
      <c r="G80" s="1636"/>
      <c r="H80" s="1636"/>
      <c r="I80" s="1636"/>
      <c r="J80" s="1319" t="s">
        <v>1802</v>
      </c>
      <c r="K80" s="1636"/>
      <c r="L80" s="1319">
        <f>'1E - EDIT Amortization'!M91</f>
        <v>0</v>
      </c>
      <c r="M80" s="1636"/>
      <c r="N80" s="1319"/>
      <c r="O80" s="1636"/>
      <c r="P80" s="1636"/>
      <c r="Q80" s="1636"/>
      <c r="R80" s="1319">
        <v>0</v>
      </c>
      <c r="S80" s="1636"/>
    </row>
    <row r="81" spans="2:19">
      <c r="E81" s="1636"/>
      <c r="F81" s="1636"/>
      <c r="G81" s="1636"/>
      <c r="H81" s="1636"/>
      <c r="I81" s="1636"/>
      <c r="J81" s="1636"/>
      <c r="K81" s="1636"/>
      <c r="L81" s="1636"/>
      <c r="M81" s="1636"/>
      <c r="N81" s="1636"/>
      <c r="O81" s="1636"/>
      <c r="P81" s="1636"/>
      <c r="Q81" s="1636"/>
      <c r="R81" s="1636"/>
      <c r="S81" s="1636"/>
    </row>
    <row r="82" spans="2:19">
      <c r="B82" s="1314">
        <f>B80+1</f>
        <v>48</v>
      </c>
      <c r="D82" s="1320" t="s">
        <v>525</v>
      </c>
      <c r="E82" s="1319">
        <v>31</v>
      </c>
      <c r="F82" s="1321">
        <v>0</v>
      </c>
      <c r="G82" s="1321">
        <v>214</v>
      </c>
      <c r="H82" s="1322">
        <f t="shared" ref="H82:H93" si="20">IF(F82=0,0.5,F82/G82)</f>
        <v>0.5</v>
      </c>
      <c r="I82" s="1323"/>
      <c r="J82" s="1319">
        <v>0</v>
      </c>
      <c r="K82" s="1324">
        <f t="shared" ref="K82:K93" si="21">+J82*H82</f>
        <v>0</v>
      </c>
      <c r="L82" s="1324">
        <f>+K82</f>
        <v>0</v>
      </c>
      <c r="M82" s="1323"/>
      <c r="N82" s="1319">
        <v>0</v>
      </c>
      <c r="O82" s="1324">
        <f>IF($D$237="True-Up Adjustment",N82-J82,0)</f>
        <v>0</v>
      </c>
      <c r="P82" s="1324">
        <f>IF($D$237="True-Up Adjustment",IF(AND(J82&gt;=0,N82&gt;=0),IF(O82&gt;=0,K82+O82,N82/J82*K82),IF(AND(J82&lt;0,N82&lt;0),IF(O82&lt;0,K82+O82,N82/J82*K82),0)),0)</f>
        <v>0</v>
      </c>
      <c r="Q82" s="1324">
        <f t="shared" ref="Q82:Q93" si="22">IF(AND(J82&gt;=0,N82&lt;0),N82,IF(AND(J82&lt;0,N82&gt;=0),N82,0))</f>
        <v>0</v>
      </c>
      <c r="R82" s="1324">
        <f>+P82+Q82</f>
        <v>0</v>
      </c>
      <c r="S82" s="1323"/>
    </row>
    <row r="83" spans="2:19">
      <c r="B83" s="1314">
        <f t="shared" ref="B83:B94" si="23">+B82+1</f>
        <v>49</v>
      </c>
      <c r="D83" s="1320" t="s">
        <v>526</v>
      </c>
      <c r="E83" s="1319">
        <v>28</v>
      </c>
      <c r="F83" s="1321">
        <v>0</v>
      </c>
      <c r="G83" s="1321">
        <f t="shared" ref="G83:G93" si="24">G82</f>
        <v>214</v>
      </c>
      <c r="H83" s="1322">
        <f t="shared" si="20"/>
        <v>0.5</v>
      </c>
      <c r="I83" s="1323"/>
      <c r="J83" s="1319">
        <v>0</v>
      </c>
      <c r="K83" s="1324">
        <f t="shared" si="21"/>
        <v>0</v>
      </c>
      <c r="L83" s="1324">
        <f t="shared" ref="L83:L93" si="25">+K83+L82</f>
        <v>0</v>
      </c>
      <c r="M83" s="1323"/>
      <c r="N83" s="1319">
        <v>0</v>
      </c>
      <c r="O83" s="1324">
        <f t="shared" ref="O83:O93" si="26">IF($D$237="True-Up Adjustment",N83-J83,0)</f>
        <v>0</v>
      </c>
      <c r="P83" s="1324">
        <f t="shared" ref="P83:P93" si="27">IF($D$237="True-Up Adjustment",IF(AND(J83&gt;=0,N83&gt;=0),IF(O83&gt;=0,K83+O83,N83/J83*K83),IF(AND(J83&lt;0,N83&lt;0),IF(O83&lt;0,K83+O83,N83/J83*K83),0)),0)</f>
        <v>0</v>
      </c>
      <c r="Q83" s="1324">
        <f t="shared" si="22"/>
        <v>0</v>
      </c>
      <c r="R83" s="1324">
        <f t="shared" ref="R83:R93" si="28">R82+P83+Q83</f>
        <v>0</v>
      </c>
      <c r="S83" s="1323"/>
    </row>
    <row r="84" spans="2:19">
      <c r="B84" s="1314">
        <f t="shared" si="23"/>
        <v>50</v>
      </c>
      <c r="D84" s="1320" t="s">
        <v>545</v>
      </c>
      <c r="E84" s="1319">
        <v>31</v>
      </c>
      <c r="F84" s="1321">
        <v>0</v>
      </c>
      <c r="G84" s="1321">
        <f t="shared" si="24"/>
        <v>214</v>
      </c>
      <c r="H84" s="1322">
        <f t="shared" si="20"/>
        <v>0.5</v>
      </c>
      <c r="I84" s="1323"/>
      <c r="J84" s="1319">
        <v>0</v>
      </c>
      <c r="K84" s="1324">
        <f t="shared" si="21"/>
        <v>0</v>
      </c>
      <c r="L84" s="1324">
        <f t="shared" si="25"/>
        <v>0</v>
      </c>
      <c r="M84" s="1323"/>
      <c r="N84" s="1319">
        <v>0</v>
      </c>
      <c r="O84" s="1324">
        <f t="shared" si="26"/>
        <v>0</v>
      </c>
      <c r="P84" s="1324">
        <f t="shared" si="27"/>
        <v>0</v>
      </c>
      <c r="Q84" s="1324">
        <f t="shared" si="22"/>
        <v>0</v>
      </c>
      <c r="R84" s="1324">
        <f t="shared" si="28"/>
        <v>0</v>
      </c>
      <c r="S84" s="1323"/>
    </row>
    <row r="85" spans="2:19">
      <c r="B85" s="1314">
        <f t="shared" si="23"/>
        <v>51</v>
      </c>
      <c r="D85" s="1320" t="s">
        <v>171</v>
      </c>
      <c r="E85" s="1319">
        <v>30</v>
      </c>
      <c r="F85" s="1321">
        <v>0</v>
      </c>
      <c r="G85" s="1321">
        <f t="shared" si="24"/>
        <v>214</v>
      </c>
      <c r="H85" s="1322">
        <f t="shared" si="20"/>
        <v>0.5</v>
      </c>
      <c r="I85" s="1323"/>
      <c r="J85" s="1319">
        <v>0</v>
      </c>
      <c r="K85" s="1324">
        <f t="shared" si="21"/>
        <v>0</v>
      </c>
      <c r="L85" s="1324">
        <f t="shared" si="25"/>
        <v>0</v>
      </c>
      <c r="M85" s="1323"/>
      <c r="N85" s="1319">
        <v>0</v>
      </c>
      <c r="O85" s="1324">
        <f t="shared" si="26"/>
        <v>0</v>
      </c>
      <c r="P85" s="1324">
        <f t="shared" si="27"/>
        <v>0</v>
      </c>
      <c r="Q85" s="1324">
        <f t="shared" si="22"/>
        <v>0</v>
      </c>
      <c r="R85" s="1324">
        <f t="shared" si="28"/>
        <v>0</v>
      </c>
      <c r="S85" s="1323"/>
    </row>
    <row r="86" spans="2:19">
      <c r="B86" s="1314">
        <f t="shared" si="23"/>
        <v>52</v>
      </c>
      <c r="D86" s="1320" t="s">
        <v>172</v>
      </c>
      <c r="E86" s="1319">
        <v>31</v>
      </c>
      <c r="F86" s="1321">
        <v>0</v>
      </c>
      <c r="G86" s="1321">
        <f t="shared" si="24"/>
        <v>214</v>
      </c>
      <c r="H86" s="1322">
        <f t="shared" si="20"/>
        <v>0.5</v>
      </c>
      <c r="I86" s="1323"/>
      <c r="J86" s="1319">
        <v>0</v>
      </c>
      <c r="K86" s="1324">
        <f t="shared" si="21"/>
        <v>0</v>
      </c>
      <c r="L86" s="1324">
        <f t="shared" si="25"/>
        <v>0</v>
      </c>
      <c r="M86" s="1323"/>
      <c r="N86" s="1319">
        <v>0</v>
      </c>
      <c r="O86" s="1324">
        <f t="shared" si="26"/>
        <v>0</v>
      </c>
      <c r="P86" s="1324">
        <f t="shared" si="27"/>
        <v>0</v>
      </c>
      <c r="Q86" s="1324">
        <f t="shared" si="22"/>
        <v>0</v>
      </c>
      <c r="R86" s="1324">
        <f t="shared" si="28"/>
        <v>0</v>
      </c>
      <c r="S86" s="1323"/>
    </row>
    <row r="87" spans="2:19">
      <c r="B87" s="1314">
        <f t="shared" si="23"/>
        <v>53</v>
      </c>
      <c r="D87" s="1320" t="s">
        <v>173</v>
      </c>
      <c r="E87" s="1319">
        <v>30</v>
      </c>
      <c r="F87" s="1321">
        <f t="shared" ref="F87:F92" si="29">E88+F88</f>
        <v>185</v>
      </c>
      <c r="G87" s="1321">
        <f t="shared" si="24"/>
        <v>214</v>
      </c>
      <c r="H87" s="1322">
        <f t="shared" si="20"/>
        <v>0.86448598130841126</v>
      </c>
      <c r="I87" s="1323"/>
      <c r="J87" s="1319">
        <v>0</v>
      </c>
      <c r="K87" s="1324">
        <f t="shared" si="21"/>
        <v>0</v>
      </c>
      <c r="L87" s="1324">
        <f t="shared" si="25"/>
        <v>0</v>
      </c>
      <c r="M87" s="1323"/>
      <c r="N87" s="1319">
        <v>0</v>
      </c>
      <c r="O87" s="1324">
        <f t="shared" si="26"/>
        <v>0</v>
      </c>
      <c r="P87" s="1324">
        <f t="shared" si="27"/>
        <v>0</v>
      </c>
      <c r="Q87" s="1324">
        <f t="shared" si="22"/>
        <v>0</v>
      </c>
      <c r="R87" s="1324">
        <f t="shared" si="28"/>
        <v>0</v>
      </c>
      <c r="S87" s="1323"/>
    </row>
    <row r="88" spans="2:19">
      <c r="B88" s="1314">
        <f t="shared" si="23"/>
        <v>54</v>
      </c>
      <c r="D88" s="1320" t="s">
        <v>528</v>
      </c>
      <c r="E88" s="1319">
        <v>31</v>
      </c>
      <c r="F88" s="1321">
        <f t="shared" si="29"/>
        <v>154</v>
      </c>
      <c r="G88" s="1321">
        <f t="shared" si="24"/>
        <v>214</v>
      </c>
      <c r="H88" s="1322">
        <f t="shared" si="20"/>
        <v>0.71962616822429903</v>
      </c>
      <c r="I88" s="1323"/>
      <c r="J88" s="1319">
        <v>0</v>
      </c>
      <c r="K88" s="1324">
        <f t="shared" si="21"/>
        <v>0</v>
      </c>
      <c r="L88" s="1324">
        <f t="shared" si="25"/>
        <v>0</v>
      </c>
      <c r="M88" s="1323"/>
      <c r="N88" s="1319">
        <v>0</v>
      </c>
      <c r="O88" s="1324">
        <f t="shared" si="26"/>
        <v>0</v>
      </c>
      <c r="P88" s="1324">
        <f t="shared" si="27"/>
        <v>0</v>
      </c>
      <c r="Q88" s="1324">
        <f t="shared" si="22"/>
        <v>0</v>
      </c>
      <c r="R88" s="1324">
        <f t="shared" si="28"/>
        <v>0</v>
      </c>
      <c r="S88" s="1323"/>
    </row>
    <row r="89" spans="2:19">
      <c r="B89" s="1314">
        <f t="shared" si="23"/>
        <v>55</v>
      </c>
      <c r="D89" s="1320" t="s">
        <v>546</v>
      </c>
      <c r="E89" s="1319">
        <v>31</v>
      </c>
      <c r="F89" s="1321">
        <f t="shared" si="29"/>
        <v>123</v>
      </c>
      <c r="G89" s="1321">
        <f t="shared" si="24"/>
        <v>214</v>
      </c>
      <c r="H89" s="1322">
        <f t="shared" si="20"/>
        <v>0.57476635514018692</v>
      </c>
      <c r="I89" s="1323"/>
      <c r="J89" s="1319">
        <v>0</v>
      </c>
      <c r="K89" s="1324">
        <f t="shared" si="21"/>
        <v>0</v>
      </c>
      <c r="L89" s="1324">
        <f t="shared" si="25"/>
        <v>0</v>
      </c>
      <c r="M89" s="1323"/>
      <c r="N89" s="1319">
        <v>0</v>
      </c>
      <c r="O89" s="1324">
        <f t="shared" si="26"/>
        <v>0</v>
      </c>
      <c r="P89" s="1324">
        <f t="shared" si="27"/>
        <v>0</v>
      </c>
      <c r="Q89" s="1324">
        <f t="shared" si="22"/>
        <v>0</v>
      </c>
      <c r="R89" s="1324">
        <f t="shared" si="28"/>
        <v>0</v>
      </c>
      <c r="S89" s="1323"/>
    </row>
    <row r="90" spans="2:19">
      <c r="B90" s="1314">
        <f t="shared" si="23"/>
        <v>56</v>
      </c>
      <c r="D90" s="1320" t="s">
        <v>530</v>
      </c>
      <c r="E90" s="1319">
        <v>30</v>
      </c>
      <c r="F90" s="1321">
        <f t="shared" si="29"/>
        <v>93</v>
      </c>
      <c r="G90" s="1321">
        <f t="shared" si="24"/>
        <v>214</v>
      </c>
      <c r="H90" s="1322">
        <f t="shared" si="20"/>
        <v>0.43457943925233644</v>
      </c>
      <c r="I90" s="1323"/>
      <c r="J90" s="1319">
        <v>0</v>
      </c>
      <c r="K90" s="1324">
        <f t="shared" si="21"/>
        <v>0</v>
      </c>
      <c r="L90" s="1324">
        <f t="shared" si="25"/>
        <v>0</v>
      </c>
      <c r="M90" s="1323"/>
      <c r="N90" s="1319">
        <v>0</v>
      </c>
      <c r="O90" s="1324">
        <f t="shared" si="26"/>
        <v>0</v>
      </c>
      <c r="P90" s="1324">
        <f t="shared" si="27"/>
        <v>0</v>
      </c>
      <c r="Q90" s="1324">
        <f t="shared" si="22"/>
        <v>0</v>
      </c>
      <c r="R90" s="1324">
        <f t="shared" si="28"/>
        <v>0</v>
      </c>
      <c r="S90" s="1323"/>
    </row>
    <row r="91" spans="2:19">
      <c r="B91" s="1314">
        <f t="shared" si="23"/>
        <v>57</v>
      </c>
      <c r="D91" s="1320" t="s">
        <v>531</v>
      </c>
      <c r="E91" s="1319">
        <v>31</v>
      </c>
      <c r="F91" s="1321">
        <f t="shared" si="29"/>
        <v>62</v>
      </c>
      <c r="G91" s="1321">
        <f t="shared" si="24"/>
        <v>214</v>
      </c>
      <c r="H91" s="1322">
        <f t="shared" si="20"/>
        <v>0.28971962616822428</v>
      </c>
      <c r="I91" s="1323"/>
      <c r="J91" s="1319">
        <v>0</v>
      </c>
      <c r="K91" s="1324">
        <f t="shared" si="21"/>
        <v>0</v>
      </c>
      <c r="L91" s="1324">
        <f t="shared" si="25"/>
        <v>0</v>
      </c>
      <c r="M91" s="1323"/>
      <c r="N91" s="1319">
        <v>0</v>
      </c>
      <c r="O91" s="1324">
        <f t="shared" si="26"/>
        <v>0</v>
      </c>
      <c r="P91" s="1324">
        <f t="shared" si="27"/>
        <v>0</v>
      </c>
      <c r="Q91" s="1324">
        <f t="shared" si="22"/>
        <v>0</v>
      </c>
      <c r="R91" s="1324">
        <f t="shared" si="28"/>
        <v>0</v>
      </c>
      <c r="S91" s="1323"/>
    </row>
    <row r="92" spans="2:19">
      <c r="B92" s="1314">
        <f t="shared" si="23"/>
        <v>58</v>
      </c>
      <c r="D92" s="1320" t="s">
        <v>532</v>
      </c>
      <c r="E92" s="1319">
        <v>30</v>
      </c>
      <c r="F92" s="1321">
        <f t="shared" si="29"/>
        <v>32</v>
      </c>
      <c r="G92" s="1321">
        <f t="shared" si="24"/>
        <v>214</v>
      </c>
      <c r="H92" s="1322">
        <f t="shared" si="20"/>
        <v>0.14953271028037382</v>
      </c>
      <c r="I92" s="1323"/>
      <c r="J92" s="1319">
        <v>0</v>
      </c>
      <c r="K92" s="1324">
        <f t="shared" si="21"/>
        <v>0</v>
      </c>
      <c r="L92" s="1324">
        <f t="shared" si="25"/>
        <v>0</v>
      </c>
      <c r="M92" s="1323"/>
      <c r="N92" s="1319">
        <v>0</v>
      </c>
      <c r="O92" s="1324">
        <f t="shared" si="26"/>
        <v>0</v>
      </c>
      <c r="P92" s="1324">
        <f t="shared" si="27"/>
        <v>0</v>
      </c>
      <c r="Q92" s="1324">
        <f t="shared" si="22"/>
        <v>0</v>
      </c>
      <c r="R92" s="1324">
        <f t="shared" si="28"/>
        <v>0</v>
      </c>
      <c r="S92" s="1323"/>
    </row>
    <row r="93" spans="2:19">
      <c r="B93" s="1314">
        <f t="shared" si="23"/>
        <v>59</v>
      </c>
      <c r="D93" s="1325" t="s">
        <v>749</v>
      </c>
      <c r="E93" s="1319">
        <v>31</v>
      </c>
      <c r="F93" s="1326">
        <v>1</v>
      </c>
      <c r="G93" s="1321">
        <f t="shared" si="24"/>
        <v>214</v>
      </c>
      <c r="H93" s="1322">
        <f t="shared" si="20"/>
        <v>4.6728971962616819E-3</v>
      </c>
      <c r="I93" s="1323"/>
      <c r="J93" s="1319">
        <v>0</v>
      </c>
      <c r="K93" s="1324">
        <f t="shared" si="21"/>
        <v>0</v>
      </c>
      <c r="L93" s="1324">
        <f t="shared" si="25"/>
        <v>0</v>
      </c>
      <c r="M93" s="1323"/>
      <c r="N93" s="1319">
        <v>0</v>
      </c>
      <c r="O93" s="1324">
        <f t="shared" si="26"/>
        <v>0</v>
      </c>
      <c r="P93" s="1324">
        <f t="shared" si="27"/>
        <v>0</v>
      </c>
      <c r="Q93" s="1324">
        <f t="shared" si="22"/>
        <v>0</v>
      </c>
      <c r="R93" s="1324">
        <f t="shared" si="28"/>
        <v>0</v>
      </c>
      <c r="S93" s="1323"/>
    </row>
    <row r="94" spans="2:19">
      <c r="B94" s="1314">
        <f t="shared" si="23"/>
        <v>60</v>
      </c>
      <c r="D94" s="1327" t="str">
        <f>"Total (Sum of Lines "&amp;B82&amp;" - "&amp;B93&amp;")"</f>
        <v>Total (Sum of Lines 48 - 59)</v>
      </c>
      <c r="E94" s="1328">
        <f>SUM(E82:E93)</f>
        <v>365</v>
      </c>
      <c r="F94" s="1329"/>
      <c r="G94" s="1329"/>
      <c r="H94" s="1330"/>
      <c r="I94" s="1331"/>
      <c r="J94" s="1328">
        <f>SUM(J82:J93)</f>
        <v>0</v>
      </c>
      <c r="K94" s="1328">
        <f>SUM(K82:K93)</f>
        <v>0</v>
      </c>
      <c r="L94" s="1332"/>
      <c r="M94" s="1331"/>
      <c r="N94" s="1328">
        <f>SUM(N82:N93)</f>
        <v>0</v>
      </c>
      <c r="O94" s="1328">
        <f>SUM(O82:O93)</f>
        <v>0</v>
      </c>
      <c r="P94" s="1328">
        <f>SUM(P82:P93)</f>
        <v>0</v>
      </c>
      <c r="Q94" s="1328">
        <f>SUM(Q82:Q93)</f>
        <v>0</v>
      </c>
      <c r="R94" s="1332"/>
      <c r="S94" s="1331"/>
    </row>
    <row r="95" spans="2:19">
      <c r="D95" s="1333"/>
      <c r="E95" s="1333"/>
      <c r="F95" s="1333"/>
      <c r="G95" s="1333"/>
      <c r="H95" s="1334"/>
      <c r="I95" s="1334"/>
      <c r="K95" s="1335"/>
      <c r="L95" s="1334"/>
      <c r="M95" s="1334"/>
      <c r="N95" s="1345"/>
      <c r="O95" s="1335"/>
      <c r="P95" s="1335"/>
      <c r="Q95" s="1335"/>
      <c r="R95" s="1334"/>
      <c r="S95" s="1334"/>
    </row>
    <row r="96" spans="2:19">
      <c r="B96" s="1314">
        <f>B94+1</f>
        <v>61</v>
      </c>
      <c r="D96" s="1008" t="s">
        <v>1356</v>
      </c>
      <c r="I96" s="1334"/>
      <c r="J96" s="1319" t="s">
        <v>1802</v>
      </c>
      <c r="L96" s="1319">
        <f>'1E - EDIT Amortization'!M73+'1E - EDIT Amortization'!M82</f>
        <v>-1253325.7651590982</v>
      </c>
      <c r="M96" s="1336"/>
      <c r="N96" s="1319"/>
      <c r="R96" s="1319">
        <v>0</v>
      </c>
    </row>
    <row r="97" spans="2:19">
      <c r="B97" s="1314">
        <f>B96+1</f>
        <v>62</v>
      </c>
      <c r="D97" s="1008" t="s">
        <v>1357</v>
      </c>
      <c r="I97" s="1334"/>
      <c r="J97" s="1337" t="s">
        <v>639</v>
      </c>
      <c r="L97" s="1338">
        <v>0</v>
      </c>
      <c r="M97" s="1339"/>
      <c r="N97" s="1337"/>
      <c r="R97" s="1338">
        <v>0</v>
      </c>
    </row>
    <row r="98" spans="2:19">
      <c r="B98" s="1314">
        <f>B97+1</f>
        <v>63</v>
      </c>
      <c r="D98" s="1008" t="s">
        <v>1358</v>
      </c>
      <c r="I98" s="1334"/>
      <c r="J98" s="1327" t="str">
        <f>"(Col. "&amp;L77&amp;", Line "&amp;B96&amp;" + Line "&amp;B97&amp;")"</f>
        <v>(Col. (H), Line 61 + Line 62)</v>
      </c>
      <c r="L98" s="1340">
        <f>L96+L97</f>
        <v>-1253325.7651590982</v>
      </c>
      <c r="M98" s="1334"/>
      <c r="N98" s="1327" t="str">
        <f>"(Col. "&amp;R77&amp;", Line "&amp;B96&amp;" + Line "&amp;B97&amp;")"</f>
        <v>(Col. (M), Line 61 + Line 62)</v>
      </c>
      <c r="R98" s="1340">
        <f>R96+R97</f>
        <v>0</v>
      </c>
    </row>
    <row r="99" spans="2:19">
      <c r="I99" s="1334"/>
      <c r="L99" s="1340"/>
      <c r="M99" s="1334"/>
      <c r="R99" s="1340"/>
    </row>
    <row r="100" spans="2:19">
      <c r="B100" s="1314">
        <f>B98+1</f>
        <v>64</v>
      </c>
      <c r="D100" s="1008" t="s">
        <v>1359</v>
      </c>
      <c r="I100" s="1334"/>
      <c r="J100" s="1319" t="s">
        <v>1803</v>
      </c>
      <c r="L100" s="1319">
        <f>'1E - EDIT Amortization'!Q73+'1E - EDIT Amortization'!Q82</f>
        <v>-0.35354546410962939</v>
      </c>
      <c r="M100" s="1336"/>
      <c r="N100" s="1319"/>
      <c r="R100" s="1319">
        <v>0</v>
      </c>
    </row>
    <row r="101" spans="2:19">
      <c r="B101" s="1314">
        <f>B100+1</f>
        <v>65</v>
      </c>
      <c r="D101" s="1008" t="s">
        <v>1360</v>
      </c>
      <c r="I101" s="1334"/>
      <c r="J101" s="1337" t="s">
        <v>639</v>
      </c>
      <c r="L101" s="1338">
        <v>0</v>
      </c>
      <c r="M101" s="1334"/>
      <c r="N101" s="1337"/>
      <c r="R101" s="1338">
        <v>0</v>
      </c>
    </row>
    <row r="102" spans="2:19">
      <c r="B102" s="1314">
        <f>B101+1</f>
        <v>66</v>
      </c>
      <c r="D102" s="1008" t="s">
        <v>1361</v>
      </c>
      <c r="I102" s="1334"/>
      <c r="J102" s="1327" t="str">
        <f>"(Col. "&amp;L77&amp;", Line "&amp;B100&amp;" + Line "&amp;B101&amp;")"</f>
        <v>(Col. (H), Line 64 + Line 65)</v>
      </c>
      <c r="L102" s="1340">
        <f>L100+L101</f>
        <v>-0.35354546410962939</v>
      </c>
      <c r="M102" s="1334"/>
      <c r="N102" s="1327" t="str">
        <f>"(Col. "&amp;R77&amp;", Line "&amp;B100&amp;" + Line "&amp;B101&amp;")"</f>
        <v>(Col. (M), Line 64 + Line 65)</v>
      </c>
      <c r="R102" s="1340">
        <f>R100+R101</f>
        <v>0</v>
      </c>
    </row>
    <row r="103" spans="2:19">
      <c r="I103" s="1334"/>
      <c r="L103" s="1340"/>
      <c r="M103" s="1334"/>
      <c r="R103" s="1340"/>
    </row>
    <row r="104" spans="2:19">
      <c r="B104" s="1314">
        <f>B102+1</f>
        <v>67</v>
      </c>
      <c r="D104" s="1008" t="s">
        <v>1000</v>
      </c>
      <c r="I104" s="1334"/>
      <c r="J104" s="1327" t="str">
        <f>"([Col. "&amp;L77&amp;", Line "&amp;B98&amp;" + Line "&amp;B102&amp;"] /2)"</f>
        <v>([Col. (H), Line 63 + Line 66] /2)</v>
      </c>
      <c r="L104" s="1324">
        <f>(L98+L102)/2</f>
        <v>-626663.05935228115</v>
      </c>
      <c r="M104" s="1334"/>
      <c r="N104" s="1327" t="str">
        <f>"([Col. "&amp;R77&amp;", Line "&amp;B98&amp;" + Line "&amp;B102&amp;"] /2)"</f>
        <v>([Col. (M), Line 63 + Line 66] /2)</v>
      </c>
      <c r="R104" s="1324">
        <f>(R98+R102)/2</f>
        <v>0</v>
      </c>
    </row>
    <row r="105" spans="2:19">
      <c r="B105" s="1314">
        <f>B104+1</f>
        <v>68</v>
      </c>
      <c r="D105" s="1426" t="s">
        <v>1362</v>
      </c>
      <c r="E105" s="1333"/>
      <c r="F105" s="1333"/>
      <c r="G105" s="1333"/>
      <c r="H105" s="1334"/>
      <c r="I105" s="1334"/>
      <c r="J105" s="1327" t="str">
        <f>"(Col. "&amp;L77&amp;", Line "&amp;B93&amp;" )"</f>
        <v>(Col. (H), Line 59 )</v>
      </c>
      <c r="K105" s="1335"/>
      <c r="L105" s="1324">
        <f>L93</f>
        <v>0</v>
      </c>
      <c r="M105" s="1334"/>
      <c r="N105" s="1327" t="str">
        <f>"(Col. "&amp;R77&amp;", Line "&amp;B93&amp;" )"</f>
        <v>(Col. (M), Line 59 )</v>
      </c>
      <c r="R105" s="1324">
        <f>R93</f>
        <v>0</v>
      </c>
    </row>
    <row r="106" spans="2:19" ht="13.5" thickBot="1">
      <c r="B106" s="1314">
        <f>B105+1</f>
        <v>69</v>
      </c>
      <c r="D106" s="1341" t="s">
        <v>1367</v>
      </c>
      <c r="E106" s="1333"/>
      <c r="F106" s="1333"/>
      <c r="G106" s="1333"/>
      <c r="H106" s="1334"/>
      <c r="I106" s="1334"/>
      <c r="J106" s="1327" t="str">
        <f>"(Col. "&amp;L77&amp;", Line "&amp;B104&amp;" + Line "&amp;B105&amp;")"</f>
        <v>(Col. (H), Line 67 + Line 68)</v>
      </c>
      <c r="K106" s="1335"/>
      <c r="L106" s="1342">
        <f>L104+L105</f>
        <v>-626663.05935228115</v>
      </c>
      <c r="M106" s="1334"/>
      <c r="N106" s="1327" t="str">
        <f>"(Col. "&amp;R77&amp;", Line "&amp;B104&amp;" + Line "&amp;B105&amp;")"</f>
        <v>(Col. (M), Line 67 + Line 68)</v>
      </c>
      <c r="R106" s="1342">
        <f>R104+R105</f>
        <v>0</v>
      </c>
    </row>
    <row r="107" spans="2:19">
      <c r="D107" s="1333"/>
      <c r="E107" s="1333"/>
      <c r="F107" s="1333"/>
      <c r="G107" s="1333"/>
      <c r="H107" s="1334"/>
      <c r="I107" s="1334"/>
      <c r="K107" s="1335"/>
      <c r="L107" s="1334"/>
      <c r="M107" s="1334"/>
      <c r="O107" s="1335"/>
      <c r="P107" s="1335"/>
      <c r="Q107" s="1335"/>
      <c r="R107" s="1334"/>
      <c r="S107" s="1334"/>
    </row>
    <row r="108" spans="2:19">
      <c r="D108" s="1333"/>
      <c r="E108" s="1333"/>
      <c r="F108" s="1333" t="s">
        <v>86</v>
      </c>
      <c r="G108" s="1333"/>
      <c r="H108" s="1334"/>
      <c r="I108" s="1334"/>
      <c r="K108" s="1335"/>
      <c r="L108" s="1334"/>
      <c r="M108" s="1334"/>
      <c r="O108" s="1335"/>
      <c r="P108" s="1335"/>
      <c r="Q108" s="1335"/>
      <c r="R108" s="1334"/>
      <c r="S108" s="1334"/>
    </row>
    <row r="109" spans="2:19" ht="13">
      <c r="D109" s="1748" t="s">
        <v>1368</v>
      </c>
      <c r="E109" s="1748"/>
      <c r="F109" s="1748"/>
      <c r="G109" s="1748"/>
      <c r="H109" s="1749"/>
      <c r="I109" s="1334"/>
      <c r="J109" s="1749" t="s">
        <v>1369</v>
      </c>
      <c r="K109" s="1749"/>
      <c r="L109" s="1749"/>
      <c r="M109" s="1749"/>
      <c r="N109" s="1749"/>
      <c r="O109" s="1335"/>
      <c r="P109" s="1335"/>
      <c r="Q109" s="1335"/>
      <c r="R109" s="1334"/>
      <c r="S109" s="1334"/>
    </row>
    <row r="110" spans="2:19" ht="12.75" customHeight="1">
      <c r="B110" s="1750" t="s">
        <v>1305</v>
      </c>
      <c r="C110" s="1635"/>
      <c r="D110" s="1630" t="s">
        <v>174</v>
      </c>
      <c r="E110" s="1631"/>
      <c r="F110" s="1630" t="s">
        <v>175</v>
      </c>
      <c r="G110" s="1632"/>
      <c r="H110" s="1629" t="s">
        <v>1294</v>
      </c>
      <c r="I110" s="1315"/>
      <c r="J110" s="1630" t="s">
        <v>1295</v>
      </c>
      <c r="K110" s="1631"/>
      <c r="L110" s="1630" t="s">
        <v>1296</v>
      </c>
      <c r="M110" s="1632"/>
      <c r="N110" s="1629" t="s">
        <v>1297</v>
      </c>
    </row>
    <row r="111" spans="2:19" ht="26">
      <c r="B111" s="1751"/>
      <c r="C111" s="1635"/>
      <c r="D111" s="1427" t="s">
        <v>1370</v>
      </c>
      <c r="E111" s="1428"/>
      <c r="F111" s="1429" t="s">
        <v>1371</v>
      </c>
      <c r="G111" s="1430"/>
      <c r="H111" s="1431" t="s">
        <v>1372</v>
      </c>
      <c r="J111" s="1432" t="s">
        <v>1370</v>
      </c>
      <c r="K111" s="1433"/>
      <c r="L111" s="1434" t="s">
        <v>1371</v>
      </c>
      <c r="M111" s="1435"/>
      <c r="N111" s="1431" t="s">
        <v>1372</v>
      </c>
      <c r="O111" s="1335"/>
      <c r="P111" s="1335"/>
      <c r="Q111" s="1335"/>
      <c r="R111" s="1334"/>
      <c r="S111" s="1334"/>
    </row>
    <row r="112" spans="2:19" ht="5.15" customHeight="1">
      <c r="B112" s="1008"/>
      <c r="E112" s="1333"/>
      <c r="K112" s="1333"/>
      <c r="O112" s="1335"/>
      <c r="P112" s="1335"/>
      <c r="Q112" s="1335"/>
      <c r="R112" s="1334"/>
      <c r="S112" s="1334"/>
    </row>
    <row r="113" spans="2:19">
      <c r="B113" s="1314">
        <f>B106+1</f>
        <v>70</v>
      </c>
      <c r="D113" s="1436" t="s">
        <v>1373</v>
      </c>
      <c r="F113" s="1437" t="str">
        <f>"(Col. "&amp;L11&amp;", Line "&amp;B40&amp;")"</f>
        <v>(Col. (H), Line 23)</v>
      </c>
      <c r="G113" s="1438"/>
      <c r="H113" s="1439">
        <f>L40</f>
        <v>3466995.6354048611</v>
      </c>
      <c r="I113" s="1438"/>
      <c r="J113" s="1436" t="s">
        <v>1373</v>
      </c>
      <c r="L113" s="1437" t="str">
        <f>"(Col. "&amp;R11&amp;", Line "&amp;B40&amp;")"</f>
        <v>(Col. (M), Line 23)</v>
      </c>
      <c r="M113" s="1438"/>
      <c r="N113" s="1439">
        <f>R40</f>
        <v>0</v>
      </c>
      <c r="O113" s="1335"/>
      <c r="P113" s="1335"/>
      <c r="Q113" s="1335"/>
      <c r="R113" s="1334"/>
      <c r="S113" s="1334"/>
    </row>
    <row r="114" spans="2:19">
      <c r="B114" s="1314">
        <f>B113+1</f>
        <v>71</v>
      </c>
      <c r="D114" s="1436" t="s">
        <v>1374</v>
      </c>
      <c r="F114" s="1437" t="str">
        <f>"(Col. "&amp;L44&amp;", Line "&amp;B73&amp;")"</f>
        <v>(Col. (H), Line 46)</v>
      </c>
      <c r="H114" s="1440">
        <f>L73</f>
        <v>-65555540.805106267</v>
      </c>
      <c r="J114" s="1436" t="s">
        <v>1374</v>
      </c>
      <c r="L114" s="1437" t="str">
        <f>"(Col. "&amp;R44&amp;", Line "&amp;B73&amp;")"</f>
        <v>(Col. (M), Line 46)</v>
      </c>
      <c r="N114" s="1440">
        <f>R73</f>
        <v>0</v>
      </c>
      <c r="O114" s="1335"/>
      <c r="P114" s="1335"/>
      <c r="Q114" s="1335"/>
      <c r="R114" s="1334"/>
      <c r="S114" s="1334"/>
    </row>
    <row r="115" spans="2:19">
      <c r="B115" s="1314">
        <f>B114+1</f>
        <v>72</v>
      </c>
      <c r="D115" s="1436" t="s">
        <v>1375</v>
      </c>
      <c r="F115" s="1437" t="str">
        <f>"(Col. "&amp;L77&amp;", Line "&amp;B106&amp;")"</f>
        <v>(Col. (H), Line 69)</v>
      </c>
      <c r="H115" s="1440">
        <f>L106</f>
        <v>-626663.05935228115</v>
      </c>
      <c r="J115" s="1436" t="s">
        <v>1375</v>
      </c>
      <c r="L115" s="1437" t="str">
        <f>"(Col. "&amp;R77&amp;", Line "&amp;B106&amp;")"</f>
        <v>(Col. (M), Line 69)</v>
      </c>
      <c r="N115" s="1440">
        <f>R106</f>
        <v>0</v>
      </c>
      <c r="O115" s="1335"/>
      <c r="P115" s="1335"/>
      <c r="Q115" s="1335"/>
      <c r="R115" s="1334"/>
      <c r="S115" s="1334"/>
    </row>
    <row r="116" spans="2:19" ht="5.15" customHeight="1">
      <c r="D116" s="1333"/>
      <c r="E116" s="1333"/>
      <c r="J116" s="1333"/>
      <c r="K116" s="1333"/>
      <c r="O116" s="1335"/>
      <c r="P116" s="1335"/>
      <c r="Q116" s="1335"/>
      <c r="R116" s="1334"/>
      <c r="S116" s="1334"/>
    </row>
    <row r="117" spans="2:19" ht="13">
      <c r="B117" s="1314">
        <f>B115+1</f>
        <v>73</v>
      </c>
      <c r="D117" s="12" t="s">
        <v>1211</v>
      </c>
      <c r="E117" s="1333"/>
      <c r="F117" s="1437" t="s">
        <v>1758</v>
      </c>
      <c r="G117" s="1441"/>
      <c r="H117" s="1442">
        <f>SUM(H113:H116)</f>
        <v>-62715208.229053684</v>
      </c>
      <c r="I117" s="1441"/>
      <c r="J117" s="12" t="s">
        <v>1211</v>
      </c>
      <c r="K117" s="1333"/>
      <c r="L117" s="1443" t="s">
        <v>1758</v>
      </c>
      <c r="M117" s="1441"/>
      <c r="N117" s="1442">
        <f>SUM(N113:N116)</f>
        <v>0</v>
      </c>
      <c r="O117" s="1335"/>
      <c r="P117" s="1335"/>
      <c r="Q117" s="1335"/>
      <c r="R117" s="1334"/>
      <c r="S117" s="1334"/>
    </row>
    <row r="118" spans="2:19">
      <c r="D118" s="1333"/>
      <c r="E118" s="1333"/>
      <c r="F118" s="1333"/>
      <c r="G118" s="1333"/>
      <c r="H118" s="1333"/>
      <c r="I118" s="1334"/>
      <c r="J118" s="1335"/>
      <c r="K118" s="1335"/>
      <c r="L118" s="1334"/>
      <c r="M118" s="1334"/>
      <c r="O118" s="1335"/>
      <c r="P118" s="1335"/>
      <c r="Q118" s="1335"/>
      <c r="R118" s="1334"/>
      <c r="S118" s="1334"/>
    </row>
    <row r="119" spans="2:19">
      <c r="D119" s="1333"/>
      <c r="E119" s="1333"/>
      <c r="F119" s="1333"/>
      <c r="G119" s="1333"/>
      <c r="H119" s="1334"/>
      <c r="I119" s="1334"/>
      <c r="K119" s="1335"/>
      <c r="L119" s="1334"/>
      <c r="M119" s="1334"/>
      <c r="O119" s="1335"/>
      <c r="P119" s="1335"/>
      <c r="Q119" s="1335"/>
      <c r="R119" s="1334"/>
      <c r="S119" s="1334"/>
    </row>
    <row r="120" spans="2:19" ht="15.75" customHeight="1">
      <c r="B120" s="1747" t="s">
        <v>1376</v>
      </c>
      <c r="C120" s="1747"/>
      <c r="D120" s="1747"/>
      <c r="E120" s="1747"/>
      <c r="F120" s="1747"/>
      <c r="G120" s="1747"/>
      <c r="H120" s="1747"/>
      <c r="I120" s="1747"/>
      <c r="J120" s="1747"/>
      <c r="K120" s="1747"/>
      <c r="L120" s="1747"/>
      <c r="M120" s="1747"/>
      <c r="N120" s="1747"/>
      <c r="O120" s="1747"/>
      <c r="P120" s="1747"/>
      <c r="Q120" s="1747"/>
      <c r="R120" s="1747"/>
    </row>
    <row r="121" spans="2:19" ht="13">
      <c r="D121" s="1311"/>
    </row>
    <row r="122" spans="2:19" ht="13">
      <c r="D122" s="1311" t="s">
        <v>1352</v>
      </c>
      <c r="J122" s="1737"/>
      <c r="K122" s="1737"/>
      <c r="L122" s="1737"/>
      <c r="N122" s="1737"/>
      <c r="O122" s="1737"/>
      <c r="P122" s="1737"/>
      <c r="Q122" s="1737"/>
      <c r="R122" s="1737"/>
    </row>
    <row r="123" spans="2:19" ht="13">
      <c r="D123" s="1730" t="s">
        <v>912</v>
      </c>
      <c r="E123" s="1731"/>
      <c r="F123" s="1731"/>
      <c r="G123" s="1731"/>
      <c r="H123" s="1732"/>
      <c r="I123" s="1315"/>
      <c r="J123" s="1733" t="s">
        <v>1353</v>
      </c>
      <c r="K123" s="1734"/>
      <c r="L123" s="1735"/>
      <c r="M123" s="1315"/>
      <c r="N123" s="1733" t="s">
        <v>1354</v>
      </c>
      <c r="O123" s="1734"/>
      <c r="P123" s="1734"/>
      <c r="Q123" s="1734"/>
      <c r="R123" s="1735"/>
      <c r="S123" s="1315"/>
    </row>
    <row r="124" spans="2:19" ht="13">
      <c r="D124" s="1316" t="s">
        <v>174</v>
      </c>
      <c r="E124" s="1316" t="s">
        <v>175</v>
      </c>
      <c r="F124" s="1316" t="s">
        <v>1294</v>
      </c>
      <c r="G124" s="1316" t="s">
        <v>1295</v>
      </c>
      <c r="H124" s="1316" t="s">
        <v>1296</v>
      </c>
      <c r="I124" s="1315"/>
      <c r="J124" s="1316" t="s">
        <v>1297</v>
      </c>
      <c r="K124" s="1316" t="s">
        <v>1298</v>
      </c>
      <c r="L124" s="1316" t="s">
        <v>1299</v>
      </c>
      <c r="M124" s="1315"/>
      <c r="N124" s="1316" t="s">
        <v>1300</v>
      </c>
      <c r="O124" s="1316" t="s">
        <v>1301</v>
      </c>
      <c r="P124" s="1316" t="s">
        <v>1302</v>
      </c>
      <c r="Q124" s="1316" t="s">
        <v>1303</v>
      </c>
      <c r="R124" s="1316" t="s">
        <v>1304</v>
      </c>
      <c r="S124" s="1315"/>
    </row>
    <row r="125" spans="2:19" ht="63" customHeight="1">
      <c r="B125" s="1317" t="s">
        <v>1305</v>
      </c>
      <c r="D125" s="1318" t="s">
        <v>169</v>
      </c>
      <c r="E125" s="1318" t="s">
        <v>913</v>
      </c>
      <c r="F125" s="1318" t="s">
        <v>1005</v>
      </c>
      <c r="G125" s="1318" t="s">
        <v>1004</v>
      </c>
      <c r="H125" s="1318" t="s">
        <v>1306</v>
      </c>
      <c r="I125" s="1636"/>
      <c r="J125" s="1318" t="s">
        <v>916</v>
      </c>
      <c r="K125" s="1318" t="s">
        <v>1307</v>
      </c>
      <c r="L125" s="1318" t="s">
        <v>1308</v>
      </c>
      <c r="M125" s="1636"/>
      <c r="N125" s="1318" t="s">
        <v>1003</v>
      </c>
      <c r="O125" s="1318" t="s">
        <v>1309</v>
      </c>
      <c r="P125" s="1318" t="s">
        <v>1310</v>
      </c>
      <c r="Q125" s="1318" t="s">
        <v>1311</v>
      </c>
      <c r="R125" s="1318" t="s">
        <v>1312</v>
      </c>
      <c r="S125" s="1636"/>
    </row>
    <row r="126" spans="2:19">
      <c r="E126" s="1636"/>
      <c r="F126" s="1636"/>
      <c r="G126" s="1636"/>
      <c r="H126" s="1636"/>
      <c r="I126" s="1636"/>
      <c r="J126" s="1636"/>
      <c r="K126" s="1636"/>
      <c r="L126" s="1636"/>
      <c r="M126" s="1636"/>
      <c r="N126" s="1636"/>
      <c r="O126" s="1636"/>
      <c r="P126" s="1636"/>
      <c r="Q126" s="1636"/>
      <c r="R126" s="1636"/>
      <c r="S126" s="1636"/>
    </row>
    <row r="127" spans="2:19">
      <c r="B127" s="1314">
        <f>B117+1</f>
        <v>74</v>
      </c>
      <c r="D127" s="1008" t="s">
        <v>1355</v>
      </c>
      <c r="E127" s="1636"/>
      <c r="F127" s="1636"/>
      <c r="G127" s="1636"/>
      <c r="H127" s="1636"/>
      <c r="I127" s="1636"/>
      <c r="J127" s="1319" t="s">
        <v>1802</v>
      </c>
      <c r="K127" s="1636"/>
      <c r="L127" s="1319">
        <v>0</v>
      </c>
      <c r="M127" s="1636"/>
      <c r="N127" s="1319"/>
      <c r="O127" s="1636"/>
      <c r="P127" s="1636"/>
      <c r="Q127" s="1636"/>
      <c r="R127" s="1319">
        <v>0</v>
      </c>
      <c r="S127" s="1636"/>
    </row>
    <row r="128" spans="2:19">
      <c r="E128" s="1636"/>
      <c r="F128" s="1636"/>
      <c r="G128" s="1636"/>
      <c r="H128" s="1636"/>
      <c r="I128" s="1636"/>
      <c r="J128" s="1636"/>
      <c r="K128" s="1636"/>
      <c r="L128" s="1636"/>
      <c r="M128" s="1636"/>
      <c r="N128" s="1636"/>
      <c r="O128" s="1636"/>
      <c r="P128" s="1636"/>
      <c r="Q128" s="1636"/>
      <c r="R128" s="1636"/>
      <c r="S128" s="1636"/>
    </row>
    <row r="129" spans="2:19">
      <c r="B129" s="1314">
        <f>B127+1</f>
        <v>75</v>
      </c>
      <c r="D129" s="1320" t="s">
        <v>525</v>
      </c>
      <c r="E129" s="1319">
        <v>31</v>
      </c>
      <c r="F129" s="1321">
        <v>0</v>
      </c>
      <c r="G129" s="1321">
        <v>214</v>
      </c>
      <c r="H129" s="1322">
        <f t="shared" ref="H129:H140" si="30">IF(F129=0,0.5,F129/G129)</f>
        <v>0.5</v>
      </c>
      <c r="I129" s="1323"/>
      <c r="J129" s="1319">
        <v>0</v>
      </c>
      <c r="K129" s="1324">
        <f t="shared" ref="K129:K136" si="31">+J129*H129</f>
        <v>0</v>
      </c>
      <c r="L129" s="1324">
        <f>+K129+L127</f>
        <v>0</v>
      </c>
      <c r="M129" s="1323"/>
      <c r="N129" s="1319">
        <v>0</v>
      </c>
      <c r="O129" s="1324">
        <f>IF($D$237="True-Up Adjustment",N129-J129,0)</f>
        <v>0</v>
      </c>
      <c r="P129" s="1324">
        <f>IF($D$237="True-Up Adjustment",IF(AND(J129&gt;=0,N129&gt;=0),IF(O129&gt;=0,K129+O129,N129/J129*K129),IF(AND(J129&lt;0,N129&lt;0),IF(O129&lt;0,K129+O129,N129/J129*K129),0)),0)</f>
        <v>0</v>
      </c>
      <c r="Q129" s="1324">
        <f t="shared" ref="Q129:Q140" si="32">IF(AND(J129&gt;=0,N129&lt;0),N129,IF(AND(J129&lt;0,N129&gt;=0),N129,0))</f>
        <v>0</v>
      </c>
      <c r="R129" s="1324">
        <f>+Q129+R127</f>
        <v>0</v>
      </c>
      <c r="S129" s="1323"/>
    </row>
    <row r="130" spans="2:19">
      <c r="B130" s="1314">
        <f t="shared" ref="B130:B141" si="33">+B129+1</f>
        <v>76</v>
      </c>
      <c r="D130" s="1320" t="s">
        <v>526</v>
      </c>
      <c r="E130" s="1319">
        <v>28</v>
      </c>
      <c r="F130" s="1321">
        <v>0</v>
      </c>
      <c r="G130" s="1321">
        <f t="shared" ref="G130:G140" si="34">G129</f>
        <v>214</v>
      </c>
      <c r="H130" s="1322">
        <f t="shared" si="30"/>
        <v>0.5</v>
      </c>
      <c r="I130" s="1323"/>
      <c r="J130" s="1319">
        <v>0</v>
      </c>
      <c r="K130" s="1324">
        <f t="shared" si="31"/>
        <v>0</v>
      </c>
      <c r="L130" s="1324">
        <f t="shared" ref="L130:L140" si="35">+K130+L129</f>
        <v>0</v>
      </c>
      <c r="M130" s="1323"/>
      <c r="N130" s="1319">
        <v>0</v>
      </c>
      <c r="O130" s="1324">
        <f t="shared" ref="O130:O140" si="36">IF($D$237="True-Up Adjustment",N130-J130,0)</f>
        <v>0</v>
      </c>
      <c r="P130" s="1324">
        <f t="shared" ref="P130:P140" si="37">IF($D$237="True-Up Adjustment",IF(AND(J130&gt;=0,N130&gt;=0),IF(O130&gt;=0,K130+O130,N130/J130*K130),IF(AND(J130&lt;0,N130&lt;0),IF(O130&lt;0,K130+O130,N130/J130*K130),0)),0)</f>
        <v>0</v>
      </c>
      <c r="Q130" s="1324">
        <f t="shared" si="32"/>
        <v>0</v>
      </c>
      <c r="R130" s="1324">
        <f t="shared" ref="R130:R140" si="38">R129+P130+Q130</f>
        <v>0</v>
      </c>
      <c r="S130" s="1323"/>
    </row>
    <row r="131" spans="2:19">
      <c r="B131" s="1314">
        <f t="shared" si="33"/>
        <v>77</v>
      </c>
      <c r="D131" s="1320" t="s">
        <v>545</v>
      </c>
      <c r="E131" s="1319">
        <v>31</v>
      </c>
      <c r="F131" s="1321">
        <v>0</v>
      </c>
      <c r="G131" s="1321">
        <f t="shared" si="34"/>
        <v>214</v>
      </c>
      <c r="H131" s="1322">
        <f t="shared" si="30"/>
        <v>0.5</v>
      </c>
      <c r="I131" s="1323"/>
      <c r="J131" s="1319">
        <v>0</v>
      </c>
      <c r="K131" s="1324">
        <f t="shared" si="31"/>
        <v>0</v>
      </c>
      <c r="L131" s="1324">
        <f t="shared" si="35"/>
        <v>0</v>
      </c>
      <c r="M131" s="1323"/>
      <c r="N131" s="1319">
        <v>0</v>
      </c>
      <c r="O131" s="1324">
        <f t="shared" si="36"/>
        <v>0</v>
      </c>
      <c r="P131" s="1324">
        <f t="shared" si="37"/>
        <v>0</v>
      </c>
      <c r="Q131" s="1324">
        <f t="shared" si="32"/>
        <v>0</v>
      </c>
      <c r="R131" s="1324">
        <f t="shared" si="38"/>
        <v>0</v>
      </c>
      <c r="S131" s="1323"/>
    </row>
    <row r="132" spans="2:19">
      <c r="B132" s="1314">
        <f t="shared" si="33"/>
        <v>78</v>
      </c>
      <c r="D132" s="1320" t="s">
        <v>171</v>
      </c>
      <c r="E132" s="1319">
        <v>30</v>
      </c>
      <c r="F132" s="1321">
        <v>0</v>
      </c>
      <c r="G132" s="1321">
        <f t="shared" si="34"/>
        <v>214</v>
      </c>
      <c r="H132" s="1322">
        <f t="shared" si="30"/>
        <v>0.5</v>
      </c>
      <c r="I132" s="1323"/>
      <c r="J132" s="1319">
        <v>0</v>
      </c>
      <c r="K132" s="1324">
        <f t="shared" si="31"/>
        <v>0</v>
      </c>
      <c r="L132" s="1324">
        <f t="shared" si="35"/>
        <v>0</v>
      </c>
      <c r="M132" s="1323"/>
      <c r="N132" s="1319">
        <v>0</v>
      </c>
      <c r="O132" s="1324">
        <f t="shared" si="36"/>
        <v>0</v>
      </c>
      <c r="P132" s="1324">
        <f t="shared" si="37"/>
        <v>0</v>
      </c>
      <c r="Q132" s="1324">
        <f t="shared" si="32"/>
        <v>0</v>
      </c>
      <c r="R132" s="1324">
        <f t="shared" si="38"/>
        <v>0</v>
      </c>
      <c r="S132" s="1323"/>
    </row>
    <row r="133" spans="2:19">
      <c r="B133" s="1314">
        <f t="shared" si="33"/>
        <v>79</v>
      </c>
      <c r="D133" s="1320" t="s">
        <v>172</v>
      </c>
      <c r="E133" s="1319">
        <v>31</v>
      </c>
      <c r="F133" s="1321">
        <v>0</v>
      </c>
      <c r="G133" s="1321">
        <f t="shared" si="34"/>
        <v>214</v>
      </c>
      <c r="H133" s="1322">
        <f t="shared" si="30"/>
        <v>0.5</v>
      </c>
      <c r="I133" s="1323"/>
      <c r="J133" s="1319">
        <v>0</v>
      </c>
      <c r="K133" s="1324">
        <f t="shared" si="31"/>
        <v>0</v>
      </c>
      <c r="L133" s="1324">
        <f t="shared" si="35"/>
        <v>0</v>
      </c>
      <c r="M133" s="1323"/>
      <c r="N133" s="1319">
        <v>0</v>
      </c>
      <c r="O133" s="1324">
        <f t="shared" si="36"/>
        <v>0</v>
      </c>
      <c r="P133" s="1324">
        <f t="shared" si="37"/>
        <v>0</v>
      </c>
      <c r="Q133" s="1324">
        <f t="shared" si="32"/>
        <v>0</v>
      </c>
      <c r="R133" s="1324">
        <f t="shared" si="38"/>
        <v>0</v>
      </c>
      <c r="S133" s="1323"/>
    </row>
    <row r="134" spans="2:19">
      <c r="B134" s="1314">
        <f t="shared" si="33"/>
        <v>80</v>
      </c>
      <c r="D134" s="1320" t="s">
        <v>173</v>
      </c>
      <c r="E134" s="1319">
        <v>30</v>
      </c>
      <c r="F134" s="1321">
        <f t="shared" ref="F134:F139" si="39">E135+F135</f>
        <v>185</v>
      </c>
      <c r="G134" s="1321">
        <f t="shared" si="34"/>
        <v>214</v>
      </c>
      <c r="H134" s="1322">
        <f t="shared" si="30"/>
        <v>0.86448598130841126</v>
      </c>
      <c r="I134" s="1323"/>
      <c r="J134" s="1319">
        <v>0</v>
      </c>
      <c r="K134" s="1324">
        <f t="shared" si="31"/>
        <v>0</v>
      </c>
      <c r="L134" s="1324">
        <f t="shared" si="35"/>
        <v>0</v>
      </c>
      <c r="M134" s="1323"/>
      <c r="N134" s="1319">
        <v>0</v>
      </c>
      <c r="O134" s="1324">
        <f t="shared" si="36"/>
        <v>0</v>
      </c>
      <c r="P134" s="1324">
        <f t="shared" si="37"/>
        <v>0</v>
      </c>
      <c r="Q134" s="1324">
        <f t="shared" si="32"/>
        <v>0</v>
      </c>
      <c r="R134" s="1324">
        <f t="shared" si="38"/>
        <v>0</v>
      </c>
      <c r="S134" s="1323"/>
    </row>
    <row r="135" spans="2:19">
      <c r="B135" s="1314">
        <f t="shared" si="33"/>
        <v>81</v>
      </c>
      <c r="D135" s="1320" t="s">
        <v>528</v>
      </c>
      <c r="E135" s="1319">
        <v>31</v>
      </c>
      <c r="F135" s="1321">
        <f t="shared" si="39"/>
        <v>154</v>
      </c>
      <c r="G135" s="1321">
        <f t="shared" si="34"/>
        <v>214</v>
      </c>
      <c r="H135" s="1322">
        <f t="shared" si="30"/>
        <v>0.71962616822429903</v>
      </c>
      <c r="I135" s="1323"/>
      <c r="J135" s="1319">
        <v>0</v>
      </c>
      <c r="K135" s="1324">
        <f t="shared" si="31"/>
        <v>0</v>
      </c>
      <c r="L135" s="1324">
        <f t="shared" si="35"/>
        <v>0</v>
      </c>
      <c r="M135" s="1323"/>
      <c r="N135" s="1319">
        <v>0</v>
      </c>
      <c r="O135" s="1324">
        <f t="shared" si="36"/>
        <v>0</v>
      </c>
      <c r="P135" s="1324">
        <f t="shared" si="37"/>
        <v>0</v>
      </c>
      <c r="Q135" s="1324">
        <f t="shared" si="32"/>
        <v>0</v>
      </c>
      <c r="R135" s="1324">
        <f t="shared" si="38"/>
        <v>0</v>
      </c>
      <c r="S135" s="1323"/>
    </row>
    <row r="136" spans="2:19">
      <c r="B136" s="1314">
        <f t="shared" si="33"/>
        <v>82</v>
      </c>
      <c r="D136" s="1320" t="s">
        <v>546</v>
      </c>
      <c r="E136" s="1319">
        <v>31</v>
      </c>
      <c r="F136" s="1321">
        <f t="shared" si="39"/>
        <v>123</v>
      </c>
      <c r="G136" s="1321">
        <f t="shared" si="34"/>
        <v>214</v>
      </c>
      <c r="H136" s="1322">
        <f t="shared" si="30"/>
        <v>0.57476635514018692</v>
      </c>
      <c r="I136" s="1323"/>
      <c r="J136" s="1319">
        <v>0</v>
      </c>
      <c r="K136" s="1324">
        <f t="shared" si="31"/>
        <v>0</v>
      </c>
      <c r="L136" s="1324">
        <f t="shared" si="35"/>
        <v>0</v>
      </c>
      <c r="M136" s="1323"/>
      <c r="N136" s="1319">
        <v>0</v>
      </c>
      <c r="O136" s="1324">
        <f t="shared" si="36"/>
        <v>0</v>
      </c>
      <c r="P136" s="1324">
        <f t="shared" si="37"/>
        <v>0</v>
      </c>
      <c r="Q136" s="1324">
        <f t="shared" si="32"/>
        <v>0</v>
      </c>
      <c r="R136" s="1324">
        <f t="shared" si="38"/>
        <v>0</v>
      </c>
      <c r="S136" s="1323"/>
    </row>
    <row r="137" spans="2:19">
      <c r="B137" s="1314">
        <f t="shared" si="33"/>
        <v>83</v>
      </c>
      <c r="D137" s="1320" t="s">
        <v>530</v>
      </c>
      <c r="E137" s="1319">
        <v>30</v>
      </c>
      <c r="F137" s="1321">
        <f t="shared" si="39"/>
        <v>93</v>
      </c>
      <c r="G137" s="1321">
        <f t="shared" si="34"/>
        <v>214</v>
      </c>
      <c r="H137" s="1322">
        <f t="shared" si="30"/>
        <v>0.43457943925233644</v>
      </c>
      <c r="I137" s="1323"/>
      <c r="J137" s="1319">
        <v>0</v>
      </c>
      <c r="K137" s="1324">
        <f>+J137*H137</f>
        <v>0</v>
      </c>
      <c r="L137" s="1324">
        <f t="shared" si="35"/>
        <v>0</v>
      </c>
      <c r="M137" s="1323"/>
      <c r="N137" s="1319">
        <v>0</v>
      </c>
      <c r="O137" s="1324">
        <f t="shared" si="36"/>
        <v>0</v>
      </c>
      <c r="P137" s="1324">
        <f t="shared" si="37"/>
        <v>0</v>
      </c>
      <c r="Q137" s="1324">
        <f t="shared" si="32"/>
        <v>0</v>
      </c>
      <c r="R137" s="1324">
        <f t="shared" si="38"/>
        <v>0</v>
      </c>
      <c r="S137" s="1323"/>
    </row>
    <row r="138" spans="2:19">
      <c r="B138" s="1314">
        <f t="shared" si="33"/>
        <v>84</v>
      </c>
      <c r="D138" s="1320" t="s">
        <v>531</v>
      </c>
      <c r="E138" s="1319">
        <v>31</v>
      </c>
      <c r="F138" s="1321">
        <f t="shared" si="39"/>
        <v>62</v>
      </c>
      <c r="G138" s="1321">
        <f t="shared" si="34"/>
        <v>214</v>
      </c>
      <c r="H138" s="1322">
        <f t="shared" si="30"/>
        <v>0.28971962616822428</v>
      </c>
      <c r="I138" s="1323"/>
      <c r="J138" s="1319">
        <v>0</v>
      </c>
      <c r="K138" s="1324">
        <f t="shared" ref="K138:K140" si="40">+J138*H138</f>
        <v>0</v>
      </c>
      <c r="L138" s="1324">
        <f t="shared" si="35"/>
        <v>0</v>
      </c>
      <c r="M138" s="1323"/>
      <c r="N138" s="1319">
        <v>0</v>
      </c>
      <c r="O138" s="1324">
        <f t="shared" si="36"/>
        <v>0</v>
      </c>
      <c r="P138" s="1324">
        <f t="shared" si="37"/>
        <v>0</v>
      </c>
      <c r="Q138" s="1324">
        <f t="shared" si="32"/>
        <v>0</v>
      </c>
      <c r="R138" s="1324">
        <f t="shared" si="38"/>
        <v>0</v>
      </c>
      <c r="S138" s="1323"/>
    </row>
    <row r="139" spans="2:19">
      <c r="B139" s="1314">
        <f t="shared" si="33"/>
        <v>85</v>
      </c>
      <c r="D139" s="1320" t="s">
        <v>532</v>
      </c>
      <c r="E139" s="1319">
        <v>30</v>
      </c>
      <c r="F139" s="1321">
        <f t="shared" si="39"/>
        <v>32</v>
      </c>
      <c r="G139" s="1321">
        <f t="shared" si="34"/>
        <v>214</v>
      </c>
      <c r="H139" s="1322">
        <f t="shared" si="30"/>
        <v>0.14953271028037382</v>
      </c>
      <c r="I139" s="1323"/>
      <c r="J139" s="1319">
        <v>0</v>
      </c>
      <c r="K139" s="1324">
        <f t="shared" si="40"/>
        <v>0</v>
      </c>
      <c r="L139" s="1324">
        <f t="shared" si="35"/>
        <v>0</v>
      </c>
      <c r="M139" s="1323"/>
      <c r="N139" s="1319">
        <v>0</v>
      </c>
      <c r="O139" s="1324">
        <f t="shared" si="36"/>
        <v>0</v>
      </c>
      <c r="P139" s="1324">
        <f t="shared" si="37"/>
        <v>0</v>
      </c>
      <c r="Q139" s="1324">
        <f t="shared" si="32"/>
        <v>0</v>
      </c>
      <c r="R139" s="1324">
        <f t="shared" si="38"/>
        <v>0</v>
      </c>
      <c r="S139" s="1323"/>
    </row>
    <row r="140" spans="2:19">
      <c r="B140" s="1314">
        <f t="shared" si="33"/>
        <v>86</v>
      </c>
      <c r="D140" s="1325" t="s">
        <v>749</v>
      </c>
      <c r="E140" s="1319">
        <v>31</v>
      </c>
      <c r="F140" s="1326">
        <v>1</v>
      </c>
      <c r="G140" s="1321">
        <f t="shared" si="34"/>
        <v>214</v>
      </c>
      <c r="H140" s="1322">
        <f t="shared" si="30"/>
        <v>4.6728971962616819E-3</v>
      </c>
      <c r="I140" s="1323"/>
      <c r="J140" s="1319">
        <v>0</v>
      </c>
      <c r="K140" s="1324">
        <f t="shared" si="40"/>
        <v>0</v>
      </c>
      <c r="L140" s="1324">
        <f t="shared" si="35"/>
        <v>0</v>
      </c>
      <c r="M140" s="1323"/>
      <c r="N140" s="1319">
        <v>0</v>
      </c>
      <c r="O140" s="1324">
        <f t="shared" si="36"/>
        <v>0</v>
      </c>
      <c r="P140" s="1324">
        <f t="shared" si="37"/>
        <v>0</v>
      </c>
      <c r="Q140" s="1324">
        <f t="shared" si="32"/>
        <v>0</v>
      </c>
      <c r="R140" s="1324">
        <f t="shared" si="38"/>
        <v>0</v>
      </c>
      <c r="S140" s="1323"/>
    </row>
    <row r="141" spans="2:19">
      <c r="B141" s="1314">
        <f t="shared" si="33"/>
        <v>87</v>
      </c>
      <c r="D141" s="1327" t="str">
        <f>"Total (Sum of Lines "&amp;B129&amp;" - "&amp;B140&amp;")"</f>
        <v>Total (Sum of Lines 75 - 86)</v>
      </c>
      <c r="E141" s="1328">
        <f>SUM(E129:E140)</f>
        <v>365</v>
      </c>
      <c r="F141" s="1329"/>
      <c r="G141" s="1329"/>
      <c r="H141" s="1330"/>
      <c r="I141" s="1331"/>
      <c r="J141" s="1328">
        <f>SUM(J129:J140)</f>
        <v>0</v>
      </c>
      <c r="K141" s="1328">
        <f>SUM(K129:K140)</f>
        <v>0</v>
      </c>
      <c r="L141" s="1332"/>
      <c r="M141" s="1331"/>
      <c r="N141" s="1328">
        <f>SUM(N129:N140)</f>
        <v>0</v>
      </c>
      <c r="O141" s="1328">
        <f>SUM(O129:O140)</f>
        <v>0</v>
      </c>
      <c r="P141" s="1328">
        <f>SUM(P129:P140)</f>
        <v>0</v>
      </c>
      <c r="Q141" s="1328">
        <f>SUM(Q129:Q140)</f>
        <v>0</v>
      </c>
      <c r="R141" s="1332"/>
      <c r="S141" s="1331"/>
    </row>
    <row r="142" spans="2:19">
      <c r="D142" s="1333"/>
      <c r="E142" s="1333"/>
      <c r="F142" s="1333"/>
      <c r="G142" s="1333"/>
      <c r="H142" s="1334"/>
      <c r="I142" s="1334"/>
      <c r="K142" s="1335"/>
      <c r="L142" s="1334"/>
      <c r="M142" s="1334"/>
      <c r="O142" s="1335"/>
      <c r="P142" s="1335"/>
      <c r="Q142" s="1335"/>
      <c r="R142" s="1334"/>
      <c r="S142" s="1334"/>
    </row>
    <row r="143" spans="2:19">
      <c r="B143" s="1314">
        <f>B141+1</f>
        <v>88</v>
      </c>
      <c r="D143" s="1008" t="s">
        <v>1356</v>
      </c>
      <c r="I143" s="1334"/>
      <c r="J143" s="1319" t="s">
        <v>1802</v>
      </c>
      <c r="L143" s="1319">
        <v>0</v>
      </c>
      <c r="M143" s="1336"/>
      <c r="N143" s="1319"/>
      <c r="R143" s="1319">
        <v>0</v>
      </c>
    </row>
    <row r="144" spans="2:19">
      <c r="B144" s="1314">
        <f>B143+1</f>
        <v>89</v>
      </c>
      <c r="D144" s="1008" t="s">
        <v>1357</v>
      </c>
      <c r="I144" s="1334"/>
      <c r="J144" s="1337" t="s">
        <v>639</v>
      </c>
      <c r="L144" s="1338">
        <v>0</v>
      </c>
      <c r="M144" s="1339"/>
      <c r="N144" s="1337"/>
      <c r="R144" s="1338">
        <v>0</v>
      </c>
    </row>
    <row r="145" spans="2:19">
      <c r="B145" s="1314">
        <f>B144+1</f>
        <v>90</v>
      </c>
      <c r="D145" s="1008" t="s">
        <v>1358</v>
      </c>
      <c r="I145" s="1334"/>
      <c r="J145" s="1327" t="str">
        <f>"(Col. "&amp;L124&amp;", Line "&amp;B143&amp;" + Line "&amp;B144&amp;")"</f>
        <v>(Col. (H), Line 88 + Line 89)</v>
      </c>
      <c r="L145" s="1340">
        <f>L143+L144</f>
        <v>0</v>
      </c>
      <c r="M145" s="1334"/>
      <c r="N145" s="1327" t="str">
        <f>"(Col. "&amp;R124&amp;", Line "&amp;B143&amp;" + Line "&amp;B144&amp;")"</f>
        <v>(Col. (M), Line 88 + Line 89)</v>
      </c>
      <c r="R145" s="1340">
        <f>R143+R144</f>
        <v>0</v>
      </c>
    </row>
    <row r="146" spans="2:19">
      <c r="I146" s="1334"/>
      <c r="L146" s="1340"/>
      <c r="M146" s="1334"/>
      <c r="R146" s="1340"/>
    </row>
    <row r="147" spans="2:19">
      <c r="B147" s="1314">
        <f>B145+1</f>
        <v>91</v>
      </c>
      <c r="D147" s="1008" t="s">
        <v>1359</v>
      </c>
      <c r="I147" s="1334"/>
      <c r="J147" s="1319" t="s">
        <v>1803</v>
      </c>
      <c r="L147" s="1319">
        <v>0</v>
      </c>
      <c r="M147" s="1336"/>
      <c r="N147" s="1319"/>
      <c r="R147" s="1319">
        <v>0</v>
      </c>
    </row>
    <row r="148" spans="2:19">
      <c r="B148" s="1314">
        <f>B147+1</f>
        <v>92</v>
      </c>
      <c r="D148" s="1008" t="s">
        <v>1360</v>
      </c>
      <c r="I148" s="1334"/>
      <c r="J148" s="1337" t="s">
        <v>639</v>
      </c>
      <c r="L148" s="1338">
        <v>0</v>
      </c>
      <c r="M148" s="1334"/>
      <c r="N148" s="1337"/>
      <c r="R148" s="1338">
        <v>0</v>
      </c>
    </row>
    <row r="149" spans="2:19">
      <c r="B149" s="1314">
        <f>B148+1</f>
        <v>93</v>
      </c>
      <c r="D149" s="1008" t="s">
        <v>1361</v>
      </c>
      <c r="G149" s="1327"/>
      <c r="I149" s="1334"/>
      <c r="J149" s="1327" t="str">
        <f>"(Col. "&amp;L124&amp;", Line "&amp;B147&amp;" + Line "&amp;B148&amp;")"</f>
        <v>(Col. (H), Line 91 + Line 92)</v>
      </c>
      <c r="L149" s="1340">
        <f>L147+L148</f>
        <v>0</v>
      </c>
      <c r="M149" s="1334"/>
      <c r="N149" s="1327" t="str">
        <f>"(Col. "&amp;R124&amp;", Line "&amp;B147&amp;" + Line "&amp;B148&amp;")"</f>
        <v>(Col. (M), Line 91 + Line 92)</v>
      </c>
      <c r="R149" s="1340">
        <f>R147+R148</f>
        <v>0</v>
      </c>
    </row>
    <row r="150" spans="2:19">
      <c r="I150" s="1334"/>
      <c r="L150" s="1340"/>
      <c r="M150" s="1334"/>
      <c r="R150" s="1340"/>
    </row>
    <row r="151" spans="2:19">
      <c r="B151" s="1314">
        <f>B149+1</f>
        <v>94</v>
      </c>
      <c r="D151" s="1008" t="s">
        <v>1000</v>
      </c>
      <c r="I151" s="1334"/>
      <c r="J151" s="1327" t="str">
        <f>"([Col. "&amp;L124&amp;", Line "&amp;B145&amp;" + Line "&amp;B149&amp;"] /2)"</f>
        <v>([Col. (H), Line 90 + Line 93] /2)</v>
      </c>
      <c r="L151" s="1324">
        <f>(L145+L149)/2</f>
        <v>0</v>
      </c>
      <c r="M151" s="1334"/>
      <c r="N151" s="1327" t="str">
        <f>"([Col. "&amp;R124&amp;", Line "&amp;B145&amp;" + Line "&amp;B149&amp;"] /2)"</f>
        <v>([Col. (M), Line 90 + Line 93] /2)</v>
      </c>
      <c r="R151" s="1324">
        <f>(R145+R149)/2</f>
        <v>0</v>
      </c>
    </row>
    <row r="152" spans="2:19">
      <c r="B152" s="1314">
        <f>B151+1</f>
        <v>95</v>
      </c>
      <c r="D152" s="1426" t="s">
        <v>1362</v>
      </c>
      <c r="E152" s="1333"/>
      <c r="F152" s="1333"/>
      <c r="G152" s="1333"/>
      <c r="H152" s="1334"/>
      <c r="I152" s="1334"/>
      <c r="J152" s="1327" t="str">
        <f>"(Col. "&amp;L124&amp;", Line "&amp;B140&amp;" )"</f>
        <v>(Col. (H), Line 86 )</v>
      </c>
      <c r="K152" s="1335"/>
      <c r="L152" s="1324">
        <f>L140</f>
        <v>0</v>
      </c>
      <c r="M152" s="1334"/>
      <c r="N152" s="1327" t="str">
        <f>"(Col. "&amp;R124&amp;", Line "&amp;B140&amp;" )"</f>
        <v>(Col. (M), Line 86 )</v>
      </c>
      <c r="R152" s="1324">
        <f>R140</f>
        <v>0</v>
      </c>
    </row>
    <row r="153" spans="2:19" ht="13.5" thickBot="1">
      <c r="B153" s="1314">
        <f>B152+1</f>
        <v>96</v>
      </c>
      <c r="D153" s="1341" t="s">
        <v>1363</v>
      </c>
      <c r="E153" s="1333"/>
      <c r="F153" s="1333"/>
      <c r="G153" s="1333"/>
      <c r="H153" s="1334"/>
      <c r="I153" s="1334"/>
      <c r="J153" s="1327" t="str">
        <f>"(Col. "&amp;L124&amp;", Line "&amp;B151&amp;" + Line "&amp;B152&amp;")"</f>
        <v>(Col. (H), Line 94 + Line 95)</v>
      </c>
      <c r="K153" s="1335"/>
      <c r="L153" s="1342">
        <f>L151+L152</f>
        <v>0</v>
      </c>
      <c r="M153" s="1334"/>
      <c r="N153" s="1327" t="str">
        <f>"(Col. "&amp;R124&amp;", Line "&amp;B151&amp;" + Line "&amp;B152&amp;")"</f>
        <v>(Col. (M), Line 94 + Line 95)</v>
      </c>
      <c r="R153" s="1342">
        <f>R151+R152</f>
        <v>0</v>
      </c>
    </row>
    <row r="154" spans="2:19">
      <c r="I154" s="1334"/>
      <c r="L154" s="1324"/>
      <c r="M154" s="1334"/>
      <c r="R154" s="1324"/>
      <c r="S154" s="1334"/>
    </row>
    <row r="155" spans="2:19" ht="13">
      <c r="D155" s="1311" t="s">
        <v>1364</v>
      </c>
      <c r="J155" s="1343"/>
      <c r="K155" s="1344"/>
      <c r="L155" s="1344"/>
      <c r="N155" s="1344"/>
      <c r="O155" s="1344"/>
      <c r="P155" s="1344"/>
      <c r="Q155" s="1344"/>
      <c r="R155" s="1344"/>
    </row>
    <row r="156" spans="2:19" ht="13">
      <c r="D156" s="1730" t="s">
        <v>912</v>
      </c>
      <c r="E156" s="1731"/>
      <c r="F156" s="1731"/>
      <c r="G156" s="1731"/>
      <c r="H156" s="1732"/>
      <c r="I156" s="1315"/>
      <c r="J156" s="1733" t="s">
        <v>1353</v>
      </c>
      <c r="K156" s="1734"/>
      <c r="L156" s="1735"/>
      <c r="M156" s="1315"/>
      <c r="N156" s="1733" t="s">
        <v>1354</v>
      </c>
      <c r="O156" s="1734"/>
      <c r="P156" s="1734"/>
      <c r="Q156" s="1734"/>
      <c r="R156" s="1735"/>
      <c r="S156" s="1315"/>
    </row>
    <row r="157" spans="2:19" ht="13">
      <c r="D157" s="1316" t="s">
        <v>174</v>
      </c>
      <c r="E157" s="1316" t="s">
        <v>175</v>
      </c>
      <c r="F157" s="1316" t="s">
        <v>1294</v>
      </c>
      <c r="G157" s="1316" t="s">
        <v>1295</v>
      </c>
      <c r="H157" s="1316" t="s">
        <v>1296</v>
      </c>
      <c r="I157" s="1315"/>
      <c r="J157" s="1316" t="s">
        <v>1297</v>
      </c>
      <c r="K157" s="1316" t="s">
        <v>1298</v>
      </c>
      <c r="L157" s="1316" t="s">
        <v>1299</v>
      </c>
      <c r="M157" s="1315"/>
      <c r="N157" s="1316" t="s">
        <v>1300</v>
      </c>
      <c r="O157" s="1316" t="s">
        <v>1301</v>
      </c>
      <c r="P157" s="1316" t="s">
        <v>1302</v>
      </c>
      <c r="Q157" s="1316" t="s">
        <v>1303</v>
      </c>
      <c r="R157" s="1316" t="s">
        <v>1304</v>
      </c>
      <c r="S157" s="1315"/>
    </row>
    <row r="158" spans="2:19" ht="50">
      <c r="B158" s="1317" t="s">
        <v>1305</v>
      </c>
      <c r="D158" s="1318" t="s">
        <v>169</v>
      </c>
      <c r="E158" s="1318" t="s">
        <v>913</v>
      </c>
      <c r="F158" s="1318" t="s">
        <v>914</v>
      </c>
      <c r="G158" s="1318" t="s">
        <v>915</v>
      </c>
      <c r="H158" s="1318" t="s">
        <v>1306</v>
      </c>
      <c r="I158" s="1636"/>
      <c r="J158" s="1318" t="s">
        <v>916</v>
      </c>
      <c r="K158" s="1318" t="s">
        <v>1307</v>
      </c>
      <c r="L158" s="1318" t="s">
        <v>1308</v>
      </c>
      <c r="M158" s="1636"/>
      <c r="N158" s="1318" t="s">
        <v>1003</v>
      </c>
      <c r="O158" s="1318" t="s">
        <v>1309</v>
      </c>
      <c r="P158" s="1318" t="s">
        <v>1310</v>
      </c>
      <c r="Q158" s="1318" t="s">
        <v>1311</v>
      </c>
      <c r="R158" s="1318" t="s">
        <v>1312</v>
      </c>
      <c r="S158" s="1636"/>
    </row>
    <row r="159" spans="2:19">
      <c r="E159" s="1636"/>
      <c r="F159" s="1636"/>
      <c r="G159" s="1636"/>
      <c r="H159" s="1636"/>
      <c r="I159" s="1636"/>
      <c r="J159" s="1636"/>
      <c r="K159" s="1636"/>
      <c r="L159" s="1636"/>
      <c r="M159" s="1636"/>
      <c r="N159" s="1636"/>
      <c r="O159" s="1636"/>
      <c r="P159" s="1636"/>
      <c r="Q159" s="1636"/>
      <c r="R159" s="1636"/>
      <c r="S159" s="1636"/>
    </row>
    <row r="160" spans="2:19">
      <c r="B160" s="1314">
        <f>B153+1</f>
        <v>97</v>
      </c>
      <c r="D160" s="1008" t="s">
        <v>1355</v>
      </c>
      <c r="E160" s="1636"/>
      <c r="F160" s="1636"/>
      <c r="G160" s="1636"/>
      <c r="H160" s="1636"/>
      <c r="I160" s="1636"/>
      <c r="J160" s="1319" t="s">
        <v>1802</v>
      </c>
      <c r="K160" s="1636"/>
      <c r="L160" s="1319">
        <v>0</v>
      </c>
      <c r="M160" s="1636"/>
      <c r="N160" s="1319"/>
      <c r="O160" s="1636"/>
      <c r="P160" s="1636"/>
      <c r="Q160" s="1636"/>
      <c r="R160" s="1319">
        <v>0</v>
      </c>
      <c r="S160" s="1636"/>
    </row>
    <row r="161" spans="2:19">
      <c r="E161" s="1636"/>
      <c r="F161" s="1636"/>
      <c r="G161" s="1636"/>
      <c r="H161" s="1636"/>
      <c r="I161" s="1636"/>
      <c r="J161" s="1636"/>
      <c r="K161" s="1636"/>
      <c r="L161" s="1636"/>
      <c r="M161" s="1636"/>
      <c r="N161" s="1636"/>
      <c r="O161" s="1636"/>
      <c r="P161" s="1636"/>
      <c r="Q161" s="1636"/>
      <c r="R161" s="1636"/>
      <c r="S161" s="1636"/>
    </row>
    <row r="162" spans="2:19">
      <c r="B162" s="1314">
        <f>B160+1</f>
        <v>98</v>
      </c>
      <c r="D162" s="1320" t="s">
        <v>525</v>
      </c>
      <c r="E162" s="1319">
        <v>31</v>
      </c>
      <c r="F162" s="1321">
        <v>0</v>
      </c>
      <c r="G162" s="1321">
        <v>214</v>
      </c>
      <c r="H162" s="1322">
        <f t="shared" ref="H162:H173" si="41">IF(F162=0,0.5,F162/G162)</f>
        <v>0.5</v>
      </c>
      <c r="I162" s="1323"/>
      <c r="J162" s="1319">
        <v>0</v>
      </c>
      <c r="K162" s="1324">
        <f t="shared" ref="K162:K173" si="42">+J162*H162</f>
        <v>0</v>
      </c>
      <c r="L162" s="1324">
        <f>+K162+L160</f>
        <v>0</v>
      </c>
      <c r="M162" s="1323"/>
      <c r="N162" s="1319">
        <v>0</v>
      </c>
      <c r="O162" s="1324">
        <f>IF($D$237="True-Up Adjustment",N162-J162,0)</f>
        <v>0</v>
      </c>
      <c r="P162" s="1324">
        <f>IF($D$237="True-Up Adjustment",IF(AND(J162&gt;=0,N162&gt;=0),IF(O162&gt;=0,K162+O162,N162/J162*K162),IF(AND(J162&lt;0,N162&lt;0),IF(O162&lt;0,K162+O162,N162/J162*K162),0)),0)</f>
        <v>0</v>
      </c>
      <c r="Q162" s="1324">
        <f t="shared" ref="Q162:Q173" si="43">IF(AND(J162&gt;=0,N162&lt;0),N162,IF(AND(J162&lt;0,N162&gt;=0),N162,0))</f>
        <v>0</v>
      </c>
      <c r="R162" s="1324">
        <f>R160+P162+Q162</f>
        <v>0</v>
      </c>
      <c r="S162" s="1323"/>
    </row>
    <row r="163" spans="2:19">
      <c r="B163" s="1314">
        <f t="shared" ref="B163:B174" si="44">+B162+1</f>
        <v>99</v>
      </c>
      <c r="D163" s="1320" t="s">
        <v>526</v>
      </c>
      <c r="E163" s="1319">
        <v>28</v>
      </c>
      <c r="F163" s="1321">
        <v>0</v>
      </c>
      <c r="G163" s="1321">
        <f t="shared" ref="G163:G173" si="45">G162</f>
        <v>214</v>
      </c>
      <c r="H163" s="1322">
        <f t="shared" si="41"/>
        <v>0.5</v>
      </c>
      <c r="I163" s="1323"/>
      <c r="J163" s="1319">
        <v>0</v>
      </c>
      <c r="K163" s="1324">
        <f t="shared" si="42"/>
        <v>0</v>
      </c>
      <c r="L163" s="1324">
        <f t="shared" ref="L163:L173" si="46">+K163+L162</f>
        <v>0</v>
      </c>
      <c r="M163" s="1323"/>
      <c r="N163" s="1319">
        <v>0</v>
      </c>
      <c r="O163" s="1324">
        <f t="shared" ref="O163:O173" si="47">IF($D$237="True-Up Adjustment",N163-J163,0)</f>
        <v>0</v>
      </c>
      <c r="P163" s="1324">
        <f t="shared" ref="P163:P173" si="48">IF($D$237="True-Up Adjustment",IF(AND(J163&gt;=0,N163&gt;=0),IF(O163&gt;=0,K163+O163,N163/J163*K163),IF(AND(J163&lt;0,N163&lt;0),IF(O163&lt;0,K163+O163,N163/J163*K163),0)),0)</f>
        <v>0</v>
      </c>
      <c r="Q163" s="1324">
        <f t="shared" si="43"/>
        <v>0</v>
      </c>
      <c r="R163" s="1324">
        <f t="shared" ref="R163:R173" si="49">R162+P163+Q163</f>
        <v>0</v>
      </c>
      <c r="S163" s="1323"/>
    </row>
    <row r="164" spans="2:19">
      <c r="B164" s="1314">
        <f t="shared" si="44"/>
        <v>100</v>
      </c>
      <c r="D164" s="1320" t="s">
        <v>545</v>
      </c>
      <c r="E164" s="1319">
        <v>31</v>
      </c>
      <c r="F164" s="1321">
        <v>0</v>
      </c>
      <c r="G164" s="1321">
        <f t="shared" si="45"/>
        <v>214</v>
      </c>
      <c r="H164" s="1322">
        <f t="shared" si="41"/>
        <v>0.5</v>
      </c>
      <c r="I164" s="1323"/>
      <c r="J164" s="1319">
        <v>0</v>
      </c>
      <c r="K164" s="1324">
        <f t="shared" si="42"/>
        <v>0</v>
      </c>
      <c r="L164" s="1324">
        <f t="shared" si="46"/>
        <v>0</v>
      </c>
      <c r="M164" s="1323"/>
      <c r="N164" s="1319">
        <v>0</v>
      </c>
      <c r="O164" s="1324">
        <f t="shared" si="47"/>
        <v>0</v>
      </c>
      <c r="P164" s="1324">
        <f t="shared" si="48"/>
        <v>0</v>
      </c>
      <c r="Q164" s="1324">
        <f t="shared" si="43"/>
        <v>0</v>
      </c>
      <c r="R164" s="1324">
        <f t="shared" si="49"/>
        <v>0</v>
      </c>
      <c r="S164" s="1323"/>
    </row>
    <row r="165" spans="2:19">
      <c r="B165" s="1314">
        <f t="shared" si="44"/>
        <v>101</v>
      </c>
      <c r="D165" s="1320" t="s">
        <v>171</v>
      </c>
      <c r="E165" s="1319">
        <v>30</v>
      </c>
      <c r="F165" s="1321">
        <v>0</v>
      </c>
      <c r="G165" s="1321">
        <f t="shared" si="45"/>
        <v>214</v>
      </c>
      <c r="H165" s="1322">
        <f t="shared" si="41"/>
        <v>0.5</v>
      </c>
      <c r="I165" s="1323"/>
      <c r="J165" s="1319">
        <v>0</v>
      </c>
      <c r="K165" s="1324">
        <f t="shared" si="42"/>
        <v>0</v>
      </c>
      <c r="L165" s="1324">
        <f t="shared" si="46"/>
        <v>0</v>
      </c>
      <c r="M165" s="1323"/>
      <c r="N165" s="1319">
        <v>0</v>
      </c>
      <c r="O165" s="1324">
        <f t="shared" si="47"/>
        <v>0</v>
      </c>
      <c r="P165" s="1324">
        <f t="shared" si="48"/>
        <v>0</v>
      </c>
      <c r="Q165" s="1324">
        <f t="shared" si="43"/>
        <v>0</v>
      </c>
      <c r="R165" s="1324">
        <f t="shared" si="49"/>
        <v>0</v>
      </c>
      <c r="S165" s="1323"/>
    </row>
    <row r="166" spans="2:19">
      <c r="B166" s="1314">
        <f t="shared" si="44"/>
        <v>102</v>
      </c>
      <c r="D166" s="1320" t="s">
        <v>172</v>
      </c>
      <c r="E166" s="1319">
        <v>31</v>
      </c>
      <c r="F166" s="1321">
        <v>0</v>
      </c>
      <c r="G166" s="1321">
        <f t="shared" si="45"/>
        <v>214</v>
      </c>
      <c r="H166" s="1322">
        <f t="shared" si="41"/>
        <v>0.5</v>
      </c>
      <c r="I166" s="1323"/>
      <c r="J166" s="1319">
        <v>0</v>
      </c>
      <c r="K166" s="1324">
        <f t="shared" si="42"/>
        <v>0</v>
      </c>
      <c r="L166" s="1324">
        <f t="shared" si="46"/>
        <v>0</v>
      </c>
      <c r="M166" s="1323"/>
      <c r="N166" s="1319">
        <v>0</v>
      </c>
      <c r="O166" s="1324">
        <f t="shared" si="47"/>
        <v>0</v>
      </c>
      <c r="P166" s="1324">
        <f t="shared" si="48"/>
        <v>0</v>
      </c>
      <c r="Q166" s="1324">
        <f t="shared" si="43"/>
        <v>0</v>
      </c>
      <c r="R166" s="1324">
        <f t="shared" si="49"/>
        <v>0</v>
      </c>
      <c r="S166" s="1323"/>
    </row>
    <row r="167" spans="2:19">
      <c r="B167" s="1314">
        <f t="shared" si="44"/>
        <v>103</v>
      </c>
      <c r="D167" s="1320" t="s">
        <v>173</v>
      </c>
      <c r="E167" s="1319">
        <v>30</v>
      </c>
      <c r="F167" s="1321">
        <f t="shared" ref="F167:F172" si="50">E168+F168</f>
        <v>185</v>
      </c>
      <c r="G167" s="1321">
        <f t="shared" si="45"/>
        <v>214</v>
      </c>
      <c r="H167" s="1322">
        <f t="shared" si="41"/>
        <v>0.86448598130841126</v>
      </c>
      <c r="I167" s="1323"/>
      <c r="J167" s="1319">
        <v>0</v>
      </c>
      <c r="K167" s="1324">
        <f t="shared" si="42"/>
        <v>0</v>
      </c>
      <c r="L167" s="1324">
        <f t="shared" si="46"/>
        <v>0</v>
      </c>
      <c r="M167" s="1323"/>
      <c r="N167" s="1319">
        <v>0</v>
      </c>
      <c r="O167" s="1324">
        <f t="shared" si="47"/>
        <v>0</v>
      </c>
      <c r="P167" s="1324">
        <f t="shared" si="48"/>
        <v>0</v>
      </c>
      <c r="Q167" s="1324">
        <f t="shared" si="43"/>
        <v>0</v>
      </c>
      <c r="R167" s="1324">
        <f t="shared" si="49"/>
        <v>0</v>
      </c>
      <c r="S167" s="1323"/>
    </row>
    <row r="168" spans="2:19">
      <c r="B168" s="1314">
        <f t="shared" si="44"/>
        <v>104</v>
      </c>
      <c r="D168" s="1320" t="s">
        <v>528</v>
      </c>
      <c r="E168" s="1319">
        <v>31</v>
      </c>
      <c r="F168" s="1321">
        <f t="shared" si="50"/>
        <v>154</v>
      </c>
      <c r="G168" s="1321">
        <f t="shared" si="45"/>
        <v>214</v>
      </c>
      <c r="H168" s="1322">
        <f t="shared" si="41"/>
        <v>0.71962616822429903</v>
      </c>
      <c r="I168" s="1323"/>
      <c r="J168" s="1319">
        <v>0</v>
      </c>
      <c r="K168" s="1324">
        <f t="shared" si="42"/>
        <v>0</v>
      </c>
      <c r="L168" s="1324">
        <f t="shared" si="46"/>
        <v>0</v>
      </c>
      <c r="M168" s="1323"/>
      <c r="N168" s="1319">
        <v>0</v>
      </c>
      <c r="O168" s="1324">
        <f t="shared" si="47"/>
        <v>0</v>
      </c>
      <c r="P168" s="1324">
        <f t="shared" si="48"/>
        <v>0</v>
      </c>
      <c r="Q168" s="1324">
        <f t="shared" si="43"/>
        <v>0</v>
      </c>
      <c r="R168" s="1324">
        <f t="shared" si="49"/>
        <v>0</v>
      </c>
      <c r="S168" s="1323"/>
    </row>
    <row r="169" spans="2:19">
      <c r="B169" s="1314">
        <f t="shared" si="44"/>
        <v>105</v>
      </c>
      <c r="D169" s="1320" t="s">
        <v>546</v>
      </c>
      <c r="E169" s="1319">
        <v>31</v>
      </c>
      <c r="F169" s="1321">
        <f t="shared" si="50"/>
        <v>123</v>
      </c>
      <c r="G169" s="1321">
        <f t="shared" si="45"/>
        <v>214</v>
      </c>
      <c r="H169" s="1322">
        <f t="shared" si="41"/>
        <v>0.57476635514018692</v>
      </c>
      <c r="I169" s="1323"/>
      <c r="J169" s="1319">
        <v>0</v>
      </c>
      <c r="K169" s="1324">
        <f t="shared" si="42"/>
        <v>0</v>
      </c>
      <c r="L169" s="1324">
        <f t="shared" si="46"/>
        <v>0</v>
      </c>
      <c r="M169" s="1323"/>
      <c r="N169" s="1319">
        <v>0</v>
      </c>
      <c r="O169" s="1324">
        <f t="shared" si="47"/>
        <v>0</v>
      </c>
      <c r="P169" s="1324">
        <f t="shared" si="48"/>
        <v>0</v>
      </c>
      <c r="Q169" s="1324">
        <f t="shared" si="43"/>
        <v>0</v>
      </c>
      <c r="R169" s="1324">
        <f t="shared" si="49"/>
        <v>0</v>
      </c>
      <c r="S169" s="1323"/>
    </row>
    <row r="170" spans="2:19">
      <c r="B170" s="1314">
        <f t="shared" si="44"/>
        <v>106</v>
      </c>
      <c r="D170" s="1320" t="s">
        <v>530</v>
      </c>
      <c r="E170" s="1319">
        <v>30</v>
      </c>
      <c r="F170" s="1321">
        <f t="shared" si="50"/>
        <v>93</v>
      </c>
      <c r="G170" s="1321">
        <f t="shared" si="45"/>
        <v>214</v>
      </c>
      <c r="H170" s="1322">
        <f t="shared" si="41"/>
        <v>0.43457943925233644</v>
      </c>
      <c r="I170" s="1323"/>
      <c r="J170" s="1319">
        <v>0</v>
      </c>
      <c r="K170" s="1324">
        <f t="shared" si="42"/>
        <v>0</v>
      </c>
      <c r="L170" s="1324">
        <f t="shared" si="46"/>
        <v>0</v>
      </c>
      <c r="M170" s="1323"/>
      <c r="N170" s="1319">
        <v>0</v>
      </c>
      <c r="O170" s="1324">
        <f t="shared" si="47"/>
        <v>0</v>
      </c>
      <c r="P170" s="1324">
        <f t="shared" si="48"/>
        <v>0</v>
      </c>
      <c r="Q170" s="1324">
        <f t="shared" si="43"/>
        <v>0</v>
      </c>
      <c r="R170" s="1324">
        <f t="shared" si="49"/>
        <v>0</v>
      </c>
      <c r="S170" s="1323"/>
    </row>
    <row r="171" spans="2:19">
      <c r="B171" s="1314">
        <f t="shared" si="44"/>
        <v>107</v>
      </c>
      <c r="D171" s="1320" t="s">
        <v>531</v>
      </c>
      <c r="E171" s="1319">
        <v>31</v>
      </c>
      <c r="F171" s="1321">
        <f t="shared" si="50"/>
        <v>62</v>
      </c>
      <c r="G171" s="1321">
        <f t="shared" si="45"/>
        <v>214</v>
      </c>
      <c r="H171" s="1322">
        <f t="shared" si="41"/>
        <v>0.28971962616822428</v>
      </c>
      <c r="I171" s="1323"/>
      <c r="J171" s="1319">
        <v>0</v>
      </c>
      <c r="K171" s="1324">
        <f t="shared" si="42"/>
        <v>0</v>
      </c>
      <c r="L171" s="1324">
        <f t="shared" si="46"/>
        <v>0</v>
      </c>
      <c r="M171" s="1323"/>
      <c r="N171" s="1319">
        <v>0</v>
      </c>
      <c r="O171" s="1324">
        <f t="shared" si="47"/>
        <v>0</v>
      </c>
      <c r="P171" s="1324">
        <f t="shared" si="48"/>
        <v>0</v>
      </c>
      <c r="Q171" s="1324">
        <f t="shared" si="43"/>
        <v>0</v>
      </c>
      <c r="R171" s="1324">
        <f t="shared" si="49"/>
        <v>0</v>
      </c>
      <c r="S171" s="1323"/>
    </row>
    <row r="172" spans="2:19">
      <c r="B172" s="1314">
        <f t="shared" si="44"/>
        <v>108</v>
      </c>
      <c r="D172" s="1320" t="s">
        <v>532</v>
      </c>
      <c r="E172" s="1319">
        <v>30</v>
      </c>
      <c r="F172" s="1321">
        <f t="shared" si="50"/>
        <v>32</v>
      </c>
      <c r="G172" s="1321">
        <f t="shared" si="45"/>
        <v>214</v>
      </c>
      <c r="H172" s="1322">
        <f t="shared" si="41"/>
        <v>0.14953271028037382</v>
      </c>
      <c r="I172" s="1323"/>
      <c r="J172" s="1319">
        <v>0</v>
      </c>
      <c r="K172" s="1324">
        <f t="shared" si="42"/>
        <v>0</v>
      </c>
      <c r="L172" s="1324">
        <f t="shared" si="46"/>
        <v>0</v>
      </c>
      <c r="M172" s="1323"/>
      <c r="N172" s="1319">
        <v>0</v>
      </c>
      <c r="O172" s="1324">
        <f t="shared" si="47"/>
        <v>0</v>
      </c>
      <c r="P172" s="1324">
        <f t="shared" si="48"/>
        <v>0</v>
      </c>
      <c r="Q172" s="1324">
        <f t="shared" si="43"/>
        <v>0</v>
      </c>
      <c r="R172" s="1324">
        <f t="shared" si="49"/>
        <v>0</v>
      </c>
      <c r="S172" s="1323"/>
    </row>
    <row r="173" spans="2:19">
      <c r="B173" s="1314">
        <f t="shared" si="44"/>
        <v>109</v>
      </c>
      <c r="D173" s="1325" t="s">
        <v>749</v>
      </c>
      <c r="E173" s="1319">
        <v>31</v>
      </c>
      <c r="F173" s="1326">
        <v>1</v>
      </c>
      <c r="G173" s="1321">
        <f t="shared" si="45"/>
        <v>214</v>
      </c>
      <c r="H173" s="1322">
        <f t="shared" si="41"/>
        <v>4.6728971962616819E-3</v>
      </c>
      <c r="I173" s="1323"/>
      <c r="J173" s="1319">
        <v>0</v>
      </c>
      <c r="K173" s="1324">
        <f t="shared" si="42"/>
        <v>0</v>
      </c>
      <c r="L173" s="1324">
        <f t="shared" si="46"/>
        <v>0</v>
      </c>
      <c r="M173" s="1323"/>
      <c r="N173" s="1319">
        <v>0</v>
      </c>
      <c r="O173" s="1324">
        <f t="shared" si="47"/>
        <v>0</v>
      </c>
      <c r="P173" s="1324">
        <f t="shared" si="48"/>
        <v>0</v>
      </c>
      <c r="Q173" s="1324">
        <f t="shared" si="43"/>
        <v>0</v>
      </c>
      <c r="R173" s="1324">
        <f t="shared" si="49"/>
        <v>0</v>
      </c>
      <c r="S173" s="1323"/>
    </row>
    <row r="174" spans="2:19">
      <c r="B174" s="1314">
        <f t="shared" si="44"/>
        <v>110</v>
      </c>
      <c r="D174" s="1327" t="str">
        <f>"Total (Sum of Lines "&amp;B162&amp;" - "&amp;B173&amp;")"</f>
        <v>Total (Sum of Lines 98 - 109)</v>
      </c>
      <c r="E174" s="1328">
        <f>SUM(E162:E173)</f>
        <v>365</v>
      </c>
      <c r="F174" s="1329"/>
      <c r="G174" s="1329"/>
      <c r="H174" s="1330"/>
      <c r="I174" s="1331"/>
      <c r="J174" s="1328">
        <f>SUM(J162:J173)</f>
        <v>0</v>
      </c>
      <c r="K174" s="1328">
        <f>SUM(K162:K173)</f>
        <v>0</v>
      </c>
      <c r="L174" s="1328"/>
      <c r="M174" s="1331"/>
      <c r="N174" s="1328">
        <f>SUM(N162:N173)</f>
        <v>0</v>
      </c>
      <c r="O174" s="1328">
        <f>SUM(O162:O173)</f>
        <v>0</v>
      </c>
      <c r="P174" s="1328">
        <f>SUM(P162:P173)</f>
        <v>0</v>
      </c>
      <c r="Q174" s="1328">
        <f>SUM(Q162:Q173)</f>
        <v>0</v>
      </c>
      <c r="R174" s="1332"/>
      <c r="S174" s="1331"/>
    </row>
    <row r="175" spans="2:19">
      <c r="D175" s="1333"/>
      <c r="E175" s="1333"/>
      <c r="F175" s="1333"/>
      <c r="G175" s="1333"/>
      <c r="H175" s="1334"/>
      <c r="I175" s="1334"/>
      <c r="K175" s="1335"/>
      <c r="L175" s="1334"/>
      <c r="M175" s="1334"/>
      <c r="N175" s="1345"/>
      <c r="O175" s="1335"/>
      <c r="P175" s="1335"/>
      <c r="Q175" s="1335"/>
      <c r="R175" s="1334"/>
      <c r="S175" s="1334"/>
    </row>
    <row r="176" spans="2:19" ht="15" customHeight="1">
      <c r="B176" s="1314">
        <f>B174+1</f>
        <v>111</v>
      </c>
      <c r="D176" s="1008" t="s">
        <v>1356</v>
      </c>
      <c r="I176" s="1334"/>
      <c r="J176" s="1319" t="s">
        <v>1802</v>
      </c>
      <c r="L176" s="1319">
        <v>0</v>
      </c>
      <c r="M176" s="1336"/>
      <c r="N176" s="1319"/>
      <c r="R176" s="1319">
        <v>0</v>
      </c>
    </row>
    <row r="177" spans="2:19">
      <c r="B177" s="1314">
        <f>B176+1</f>
        <v>112</v>
      </c>
      <c r="D177" s="1008" t="s">
        <v>1357</v>
      </c>
      <c r="I177" s="1334"/>
      <c r="J177" s="1337" t="s">
        <v>639</v>
      </c>
      <c r="L177" s="1338">
        <v>0</v>
      </c>
      <c r="M177" s="1339"/>
      <c r="N177" s="1337"/>
      <c r="R177" s="1338">
        <v>0</v>
      </c>
    </row>
    <row r="178" spans="2:19">
      <c r="B178" s="1314">
        <f>B177+1</f>
        <v>113</v>
      </c>
      <c r="D178" s="1008" t="s">
        <v>1358</v>
      </c>
      <c r="I178" s="1334"/>
      <c r="J178" s="1327" t="str">
        <f>"(Col. "&amp;L157&amp;", Line "&amp;B176&amp;" + Line "&amp;B177&amp;")"</f>
        <v>(Col. (H), Line 111 + Line 112)</v>
      </c>
      <c r="L178" s="1340">
        <f>L176+L177</f>
        <v>0</v>
      </c>
      <c r="M178" s="1334"/>
      <c r="N178" s="1327" t="str">
        <f>"(Col. "&amp;R157&amp;", Line "&amp;B176&amp;" + Line "&amp;B177&amp;")"</f>
        <v>(Col. (M), Line 111 + Line 112)</v>
      </c>
      <c r="R178" s="1340">
        <f>R176+R177</f>
        <v>0</v>
      </c>
    </row>
    <row r="179" spans="2:19">
      <c r="I179" s="1334"/>
      <c r="L179" s="1340"/>
      <c r="M179" s="1334"/>
      <c r="R179" s="1340"/>
    </row>
    <row r="180" spans="2:19">
      <c r="B180" s="1314">
        <f>B178+1</f>
        <v>114</v>
      </c>
      <c r="D180" s="1008" t="s">
        <v>1359</v>
      </c>
      <c r="I180" s="1334"/>
      <c r="J180" s="1319" t="s">
        <v>1803</v>
      </c>
      <c r="L180" s="1319">
        <v>0</v>
      </c>
      <c r="M180" s="1336"/>
      <c r="N180" s="1319"/>
      <c r="R180" s="1319">
        <v>0</v>
      </c>
    </row>
    <row r="181" spans="2:19">
      <c r="B181" s="1314">
        <f>B180+1</f>
        <v>115</v>
      </c>
      <c r="D181" s="1008" t="s">
        <v>1360</v>
      </c>
      <c r="I181" s="1334"/>
      <c r="J181" s="1337" t="s">
        <v>639</v>
      </c>
      <c r="L181" s="1338">
        <v>0</v>
      </c>
      <c r="M181" s="1334"/>
      <c r="N181" s="1337"/>
      <c r="R181" s="1338">
        <v>0</v>
      </c>
    </row>
    <row r="182" spans="2:19">
      <c r="B182" s="1314">
        <f>B181+1</f>
        <v>116</v>
      </c>
      <c r="D182" s="1008" t="s">
        <v>1361</v>
      </c>
      <c r="I182" s="1334"/>
      <c r="J182" s="1327" t="str">
        <f>"(Col. "&amp;L157&amp;", Line "&amp;B180&amp;" + Line "&amp;B181&amp;")"</f>
        <v>(Col. (H), Line 114 + Line 115)</v>
      </c>
      <c r="L182" s="1340">
        <f>L180+L181</f>
        <v>0</v>
      </c>
      <c r="M182" s="1334"/>
      <c r="N182" s="1327" t="str">
        <f>"(Col. "&amp;R157&amp;", Line "&amp;B180&amp;" + Line "&amp;B181&amp;")"</f>
        <v>(Col. (M), Line 114 + Line 115)</v>
      </c>
      <c r="R182" s="1340">
        <f>R180+R181</f>
        <v>0</v>
      </c>
    </row>
    <row r="183" spans="2:19">
      <c r="I183" s="1334"/>
      <c r="L183" s="1340"/>
      <c r="M183" s="1334"/>
      <c r="R183" s="1340"/>
    </row>
    <row r="184" spans="2:19">
      <c r="B184" s="1314">
        <f>B182+1</f>
        <v>117</v>
      </c>
      <c r="D184" s="1008" t="s">
        <v>1000</v>
      </c>
      <c r="I184" s="1334"/>
      <c r="J184" s="1327" t="str">
        <f>"([Col. "&amp;L157&amp;", Line "&amp;B178&amp;" + Line "&amp;B182&amp;"] /2)"</f>
        <v>([Col. (H), Line 113 + Line 116] /2)</v>
      </c>
      <c r="L184" s="1324">
        <f>(L178+L182)/2</f>
        <v>0</v>
      </c>
      <c r="M184" s="1334"/>
      <c r="N184" s="1327" t="str">
        <f>"([Col. "&amp;R157&amp;", Line "&amp;B178&amp;" + Line "&amp;B182&amp;"] /2)"</f>
        <v>([Col. (M), Line 113 + Line 116] /2)</v>
      </c>
      <c r="R184" s="1324">
        <f>(R178+R182)/2</f>
        <v>0</v>
      </c>
    </row>
    <row r="185" spans="2:19">
      <c r="B185" s="1314">
        <f>B184+1</f>
        <v>118</v>
      </c>
      <c r="D185" s="1426" t="s">
        <v>1362</v>
      </c>
      <c r="E185" s="1333"/>
      <c r="F185" s="1333"/>
      <c r="G185" s="1333"/>
      <c r="H185" s="1334"/>
      <c r="I185" s="1334"/>
      <c r="J185" s="1327" t="str">
        <f>"(Col. "&amp;L157&amp;", Line "&amp;B173&amp;" )"</f>
        <v>(Col. (H), Line 109 )</v>
      </c>
      <c r="K185" s="1335"/>
      <c r="L185" s="1324">
        <f>L173</f>
        <v>0</v>
      </c>
      <c r="M185" s="1334"/>
      <c r="N185" s="1327" t="str">
        <f>"(Col. "&amp;R157&amp;", Line "&amp;B173&amp;" )"</f>
        <v>(Col. (M), Line 109 )</v>
      </c>
      <c r="R185" s="1324">
        <f>R173</f>
        <v>0</v>
      </c>
    </row>
    <row r="186" spans="2:19" ht="13.5" thickBot="1">
      <c r="B186" s="1314">
        <f>B185+1</f>
        <v>119</v>
      </c>
      <c r="D186" s="1341" t="s">
        <v>1365</v>
      </c>
      <c r="E186" s="1333"/>
      <c r="F186" s="1333"/>
      <c r="G186" s="1333"/>
      <c r="H186" s="1334"/>
      <c r="I186" s="1334"/>
      <c r="J186" s="1327" t="str">
        <f>"(Col. "&amp;L157&amp;", Line "&amp;B184&amp;" + Line "&amp;B185&amp;")"</f>
        <v>(Col. (H), Line 117 + Line 118)</v>
      </c>
      <c r="K186" s="1335"/>
      <c r="L186" s="1342">
        <f>L184+L185</f>
        <v>0</v>
      </c>
      <c r="M186" s="1334"/>
      <c r="N186" s="1327" t="str">
        <f>"(Col. "&amp;R157&amp;", Line "&amp;B184&amp;" + Line "&amp;B185&amp;")"</f>
        <v>(Col. (M), Line 117 + Line 118)</v>
      </c>
      <c r="R186" s="1342">
        <f>R184+R185</f>
        <v>0</v>
      </c>
    </row>
    <row r="187" spans="2:19" ht="13">
      <c r="D187" s="1311"/>
    </row>
    <row r="188" spans="2:19" ht="13">
      <c r="D188" s="1311" t="s">
        <v>1366</v>
      </c>
      <c r="J188" s="1737"/>
      <c r="K188" s="1737"/>
      <c r="L188" s="1737"/>
      <c r="N188" s="1737"/>
      <c r="O188" s="1737"/>
      <c r="P188" s="1737"/>
      <c r="Q188" s="1737"/>
      <c r="R188" s="1737"/>
    </row>
    <row r="189" spans="2:19" ht="13">
      <c r="D189" s="1730" t="s">
        <v>912</v>
      </c>
      <c r="E189" s="1731"/>
      <c r="F189" s="1731"/>
      <c r="G189" s="1731"/>
      <c r="H189" s="1732"/>
      <c r="I189" s="1315"/>
      <c r="J189" s="1733" t="s">
        <v>1353</v>
      </c>
      <c r="K189" s="1734"/>
      <c r="L189" s="1735"/>
      <c r="M189" s="1315"/>
      <c r="N189" s="1733" t="s">
        <v>1354</v>
      </c>
      <c r="O189" s="1734"/>
      <c r="P189" s="1734"/>
      <c r="Q189" s="1734"/>
      <c r="R189" s="1735"/>
      <c r="S189" s="1315"/>
    </row>
    <row r="190" spans="2:19" ht="13">
      <c r="D190" s="1316" t="s">
        <v>174</v>
      </c>
      <c r="E190" s="1316" t="s">
        <v>175</v>
      </c>
      <c r="F190" s="1316" t="s">
        <v>1294</v>
      </c>
      <c r="G190" s="1316" t="s">
        <v>1295</v>
      </c>
      <c r="H190" s="1316" t="s">
        <v>1296</v>
      </c>
      <c r="I190" s="1315"/>
      <c r="J190" s="1316" t="s">
        <v>1297</v>
      </c>
      <c r="K190" s="1316" t="s">
        <v>1298</v>
      </c>
      <c r="L190" s="1316" t="s">
        <v>1299</v>
      </c>
      <c r="M190" s="1315"/>
      <c r="N190" s="1316" t="s">
        <v>1300</v>
      </c>
      <c r="O190" s="1316" t="s">
        <v>1301</v>
      </c>
      <c r="P190" s="1316" t="s">
        <v>1302</v>
      </c>
      <c r="Q190" s="1316" t="s">
        <v>1303</v>
      </c>
      <c r="R190" s="1316" t="s">
        <v>1304</v>
      </c>
      <c r="S190" s="1315"/>
    </row>
    <row r="191" spans="2:19" ht="50">
      <c r="B191" s="1317" t="s">
        <v>1305</v>
      </c>
      <c r="D191" s="1318" t="s">
        <v>169</v>
      </c>
      <c r="E191" s="1318" t="s">
        <v>913</v>
      </c>
      <c r="F191" s="1318" t="s">
        <v>914</v>
      </c>
      <c r="G191" s="1318" t="s">
        <v>915</v>
      </c>
      <c r="H191" s="1318" t="s">
        <v>1306</v>
      </c>
      <c r="I191" s="1636"/>
      <c r="J191" s="1318" t="s">
        <v>916</v>
      </c>
      <c r="K191" s="1318" t="s">
        <v>1307</v>
      </c>
      <c r="L191" s="1318" t="s">
        <v>1308</v>
      </c>
      <c r="M191" s="1636"/>
      <c r="N191" s="1318" t="s">
        <v>1003</v>
      </c>
      <c r="O191" s="1318" t="s">
        <v>1309</v>
      </c>
      <c r="P191" s="1318" t="s">
        <v>1310</v>
      </c>
      <c r="Q191" s="1318" t="s">
        <v>1311</v>
      </c>
      <c r="R191" s="1318" t="s">
        <v>1312</v>
      </c>
      <c r="S191" s="1636"/>
    </row>
    <row r="192" spans="2:19">
      <c r="E192" s="1636"/>
      <c r="F192" s="1636"/>
      <c r="G192" s="1636"/>
      <c r="H192" s="1636"/>
      <c r="I192" s="1636"/>
      <c r="J192" s="1636"/>
      <c r="K192" s="1636"/>
      <c r="L192" s="1636"/>
      <c r="M192" s="1636"/>
      <c r="N192" s="1636"/>
      <c r="O192" s="1636"/>
      <c r="P192" s="1636"/>
      <c r="Q192" s="1636"/>
      <c r="R192" s="1636"/>
      <c r="S192" s="1636"/>
    </row>
    <row r="193" spans="2:19">
      <c r="B193" s="1314">
        <f>B186+1</f>
        <v>120</v>
      </c>
      <c r="D193" s="1008" t="s">
        <v>1002</v>
      </c>
      <c r="E193" s="1636"/>
      <c r="F193" s="1636"/>
      <c r="G193" s="1636"/>
      <c r="H193" s="1636"/>
      <c r="I193" s="1636"/>
      <c r="J193" s="1319" t="s">
        <v>1802</v>
      </c>
      <c r="K193" s="1636"/>
      <c r="L193" s="1319">
        <v>0</v>
      </c>
      <c r="M193" s="1636"/>
      <c r="N193" s="1319"/>
      <c r="O193" s="1636"/>
      <c r="P193" s="1636"/>
      <c r="Q193" s="1636"/>
      <c r="R193" s="1319">
        <v>0</v>
      </c>
      <c r="S193" s="1636"/>
    </row>
    <row r="194" spans="2:19">
      <c r="E194" s="1636"/>
      <c r="F194" s="1636"/>
      <c r="G194" s="1636"/>
      <c r="H194" s="1636"/>
      <c r="I194" s="1636"/>
      <c r="J194" s="1636"/>
      <c r="K194" s="1636"/>
      <c r="L194" s="1636"/>
      <c r="M194" s="1636"/>
      <c r="N194" s="1636"/>
      <c r="O194" s="1636"/>
      <c r="P194" s="1636"/>
      <c r="Q194" s="1636"/>
      <c r="R194" s="1636"/>
      <c r="S194" s="1636"/>
    </row>
    <row r="195" spans="2:19">
      <c r="B195" s="1314">
        <f>B193+1</f>
        <v>121</v>
      </c>
      <c r="D195" s="1320" t="s">
        <v>525</v>
      </c>
      <c r="E195" s="1319">
        <v>31</v>
      </c>
      <c r="F195" s="1321">
        <v>0</v>
      </c>
      <c r="G195" s="1321">
        <v>214</v>
      </c>
      <c r="H195" s="1322">
        <f t="shared" ref="H195:H206" si="51">IF(F195=0,0.5,F195/G195)</f>
        <v>0.5</v>
      </c>
      <c r="I195" s="1323"/>
      <c r="J195" s="1319">
        <v>0</v>
      </c>
      <c r="K195" s="1324">
        <f t="shared" ref="K195:K206" si="52">+J195*H195</f>
        <v>0</v>
      </c>
      <c r="L195" s="1324">
        <f>+K195</f>
        <v>0</v>
      </c>
      <c r="M195" s="1323"/>
      <c r="N195" s="1319">
        <v>0</v>
      </c>
      <c r="O195" s="1324">
        <f>IF($D$237="True-Up Adjustment",N195-J195,0)</f>
        <v>0</v>
      </c>
      <c r="P195" s="1324">
        <f>IF($D$237="True-Up Adjustment",IF(AND(J195&gt;=0,N195&gt;=0),IF(O195&gt;=0,K195+O195,N195/J195*K195),IF(AND(J195&lt;0,N195&lt;0),IF(O195&lt;0,K195+O195,N195/J195*K195),0)),0)</f>
        <v>0</v>
      </c>
      <c r="Q195" s="1324">
        <f t="shared" ref="Q195:Q206" si="53">IF(AND(J195&gt;=0,N195&lt;0),N195,IF(AND(J195&lt;0,N195&gt;=0),N195,0))</f>
        <v>0</v>
      </c>
      <c r="R195" s="1324">
        <f>+P195+Q195</f>
        <v>0</v>
      </c>
      <c r="S195" s="1323"/>
    </row>
    <row r="196" spans="2:19">
      <c r="B196" s="1314">
        <f t="shared" ref="B196:B207" si="54">+B195+1</f>
        <v>122</v>
      </c>
      <c r="D196" s="1320" t="s">
        <v>526</v>
      </c>
      <c r="E196" s="1319">
        <v>28</v>
      </c>
      <c r="F196" s="1321">
        <v>0</v>
      </c>
      <c r="G196" s="1321">
        <f t="shared" ref="G196:G206" si="55">G195</f>
        <v>214</v>
      </c>
      <c r="H196" s="1322">
        <f t="shared" si="51"/>
        <v>0.5</v>
      </c>
      <c r="I196" s="1323"/>
      <c r="J196" s="1319">
        <v>0</v>
      </c>
      <c r="K196" s="1324">
        <f t="shared" si="52"/>
        <v>0</v>
      </c>
      <c r="L196" s="1324">
        <f t="shared" ref="L196:L206" si="56">+K196+L195</f>
        <v>0</v>
      </c>
      <c r="M196" s="1323"/>
      <c r="N196" s="1319">
        <v>0</v>
      </c>
      <c r="O196" s="1324">
        <f t="shared" ref="O196:O206" si="57">IF($D$237="True-Up Adjustment",N196-J196,0)</f>
        <v>0</v>
      </c>
      <c r="P196" s="1324">
        <f t="shared" ref="P196:P206" si="58">IF($D$237="True-Up Adjustment",IF(AND(J196&gt;=0,N196&gt;=0),IF(O196&gt;=0,K196+O196,N196/J196*K196),IF(AND(J196&lt;0,N196&lt;0),IF(O196&lt;0,K196+O196,N196/J196*K196),0)),0)</f>
        <v>0</v>
      </c>
      <c r="Q196" s="1324">
        <f t="shared" si="53"/>
        <v>0</v>
      </c>
      <c r="R196" s="1324">
        <f t="shared" ref="R196:R206" si="59">R195+P196+Q196</f>
        <v>0</v>
      </c>
      <c r="S196" s="1323"/>
    </row>
    <row r="197" spans="2:19">
      <c r="B197" s="1314">
        <f t="shared" si="54"/>
        <v>123</v>
      </c>
      <c r="D197" s="1320" t="s">
        <v>545</v>
      </c>
      <c r="E197" s="1319">
        <v>31</v>
      </c>
      <c r="F197" s="1321">
        <v>0</v>
      </c>
      <c r="G197" s="1321">
        <f t="shared" si="55"/>
        <v>214</v>
      </c>
      <c r="H197" s="1322">
        <f t="shared" si="51"/>
        <v>0.5</v>
      </c>
      <c r="I197" s="1323"/>
      <c r="J197" s="1319">
        <v>0</v>
      </c>
      <c r="K197" s="1324">
        <f t="shared" si="52"/>
        <v>0</v>
      </c>
      <c r="L197" s="1324">
        <f t="shared" si="56"/>
        <v>0</v>
      </c>
      <c r="M197" s="1323"/>
      <c r="N197" s="1319">
        <v>0</v>
      </c>
      <c r="O197" s="1324">
        <f t="shared" si="57"/>
        <v>0</v>
      </c>
      <c r="P197" s="1324">
        <f t="shared" si="58"/>
        <v>0</v>
      </c>
      <c r="Q197" s="1324">
        <f t="shared" si="53"/>
        <v>0</v>
      </c>
      <c r="R197" s="1324">
        <f t="shared" si="59"/>
        <v>0</v>
      </c>
      <c r="S197" s="1323"/>
    </row>
    <row r="198" spans="2:19">
      <c r="B198" s="1314">
        <f t="shared" si="54"/>
        <v>124</v>
      </c>
      <c r="D198" s="1320" t="s">
        <v>171</v>
      </c>
      <c r="E198" s="1319">
        <v>30</v>
      </c>
      <c r="F198" s="1321">
        <v>0</v>
      </c>
      <c r="G198" s="1321">
        <f t="shared" si="55"/>
        <v>214</v>
      </c>
      <c r="H198" s="1322">
        <f t="shared" si="51"/>
        <v>0.5</v>
      </c>
      <c r="I198" s="1323"/>
      <c r="J198" s="1319">
        <v>0</v>
      </c>
      <c r="K198" s="1324">
        <f t="shared" si="52"/>
        <v>0</v>
      </c>
      <c r="L198" s="1324">
        <f t="shared" si="56"/>
        <v>0</v>
      </c>
      <c r="M198" s="1323"/>
      <c r="N198" s="1319">
        <v>0</v>
      </c>
      <c r="O198" s="1324">
        <f t="shared" si="57"/>
        <v>0</v>
      </c>
      <c r="P198" s="1324">
        <f t="shared" si="58"/>
        <v>0</v>
      </c>
      <c r="Q198" s="1324">
        <f t="shared" si="53"/>
        <v>0</v>
      </c>
      <c r="R198" s="1324">
        <f t="shared" si="59"/>
        <v>0</v>
      </c>
      <c r="S198" s="1323"/>
    </row>
    <row r="199" spans="2:19">
      <c r="B199" s="1314">
        <f t="shared" si="54"/>
        <v>125</v>
      </c>
      <c r="D199" s="1320" t="s">
        <v>172</v>
      </c>
      <c r="E199" s="1319">
        <v>31</v>
      </c>
      <c r="F199" s="1321">
        <v>0</v>
      </c>
      <c r="G199" s="1321">
        <f t="shared" si="55"/>
        <v>214</v>
      </c>
      <c r="H199" s="1322">
        <f t="shared" si="51"/>
        <v>0.5</v>
      </c>
      <c r="I199" s="1323"/>
      <c r="J199" s="1319">
        <v>0</v>
      </c>
      <c r="K199" s="1324">
        <f t="shared" si="52"/>
        <v>0</v>
      </c>
      <c r="L199" s="1324">
        <f t="shared" si="56"/>
        <v>0</v>
      </c>
      <c r="M199" s="1323"/>
      <c r="N199" s="1319">
        <v>0</v>
      </c>
      <c r="O199" s="1324">
        <f t="shared" si="57"/>
        <v>0</v>
      </c>
      <c r="P199" s="1324">
        <f t="shared" si="58"/>
        <v>0</v>
      </c>
      <c r="Q199" s="1324">
        <f t="shared" si="53"/>
        <v>0</v>
      </c>
      <c r="R199" s="1324">
        <f t="shared" si="59"/>
        <v>0</v>
      </c>
      <c r="S199" s="1323"/>
    </row>
    <row r="200" spans="2:19">
      <c r="B200" s="1314">
        <f t="shared" si="54"/>
        <v>126</v>
      </c>
      <c r="D200" s="1320" t="s">
        <v>173</v>
      </c>
      <c r="E200" s="1319">
        <v>30</v>
      </c>
      <c r="F200" s="1321">
        <f t="shared" ref="F200:F205" si="60">E201+F201</f>
        <v>185</v>
      </c>
      <c r="G200" s="1321">
        <f t="shared" si="55"/>
        <v>214</v>
      </c>
      <c r="H200" s="1322">
        <f t="shared" si="51"/>
        <v>0.86448598130841126</v>
      </c>
      <c r="I200" s="1323"/>
      <c r="J200" s="1319">
        <v>0</v>
      </c>
      <c r="K200" s="1324">
        <f t="shared" si="52"/>
        <v>0</v>
      </c>
      <c r="L200" s="1324">
        <f t="shared" si="56"/>
        <v>0</v>
      </c>
      <c r="M200" s="1323"/>
      <c r="N200" s="1319">
        <v>0</v>
      </c>
      <c r="O200" s="1324">
        <f t="shared" si="57"/>
        <v>0</v>
      </c>
      <c r="P200" s="1324">
        <f t="shared" si="58"/>
        <v>0</v>
      </c>
      <c r="Q200" s="1324">
        <f t="shared" si="53"/>
        <v>0</v>
      </c>
      <c r="R200" s="1324">
        <f t="shared" si="59"/>
        <v>0</v>
      </c>
      <c r="S200" s="1323"/>
    </row>
    <row r="201" spans="2:19">
      <c r="B201" s="1314">
        <f t="shared" si="54"/>
        <v>127</v>
      </c>
      <c r="D201" s="1320" t="s">
        <v>528</v>
      </c>
      <c r="E201" s="1319">
        <v>31</v>
      </c>
      <c r="F201" s="1321">
        <f t="shared" si="60"/>
        <v>154</v>
      </c>
      <c r="G201" s="1321">
        <f t="shared" si="55"/>
        <v>214</v>
      </c>
      <c r="H201" s="1322">
        <f t="shared" si="51"/>
        <v>0.71962616822429903</v>
      </c>
      <c r="I201" s="1323"/>
      <c r="J201" s="1319">
        <v>0</v>
      </c>
      <c r="K201" s="1324">
        <f t="shared" si="52"/>
        <v>0</v>
      </c>
      <c r="L201" s="1324">
        <f t="shared" si="56"/>
        <v>0</v>
      </c>
      <c r="M201" s="1323"/>
      <c r="N201" s="1319">
        <v>0</v>
      </c>
      <c r="O201" s="1324">
        <f t="shared" si="57"/>
        <v>0</v>
      </c>
      <c r="P201" s="1324">
        <f t="shared" si="58"/>
        <v>0</v>
      </c>
      <c r="Q201" s="1324">
        <f t="shared" si="53"/>
        <v>0</v>
      </c>
      <c r="R201" s="1324">
        <f t="shared" si="59"/>
        <v>0</v>
      </c>
      <c r="S201" s="1323"/>
    </row>
    <row r="202" spans="2:19">
      <c r="B202" s="1314">
        <f t="shared" si="54"/>
        <v>128</v>
      </c>
      <c r="D202" s="1320" t="s">
        <v>546</v>
      </c>
      <c r="E202" s="1319">
        <v>31</v>
      </c>
      <c r="F202" s="1321">
        <f t="shared" si="60"/>
        <v>123</v>
      </c>
      <c r="G202" s="1321">
        <f t="shared" si="55"/>
        <v>214</v>
      </c>
      <c r="H202" s="1322">
        <f t="shared" si="51"/>
        <v>0.57476635514018692</v>
      </c>
      <c r="I202" s="1323"/>
      <c r="J202" s="1319">
        <v>0</v>
      </c>
      <c r="K202" s="1324">
        <f t="shared" si="52"/>
        <v>0</v>
      </c>
      <c r="L202" s="1324">
        <f t="shared" si="56"/>
        <v>0</v>
      </c>
      <c r="M202" s="1323"/>
      <c r="N202" s="1319">
        <v>0</v>
      </c>
      <c r="O202" s="1324">
        <f t="shared" si="57"/>
        <v>0</v>
      </c>
      <c r="P202" s="1324">
        <f t="shared" si="58"/>
        <v>0</v>
      </c>
      <c r="Q202" s="1324">
        <f t="shared" si="53"/>
        <v>0</v>
      </c>
      <c r="R202" s="1324">
        <f t="shared" si="59"/>
        <v>0</v>
      </c>
      <c r="S202" s="1323"/>
    </row>
    <row r="203" spans="2:19">
      <c r="B203" s="1314">
        <f t="shared" si="54"/>
        <v>129</v>
      </c>
      <c r="D203" s="1320" t="s">
        <v>530</v>
      </c>
      <c r="E203" s="1319">
        <v>30</v>
      </c>
      <c r="F203" s="1321">
        <f t="shared" si="60"/>
        <v>93</v>
      </c>
      <c r="G203" s="1321">
        <f t="shared" si="55"/>
        <v>214</v>
      </c>
      <c r="H203" s="1322">
        <f t="shared" si="51"/>
        <v>0.43457943925233644</v>
      </c>
      <c r="I203" s="1323"/>
      <c r="J203" s="1319">
        <v>0</v>
      </c>
      <c r="K203" s="1324">
        <f t="shared" si="52"/>
        <v>0</v>
      </c>
      <c r="L203" s="1324">
        <f t="shared" si="56"/>
        <v>0</v>
      </c>
      <c r="M203" s="1323"/>
      <c r="N203" s="1319">
        <v>0</v>
      </c>
      <c r="O203" s="1324">
        <f t="shared" si="57"/>
        <v>0</v>
      </c>
      <c r="P203" s="1324">
        <f t="shared" si="58"/>
        <v>0</v>
      </c>
      <c r="Q203" s="1324">
        <f t="shared" si="53"/>
        <v>0</v>
      </c>
      <c r="R203" s="1324">
        <f t="shared" si="59"/>
        <v>0</v>
      </c>
      <c r="S203" s="1323"/>
    </row>
    <row r="204" spans="2:19">
      <c r="B204" s="1314">
        <f t="shared" si="54"/>
        <v>130</v>
      </c>
      <c r="D204" s="1320" t="s">
        <v>531</v>
      </c>
      <c r="E204" s="1319">
        <v>31</v>
      </c>
      <c r="F204" s="1321">
        <f t="shared" si="60"/>
        <v>62</v>
      </c>
      <c r="G204" s="1321">
        <f t="shared" si="55"/>
        <v>214</v>
      </c>
      <c r="H204" s="1322">
        <f t="shared" si="51"/>
        <v>0.28971962616822428</v>
      </c>
      <c r="I204" s="1323"/>
      <c r="J204" s="1319">
        <v>0</v>
      </c>
      <c r="K204" s="1324">
        <f t="shared" si="52"/>
        <v>0</v>
      </c>
      <c r="L204" s="1324">
        <f t="shared" si="56"/>
        <v>0</v>
      </c>
      <c r="M204" s="1323"/>
      <c r="N204" s="1319">
        <v>0</v>
      </c>
      <c r="O204" s="1324">
        <f t="shared" si="57"/>
        <v>0</v>
      </c>
      <c r="P204" s="1324">
        <f t="shared" si="58"/>
        <v>0</v>
      </c>
      <c r="Q204" s="1324">
        <f t="shared" si="53"/>
        <v>0</v>
      </c>
      <c r="R204" s="1324">
        <f t="shared" si="59"/>
        <v>0</v>
      </c>
      <c r="S204" s="1323"/>
    </row>
    <row r="205" spans="2:19">
      <c r="B205" s="1314">
        <f t="shared" si="54"/>
        <v>131</v>
      </c>
      <c r="D205" s="1320" t="s">
        <v>532</v>
      </c>
      <c r="E205" s="1319">
        <v>30</v>
      </c>
      <c r="F205" s="1321">
        <f t="shared" si="60"/>
        <v>32</v>
      </c>
      <c r="G205" s="1321">
        <f t="shared" si="55"/>
        <v>214</v>
      </c>
      <c r="H205" s="1322">
        <f t="shared" si="51"/>
        <v>0.14953271028037382</v>
      </c>
      <c r="I205" s="1323"/>
      <c r="J205" s="1319">
        <v>0</v>
      </c>
      <c r="K205" s="1324">
        <f t="shared" si="52"/>
        <v>0</v>
      </c>
      <c r="L205" s="1324">
        <f t="shared" si="56"/>
        <v>0</v>
      </c>
      <c r="M205" s="1323"/>
      <c r="N205" s="1319">
        <v>0</v>
      </c>
      <c r="O205" s="1324">
        <f t="shared" si="57"/>
        <v>0</v>
      </c>
      <c r="P205" s="1324">
        <f t="shared" si="58"/>
        <v>0</v>
      </c>
      <c r="Q205" s="1324">
        <f t="shared" si="53"/>
        <v>0</v>
      </c>
      <c r="R205" s="1324">
        <f t="shared" si="59"/>
        <v>0</v>
      </c>
      <c r="S205" s="1323"/>
    </row>
    <row r="206" spans="2:19">
      <c r="B206" s="1314">
        <f t="shared" si="54"/>
        <v>132</v>
      </c>
      <c r="D206" s="1325" t="s">
        <v>749</v>
      </c>
      <c r="E206" s="1319">
        <v>31</v>
      </c>
      <c r="F206" s="1326">
        <v>1</v>
      </c>
      <c r="G206" s="1321">
        <f t="shared" si="55"/>
        <v>214</v>
      </c>
      <c r="H206" s="1322">
        <f t="shared" si="51"/>
        <v>4.6728971962616819E-3</v>
      </c>
      <c r="I206" s="1323"/>
      <c r="J206" s="1319">
        <v>0</v>
      </c>
      <c r="K206" s="1324">
        <f t="shared" si="52"/>
        <v>0</v>
      </c>
      <c r="L206" s="1324">
        <f t="shared" si="56"/>
        <v>0</v>
      </c>
      <c r="M206" s="1323"/>
      <c r="N206" s="1319">
        <v>0</v>
      </c>
      <c r="O206" s="1324">
        <f t="shared" si="57"/>
        <v>0</v>
      </c>
      <c r="P206" s="1324">
        <f t="shared" si="58"/>
        <v>0</v>
      </c>
      <c r="Q206" s="1324">
        <f t="shared" si="53"/>
        <v>0</v>
      </c>
      <c r="R206" s="1324">
        <f t="shared" si="59"/>
        <v>0</v>
      </c>
      <c r="S206" s="1323"/>
    </row>
    <row r="207" spans="2:19">
      <c r="B207" s="1314">
        <f t="shared" si="54"/>
        <v>133</v>
      </c>
      <c r="D207" s="1327" t="str">
        <f>"Total (Sum of Lines "&amp;B195&amp;" - "&amp;B206&amp;")"</f>
        <v>Total (Sum of Lines 121 - 132)</v>
      </c>
      <c r="E207" s="1328">
        <f>SUM(E195:E206)</f>
        <v>365</v>
      </c>
      <c r="F207" s="1329"/>
      <c r="G207" s="1329"/>
      <c r="H207" s="1330"/>
      <c r="I207" s="1331"/>
      <c r="J207" s="1328">
        <f>SUM(J195:J206)</f>
        <v>0</v>
      </c>
      <c r="K207" s="1328">
        <f>SUM(K195:K206)</f>
        <v>0</v>
      </c>
      <c r="L207" s="1332"/>
      <c r="M207" s="1331"/>
      <c r="N207" s="1328">
        <f>SUM(N195:N206)</f>
        <v>0</v>
      </c>
      <c r="O207" s="1328">
        <f>SUM(O195:O206)</f>
        <v>0</v>
      </c>
      <c r="P207" s="1328">
        <f>SUM(P195:P206)</f>
        <v>0</v>
      </c>
      <c r="Q207" s="1328">
        <f>SUM(Q195:Q206)</f>
        <v>0</v>
      </c>
      <c r="R207" s="1332"/>
      <c r="S207" s="1331"/>
    </row>
    <row r="208" spans="2:19">
      <c r="D208" s="1333"/>
      <c r="E208" s="1333"/>
      <c r="F208" s="1333"/>
      <c r="G208" s="1333"/>
      <c r="H208" s="1334"/>
      <c r="I208" s="1334"/>
      <c r="K208" s="1335"/>
      <c r="L208" s="1334"/>
      <c r="M208" s="1334"/>
      <c r="N208" s="1345"/>
      <c r="O208" s="1335"/>
      <c r="P208" s="1335"/>
      <c r="Q208" s="1335"/>
      <c r="R208" s="1334"/>
      <c r="S208" s="1334"/>
    </row>
    <row r="209" spans="2:19">
      <c r="B209" s="1314">
        <f>B207+1</f>
        <v>134</v>
      </c>
      <c r="D209" s="1008" t="s">
        <v>1356</v>
      </c>
      <c r="I209" s="1334"/>
      <c r="J209" s="1319" t="s">
        <v>1802</v>
      </c>
      <c r="L209" s="1319">
        <v>0</v>
      </c>
      <c r="M209" s="1336"/>
      <c r="N209" s="1319"/>
      <c r="R209" s="1319">
        <v>0</v>
      </c>
    </row>
    <row r="210" spans="2:19">
      <c r="B210" s="1314">
        <f>B209+1</f>
        <v>135</v>
      </c>
      <c r="D210" s="1008" t="s">
        <v>1357</v>
      </c>
      <c r="I210" s="1334"/>
      <c r="J210" s="1337" t="s">
        <v>639</v>
      </c>
      <c r="L210" s="1338">
        <v>0</v>
      </c>
      <c r="M210" s="1339"/>
      <c r="N210" s="1337"/>
      <c r="R210" s="1338">
        <v>0</v>
      </c>
    </row>
    <row r="211" spans="2:19">
      <c r="B211" s="1314">
        <f>B210+1</f>
        <v>136</v>
      </c>
      <c r="D211" s="1008" t="s">
        <v>1358</v>
      </c>
      <c r="I211" s="1334"/>
      <c r="J211" s="1327" t="str">
        <f>"(Col. "&amp;L190&amp;", Line "&amp;B209&amp;" + Line "&amp;B210&amp;")"</f>
        <v>(Col. (H), Line 134 + Line 135)</v>
      </c>
      <c r="L211" s="1340">
        <f>L209+L210</f>
        <v>0</v>
      </c>
      <c r="M211" s="1334"/>
      <c r="N211" s="1327" t="str">
        <f>"(Col. "&amp;R190&amp;", Line "&amp;B209&amp;" + Line "&amp;B210&amp;")"</f>
        <v>(Col. (M), Line 134 + Line 135)</v>
      </c>
      <c r="R211" s="1340">
        <f>R209+R210</f>
        <v>0</v>
      </c>
    </row>
    <row r="212" spans="2:19">
      <c r="I212" s="1334"/>
      <c r="L212" s="1340"/>
      <c r="M212" s="1334"/>
      <c r="R212" s="1340"/>
    </row>
    <row r="213" spans="2:19">
      <c r="B213" s="1314">
        <f>B211+1</f>
        <v>137</v>
      </c>
      <c r="D213" s="1008" t="s">
        <v>1359</v>
      </c>
      <c r="I213" s="1334"/>
      <c r="J213" s="1319" t="s">
        <v>1803</v>
      </c>
      <c r="L213" s="1319">
        <v>0</v>
      </c>
      <c r="M213" s="1336"/>
      <c r="N213" s="1319"/>
      <c r="R213" s="1319">
        <v>0</v>
      </c>
    </row>
    <row r="214" spans="2:19">
      <c r="B214" s="1314">
        <f>B213+1</f>
        <v>138</v>
      </c>
      <c r="D214" s="1008" t="s">
        <v>1360</v>
      </c>
      <c r="I214" s="1334"/>
      <c r="J214" s="1337" t="s">
        <v>639</v>
      </c>
      <c r="L214" s="1338">
        <v>0</v>
      </c>
      <c r="M214" s="1334"/>
      <c r="N214" s="1337"/>
      <c r="R214" s="1338">
        <v>0</v>
      </c>
    </row>
    <row r="215" spans="2:19">
      <c r="B215" s="1314">
        <f>B214+1</f>
        <v>139</v>
      </c>
      <c r="D215" s="1008" t="s">
        <v>1361</v>
      </c>
      <c r="I215" s="1334"/>
      <c r="J215" s="1327" t="str">
        <f>"(Col. "&amp;L190&amp;", Line "&amp;B213&amp;" + Line "&amp;B214&amp;")"</f>
        <v>(Col. (H), Line 137 + Line 138)</v>
      </c>
      <c r="L215" s="1340">
        <f>L213+L214</f>
        <v>0</v>
      </c>
      <c r="M215" s="1334"/>
      <c r="N215" s="1327" t="str">
        <f>"(Col. "&amp;R190&amp;", Line "&amp;B213&amp;" + Line "&amp;B214&amp;")"</f>
        <v>(Col. (M), Line 137 + Line 138)</v>
      </c>
      <c r="R215" s="1340">
        <f>R213+R214</f>
        <v>0</v>
      </c>
    </row>
    <row r="216" spans="2:19">
      <c r="I216" s="1334"/>
      <c r="L216" s="1340"/>
      <c r="M216" s="1334"/>
      <c r="R216" s="1340"/>
    </row>
    <row r="217" spans="2:19">
      <c r="B217" s="1314">
        <f>B215+1</f>
        <v>140</v>
      </c>
      <c r="D217" s="1008" t="s">
        <v>1000</v>
      </c>
      <c r="I217" s="1334"/>
      <c r="J217" s="1327" t="str">
        <f>"([Col. "&amp;L190&amp;", Line "&amp;B211&amp;" + Line "&amp;B215&amp;"] /2)"</f>
        <v>([Col. (H), Line 136 + Line 139] /2)</v>
      </c>
      <c r="L217" s="1324">
        <f>(L211+L215)/2</f>
        <v>0</v>
      </c>
      <c r="M217" s="1334"/>
      <c r="N217" s="1327" t="str">
        <f>"([Col. "&amp;R190&amp;", Line "&amp;B211&amp;" + Line "&amp;B215&amp;"] /2)"</f>
        <v>([Col. (M), Line 136 + Line 139] /2)</v>
      </c>
      <c r="R217" s="1324">
        <f>(R211+R215)/2</f>
        <v>0</v>
      </c>
    </row>
    <row r="218" spans="2:19">
      <c r="B218" s="1314">
        <f>B217+1</f>
        <v>141</v>
      </c>
      <c r="D218" s="1426" t="s">
        <v>1362</v>
      </c>
      <c r="E218" s="1333"/>
      <c r="F218" s="1333"/>
      <c r="G218" s="1333"/>
      <c r="H218" s="1334"/>
      <c r="I218" s="1334"/>
      <c r="J218" s="1327" t="str">
        <f>"(Col. "&amp;L190&amp;", Line "&amp;B206&amp;" )"</f>
        <v>(Col. (H), Line 132 )</v>
      </c>
      <c r="K218" s="1335"/>
      <c r="L218" s="1324">
        <f>L206</f>
        <v>0</v>
      </c>
      <c r="M218" s="1334"/>
      <c r="N218" s="1327" t="str">
        <f>"(Col. "&amp;R190&amp;", Line "&amp;B206&amp;" )"</f>
        <v>(Col. (M), Line 132 )</v>
      </c>
      <c r="R218" s="1324">
        <f>R206</f>
        <v>0</v>
      </c>
    </row>
    <row r="219" spans="2:19" ht="13.5" thickBot="1">
      <c r="B219" s="1314">
        <f>B218+1</f>
        <v>142</v>
      </c>
      <c r="D219" s="1341" t="s">
        <v>1367</v>
      </c>
      <c r="E219" s="1333"/>
      <c r="F219" s="1333"/>
      <c r="G219" s="1333"/>
      <c r="H219" s="1334"/>
      <c r="I219" s="1334"/>
      <c r="J219" s="1327" t="str">
        <f>"(Col. "&amp;L190&amp;", Line "&amp;B217&amp;" + Line "&amp;B218&amp;")"</f>
        <v>(Col. (H), Line 140 + Line 141)</v>
      </c>
      <c r="K219" s="1335"/>
      <c r="L219" s="1342">
        <f>L217+L218</f>
        <v>0</v>
      </c>
      <c r="M219" s="1334"/>
      <c r="N219" s="1327" t="str">
        <f>"(Col. "&amp;R190&amp;", Line "&amp;B217&amp;" + Line "&amp;B218&amp;")"</f>
        <v>(Col. (M), Line 140 + Line 141)</v>
      </c>
      <c r="R219" s="1342">
        <f>R217+R218</f>
        <v>0</v>
      </c>
    </row>
    <row r="220" spans="2:19">
      <c r="D220" s="1333"/>
      <c r="E220" s="1333"/>
      <c r="F220" s="1333"/>
      <c r="G220" s="1333"/>
      <c r="H220" s="1334"/>
      <c r="I220" s="1334"/>
      <c r="K220" s="1335"/>
      <c r="L220" s="1334"/>
      <c r="M220" s="1334"/>
      <c r="O220" s="1335"/>
      <c r="P220" s="1335"/>
      <c r="Q220" s="1335"/>
      <c r="R220" s="1334"/>
      <c r="S220" s="1334"/>
    </row>
    <row r="221" spans="2:19">
      <c r="D221" s="1333"/>
      <c r="E221" s="1333"/>
      <c r="F221" s="1333" t="s">
        <v>86</v>
      </c>
      <c r="G221" s="1333"/>
      <c r="H221" s="1334"/>
      <c r="I221" s="1334"/>
      <c r="K221" s="1335"/>
      <c r="L221" s="1334"/>
      <c r="M221" s="1334"/>
      <c r="O221" s="1335"/>
      <c r="P221" s="1335"/>
      <c r="Q221" s="1335"/>
      <c r="R221" s="1334"/>
      <c r="S221" s="1334"/>
    </row>
    <row r="222" spans="2:19" ht="13">
      <c r="D222" s="1749" t="s">
        <v>1377</v>
      </c>
      <c r="E222" s="1749"/>
      <c r="F222" s="1749"/>
      <c r="G222" s="1749"/>
      <c r="H222" s="1749"/>
      <c r="I222" s="1334"/>
      <c r="J222" s="1749" t="s">
        <v>1378</v>
      </c>
      <c r="K222" s="1749"/>
      <c r="L222" s="1749"/>
      <c r="M222" s="1749"/>
      <c r="N222" s="1749"/>
      <c r="O222" s="1335"/>
      <c r="P222" s="1335"/>
      <c r="Q222" s="1335"/>
      <c r="R222" s="1334"/>
      <c r="S222" s="1334"/>
    </row>
    <row r="223" spans="2:19" ht="12.75" customHeight="1">
      <c r="B223" s="1750" t="s">
        <v>1305</v>
      </c>
      <c r="C223" s="1635"/>
      <c r="D223" s="1630" t="s">
        <v>174</v>
      </c>
      <c r="E223" s="1631"/>
      <c r="F223" s="1630" t="s">
        <v>175</v>
      </c>
      <c r="G223" s="1632"/>
      <c r="H223" s="1629" t="s">
        <v>1294</v>
      </c>
      <c r="I223" s="1315"/>
      <c r="J223" s="1630" t="s">
        <v>1295</v>
      </c>
      <c r="K223" s="1631"/>
      <c r="L223" s="1630" t="s">
        <v>1296</v>
      </c>
      <c r="M223" s="1632"/>
      <c r="N223" s="1629" t="s">
        <v>1297</v>
      </c>
    </row>
    <row r="224" spans="2:19" ht="26">
      <c r="B224" s="1751"/>
      <c r="C224" s="1635"/>
      <c r="D224" s="1432" t="s">
        <v>1370</v>
      </c>
      <c r="E224" s="1433"/>
      <c r="F224" s="1434" t="s">
        <v>1371</v>
      </c>
      <c r="G224" s="1435"/>
      <c r="H224" s="1431" t="s">
        <v>1379</v>
      </c>
      <c r="J224" s="1432" t="s">
        <v>1370</v>
      </c>
      <c r="K224" s="1433"/>
      <c r="L224" s="1434" t="s">
        <v>1371</v>
      </c>
      <c r="M224" s="1435"/>
      <c r="N224" s="1431" t="s">
        <v>1372</v>
      </c>
      <c r="O224" s="1335"/>
      <c r="P224" s="1335"/>
      <c r="Q224" s="1335"/>
      <c r="R224" s="1334"/>
      <c r="S224" s="1334"/>
    </row>
    <row r="225" spans="1:19" ht="5.15" customHeight="1">
      <c r="B225" s="1008"/>
      <c r="E225" s="1333"/>
      <c r="K225" s="1333"/>
      <c r="O225" s="1335"/>
      <c r="P225" s="1335"/>
      <c r="Q225" s="1335"/>
      <c r="R225" s="1334"/>
      <c r="S225" s="1334"/>
    </row>
    <row r="226" spans="1:19">
      <c r="B226" s="1314">
        <f>B219+1</f>
        <v>143</v>
      </c>
      <c r="D226" s="1436" t="s">
        <v>1373</v>
      </c>
      <c r="F226" s="1437" t="str">
        <f>"(Col. "&amp;L124&amp;", Line "&amp;B153&amp;")"</f>
        <v>(Col. (H), Line 96)</v>
      </c>
      <c r="G226" s="1438"/>
      <c r="H226" s="1439">
        <f>L153</f>
        <v>0</v>
      </c>
      <c r="I226" s="1438"/>
      <c r="J226" s="1436" t="s">
        <v>1373</v>
      </c>
      <c r="L226" s="1437" t="str">
        <f>"(Col. "&amp;R124&amp;", Line "&amp;B153&amp;")"</f>
        <v>(Col. (M), Line 96)</v>
      </c>
      <c r="M226" s="1438"/>
      <c r="N226" s="1439">
        <f>R153</f>
        <v>0</v>
      </c>
      <c r="O226" s="1335"/>
      <c r="P226" s="1335"/>
      <c r="Q226" s="1335"/>
      <c r="R226" s="1334"/>
      <c r="S226" s="1334"/>
    </row>
    <row r="227" spans="1:19">
      <c r="B227" s="1314">
        <f>B226+1</f>
        <v>144</v>
      </c>
      <c r="D227" s="1436" t="s">
        <v>1374</v>
      </c>
      <c r="F227" s="1437" t="str">
        <f>"(Col. "&amp;L157&amp;", Line "&amp;B186&amp;")"</f>
        <v>(Col. (H), Line 119)</v>
      </c>
      <c r="H227" s="1440">
        <f>L186</f>
        <v>0</v>
      </c>
      <c r="J227" s="1436" t="s">
        <v>1374</v>
      </c>
      <c r="L227" s="1437" t="str">
        <f>"(Col. "&amp;R157&amp;", Line "&amp;B186&amp;")"</f>
        <v>(Col. (M), Line 119)</v>
      </c>
      <c r="N227" s="1440">
        <f>R186</f>
        <v>0</v>
      </c>
      <c r="O227" s="1335"/>
      <c r="P227" s="1335"/>
      <c r="Q227" s="1335"/>
      <c r="R227" s="1334"/>
      <c r="S227" s="1334"/>
    </row>
    <row r="228" spans="1:19">
      <c r="B228" s="1314">
        <f>B227+1</f>
        <v>145</v>
      </c>
      <c r="D228" s="1436" t="s">
        <v>1375</v>
      </c>
      <c r="F228" s="1437" t="str">
        <f>"(Col. "&amp;L190&amp;", Line "&amp;B219&amp;")"</f>
        <v>(Col. (H), Line 142)</v>
      </c>
      <c r="H228" s="1440">
        <f>L219</f>
        <v>0</v>
      </c>
      <c r="J228" s="1436" t="s">
        <v>1375</v>
      </c>
      <c r="L228" s="1437" t="str">
        <f>"(Col. "&amp;R190&amp;", Line "&amp;B219&amp;")"</f>
        <v>(Col. (M), Line 142)</v>
      </c>
      <c r="N228" s="1440">
        <f>R219</f>
        <v>0</v>
      </c>
      <c r="O228" s="1335"/>
      <c r="P228" s="1335"/>
      <c r="Q228" s="1335"/>
      <c r="R228" s="1334"/>
      <c r="S228" s="1334"/>
    </row>
    <row r="229" spans="1:19" ht="5.15" customHeight="1">
      <c r="D229" s="1333"/>
      <c r="E229" s="1333"/>
      <c r="J229" s="1333"/>
      <c r="K229" s="1333"/>
      <c r="O229" s="1335"/>
      <c r="P229" s="1335"/>
      <c r="Q229" s="1335"/>
      <c r="R229" s="1334"/>
      <c r="S229" s="1334"/>
    </row>
    <row r="230" spans="1:19" ht="13">
      <c r="B230" s="1314">
        <f>B228+1</f>
        <v>146</v>
      </c>
      <c r="D230" s="12" t="s">
        <v>1213</v>
      </c>
      <c r="E230" s="1333"/>
      <c r="F230" s="1437" t="s">
        <v>1759</v>
      </c>
      <c r="G230" s="1441"/>
      <c r="H230" s="1442">
        <f>SUM(H226:H229)</f>
        <v>0</v>
      </c>
      <c r="I230" s="1441"/>
      <c r="J230" s="12" t="s">
        <v>1213</v>
      </c>
      <c r="K230" s="1333"/>
      <c r="L230" s="1443" t="s">
        <v>1759</v>
      </c>
      <c r="M230" s="1441"/>
      <c r="N230" s="1442">
        <f>SUM(N226:N229)</f>
        <v>0</v>
      </c>
      <c r="O230" s="1335"/>
      <c r="P230" s="1335"/>
      <c r="Q230" s="1335"/>
      <c r="R230" s="1334"/>
      <c r="S230" s="1334"/>
    </row>
    <row r="231" spans="1:19">
      <c r="D231" s="1333"/>
      <c r="E231" s="1333"/>
      <c r="F231" s="1333"/>
      <c r="G231" s="1333"/>
      <c r="H231" s="1334"/>
      <c r="I231" s="1334"/>
      <c r="K231" s="1335"/>
      <c r="L231" s="1334"/>
      <c r="M231" s="1334"/>
      <c r="O231" s="1335"/>
      <c r="P231" s="1335"/>
      <c r="Q231" s="1335"/>
      <c r="R231" s="1334"/>
      <c r="S231" s="1334"/>
    </row>
    <row r="232" spans="1:19" ht="13">
      <c r="A232" s="1346"/>
      <c r="B232" s="1347" t="s">
        <v>1273</v>
      </c>
      <c r="C232" s="1346"/>
      <c r="D232" s="1346"/>
      <c r="E232" s="1346"/>
      <c r="F232" s="1346"/>
      <c r="G232" s="1346"/>
      <c r="H232" s="1346"/>
      <c r="I232" s="1346"/>
      <c r="J232" s="1346"/>
      <c r="K232" s="1346"/>
      <c r="L232" s="1346"/>
      <c r="M232" s="1346"/>
      <c r="N232" s="1346"/>
      <c r="O232" s="1346"/>
      <c r="P232" s="1346"/>
      <c r="Q232" s="1346"/>
      <c r="R232" s="1346"/>
      <c r="S232" s="1346"/>
    </row>
    <row r="234" spans="1:19">
      <c r="B234" s="1738" t="s">
        <v>1325</v>
      </c>
      <c r="C234" s="1738"/>
      <c r="D234" s="1738"/>
      <c r="E234" s="1738"/>
      <c r="F234" s="1738"/>
      <c r="G234" s="1738"/>
      <c r="H234" s="1738"/>
      <c r="I234" s="1738"/>
      <c r="J234" s="1738"/>
      <c r="K234" s="1738"/>
      <c r="L234" s="1738"/>
      <c r="M234" s="1334"/>
      <c r="O234" s="1335"/>
      <c r="P234" s="1335"/>
      <c r="Q234" s="1335"/>
      <c r="R234" s="1334"/>
      <c r="S234" s="1334"/>
    </row>
    <row r="235" spans="1:19">
      <c r="B235" s="1738"/>
      <c r="C235" s="1738"/>
      <c r="D235" s="1738"/>
      <c r="E235" s="1738"/>
      <c r="F235" s="1738"/>
      <c r="G235" s="1738"/>
      <c r="H235" s="1738"/>
      <c r="I235" s="1738"/>
      <c r="J235" s="1738"/>
      <c r="K235" s="1738"/>
      <c r="L235" s="1738"/>
      <c r="M235" s="1334"/>
      <c r="O235" s="1335"/>
      <c r="P235" s="1335"/>
      <c r="Q235" s="1335"/>
      <c r="R235" s="1334"/>
      <c r="S235" s="1334"/>
    </row>
    <row r="236" spans="1:19">
      <c r="D236" s="1333"/>
      <c r="E236" s="1333"/>
      <c r="F236" s="1333"/>
      <c r="G236" s="1333"/>
      <c r="H236" s="1334"/>
      <c r="I236" s="1334"/>
      <c r="K236" s="1335"/>
      <c r="L236" s="1334"/>
      <c r="M236" s="1334"/>
      <c r="O236" s="1335"/>
      <c r="P236" s="1335"/>
      <c r="Q236" s="1335"/>
      <c r="R236" s="1334"/>
      <c r="S236" s="1334"/>
    </row>
    <row r="237" spans="1:19" ht="13">
      <c r="B237" s="1312" t="s">
        <v>1326</v>
      </c>
      <c r="D237" s="1348" t="str">
        <f>'1A - ADIT Summary'!D177</f>
        <v>Projected Activity</v>
      </c>
      <c r="E237" s="1349" t="str">
        <f>IF(D237="Projected Activity","Check",IF(D237="True-Up Adjustment","Check","Error"))</f>
        <v>Check</v>
      </c>
      <c r="F237" s="1333"/>
      <c r="G237" s="1333"/>
      <c r="H237" s="1334"/>
      <c r="I237" s="1334"/>
      <c r="K237" s="1335"/>
      <c r="L237" s="1334"/>
      <c r="M237" s="1334"/>
      <c r="O237" s="1335"/>
      <c r="P237" s="1335"/>
      <c r="Q237" s="1335"/>
      <c r="R237" s="1334"/>
      <c r="S237" s="1334"/>
    </row>
    <row r="238" spans="1:19">
      <c r="D238" s="1333"/>
      <c r="E238" s="1333"/>
      <c r="F238" s="1333"/>
      <c r="G238" s="1333"/>
      <c r="H238" s="1334"/>
      <c r="I238" s="1334"/>
      <c r="K238" s="1335"/>
      <c r="L238" s="1334"/>
      <c r="M238" s="1334"/>
      <c r="O238" s="1335"/>
      <c r="P238" s="1335"/>
      <c r="Q238" s="1335"/>
      <c r="R238" s="1334"/>
      <c r="S238" s="1334"/>
    </row>
    <row r="239" spans="1:19">
      <c r="B239" s="1739" t="s">
        <v>1327</v>
      </c>
      <c r="C239" s="1739"/>
      <c r="D239" s="1739"/>
      <c r="E239" s="1739"/>
      <c r="F239" s="1739"/>
      <c r="G239" s="1739"/>
      <c r="H239" s="1739"/>
      <c r="I239" s="1739"/>
      <c r="J239" s="1739"/>
      <c r="K239" s="1739"/>
      <c r="L239" s="1739"/>
      <c r="M239" s="1334"/>
      <c r="O239" s="1335"/>
      <c r="P239" s="1335"/>
      <c r="Q239" s="1335"/>
      <c r="R239" s="1334"/>
      <c r="S239" s="1334"/>
    </row>
    <row r="240" spans="1:19">
      <c r="B240" s="1739"/>
      <c r="C240" s="1739"/>
      <c r="D240" s="1739"/>
      <c r="E240" s="1739"/>
      <c r="F240" s="1739"/>
      <c r="G240" s="1739"/>
      <c r="H240" s="1739"/>
      <c r="I240" s="1739"/>
      <c r="J240" s="1739"/>
      <c r="K240" s="1739"/>
      <c r="L240" s="1739"/>
      <c r="M240" s="1334"/>
      <c r="O240" s="1335"/>
      <c r="P240" s="1335"/>
      <c r="Q240" s="1335"/>
      <c r="R240" s="1334"/>
      <c r="S240" s="1334"/>
    </row>
    <row r="241" spans="1:19">
      <c r="D241" s="1333"/>
      <c r="E241" s="1333"/>
      <c r="F241" s="1333"/>
      <c r="G241" s="1333"/>
      <c r="H241" s="1334"/>
      <c r="I241" s="1334"/>
      <c r="K241" s="1335"/>
      <c r="L241" s="1334"/>
      <c r="M241" s="1334"/>
      <c r="O241" s="1335"/>
      <c r="P241" s="1335"/>
      <c r="Q241" s="1335"/>
      <c r="R241" s="1334"/>
      <c r="S241" s="1334"/>
    </row>
    <row r="242" spans="1:19" ht="13">
      <c r="A242" s="1346"/>
      <c r="B242" s="1347" t="s">
        <v>925</v>
      </c>
      <c r="C242" s="1346"/>
      <c r="D242" s="1346"/>
      <c r="E242" s="1346"/>
      <c r="F242" s="1346"/>
      <c r="G242" s="1346"/>
      <c r="H242" s="1346"/>
      <c r="I242" s="1346"/>
      <c r="J242" s="1346"/>
      <c r="K242" s="1346"/>
      <c r="L242" s="1346"/>
      <c r="M242" s="1346"/>
      <c r="N242" s="1346"/>
      <c r="O242" s="1346"/>
      <c r="P242" s="1346"/>
      <c r="Q242" s="1346"/>
      <c r="R242" s="1346"/>
      <c r="S242" s="1346"/>
    </row>
    <row r="244" spans="1:19" ht="15.75" customHeight="1">
      <c r="A244" s="1311"/>
      <c r="B244" s="1312" t="s">
        <v>9</v>
      </c>
      <c r="C244" s="1738" t="s">
        <v>1380</v>
      </c>
      <c r="D244" s="1738"/>
      <c r="E244" s="1738"/>
      <c r="F244" s="1738"/>
      <c r="G244" s="1738"/>
      <c r="H244" s="1738"/>
      <c r="I244" s="1738"/>
      <c r="J244" s="1738"/>
      <c r="K244" s="1738"/>
      <c r="L244" s="1738"/>
    </row>
    <row r="245" spans="1:19" ht="13">
      <c r="A245" s="1311"/>
      <c r="B245" s="1312"/>
      <c r="C245" s="1738"/>
      <c r="D245" s="1738"/>
      <c r="E245" s="1738"/>
      <c r="F245" s="1738"/>
      <c r="G245" s="1738"/>
      <c r="H245" s="1738"/>
      <c r="I245" s="1738"/>
      <c r="J245" s="1738"/>
      <c r="K245" s="1738"/>
      <c r="L245" s="1738"/>
    </row>
    <row r="246" spans="1:19" ht="13">
      <c r="A246" s="1311"/>
      <c r="B246" s="1312"/>
      <c r="C246" s="1738"/>
      <c r="D246" s="1738"/>
      <c r="E246" s="1738"/>
      <c r="F246" s="1738"/>
      <c r="G246" s="1738"/>
      <c r="H246" s="1738"/>
      <c r="I246" s="1738"/>
      <c r="J246" s="1738"/>
      <c r="K246" s="1738"/>
      <c r="L246" s="1738"/>
    </row>
    <row r="247" spans="1:19">
      <c r="C247" s="1738"/>
      <c r="D247" s="1738"/>
      <c r="E247" s="1738"/>
      <c r="F247" s="1738"/>
      <c r="G247" s="1738"/>
      <c r="H247" s="1738"/>
      <c r="I247" s="1738"/>
      <c r="J247" s="1738"/>
      <c r="K247" s="1738"/>
      <c r="L247" s="1738"/>
    </row>
    <row r="248" spans="1:19">
      <c r="C248" s="1738"/>
      <c r="D248" s="1738"/>
      <c r="E248" s="1738"/>
      <c r="F248" s="1738"/>
      <c r="G248" s="1738"/>
      <c r="H248" s="1738"/>
      <c r="I248" s="1738"/>
      <c r="J248" s="1738"/>
      <c r="K248" s="1738"/>
      <c r="L248" s="1738"/>
    </row>
    <row r="249" spans="1:19" ht="15.75" customHeight="1">
      <c r="A249" s="1311"/>
      <c r="B249" s="1312" t="s">
        <v>10</v>
      </c>
      <c r="C249" s="1738" t="s">
        <v>1381</v>
      </c>
      <c r="D249" s="1738"/>
      <c r="E249" s="1738"/>
      <c r="F249" s="1738"/>
      <c r="G249" s="1738"/>
      <c r="H249" s="1738"/>
      <c r="I249" s="1738"/>
      <c r="J249" s="1738"/>
      <c r="K249" s="1738"/>
      <c r="L249" s="1738"/>
    </row>
    <row r="250" spans="1:19" ht="13">
      <c r="A250" s="1311"/>
      <c r="B250" s="1312"/>
      <c r="C250" s="1738"/>
      <c r="D250" s="1738"/>
      <c r="E250" s="1738"/>
      <c r="F250" s="1738"/>
      <c r="G250" s="1738"/>
      <c r="H250" s="1738"/>
      <c r="I250" s="1738"/>
      <c r="J250" s="1738"/>
      <c r="K250" s="1738"/>
      <c r="L250" s="1738"/>
    </row>
    <row r="251" spans="1:19" ht="13">
      <c r="A251" s="1311"/>
      <c r="B251" s="1312"/>
      <c r="C251" s="1738"/>
      <c r="D251" s="1738"/>
      <c r="E251" s="1738"/>
      <c r="F251" s="1738"/>
      <c r="G251" s="1738"/>
      <c r="H251" s="1738"/>
      <c r="I251" s="1738"/>
      <c r="J251" s="1738"/>
      <c r="K251" s="1738"/>
      <c r="L251" s="1738"/>
    </row>
    <row r="252" spans="1:19" ht="13">
      <c r="A252" s="1311"/>
      <c r="B252" s="1312"/>
      <c r="C252" s="1738"/>
      <c r="D252" s="1738"/>
      <c r="E252" s="1738"/>
      <c r="F252" s="1738"/>
      <c r="G252" s="1738"/>
      <c r="H252" s="1738"/>
      <c r="I252" s="1738"/>
      <c r="J252" s="1738"/>
      <c r="K252" s="1738"/>
      <c r="L252" s="1738"/>
    </row>
    <row r="253" spans="1:19" ht="13">
      <c r="A253" s="1311"/>
      <c r="B253" s="1312"/>
      <c r="C253" s="1738"/>
      <c r="D253" s="1738"/>
      <c r="E253" s="1738"/>
      <c r="F253" s="1738"/>
      <c r="G253" s="1738"/>
      <c r="H253" s="1738"/>
      <c r="I253" s="1738"/>
      <c r="J253" s="1738"/>
      <c r="K253" s="1738"/>
      <c r="L253" s="1738"/>
    </row>
    <row r="254" spans="1:19" ht="13">
      <c r="A254" s="1311"/>
      <c r="B254" s="1312"/>
      <c r="C254" s="1738"/>
      <c r="D254" s="1738"/>
      <c r="E254" s="1738"/>
      <c r="F254" s="1738"/>
      <c r="G254" s="1738"/>
      <c r="H254" s="1738"/>
      <c r="I254" s="1738"/>
      <c r="J254" s="1738"/>
      <c r="K254" s="1738"/>
      <c r="L254" s="1738"/>
    </row>
    <row r="255" spans="1:19" ht="13">
      <c r="A255" s="1311"/>
      <c r="B255" s="1312"/>
      <c r="C255" s="1738"/>
      <c r="D255" s="1738"/>
      <c r="E255" s="1738"/>
      <c r="F255" s="1738"/>
      <c r="G255" s="1738"/>
      <c r="H255" s="1738"/>
      <c r="I255" s="1738"/>
      <c r="J255" s="1738"/>
      <c r="K255" s="1738"/>
      <c r="L255" s="1738"/>
    </row>
    <row r="256" spans="1:19" ht="13">
      <c r="A256" s="1311"/>
      <c r="B256" s="1312"/>
      <c r="C256" s="1738"/>
      <c r="D256" s="1738"/>
      <c r="E256" s="1738"/>
      <c r="F256" s="1738"/>
      <c r="G256" s="1738"/>
      <c r="H256" s="1738"/>
      <c r="I256" s="1738"/>
      <c r="J256" s="1738"/>
      <c r="K256" s="1738"/>
      <c r="L256" s="1738"/>
    </row>
    <row r="257" spans="1:12">
      <c r="C257" s="1738"/>
      <c r="D257" s="1738"/>
      <c r="E257" s="1738"/>
      <c r="F257" s="1738"/>
      <c r="G257" s="1738"/>
      <c r="H257" s="1738"/>
      <c r="I257" s="1738"/>
      <c r="J257" s="1738"/>
      <c r="K257" s="1738"/>
      <c r="L257" s="1738"/>
    </row>
    <row r="258" spans="1:12" ht="15.75" customHeight="1">
      <c r="A258" s="1311"/>
      <c r="B258" s="1312" t="s">
        <v>11</v>
      </c>
      <c r="C258" s="1738" t="s">
        <v>1382</v>
      </c>
      <c r="D258" s="1738"/>
      <c r="E258" s="1738"/>
      <c r="F258" s="1738"/>
      <c r="G258" s="1738"/>
      <c r="H258" s="1738"/>
      <c r="I258" s="1738"/>
      <c r="J258" s="1738"/>
      <c r="K258" s="1738"/>
      <c r="L258" s="1738"/>
    </row>
    <row r="259" spans="1:12" ht="13">
      <c r="A259" s="1311"/>
      <c r="B259" s="1312"/>
      <c r="C259" s="1738"/>
      <c r="D259" s="1738"/>
      <c r="E259" s="1738"/>
      <c r="F259" s="1738"/>
      <c r="G259" s="1738"/>
      <c r="H259" s="1738"/>
      <c r="I259" s="1738"/>
      <c r="J259" s="1738"/>
      <c r="K259" s="1738"/>
      <c r="L259" s="1738"/>
    </row>
    <row r="260" spans="1:12" ht="13">
      <c r="A260" s="1311"/>
      <c r="B260" s="1312"/>
      <c r="C260" s="1738"/>
      <c r="D260" s="1738"/>
      <c r="E260" s="1738"/>
      <c r="F260" s="1738"/>
      <c r="G260" s="1738"/>
      <c r="H260" s="1738"/>
      <c r="I260" s="1738"/>
      <c r="J260" s="1738"/>
      <c r="K260" s="1738"/>
      <c r="L260" s="1738"/>
    </row>
    <row r="261" spans="1:12" ht="13">
      <c r="A261" s="1311"/>
      <c r="B261" s="1312"/>
      <c r="C261" s="1738"/>
      <c r="D261" s="1738"/>
      <c r="E261" s="1738"/>
      <c r="F261" s="1738"/>
      <c r="G261" s="1738"/>
      <c r="H261" s="1738"/>
      <c r="I261" s="1738"/>
      <c r="J261" s="1738"/>
      <c r="K261" s="1738"/>
      <c r="L261" s="1738"/>
    </row>
    <row r="262" spans="1:12" ht="15.75" customHeight="1">
      <c r="A262" s="1311"/>
      <c r="B262" s="1312" t="s">
        <v>14</v>
      </c>
      <c r="C262" s="1738" t="s">
        <v>1383</v>
      </c>
      <c r="D262" s="1738"/>
      <c r="E262" s="1738"/>
      <c r="F262" s="1738"/>
      <c r="G262" s="1738"/>
      <c r="H262" s="1738"/>
      <c r="I262" s="1738"/>
      <c r="J262" s="1738"/>
      <c r="K262" s="1738"/>
      <c r="L262" s="1738"/>
    </row>
    <row r="263" spans="1:12" ht="15.75" customHeight="1">
      <c r="C263" s="1738"/>
      <c r="D263" s="1738"/>
      <c r="E263" s="1738"/>
      <c r="F263" s="1738"/>
      <c r="G263" s="1738"/>
      <c r="H263" s="1738"/>
      <c r="I263" s="1738"/>
      <c r="J263" s="1738"/>
      <c r="K263" s="1738"/>
      <c r="L263" s="1738"/>
    </row>
    <row r="264" spans="1:12" ht="15.75" customHeight="1">
      <c r="A264" s="1311"/>
      <c r="B264" s="1312" t="s">
        <v>138</v>
      </c>
      <c r="C264" s="1738" t="s">
        <v>1384</v>
      </c>
      <c r="D264" s="1738"/>
      <c r="E264" s="1738"/>
      <c r="F264" s="1738"/>
      <c r="G264" s="1738"/>
      <c r="H264" s="1738"/>
      <c r="I264" s="1738"/>
      <c r="J264" s="1738"/>
      <c r="K264" s="1738"/>
      <c r="L264" s="1738"/>
    </row>
    <row r="265" spans="1:12" ht="15.75" customHeight="1">
      <c r="C265" s="1738"/>
      <c r="D265" s="1738"/>
      <c r="E265" s="1738"/>
      <c r="F265" s="1738"/>
      <c r="G265" s="1738"/>
      <c r="H265" s="1738"/>
      <c r="I265" s="1738"/>
      <c r="J265" s="1738"/>
      <c r="K265" s="1738"/>
      <c r="L265" s="1738"/>
    </row>
    <row r="266" spans="1:12" ht="15.75" customHeight="1">
      <c r="A266" s="1311"/>
      <c r="B266" s="1312" t="s">
        <v>139</v>
      </c>
      <c r="C266" s="1740" t="s">
        <v>1385</v>
      </c>
      <c r="D266" s="1740"/>
      <c r="E266" s="1740"/>
      <c r="F266" s="1740"/>
      <c r="G266" s="1740"/>
      <c r="H266" s="1740"/>
      <c r="I266" s="1740"/>
      <c r="J266" s="1740"/>
      <c r="K266" s="1740"/>
      <c r="L266" s="1740"/>
    </row>
    <row r="267" spans="1:12">
      <c r="C267" s="1740"/>
      <c r="D267" s="1740"/>
      <c r="E267" s="1740"/>
      <c r="F267" s="1740"/>
      <c r="G267" s="1740"/>
      <c r="H267" s="1740"/>
      <c r="I267" s="1740"/>
      <c r="J267" s="1740"/>
      <c r="K267" s="1740"/>
      <c r="L267" s="1740"/>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54"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5"/>
  <sheetViews>
    <sheetView topLeftCell="A54" zoomScale="80" zoomScaleNormal="80" workbookViewId="0">
      <selection activeCell="M54" sqref="M54"/>
    </sheetView>
  </sheetViews>
  <sheetFormatPr defaultColWidth="9.1796875" defaultRowHeight="12.5"/>
  <cols>
    <col min="1" max="1" width="9.1796875" style="1008"/>
    <col min="2" max="2" width="5.7265625" style="1008" customWidth="1"/>
    <col min="3" max="3" width="9.453125" style="1008" customWidth="1"/>
    <col min="4" max="4" width="2.7265625" style="1008" customWidth="1"/>
    <col min="5" max="5" width="46.81640625" style="1008" bestFit="1" customWidth="1"/>
    <col min="6" max="6" width="2.7265625" style="1008" customWidth="1"/>
    <col min="7" max="7" width="19.1796875" style="1008" bestFit="1" customWidth="1"/>
    <col min="8" max="8" width="2.7265625" style="1008" customWidth="1"/>
    <col min="9" max="9" width="19.1796875" style="1008" bestFit="1" customWidth="1"/>
    <col min="10" max="10" width="2.7265625" style="1008" customWidth="1"/>
    <col min="11" max="11" width="18.54296875" style="1008" bestFit="1" customWidth="1"/>
    <col min="12" max="12" width="5.7265625" style="1008" customWidth="1"/>
    <col min="13" max="13" width="19.1796875" style="1008" bestFit="1" customWidth="1"/>
    <col min="14" max="14" width="2.7265625" style="1008" customWidth="1"/>
    <col min="15" max="15" width="17.453125" style="1008" customWidth="1"/>
    <col min="16" max="16" width="2.7265625" style="1008" customWidth="1"/>
    <col min="17" max="17" width="17.453125" style="1008" bestFit="1" customWidth="1"/>
    <col min="18" max="18" width="5.7265625" style="1008" customWidth="1"/>
    <col min="19" max="19" width="9.1796875" style="1008"/>
    <col min="20" max="20" width="15.26953125" style="1008" customWidth="1"/>
    <col min="21" max="21" width="15.1796875" style="1008" customWidth="1"/>
    <col min="22" max="16384" width="9.1796875" style="1008"/>
  </cols>
  <sheetData>
    <row r="1" spans="1:20" ht="15.5">
      <c r="A1" s="1736" t="s">
        <v>1547</v>
      </c>
      <c r="B1" s="1736"/>
      <c r="C1" s="1736"/>
      <c r="D1" s="1736"/>
      <c r="E1" s="1736"/>
      <c r="F1" s="1736"/>
      <c r="G1" s="1736"/>
      <c r="H1" s="1736"/>
      <c r="I1" s="1736"/>
      <c r="J1" s="1736"/>
      <c r="K1" s="1736"/>
      <c r="L1" s="1736"/>
      <c r="M1" s="1736"/>
      <c r="N1" s="1736"/>
      <c r="O1" s="1736"/>
      <c r="P1" s="1736"/>
      <c r="Q1" s="1736"/>
      <c r="R1" s="1736"/>
      <c r="S1" s="1736"/>
    </row>
    <row r="2" spans="1:20" ht="15.5">
      <c r="A2" s="1736" t="s">
        <v>1386</v>
      </c>
      <c r="B2" s="1736"/>
      <c r="C2" s="1736"/>
      <c r="D2" s="1736"/>
      <c r="E2" s="1736"/>
      <c r="F2" s="1736"/>
      <c r="G2" s="1736"/>
      <c r="H2" s="1736"/>
      <c r="I2" s="1736"/>
      <c r="J2" s="1736"/>
      <c r="K2" s="1736"/>
      <c r="L2" s="1736"/>
      <c r="M2" s="1736"/>
      <c r="N2" s="1736"/>
      <c r="O2" s="1736"/>
      <c r="P2" s="1736"/>
      <c r="Q2" s="1736"/>
      <c r="R2" s="1736"/>
      <c r="S2" s="1736"/>
    </row>
    <row r="3" spans="1:20" ht="15.5">
      <c r="A3" s="1736" t="s">
        <v>1387</v>
      </c>
      <c r="B3" s="1736"/>
      <c r="C3" s="1736"/>
      <c r="D3" s="1736"/>
      <c r="E3" s="1736"/>
      <c r="F3" s="1736"/>
      <c r="G3" s="1736"/>
      <c r="H3" s="1736"/>
      <c r="I3" s="1736"/>
      <c r="J3" s="1736"/>
      <c r="K3" s="1736"/>
      <c r="L3" s="1736"/>
      <c r="M3" s="1736"/>
      <c r="N3" s="1736"/>
      <c r="O3" s="1736"/>
      <c r="P3" s="1736"/>
      <c r="Q3" s="1736"/>
      <c r="R3" s="1736"/>
      <c r="S3" s="1736"/>
    </row>
    <row r="4" spans="1:20" ht="14">
      <c r="A4" s="1444"/>
      <c r="G4" s="1444"/>
      <c r="O4" s="1444"/>
    </row>
    <row r="5" spans="1:20" ht="14">
      <c r="A5" s="1444"/>
      <c r="G5" s="1444"/>
      <c r="O5" s="1444"/>
    </row>
    <row r="6" spans="1:20" ht="15.75" customHeight="1">
      <c r="C6" s="1747" t="s">
        <v>1351</v>
      </c>
      <c r="D6" s="1747"/>
      <c r="E6" s="1747"/>
      <c r="F6" s="1747"/>
      <c r="G6" s="1747"/>
      <c r="H6" s="1747"/>
      <c r="I6" s="1747"/>
      <c r="J6" s="1747"/>
      <c r="K6" s="1747"/>
      <c r="L6" s="1747"/>
      <c r="M6" s="1747"/>
      <c r="N6" s="1747"/>
      <c r="O6" s="1747"/>
      <c r="P6" s="1747"/>
      <c r="Q6" s="1747"/>
    </row>
    <row r="8" spans="1:20" ht="15.75" customHeight="1">
      <c r="C8" s="1758" t="s">
        <v>1388</v>
      </c>
      <c r="D8" s="1759"/>
      <c r="E8" s="1759"/>
      <c r="F8" s="1759"/>
      <c r="G8" s="1759"/>
      <c r="H8" s="1759"/>
      <c r="I8" s="1759"/>
      <c r="J8" s="1759"/>
      <c r="K8" s="1759"/>
      <c r="L8" s="1759"/>
      <c r="M8" s="1759"/>
      <c r="N8" s="1759"/>
      <c r="O8" s="1759"/>
      <c r="P8" s="1759"/>
      <c r="Q8" s="1760"/>
    </row>
    <row r="10" spans="1:20" ht="13">
      <c r="E10" s="1312" t="s">
        <v>174</v>
      </c>
      <c r="F10" s="1312"/>
      <c r="G10" s="1312" t="s">
        <v>175</v>
      </c>
      <c r="H10" s="1312"/>
      <c r="I10" s="1312" t="s">
        <v>1142</v>
      </c>
      <c r="J10" s="1312"/>
      <c r="K10" s="1312" t="s">
        <v>1295</v>
      </c>
      <c r="L10" s="1312"/>
      <c r="M10" s="1312" t="s">
        <v>1389</v>
      </c>
      <c r="N10" s="1312"/>
      <c r="O10" s="1312" t="s">
        <v>1297</v>
      </c>
      <c r="P10" s="1312"/>
      <c r="Q10" s="1312" t="s">
        <v>1298</v>
      </c>
    </row>
    <row r="11" spans="1:20" ht="15" customHeight="1">
      <c r="C11" s="1750" t="s">
        <v>1305</v>
      </c>
      <c r="D11" s="1635"/>
      <c r="E11" s="1752" t="s">
        <v>1370</v>
      </c>
      <c r="G11" s="1754" t="s">
        <v>278</v>
      </c>
      <c r="I11" s="1754" t="s">
        <v>1390</v>
      </c>
      <c r="K11" s="1445" t="s">
        <v>1391</v>
      </c>
      <c r="M11" s="1446" t="s">
        <v>1792</v>
      </c>
      <c r="O11" s="1756" t="s">
        <v>1392</v>
      </c>
      <c r="Q11" s="1446" t="s">
        <v>1800</v>
      </c>
    </row>
    <row r="12" spans="1:20" ht="25">
      <c r="C12" s="1751"/>
      <c r="D12" s="1635"/>
      <c r="E12" s="1753"/>
      <c r="F12" s="1447"/>
      <c r="G12" s="1755"/>
      <c r="H12" s="1447"/>
      <c r="I12" s="1755"/>
      <c r="J12" s="1447"/>
      <c r="K12" s="1448" t="s">
        <v>1393</v>
      </c>
      <c r="M12" s="1700" t="s">
        <v>1394</v>
      </c>
      <c r="O12" s="1757"/>
      <c r="Q12" s="1700" t="s">
        <v>1395</v>
      </c>
    </row>
    <row r="13" spans="1:20" ht="5.15" customHeight="1"/>
    <row r="14" spans="1:20" ht="13">
      <c r="A14" s="1449"/>
      <c r="B14" s="1449"/>
      <c r="C14" s="1314">
        <v>1</v>
      </c>
      <c r="D14" s="1449"/>
      <c r="E14" s="1450" t="s">
        <v>1396</v>
      </c>
      <c r="F14" s="1449"/>
      <c r="G14" s="1451"/>
      <c r="H14" s="1449"/>
      <c r="I14" s="1451"/>
      <c r="J14" s="1449"/>
      <c r="K14" s="1452"/>
      <c r="M14" s="1441"/>
      <c r="O14" s="1453"/>
      <c r="Q14" s="1449"/>
    </row>
    <row r="15" spans="1:20" ht="5.15" customHeight="1"/>
    <row r="16" spans="1:20">
      <c r="C16" s="1314">
        <f>C14+1</f>
        <v>2</v>
      </c>
      <c r="E16" s="1436" t="s">
        <v>1373</v>
      </c>
      <c r="G16" s="1454" t="s">
        <v>814</v>
      </c>
      <c r="I16" s="1451" t="s">
        <v>1397</v>
      </c>
      <c r="K16" s="1439">
        <f>SUMIFS('1F - ADIT Remeasurement'!$AF$11:$AF$124,'1F - ADIT Remeasurement'!$E$11:$E$124,"Non-Property",'1F - ADIT Remeasurement'!$AH$11:$AH$124,"190")</f>
        <v>-831665.8690341271</v>
      </c>
      <c r="L16" s="1438"/>
      <c r="M16" s="1705">
        <v>-207916.59822440462</v>
      </c>
      <c r="N16" s="1706"/>
      <c r="O16" s="1705">
        <f>-K16/4</f>
        <v>207916.46725853177</v>
      </c>
      <c r="P16" s="1438"/>
      <c r="Q16" s="1439">
        <f>M16+O16</f>
        <v>-0.13096587284235284</v>
      </c>
      <c r="T16" s="1345"/>
    </row>
    <row r="17" spans="1:20">
      <c r="C17" s="1314">
        <f>C16+1</f>
        <v>3</v>
      </c>
      <c r="E17" s="1436" t="s">
        <v>1398</v>
      </c>
      <c r="G17" s="1454" t="s">
        <v>814</v>
      </c>
      <c r="I17" s="1451" t="s">
        <v>1397</v>
      </c>
      <c r="K17" s="1455">
        <f>SUMIFS('1F - ADIT Remeasurement'!$AF$11:$AF$124,'1F - ADIT Remeasurement'!$E$11:$E$124,"Non-Property",'1F - ADIT Remeasurement'!$AH$11:$AH$124,"281")</f>
        <v>0</v>
      </c>
      <c r="L17" s="1645"/>
      <c r="M17" s="1705">
        <v>0</v>
      </c>
      <c r="O17" s="1658">
        <f>-K17/4</f>
        <v>0</v>
      </c>
      <c r="P17" s="1645"/>
      <c r="Q17" s="1455">
        <f>M17+O17</f>
        <v>0</v>
      </c>
    </row>
    <row r="18" spans="1:20">
      <c r="C18" s="1314">
        <f>C17+1</f>
        <v>4</v>
      </c>
      <c r="E18" s="1436" t="s">
        <v>1374</v>
      </c>
      <c r="G18" s="1454" t="s">
        <v>814</v>
      </c>
      <c r="I18" s="1451" t="s">
        <v>1397</v>
      </c>
      <c r="K18" s="1455">
        <f>SUMIFS('1F - ADIT Remeasurement'!$AF$11:$AF$124,'1F - ADIT Remeasurement'!$E$11:$E$124,"Non-Property",'1F - ADIT Remeasurement'!$AH$11:$AH$124,"282")</f>
        <v>0</v>
      </c>
      <c r="L18" s="1645"/>
      <c r="M18" s="1705">
        <v>0</v>
      </c>
      <c r="O18" s="1658">
        <f>-K18/4</f>
        <v>0</v>
      </c>
      <c r="P18" s="1645"/>
      <c r="Q18" s="1455">
        <f>M18+O18</f>
        <v>0</v>
      </c>
    </row>
    <row r="19" spans="1:20">
      <c r="C19" s="1314">
        <f>C18+1</f>
        <v>5</v>
      </c>
      <c r="E19" s="1436" t="s">
        <v>1375</v>
      </c>
      <c r="G19" s="1454" t="s">
        <v>814</v>
      </c>
      <c r="I19" s="1451" t="s">
        <v>1397</v>
      </c>
      <c r="K19" s="1455">
        <f>SUMIFS('1F - ADIT Remeasurement'!$AF$11:$AF$124,'1F - ADIT Remeasurement'!$E$11:$E$124,"Non-Property",'1F - ADIT Remeasurement'!$AH$11:$AH$124,"283")</f>
        <v>-5013301.6464545364</v>
      </c>
      <c r="L19" s="1645"/>
      <c r="M19" s="1705">
        <v>-1253325.7651590982</v>
      </c>
      <c r="O19" s="1658">
        <f>-K19/4</f>
        <v>1253325.4116136341</v>
      </c>
      <c r="P19" s="1645"/>
      <c r="Q19" s="1455">
        <f>M19+O19</f>
        <v>-0.35354546410962939</v>
      </c>
      <c r="T19" s="1345"/>
    </row>
    <row r="20" spans="1:20" ht="5.15" customHeight="1">
      <c r="K20" s="1456"/>
      <c r="M20" s="1456"/>
      <c r="O20" s="1456"/>
      <c r="Q20" s="1456"/>
    </row>
    <row r="21" spans="1:20" ht="13">
      <c r="C21" s="1314">
        <f>C19+1</f>
        <v>6</v>
      </c>
      <c r="E21" s="1311" t="s">
        <v>1399</v>
      </c>
      <c r="K21" s="1441">
        <f>SUM(K15:K20)</f>
        <v>-5844967.5154886637</v>
      </c>
      <c r="L21" s="1441"/>
      <c r="M21" s="1441">
        <f>SUM(M15:M20)</f>
        <v>-1461242.3633835027</v>
      </c>
      <c r="N21" s="1438"/>
      <c r="O21" s="1441">
        <f>SUM(O15:O20)</f>
        <v>1461241.8788721659</v>
      </c>
      <c r="P21" s="1441"/>
      <c r="Q21" s="1441">
        <f>SUM(Q15:Q20)</f>
        <v>-0.48451133695198223</v>
      </c>
    </row>
    <row r="22" spans="1:20">
      <c r="C22" s="1314"/>
    </row>
    <row r="23" spans="1:20" ht="13">
      <c r="A23" s="1449"/>
      <c r="B23" s="1449"/>
      <c r="C23" s="1314">
        <f>C21+1</f>
        <v>7</v>
      </c>
      <c r="D23" s="1449"/>
      <c r="E23" s="1450" t="s">
        <v>1400</v>
      </c>
      <c r="F23" s="1449"/>
      <c r="G23" s="1451"/>
      <c r="H23" s="1449"/>
      <c r="I23" s="1451"/>
      <c r="J23" s="1449"/>
      <c r="K23" s="1452"/>
      <c r="M23" s="1441"/>
      <c r="O23" s="1453"/>
      <c r="Q23" s="1449"/>
    </row>
    <row r="24" spans="1:20" ht="5.15" customHeight="1"/>
    <row r="25" spans="1:20">
      <c r="C25" s="1314">
        <f>C23+1</f>
        <v>8</v>
      </c>
      <c r="E25" s="1436" t="s">
        <v>1373</v>
      </c>
      <c r="G25" s="1454" t="s">
        <v>814</v>
      </c>
      <c r="I25" s="1451" t="s">
        <v>1401</v>
      </c>
      <c r="K25" s="1439">
        <f>SUMIFS('1F - ADIT Remeasurement'!$AF$11:$AF$124,'1F - ADIT Remeasurement'!$E$11:$E$124,"Unprotected Property",'1F - ADIT Remeasurement'!$AH$11:$AH$124,"190")</f>
        <v>0</v>
      </c>
      <c r="L25" s="1438"/>
      <c r="M25" s="1439">
        <v>0</v>
      </c>
      <c r="N25" s="1438"/>
      <c r="O25" s="1439">
        <f>-K25/5</f>
        <v>0</v>
      </c>
      <c r="P25" s="1438"/>
      <c r="Q25" s="1439">
        <f>M25+O25</f>
        <v>0</v>
      </c>
    </row>
    <row r="26" spans="1:20">
      <c r="C26" s="1314">
        <f>C25+1</f>
        <v>9</v>
      </c>
      <c r="E26" s="1436" t="s">
        <v>1398</v>
      </c>
      <c r="G26" s="1454" t="s">
        <v>814</v>
      </c>
      <c r="I26" s="1451" t="s">
        <v>1401</v>
      </c>
      <c r="K26" s="1462">
        <f>SUMIFS('1F - ADIT Remeasurement'!$AF$11:$AF$124,'1F - ADIT Remeasurement'!$E$11:$E$124,"Unprotected Property",'1F - ADIT Remeasurement'!$AH$11:$AH$124,"281")</f>
        <v>0</v>
      </c>
      <c r="L26" s="1646"/>
      <c r="M26" s="1462">
        <v>0</v>
      </c>
      <c r="N26" s="1646"/>
      <c r="O26" s="1462">
        <f>-K26/5</f>
        <v>0</v>
      </c>
      <c r="P26" s="1646"/>
      <c r="Q26" s="1462">
        <f>M26+O26</f>
        <v>0</v>
      </c>
    </row>
    <row r="27" spans="1:20">
      <c r="C27" s="1314">
        <f>C26+1</f>
        <v>10</v>
      </c>
      <c r="E27" s="1436" t="s">
        <v>1374</v>
      </c>
      <c r="G27" s="1454" t="s">
        <v>814</v>
      </c>
      <c r="I27" s="1451" t="s">
        <v>1401</v>
      </c>
      <c r="K27" s="1462">
        <f>SUMIFS('1F - ADIT Remeasurement'!$AF$11:$AF$124,'1F - ADIT Remeasurement'!$E$11:$E$124,"Unprotected Property",'1F - ADIT Remeasurement'!$AH$11:$AH$124,"282")</f>
        <v>-54437931.937298149</v>
      </c>
      <c r="L27" s="1646"/>
      <c r="M27" s="1705">
        <v>-21775172.837621115</v>
      </c>
      <c r="O27" s="1658">
        <f>-K27/5</f>
        <v>10887586.38745963</v>
      </c>
      <c r="P27" s="1646"/>
      <c r="Q27" s="1462">
        <f>M27+O27</f>
        <v>-10887586.450161485</v>
      </c>
      <c r="T27" s="1345"/>
    </row>
    <row r="28" spans="1:20">
      <c r="C28" s="1314">
        <f>C27+1</f>
        <v>11</v>
      </c>
      <c r="E28" s="1436" t="s">
        <v>1375</v>
      </c>
      <c r="G28" s="1454" t="s">
        <v>814</v>
      </c>
      <c r="I28" s="1451" t="s">
        <v>1401</v>
      </c>
      <c r="K28" s="1462">
        <f>SUMIFS('1F - ADIT Remeasurement'!$AF$11:$AF$124,'1F - ADIT Remeasurement'!$E$11:$E$124,"Unprotected Property",'1F - ADIT Remeasurement'!$AH$11:$AH$124,"283")</f>
        <v>0</v>
      </c>
      <c r="L28" s="1646"/>
      <c r="M28" s="1462">
        <v>0</v>
      </c>
      <c r="N28" s="1646"/>
      <c r="O28" s="1462">
        <f>-K28/5</f>
        <v>0</v>
      </c>
      <c r="P28" s="1646"/>
      <c r="Q28" s="1462">
        <f>M28+O28</f>
        <v>0</v>
      </c>
    </row>
    <row r="29" spans="1:20" ht="5.15" customHeight="1">
      <c r="K29" s="1456"/>
      <c r="M29" s="1456"/>
      <c r="O29" s="1456"/>
      <c r="Q29" s="1456"/>
    </row>
    <row r="30" spans="1:20" ht="13">
      <c r="C30" s="1314">
        <f>C28+1</f>
        <v>12</v>
      </c>
      <c r="E30" s="1311" t="s">
        <v>1399</v>
      </c>
      <c r="K30" s="1441">
        <f>SUM(K24:K29)</f>
        <v>-54437931.937298149</v>
      </c>
      <c r="L30" s="1438"/>
      <c r="M30" s="1441">
        <f>SUM(M24:M29)</f>
        <v>-21775172.837621115</v>
      </c>
      <c r="N30" s="1441"/>
      <c r="O30" s="1441">
        <f>SUM(O24:O29)</f>
        <v>10887586.38745963</v>
      </c>
      <c r="P30" s="1441"/>
      <c r="Q30" s="1441">
        <f>SUM(Q24:Q29)</f>
        <v>-10887586.450161485</v>
      </c>
    </row>
    <row r="32" spans="1:20" ht="13">
      <c r="A32" s="1449"/>
      <c r="B32" s="1449"/>
      <c r="C32" s="1314">
        <f>C30+1</f>
        <v>13</v>
      </c>
      <c r="D32" s="1449"/>
      <c r="E32" s="1450" t="s">
        <v>1402</v>
      </c>
      <c r="F32" s="1449"/>
      <c r="G32" s="1451"/>
      <c r="H32" s="1449"/>
      <c r="I32" s="1451"/>
      <c r="J32" s="1449"/>
      <c r="K32" s="1452"/>
      <c r="M32" s="1441"/>
      <c r="O32" s="1453"/>
      <c r="Q32" s="1449"/>
    </row>
    <row r="33" spans="3:20" ht="5.15" customHeight="1"/>
    <row r="34" spans="3:20">
      <c r="C34" s="1314">
        <f>C32+1</f>
        <v>14</v>
      </c>
      <c r="E34" s="1436" t="s">
        <v>1373</v>
      </c>
      <c r="G34" s="1454" t="s">
        <v>814</v>
      </c>
      <c r="I34" s="1451" t="s">
        <v>1403</v>
      </c>
      <c r="K34" s="1439">
        <f>SUMIFS('1F - ADIT Remeasurement'!$AF$11:$AF$124,'1F - ADIT Remeasurement'!$E$11:$E$124,"Protected Property",'1F - ADIT Remeasurement'!$AH$11:$AH$124,"190")</f>
        <v>3570954.0898157381</v>
      </c>
      <c r="L34" s="1438"/>
      <c r="M34" s="1705">
        <v>3570954</v>
      </c>
      <c r="O34" s="1658">
        <v>0</v>
      </c>
      <c r="P34" s="1438"/>
      <c r="Q34" s="1439">
        <f>M34+O34</f>
        <v>3570954</v>
      </c>
    </row>
    <row r="35" spans="3:20">
      <c r="C35" s="1314">
        <f>C34+1</f>
        <v>15</v>
      </c>
      <c r="E35" s="1436" t="s">
        <v>1398</v>
      </c>
      <c r="G35" s="1454" t="s">
        <v>814</v>
      </c>
      <c r="I35" s="1451" t="s">
        <v>1403</v>
      </c>
      <c r="K35" s="1455">
        <f>SUMIFS('1F - ADIT Remeasurement'!$AF$11:$AF$124,'1F - ADIT Remeasurement'!$E$11:$E$124,"Protected Property",'1F - ADIT Remeasurement'!$AH$11:$AH$124,"281")</f>
        <v>0</v>
      </c>
      <c r="L35" s="1645"/>
      <c r="M35" s="1705">
        <v>0</v>
      </c>
      <c r="O35" s="1658">
        <v>0</v>
      </c>
      <c r="P35" s="1645"/>
      <c r="Q35" s="1455">
        <f>M35+O35</f>
        <v>0</v>
      </c>
    </row>
    <row r="36" spans="3:20">
      <c r="C36" s="1314">
        <f>C35+1</f>
        <v>16</v>
      </c>
      <c r="E36" s="1436" t="s">
        <v>1374</v>
      </c>
      <c r="G36" s="1454" t="s">
        <v>814</v>
      </c>
      <c r="I36" s="1451" t="s">
        <v>1403</v>
      </c>
      <c r="K36" s="1455">
        <f>SUMIFS('1F - ADIT Remeasurement'!$AF$11:$AF$124,'1F - ADIT Remeasurement'!$E$11:$E$124,"Protected Property",'1F - ADIT Remeasurement'!$AH$11:$AH$124,"282")</f>
        <v>-51415785.138475791</v>
      </c>
      <c r="L36" s="1645"/>
      <c r="M36" s="1705">
        <v>-49545985</v>
      </c>
      <c r="O36" s="1658">
        <v>855244</v>
      </c>
      <c r="P36" s="1645"/>
      <c r="Q36" s="1455">
        <f>M36+O36</f>
        <v>-48690741</v>
      </c>
    </row>
    <row r="37" spans="3:20">
      <c r="C37" s="1314">
        <f>C36+1</f>
        <v>17</v>
      </c>
      <c r="E37" s="1436" t="s">
        <v>1375</v>
      </c>
      <c r="G37" s="1454" t="s">
        <v>814</v>
      </c>
      <c r="I37" s="1451" t="s">
        <v>1403</v>
      </c>
      <c r="K37" s="1455">
        <f>SUMIFS('1F - ADIT Remeasurement'!$AF$11:$AF$124,'1F - ADIT Remeasurement'!$E$11:$E$124,"Protected Property",'1F - ADIT Remeasurement'!$AH$11:$AH$124,"283")</f>
        <v>0</v>
      </c>
      <c r="L37" s="1645"/>
      <c r="M37" s="1455">
        <v>0</v>
      </c>
      <c r="N37" s="1645"/>
      <c r="O37" s="1455">
        <v>0</v>
      </c>
      <c r="P37" s="1645"/>
      <c r="Q37" s="1455">
        <f>M37+O37</f>
        <v>0</v>
      </c>
    </row>
    <row r="38" spans="3:20" ht="5.15" customHeight="1">
      <c r="K38" s="1456"/>
      <c r="M38" s="1456"/>
      <c r="O38" s="1456"/>
      <c r="Q38" s="1456"/>
    </row>
    <row r="39" spans="3:20" ht="13">
      <c r="C39" s="1314">
        <f>C37+1</f>
        <v>18</v>
      </c>
      <c r="E39" s="1311" t="s">
        <v>1399</v>
      </c>
      <c r="K39" s="1441">
        <f>SUM(K33:K38)</f>
        <v>-47844831.048660055</v>
      </c>
      <c r="L39" s="1438"/>
      <c r="M39" s="1441">
        <f>SUM(M33:M38)</f>
        <v>-45975031</v>
      </c>
      <c r="N39" s="1438"/>
      <c r="O39" s="1441">
        <f>SUM(O33:O38)</f>
        <v>855244</v>
      </c>
      <c r="P39" s="1441"/>
      <c r="Q39" s="1441">
        <f>SUM(Q33:Q38)</f>
        <v>-45119787</v>
      </c>
      <c r="T39" s="1345"/>
    </row>
    <row r="41" spans="3:20" ht="13.5" thickBot="1">
      <c r="C41" s="1314">
        <f>C39+1</f>
        <v>19</v>
      </c>
      <c r="E41" s="1311" t="s">
        <v>1404</v>
      </c>
      <c r="K41" s="1457">
        <f>K21+K30+K39</f>
        <v>-108127730.50144687</v>
      </c>
      <c r="L41" s="1441"/>
      <c r="M41" s="1457">
        <f>M21+M30+M39</f>
        <v>-69211446.201004624</v>
      </c>
      <c r="N41" s="1441"/>
      <c r="O41" s="1457">
        <f>O21+O30+O39</f>
        <v>13204072.266331796</v>
      </c>
      <c r="P41" s="1441"/>
      <c r="Q41" s="1457">
        <f>Q21+Q30+Q39</f>
        <v>-56007373.934672818</v>
      </c>
      <c r="T41" s="1458"/>
    </row>
    <row r="44" spans="3:20" ht="15.75" customHeight="1">
      <c r="C44" s="1758" t="s">
        <v>1405</v>
      </c>
      <c r="D44" s="1759"/>
      <c r="E44" s="1759"/>
      <c r="F44" s="1759"/>
      <c r="G44" s="1759"/>
      <c r="H44" s="1759"/>
      <c r="I44" s="1759"/>
      <c r="J44" s="1759"/>
      <c r="K44" s="1759"/>
      <c r="L44" s="1759"/>
      <c r="M44" s="1759"/>
      <c r="N44" s="1759"/>
      <c r="O44" s="1759"/>
      <c r="P44" s="1759"/>
      <c r="Q44" s="1760"/>
    </row>
    <row r="46" spans="3:20" ht="13">
      <c r="E46" s="1312" t="s">
        <v>174</v>
      </c>
      <c r="F46" s="1312"/>
      <c r="G46" s="1312" t="s">
        <v>175</v>
      </c>
      <c r="H46" s="1312"/>
      <c r="I46" s="1312" t="s">
        <v>1142</v>
      </c>
      <c r="J46" s="1312"/>
      <c r="K46" s="1312" t="s">
        <v>1295</v>
      </c>
      <c r="L46" s="1312"/>
      <c r="M46" s="1312" t="s">
        <v>1389</v>
      </c>
      <c r="N46" s="1312"/>
      <c r="O46" s="1312" t="s">
        <v>1297</v>
      </c>
      <c r="P46" s="1312"/>
      <c r="Q46" s="1312" t="s">
        <v>1298</v>
      </c>
    </row>
    <row r="47" spans="3:20" ht="15" customHeight="1">
      <c r="C47" s="1750" t="s">
        <v>1305</v>
      </c>
      <c r="D47" s="1635"/>
      <c r="E47" s="1752" t="s">
        <v>1370</v>
      </c>
      <c r="G47" s="1754" t="s">
        <v>278</v>
      </c>
      <c r="I47" s="1754" t="s">
        <v>1390</v>
      </c>
      <c r="K47" s="1459" t="s">
        <v>1406</v>
      </c>
      <c r="M47" s="1446" t="s">
        <v>1792</v>
      </c>
      <c r="O47" s="1756" t="s">
        <v>1392</v>
      </c>
      <c r="Q47" s="1446" t="s">
        <v>1800</v>
      </c>
    </row>
    <row r="48" spans="3:20" ht="25">
      <c r="C48" s="1751"/>
      <c r="D48" s="1635"/>
      <c r="E48" s="1753"/>
      <c r="F48" s="1447"/>
      <c r="G48" s="1755"/>
      <c r="H48" s="1447"/>
      <c r="I48" s="1755"/>
      <c r="J48" s="1447"/>
      <c r="K48" s="1448" t="s">
        <v>1393</v>
      </c>
      <c r="M48" s="1707" t="s">
        <v>1394</v>
      </c>
      <c r="O48" s="1757"/>
      <c r="Q48" s="1707" t="s">
        <v>1395</v>
      </c>
    </row>
    <row r="49" spans="1:20" ht="5.15" customHeight="1"/>
    <row r="50" spans="1:20" ht="13">
      <c r="A50" s="1449"/>
      <c r="B50" s="1449"/>
      <c r="C50" s="1314">
        <f>C41+1</f>
        <v>20</v>
      </c>
      <c r="D50" s="1449"/>
      <c r="E50" s="1450" t="s">
        <v>1402</v>
      </c>
      <c r="F50" s="1449"/>
      <c r="G50" s="1451"/>
      <c r="H50" s="1449"/>
      <c r="I50" s="1451"/>
      <c r="J50" s="1449"/>
      <c r="K50" s="1452"/>
      <c r="M50" s="1441"/>
      <c r="O50" s="1453"/>
      <c r="Q50" s="1449"/>
    </row>
    <row r="51" spans="1:20" ht="5.15" customHeight="1"/>
    <row r="52" spans="1:20">
      <c r="C52" s="1314">
        <f>C50+1</f>
        <v>21</v>
      </c>
      <c r="E52" s="1436" t="s">
        <v>1373</v>
      </c>
      <c r="G52" s="1454" t="s">
        <v>321</v>
      </c>
      <c r="I52" s="1451" t="s">
        <v>1403</v>
      </c>
      <c r="K52" s="1439">
        <v>0</v>
      </c>
      <c r="L52" s="1438"/>
      <c r="M52" s="1439">
        <v>0</v>
      </c>
      <c r="N52" s="1438"/>
      <c r="O52" s="1439">
        <v>0</v>
      </c>
      <c r="P52" s="1438"/>
      <c r="Q52" s="1439">
        <f>M52+O52</f>
        <v>0</v>
      </c>
    </row>
    <row r="53" spans="1:20">
      <c r="C53" s="1314">
        <f>C52+1</f>
        <v>22</v>
      </c>
      <c r="E53" s="1436" t="s">
        <v>1398</v>
      </c>
      <c r="G53" s="1454" t="s">
        <v>321</v>
      </c>
      <c r="I53" s="1451" t="s">
        <v>1403</v>
      </c>
      <c r="K53" s="1455">
        <v>0</v>
      </c>
      <c r="L53" s="1645"/>
      <c r="M53" s="1455">
        <v>0</v>
      </c>
      <c r="N53" s="1645"/>
      <c r="O53" s="1455">
        <v>0</v>
      </c>
      <c r="P53" s="1645"/>
      <c r="Q53" s="1455">
        <f>M53+O53</f>
        <v>0</v>
      </c>
    </row>
    <row r="54" spans="1:20">
      <c r="C54" s="1314">
        <f>C53+1</f>
        <v>23</v>
      </c>
      <c r="E54" s="1436" t="s">
        <v>1374</v>
      </c>
      <c r="G54" s="1454" t="s">
        <v>321</v>
      </c>
      <c r="I54" s="1451" t="s">
        <v>1403</v>
      </c>
      <c r="K54" s="1455">
        <v>-228106</v>
      </c>
      <c r="L54" s="1645"/>
      <c r="M54" s="1705">
        <v>-102444</v>
      </c>
      <c r="O54" s="1658">
        <v>64182</v>
      </c>
      <c r="P54" s="1645"/>
      <c r="Q54" s="1455">
        <f>M54+O54</f>
        <v>-38262</v>
      </c>
    </row>
    <row r="55" spans="1:20">
      <c r="C55" s="1314">
        <f>C54+1</f>
        <v>24</v>
      </c>
      <c r="E55" s="1436" t="s">
        <v>1375</v>
      </c>
      <c r="G55" s="1454" t="s">
        <v>321</v>
      </c>
      <c r="I55" s="1451" t="s">
        <v>1403</v>
      </c>
      <c r="K55" s="1455">
        <v>0</v>
      </c>
      <c r="L55" s="1645"/>
      <c r="M55" s="1455">
        <v>0</v>
      </c>
      <c r="N55" s="1645"/>
      <c r="O55" s="1455">
        <v>0</v>
      </c>
      <c r="P55" s="1645"/>
      <c r="Q55" s="1455">
        <f>M55+O55</f>
        <v>0</v>
      </c>
      <c r="R55" s="1008" t="s">
        <v>86</v>
      </c>
      <c r="S55" s="1008" t="s">
        <v>86</v>
      </c>
      <c r="T55" s="1008" t="s">
        <v>86</v>
      </c>
    </row>
    <row r="56" spans="1:20" ht="5.15" customHeight="1">
      <c r="K56" s="1456"/>
      <c r="M56" s="1456"/>
      <c r="O56" s="1456"/>
      <c r="Q56" s="1456"/>
    </row>
    <row r="57" spans="1:20" ht="13">
      <c r="C57" s="1314">
        <f>C55+1</f>
        <v>25</v>
      </c>
      <c r="E57" s="1311" t="s">
        <v>1399</v>
      </c>
      <c r="K57" s="1441">
        <f>SUM(K51:K56)</f>
        <v>-228106</v>
      </c>
      <c r="L57" s="1441"/>
      <c r="M57" s="1441">
        <f>SUM(M51:M56)</f>
        <v>-102444</v>
      </c>
      <c r="N57" s="1441"/>
      <c r="O57" s="1441">
        <f>SUM(O51:O56)</f>
        <v>64182</v>
      </c>
      <c r="P57" s="1441"/>
      <c r="Q57" s="1441">
        <f>SUM(Q51:Q56)</f>
        <v>-38262</v>
      </c>
    </row>
    <row r="59" spans="1:20" ht="13.5" thickBot="1">
      <c r="C59" s="1314">
        <f>C57+1</f>
        <v>26</v>
      </c>
      <c r="E59" s="1311" t="s">
        <v>1404</v>
      </c>
      <c r="K59" s="1457">
        <f>K57</f>
        <v>-228106</v>
      </c>
      <c r="L59" s="1441"/>
      <c r="M59" s="1457">
        <f>M57</f>
        <v>-102444</v>
      </c>
      <c r="N59" s="1441"/>
      <c r="O59" s="1457">
        <f>O57</f>
        <v>64182</v>
      </c>
      <c r="P59" s="1441"/>
      <c r="Q59" s="1457">
        <f>Q57</f>
        <v>-38262</v>
      </c>
    </row>
    <row r="60" spans="1:20" ht="13">
      <c r="C60" s="1314"/>
      <c r="E60" s="1311"/>
      <c r="K60" s="1460"/>
      <c r="L60" s="1441"/>
      <c r="M60" s="1460"/>
      <c r="N60" s="1441"/>
      <c r="P60" s="1441"/>
    </row>
    <row r="61" spans="1:20" ht="13">
      <c r="C61" s="1314"/>
      <c r="E61" s="1311"/>
      <c r="L61" s="1441"/>
      <c r="N61" s="1441"/>
      <c r="P61" s="1441"/>
      <c r="T61" s="1458"/>
    </row>
    <row r="62" spans="1:20" ht="15.75" customHeight="1">
      <c r="C62" s="1758" t="s">
        <v>1407</v>
      </c>
      <c r="D62" s="1759"/>
      <c r="E62" s="1759"/>
      <c r="F62" s="1759"/>
      <c r="G62" s="1759"/>
      <c r="H62" s="1759"/>
      <c r="I62" s="1759"/>
      <c r="J62" s="1759"/>
      <c r="K62" s="1759"/>
      <c r="L62" s="1759"/>
      <c r="M62" s="1759"/>
      <c r="N62" s="1759"/>
      <c r="O62" s="1759"/>
      <c r="P62" s="1759"/>
      <c r="Q62" s="1760"/>
    </row>
    <row r="64" spans="1:20" ht="13">
      <c r="E64" s="1312" t="s">
        <v>174</v>
      </c>
      <c r="F64" s="1312"/>
      <c r="G64" s="1312" t="s">
        <v>175</v>
      </c>
      <c r="H64" s="1312"/>
      <c r="I64" s="1312" t="s">
        <v>1142</v>
      </c>
      <c r="J64" s="1312"/>
      <c r="K64" s="1312" t="s">
        <v>1295</v>
      </c>
      <c r="L64" s="1312"/>
      <c r="M64" s="1312" t="s">
        <v>1389</v>
      </c>
      <c r="N64" s="1312"/>
      <c r="O64" s="1312" t="s">
        <v>1297</v>
      </c>
      <c r="P64" s="1312"/>
      <c r="Q64" s="1312" t="s">
        <v>1298</v>
      </c>
    </row>
    <row r="65" spans="1:20" ht="15" customHeight="1">
      <c r="C65" s="1750" t="s">
        <v>1305</v>
      </c>
      <c r="D65" s="1635"/>
      <c r="E65" s="1752" t="s">
        <v>1370</v>
      </c>
      <c r="G65" s="1754" t="s">
        <v>278</v>
      </c>
      <c r="I65" s="1754" t="s">
        <v>1390</v>
      </c>
      <c r="K65" s="1445"/>
      <c r="M65" s="1446" t="s">
        <v>1792</v>
      </c>
      <c r="O65" s="1756" t="s">
        <v>1392</v>
      </c>
      <c r="Q65" s="1446" t="s">
        <v>1800</v>
      </c>
    </row>
    <row r="66" spans="1:20" ht="25">
      <c r="C66" s="1751"/>
      <c r="D66" s="1635"/>
      <c r="E66" s="1753"/>
      <c r="F66" s="1447"/>
      <c r="G66" s="1755"/>
      <c r="H66" s="1447"/>
      <c r="I66" s="1755"/>
      <c r="J66" s="1447"/>
      <c r="K66" s="1448" t="s">
        <v>1393</v>
      </c>
      <c r="M66" s="1707" t="s">
        <v>1394</v>
      </c>
      <c r="O66" s="1757"/>
      <c r="Q66" s="1707" t="s">
        <v>1395</v>
      </c>
    </row>
    <row r="67" spans="1:20" ht="5.15" customHeight="1"/>
    <row r="68" spans="1:20" ht="13">
      <c r="A68" s="1449"/>
      <c r="B68" s="1449"/>
      <c r="C68" s="1314">
        <f>C59+1</f>
        <v>27</v>
      </c>
      <c r="D68" s="1449"/>
      <c r="E68" s="1450" t="s">
        <v>1396</v>
      </c>
      <c r="F68" s="1449"/>
      <c r="G68" s="1451"/>
      <c r="H68" s="1449"/>
      <c r="I68" s="1451"/>
      <c r="J68" s="1449"/>
      <c r="K68" s="1452"/>
      <c r="M68" s="1441"/>
      <c r="O68" s="1453"/>
      <c r="Q68" s="1449"/>
    </row>
    <row r="69" spans="1:20" ht="5.15" customHeight="1"/>
    <row r="70" spans="1:20">
      <c r="C70" s="1314">
        <f>C68+1</f>
        <v>28</v>
      </c>
      <c r="E70" s="1436" t="s">
        <v>1373</v>
      </c>
      <c r="G70" s="1454"/>
      <c r="I70" s="1451"/>
      <c r="K70" s="1439">
        <f>K16</f>
        <v>-831665.8690341271</v>
      </c>
      <c r="L70" s="1438"/>
      <c r="M70" s="1439">
        <f>M16</f>
        <v>-207916.59822440462</v>
      </c>
      <c r="N70" s="1438"/>
      <c r="O70" s="1439">
        <f>O16</f>
        <v>207916.46725853177</v>
      </c>
      <c r="P70" s="1438"/>
      <c r="Q70" s="1439">
        <f>M70+O70</f>
        <v>-0.13096587284235284</v>
      </c>
      <c r="T70" s="1345"/>
    </row>
    <row r="71" spans="1:20">
      <c r="C71" s="1314">
        <f>C70+1</f>
        <v>29</v>
      </c>
      <c r="E71" s="1436" t="s">
        <v>1398</v>
      </c>
      <c r="G71" s="1454"/>
      <c r="I71" s="1451"/>
      <c r="K71" s="1455">
        <f>K17</f>
        <v>0</v>
      </c>
      <c r="M71" s="1455">
        <f>M17</f>
        <v>0</v>
      </c>
      <c r="O71" s="1455">
        <f>O17</f>
        <v>0</v>
      </c>
      <c r="Q71" s="1440">
        <f>M71+O71</f>
        <v>0</v>
      </c>
    </row>
    <row r="72" spans="1:20">
      <c r="C72" s="1314">
        <f>C71+1</f>
        <v>30</v>
      </c>
      <c r="E72" s="1436" t="s">
        <v>1374</v>
      </c>
      <c r="G72" s="1454"/>
      <c r="I72" s="1451"/>
      <c r="K72" s="1455">
        <f>K18</f>
        <v>0</v>
      </c>
      <c r="M72" s="1455">
        <f>M18</f>
        <v>0</v>
      </c>
      <c r="O72" s="1455">
        <f>O18</f>
        <v>0</v>
      </c>
      <c r="Q72" s="1440">
        <f>M72+O72</f>
        <v>0</v>
      </c>
    </row>
    <row r="73" spans="1:20">
      <c r="C73" s="1314">
        <f>C72+1</f>
        <v>31</v>
      </c>
      <c r="E73" s="1436" t="s">
        <v>1375</v>
      </c>
      <c r="G73" s="1454"/>
      <c r="I73" s="1451"/>
      <c r="K73" s="1455">
        <f>K19</f>
        <v>-5013301.6464545364</v>
      </c>
      <c r="M73" s="1455">
        <f>M19</f>
        <v>-1253325.7651590982</v>
      </c>
      <c r="O73" s="1455">
        <f>O19</f>
        <v>1253325.4116136341</v>
      </c>
      <c r="Q73" s="1440">
        <f>M73+O73</f>
        <v>-0.35354546410962939</v>
      </c>
      <c r="T73" s="1345"/>
    </row>
    <row r="74" spans="1:20" ht="5.15" customHeight="1">
      <c r="K74" s="1456"/>
      <c r="M74" s="1456"/>
      <c r="O74" s="1456"/>
      <c r="Q74" s="1456"/>
    </row>
    <row r="75" spans="1:20" ht="13">
      <c r="C75" s="1314">
        <f>C73+1</f>
        <v>32</v>
      </c>
      <c r="E75" s="1311" t="s">
        <v>1399</v>
      </c>
      <c r="K75" s="1441">
        <f>SUM(K69:K74)</f>
        <v>-5844967.5154886637</v>
      </c>
      <c r="L75" s="1441"/>
      <c r="M75" s="1441">
        <f>SUM(M69:M74)</f>
        <v>-1461242.3633835027</v>
      </c>
      <c r="N75" s="1438"/>
      <c r="O75" s="1441">
        <f>SUM(O69:O74)</f>
        <v>1461241.8788721659</v>
      </c>
      <c r="P75" s="1441"/>
      <c r="Q75" s="1441">
        <f>SUM(Q69:Q74)</f>
        <v>-0.48451133695198223</v>
      </c>
    </row>
    <row r="76" spans="1:20">
      <c r="C76" s="1314"/>
    </row>
    <row r="77" spans="1:20" ht="13">
      <c r="A77" s="1449"/>
      <c r="B77" s="1449"/>
      <c r="C77" s="1314">
        <f>C75+1</f>
        <v>33</v>
      </c>
      <c r="D77" s="1449"/>
      <c r="E77" s="1450" t="s">
        <v>1400</v>
      </c>
      <c r="F77" s="1449"/>
      <c r="G77" s="1451"/>
      <c r="H77" s="1449"/>
      <c r="I77" s="1451"/>
      <c r="J77" s="1449"/>
      <c r="K77" s="1452"/>
      <c r="M77" s="1441"/>
      <c r="O77" s="1453"/>
      <c r="Q77" s="1449"/>
    </row>
    <row r="78" spans="1:20" ht="5.15" customHeight="1"/>
    <row r="79" spans="1:20">
      <c r="C79" s="1314">
        <f>C77+1</f>
        <v>34</v>
      </c>
      <c r="E79" s="1436" t="s">
        <v>1373</v>
      </c>
      <c r="G79" s="1454"/>
      <c r="I79" s="1451"/>
      <c r="K79" s="1439">
        <f>K25</f>
        <v>0</v>
      </c>
      <c r="L79" s="1438"/>
      <c r="M79" s="1439">
        <f>M25</f>
        <v>0</v>
      </c>
      <c r="N79" s="1441"/>
      <c r="O79" s="1439">
        <f>O25</f>
        <v>0</v>
      </c>
      <c r="P79" s="1441"/>
      <c r="Q79" s="1439">
        <f>M79+O79</f>
        <v>0</v>
      </c>
    </row>
    <row r="80" spans="1:20">
      <c r="C80" s="1314">
        <f>C79+1</f>
        <v>35</v>
      </c>
      <c r="E80" s="1436" t="s">
        <v>1398</v>
      </c>
      <c r="G80" s="1454"/>
      <c r="I80" s="1451"/>
      <c r="K80" s="1455">
        <f>K26</f>
        <v>0</v>
      </c>
      <c r="M80" s="1455">
        <f>M26</f>
        <v>0</v>
      </c>
      <c r="O80" s="1455">
        <f>O26</f>
        <v>0</v>
      </c>
      <c r="Q80" s="1440">
        <f>M80+O80</f>
        <v>0</v>
      </c>
    </row>
    <row r="81" spans="1:20">
      <c r="C81" s="1314">
        <f>C80+1</f>
        <v>36</v>
      </c>
      <c r="E81" s="1436" t="s">
        <v>1374</v>
      </c>
      <c r="G81" s="1454"/>
      <c r="I81" s="1451"/>
      <c r="K81" s="1455">
        <f>K27</f>
        <v>-54437931.937298149</v>
      </c>
      <c r="M81" s="1455">
        <f>M27</f>
        <v>-21775172.837621115</v>
      </c>
      <c r="O81" s="1455">
        <f>O27</f>
        <v>10887586.38745963</v>
      </c>
      <c r="Q81" s="1440">
        <f>M81+O81</f>
        <v>-10887586.450161485</v>
      </c>
      <c r="T81" s="1345"/>
    </row>
    <row r="82" spans="1:20">
      <c r="C82" s="1314">
        <f>C81+1</f>
        <v>37</v>
      </c>
      <c r="E82" s="1436" t="s">
        <v>1375</v>
      </c>
      <c r="G82" s="1454"/>
      <c r="I82" s="1451"/>
      <c r="K82" s="1455">
        <f>K28</f>
        <v>0</v>
      </c>
      <c r="M82" s="1455">
        <f>M28</f>
        <v>0</v>
      </c>
      <c r="O82" s="1455">
        <f>O28</f>
        <v>0</v>
      </c>
      <c r="Q82" s="1440">
        <f>M82+O82</f>
        <v>0</v>
      </c>
    </row>
    <row r="83" spans="1:20" ht="5.15" customHeight="1">
      <c r="K83" s="1456"/>
      <c r="M83" s="1456"/>
      <c r="O83" s="1456"/>
      <c r="Q83" s="1456"/>
    </row>
    <row r="84" spans="1:20" ht="13">
      <c r="C84" s="1314">
        <f>C82+1</f>
        <v>38</v>
      </c>
      <c r="E84" s="1311" t="s">
        <v>1399</v>
      </c>
      <c r="K84" s="1441">
        <f>SUM(K78:K83)</f>
        <v>-54437931.937298149</v>
      </c>
      <c r="L84" s="1438"/>
      <c r="M84" s="1441">
        <f>SUM(M78:M83)</f>
        <v>-21775172.837621115</v>
      </c>
      <c r="N84" s="1441"/>
      <c r="O84" s="1441">
        <f>SUM(O78:O83)</f>
        <v>10887586.38745963</v>
      </c>
      <c r="P84" s="1441"/>
      <c r="Q84" s="1441">
        <f>SUM(Q78:Q83)</f>
        <v>-10887586.450161485</v>
      </c>
    </row>
    <row r="86" spans="1:20" ht="13">
      <c r="A86" s="1449"/>
      <c r="B86" s="1449"/>
      <c r="C86" s="1314">
        <f>C84+1</f>
        <v>39</v>
      </c>
      <c r="D86" s="1449"/>
      <c r="E86" s="1450" t="s">
        <v>1402</v>
      </c>
      <c r="F86" s="1449"/>
      <c r="G86" s="1451"/>
      <c r="H86" s="1449"/>
      <c r="I86" s="1451"/>
      <c r="J86" s="1449"/>
      <c r="K86" s="1452"/>
      <c r="M86" s="1441"/>
      <c r="O86" s="1453"/>
      <c r="Q86" s="1449"/>
    </row>
    <row r="87" spans="1:20" ht="5.15" customHeight="1"/>
    <row r="88" spans="1:20">
      <c r="C88" s="1314">
        <f>C86+1</f>
        <v>40</v>
      </c>
      <c r="E88" s="1436" t="s">
        <v>1373</v>
      </c>
      <c r="G88" s="1454"/>
      <c r="I88" s="1451"/>
      <c r="K88" s="1439">
        <f>K34+K52</f>
        <v>3570954.0898157381</v>
      </c>
      <c r="M88" s="1439">
        <f>M34+M52</f>
        <v>3570954</v>
      </c>
      <c r="O88" s="1439">
        <f>O34+O52</f>
        <v>0</v>
      </c>
      <c r="Q88" s="1439">
        <f>Q34+Q52</f>
        <v>3570954</v>
      </c>
    </row>
    <row r="89" spans="1:20">
      <c r="C89" s="1314">
        <f>C88+1</f>
        <v>41</v>
      </c>
      <c r="E89" s="1436" t="s">
        <v>1398</v>
      </c>
      <c r="G89" s="1454"/>
      <c r="I89" s="1451"/>
      <c r="K89" s="1455">
        <f>K35+K53</f>
        <v>0</v>
      </c>
      <c r="M89" s="1455">
        <f>M35+M53</f>
        <v>0</v>
      </c>
      <c r="O89" s="1455">
        <f>O35+O53</f>
        <v>0</v>
      </c>
      <c r="Q89" s="1455">
        <f>Q35+Q53</f>
        <v>0</v>
      </c>
    </row>
    <row r="90" spans="1:20">
      <c r="C90" s="1314">
        <f>C89+1</f>
        <v>42</v>
      </c>
      <c r="E90" s="1436" t="s">
        <v>1374</v>
      </c>
      <c r="G90" s="1454"/>
      <c r="I90" s="1451"/>
      <c r="K90" s="1455">
        <f>K36+K54</f>
        <v>-51643891.138475791</v>
      </c>
      <c r="M90" s="1455">
        <f>M36+M54</f>
        <v>-49648429</v>
      </c>
      <c r="O90" s="1455">
        <f>O36+O54</f>
        <v>919426</v>
      </c>
      <c r="Q90" s="1455">
        <f>Q36+Q54</f>
        <v>-48729003</v>
      </c>
    </row>
    <row r="91" spans="1:20">
      <c r="C91" s="1314">
        <f>C90+1</f>
        <v>43</v>
      </c>
      <c r="E91" s="1436" t="s">
        <v>1375</v>
      </c>
      <c r="G91" s="1454"/>
      <c r="I91" s="1451"/>
      <c r="K91" s="1455">
        <f>K37+K55</f>
        <v>0</v>
      </c>
      <c r="M91" s="1455">
        <f>M37+M55</f>
        <v>0</v>
      </c>
      <c r="O91" s="1455">
        <f>O37+O55</f>
        <v>0</v>
      </c>
      <c r="Q91" s="1455">
        <f>Q37+Q55</f>
        <v>0</v>
      </c>
    </row>
    <row r="92" spans="1:20" ht="5.15" customHeight="1">
      <c r="K92" s="1456"/>
      <c r="M92" s="1456"/>
      <c r="O92" s="1456"/>
      <c r="Q92" s="1456"/>
    </row>
    <row r="93" spans="1:20" ht="13">
      <c r="C93" s="1314">
        <f>C91+1</f>
        <v>44</v>
      </c>
      <c r="E93" s="1311" t="s">
        <v>1399</v>
      </c>
      <c r="K93" s="1441">
        <f>SUM(K87:K92)</f>
        <v>-48072937.048660055</v>
      </c>
      <c r="L93" s="1438"/>
      <c r="M93" s="1441">
        <f>SUM(M87:M92)</f>
        <v>-46077475</v>
      </c>
      <c r="N93" s="1438"/>
      <c r="O93" s="1441">
        <f>SUM(O87:O92)</f>
        <v>919426</v>
      </c>
      <c r="P93" s="1441"/>
      <c r="Q93" s="1441">
        <f>SUM(Q87:Q92)</f>
        <v>-45158049</v>
      </c>
      <c r="T93" s="1345"/>
    </row>
    <row r="95" spans="1:20" ht="13.5" thickBot="1">
      <c r="C95" s="1314">
        <f>C93+1</f>
        <v>45</v>
      </c>
      <c r="E95" s="1311" t="s">
        <v>1404</v>
      </c>
      <c r="K95" s="1457">
        <f>K75+K84+K93</f>
        <v>-108355836.50144687</v>
      </c>
      <c r="L95" s="1441"/>
      <c r="M95" s="1457">
        <f>M75+M84+M93</f>
        <v>-69313890.201004624</v>
      </c>
      <c r="N95" s="1441"/>
      <c r="O95" s="1457">
        <f>O75+O84+O93</f>
        <v>13268254.266331796</v>
      </c>
      <c r="P95" s="1441"/>
      <c r="Q95" s="1457">
        <f>Q75+Q84+Q93</f>
        <v>-56045635.934672818</v>
      </c>
      <c r="T95" s="1458"/>
    </row>
    <row r="96" spans="1:20" ht="13">
      <c r="C96" s="1314"/>
      <c r="E96" s="1311"/>
      <c r="K96" s="1460"/>
      <c r="L96" s="1441"/>
      <c r="M96" s="1460"/>
      <c r="N96" s="1441"/>
      <c r="O96" s="1460"/>
      <c r="P96" s="1441"/>
      <c r="Q96" s="1460"/>
      <c r="T96" s="1458"/>
    </row>
    <row r="97" spans="3:20" ht="13">
      <c r="C97" s="1314"/>
      <c r="E97" s="1311"/>
      <c r="L97" s="1441"/>
      <c r="N97" s="1441"/>
      <c r="P97" s="1441"/>
      <c r="T97" s="1458"/>
    </row>
    <row r="98" spans="3:20" ht="15.75" customHeight="1">
      <c r="C98" s="1758" t="s">
        <v>1407</v>
      </c>
      <c r="D98" s="1759"/>
      <c r="E98" s="1759"/>
      <c r="F98" s="1759"/>
      <c r="G98" s="1759"/>
      <c r="H98" s="1759"/>
      <c r="I98" s="1759"/>
      <c r="J98" s="1759"/>
      <c r="K98" s="1759"/>
      <c r="L98" s="1759"/>
      <c r="M98" s="1759"/>
      <c r="N98" s="1759"/>
      <c r="O98" s="1759"/>
      <c r="P98" s="1759"/>
      <c r="Q98" s="1760"/>
    </row>
    <row r="100" spans="3:20" ht="13">
      <c r="E100" s="1312" t="s">
        <v>174</v>
      </c>
      <c r="F100" s="1312"/>
      <c r="G100" s="1312" t="s">
        <v>175</v>
      </c>
      <c r="H100" s="1312"/>
      <c r="I100" s="1312" t="s">
        <v>1142</v>
      </c>
      <c r="J100" s="1312"/>
      <c r="K100" s="1312" t="s">
        <v>1295</v>
      </c>
      <c r="L100" s="1312"/>
      <c r="M100" s="1312" t="s">
        <v>1389</v>
      </c>
      <c r="N100" s="1312"/>
      <c r="O100" s="1312" t="s">
        <v>1297</v>
      </c>
      <c r="P100" s="1312"/>
      <c r="Q100" s="1312" t="s">
        <v>1298</v>
      </c>
    </row>
    <row r="101" spans="3:20" ht="15" customHeight="1">
      <c r="C101" s="1750" t="s">
        <v>1305</v>
      </c>
      <c r="D101" s="1635"/>
      <c r="E101" s="1752" t="s">
        <v>1370</v>
      </c>
      <c r="G101" s="1754" t="s">
        <v>278</v>
      </c>
      <c r="I101" s="1754" t="s">
        <v>1390</v>
      </c>
      <c r="M101" s="1446" t="s">
        <v>1792</v>
      </c>
      <c r="O101" s="1756" t="s">
        <v>1392</v>
      </c>
      <c r="Q101" s="1446" t="s">
        <v>1800</v>
      </c>
    </row>
    <row r="102" spans="3:20" ht="25">
      <c r="C102" s="1751"/>
      <c r="D102" s="1635"/>
      <c r="E102" s="1753"/>
      <c r="F102" s="1447"/>
      <c r="G102" s="1755"/>
      <c r="H102" s="1447"/>
      <c r="I102" s="1755"/>
      <c r="J102" s="1447"/>
      <c r="K102" s="1448" t="s">
        <v>1393</v>
      </c>
      <c r="M102" s="1707" t="s">
        <v>1394</v>
      </c>
      <c r="O102" s="1757"/>
      <c r="Q102" s="1707" t="s">
        <v>1395</v>
      </c>
    </row>
    <row r="103" spans="3:20" ht="5.15" customHeight="1"/>
    <row r="104" spans="3:20">
      <c r="C104" s="1314">
        <f>C95+1</f>
        <v>46</v>
      </c>
      <c r="E104" s="1436" t="s">
        <v>1373</v>
      </c>
      <c r="K104" s="1439">
        <f>K16+K25+K34+K52</f>
        <v>2739288.2207816113</v>
      </c>
      <c r="L104" s="1438"/>
      <c r="M104" s="1439">
        <f>M16+M25+M34+M52</f>
        <v>3363037.4017755953</v>
      </c>
      <c r="N104" s="1438"/>
      <c r="O104" s="1439">
        <f>O16+O25+O34+O52</f>
        <v>207916.46725853177</v>
      </c>
      <c r="P104" s="1438"/>
      <c r="Q104" s="1439">
        <f>M104+O104</f>
        <v>3570953.8690341269</v>
      </c>
    </row>
    <row r="105" spans="3:20">
      <c r="C105" s="1314">
        <f>C104+1</f>
        <v>47</v>
      </c>
      <c r="E105" s="1436" t="s">
        <v>1398</v>
      </c>
      <c r="K105" s="1440">
        <f>K17+K26+K35+K53</f>
        <v>0</v>
      </c>
      <c r="M105" s="1440">
        <f>M17+M26+M35+M53</f>
        <v>0</v>
      </c>
      <c r="O105" s="1440">
        <f>O17+O26+O35+O53</f>
        <v>0</v>
      </c>
      <c r="Q105" s="1440">
        <f>M105+O105</f>
        <v>0</v>
      </c>
    </row>
    <row r="106" spans="3:20">
      <c r="C106" s="1314">
        <f>C105+1</f>
        <v>48</v>
      </c>
      <c r="E106" s="1436" t="s">
        <v>1374</v>
      </c>
      <c r="K106" s="1440">
        <f>K18+K27+K36+K54</f>
        <v>-106081823.07577394</v>
      </c>
      <c r="M106" s="1440">
        <f>M18+M27+M36+M54</f>
        <v>-71423601.837621123</v>
      </c>
      <c r="O106" s="1440">
        <f>O18+O27+O36+O54</f>
        <v>11807012.38745963</v>
      </c>
      <c r="Q106" s="1440">
        <f>M106+O106</f>
        <v>-59616589.450161494</v>
      </c>
    </row>
    <row r="107" spans="3:20">
      <c r="C107" s="1314">
        <f>C106+1</f>
        <v>49</v>
      </c>
      <c r="E107" s="1436" t="s">
        <v>1375</v>
      </c>
      <c r="K107" s="1440">
        <f>K19+K28+K37+K55</f>
        <v>-5013301.6464545364</v>
      </c>
      <c r="M107" s="1440">
        <f>M19+M28+M37+M55</f>
        <v>-1253325.7651590982</v>
      </c>
      <c r="O107" s="1440">
        <f>O19+O28+O37+O55</f>
        <v>1253325.4116136341</v>
      </c>
      <c r="Q107" s="1440">
        <f>M107+O107</f>
        <v>-0.35354546410962939</v>
      </c>
    </row>
    <row r="108" spans="3:20" ht="5.15" customHeight="1">
      <c r="Q108" s="1456"/>
    </row>
    <row r="109" spans="3:20" ht="13">
      <c r="C109" s="1314">
        <f>C107+1</f>
        <v>50</v>
      </c>
      <c r="E109" s="1311" t="s">
        <v>1404</v>
      </c>
      <c r="K109" s="1461">
        <f>SUM(K104:K108)</f>
        <v>-108355836.50144687</v>
      </c>
      <c r="L109" s="1441"/>
      <c r="M109" s="1461">
        <f>SUM(M104:M108)</f>
        <v>-69313890.201004624</v>
      </c>
      <c r="N109" s="1441"/>
      <c r="O109" s="1461">
        <f>SUM(O104:O108)</f>
        <v>13268254.266331796</v>
      </c>
      <c r="P109" s="1441"/>
      <c r="Q109" s="1461">
        <f>SUM(Q104:Q108)</f>
        <v>-56045635.934672832</v>
      </c>
    </row>
    <row r="110" spans="3:20" ht="5.15" customHeight="1"/>
    <row r="111" spans="3:20">
      <c r="C111" s="1314">
        <f>C109+1</f>
        <v>51</v>
      </c>
      <c r="E111" s="1436" t="s">
        <v>1245</v>
      </c>
      <c r="G111" s="1008" t="s">
        <v>1634</v>
      </c>
      <c r="K111" s="1462">
        <f>'ATT H-1A'!$H$248</f>
        <v>1.3910140492418972</v>
      </c>
      <c r="M111" s="1462">
        <f>'ATT H-1A'!$H$248</f>
        <v>1.3910140492418972</v>
      </c>
      <c r="O111" s="1462">
        <f>'ATT H-1A'!$H$248</f>
        <v>1.3910140492418972</v>
      </c>
      <c r="Q111" s="1462">
        <f>'ATT H-1A'!$H$248</f>
        <v>1.3910140492418972</v>
      </c>
    </row>
    <row r="112" spans="3:20" ht="5.15" customHeight="1"/>
    <row r="113" spans="3:19" ht="13.5" thickBot="1">
      <c r="C113" s="1314">
        <f>C111+1</f>
        <v>52</v>
      </c>
      <c r="E113" s="1311" t="s">
        <v>1408</v>
      </c>
      <c r="K113" s="1463">
        <f>K109*K111</f>
        <v>-150724490.89087057</v>
      </c>
      <c r="L113" s="1441"/>
      <c r="M113" s="1463">
        <f>M109*M111</f>
        <v>-96416595.077207699</v>
      </c>
      <c r="N113" s="1441"/>
      <c r="O113" s="1463">
        <f>O109*O111</f>
        <v>18456328.093381271</v>
      </c>
      <c r="P113" s="1441"/>
      <c r="Q113" s="1463">
        <f>Q109*Q111</f>
        <v>-77960266.983826444</v>
      </c>
      <c r="S113" s="136"/>
    </row>
    <row r="114" spans="3:19" ht="13" thickTop="1"/>
    <row r="116" spans="3:19" ht="15.75" customHeight="1">
      <c r="C116" s="1758" t="s">
        <v>1409</v>
      </c>
      <c r="D116" s="1759"/>
      <c r="E116" s="1759"/>
      <c r="F116" s="1759"/>
      <c r="G116" s="1759"/>
      <c r="H116" s="1759"/>
      <c r="I116" s="1759"/>
      <c r="J116" s="1759"/>
      <c r="K116" s="1759"/>
      <c r="L116" s="1759"/>
      <c r="M116" s="1759"/>
      <c r="N116" s="1759"/>
      <c r="O116" s="1759"/>
      <c r="P116" s="1759"/>
      <c r="Q116" s="1760"/>
    </row>
    <row r="118" spans="3:19" ht="13">
      <c r="E118" s="1312" t="s">
        <v>174</v>
      </c>
      <c r="F118" s="1312"/>
      <c r="G118" s="1312" t="s">
        <v>175</v>
      </c>
      <c r="H118" s="1312"/>
      <c r="I118" s="1312" t="s">
        <v>1142</v>
      </c>
      <c r="J118" s="1312"/>
      <c r="K118" s="1312" t="s">
        <v>1295</v>
      </c>
      <c r="L118" s="1312"/>
      <c r="M118" s="1312" t="s">
        <v>1389</v>
      </c>
      <c r="N118" s="1312"/>
      <c r="O118" s="1312" t="s">
        <v>1297</v>
      </c>
      <c r="P118" s="1312"/>
      <c r="Q118" s="1312" t="s">
        <v>1298</v>
      </c>
    </row>
    <row r="119" spans="3:19" ht="12.75" customHeight="1">
      <c r="C119" s="1761" t="s">
        <v>1305</v>
      </c>
      <c r="E119" s="1762" t="s">
        <v>1410</v>
      </c>
      <c r="G119" s="1764" t="s">
        <v>278</v>
      </c>
      <c r="H119" s="1764"/>
      <c r="I119" s="1764"/>
      <c r="K119" s="1445"/>
      <c r="M119" s="1446" t="s">
        <v>1792</v>
      </c>
      <c r="O119" s="1756" t="s">
        <v>1392</v>
      </c>
      <c r="Q119" s="1446" t="s">
        <v>1800</v>
      </c>
    </row>
    <row r="120" spans="3:19" ht="25">
      <c r="C120" s="1737"/>
      <c r="E120" s="1763"/>
      <c r="G120" s="1765"/>
      <c r="H120" s="1765"/>
      <c r="I120" s="1765"/>
      <c r="J120" s="1447"/>
      <c r="K120" s="1448" t="s">
        <v>1393</v>
      </c>
      <c r="M120" s="1707" t="s">
        <v>1394</v>
      </c>
      <c r="O120" s="1757"/>
      <c r="Q120" s="1707" t="s">
        <v>1395</v>
      </c>
    </row>
    <row r="121" spans="3:19" ht="5.15" customHeight="1"/>
    <row r="122" spans="3:19">
      <c r="C122" s="1314">
        <f>C113+1</f>
        <v>53</v>
      </c>
      <c r="E122" s="1436" t="s">
        <v>1411</v>
      </c>
      <c r="K122" s="1439">
        <v>0</v>
      </c>
      <c r="L122" s="1438"/>
      <c r="M122" s="1439">
        <v>0</v>
      </c>
      <c r="N122" s="1438"/>
      <c r="O122" s="1439">
        <v>0</v>
      </c>
      <c r="P122" s="1438"/>
      <c r="Q122" s="1439">
        <v>0</v>
      </c>
    </row>
    <row r="123" spans="3:19">
      <c r="C123" s="1314">
        <f>C122+1</f>
        <v>54</v>
      </c>
      <c r="E123" s="1436" t="s">
        <v>1412</v>
      </c>
      <c r="K123" s="1440">
        <f>K113</f>
        <v>-150724490.89087057</v>
      </c>
      <c r="M123" s="1440">
        <f>M113</f>
        <v>-96416595.077207699</v>
      </c>
      <c r="O123" s="1440">
        <f>O113</f>
        <v>18456328.093381271</v>
      </c>
      <c r="Q123" s="1440">
        <f>Q113</f>
        <v>-77960266.983826444</v>
      </c>
    </row>
    <row r="124" spans="3:19" ht="5.15" customHeight="1">
      <c r="K124" s="1456"/>
      <c r="M124" s="1456"/>
      <c r="O124" s="1456"/>
      <c r="Q124" s="1456"/>
    </row>
    <row r="125" spans="3:19" ht="13">
      <c r="C125" s="1314">
        <f>C123+1</f>
        <v>55</v>
      </c>
      <c r="E125" s="1311" t="s">
        <v>1413</v>
      </c>
      <c r="K125" s="1441">
        <f>SUM(K122:K124)</f>
        <v>-150724490.89087057</v>
      </c>
      <c r="L125" s="1441"/>
      <c r="M125" s="1441">
        <f>SUM(M122:M124)</f>
        <v>-96416595.077207699</v>
      </c>
      <c r="N125" s="1438"/>
      <c r="O125" s="1441">
        <f>SUM(O122:O124)</f>
        <v>18456328.093381271</v>
      </c>
      <c r="P125" s="1438"/>
      <c r="Q125" s="1441">
        <f>SUM(Q122:Q124)</f>
        <v>-77960266.983826444</v>
      </c>
    </row>
    <row r="129" spans="1:17" ht="15.75" customHeight="1">
      <c r="C129" s="1747" t="s">
        <v>1376</v>
      </c>
      <c r="D129" s="1747"/>
      <c r="E129" s="1747"/>
      <c r="F129" s="1747"/>
      <c r="G129" s="1747"/>
      <c r="H129" s="1747"/>
      <c r="I129" s="1747"/>
      <c r="J129" s="1747"/>
      <c r="K129" s="1747"/>
      <c r="L129" s="1747"/>
      <c r="M129" s="1747"/>
      <c r="N129" s="1747"/>
      <c r="O129" s="1747"/>
      <c r="P129" s="1747"/>
      <c r="Q129" s="1747"/>
    </row>
    <row r="131" spans="1:17" ht="15.75" customHeight="1">
      <c r="C131" s="1758" t="s">
        <v>1635</v>
      </c>
      <c r="D131" s="1759"/>
      <c r="E131" s="1759"/>
      <c r="F131" s="1759"/>
      <c r="G131" s="1759"/>
      <c r="H131" s="1759"/>
      <c r="I131" s="1759"/>
      <c r="J131" s="1759"/>
      <c r="K131" s="1759"/>
      <c r="L131" s="1759"/>
      <c r="M131" s="1759"/>
      <c r="N131" s="1759"/>
      <c r="O131" s="1759"/>
      <c r="P131" s="1759"/>
      <c r="Q131" s="1760"/>
    </row>
    <row r="133" spans="1:17" ht="13">
      <c r="E133" s="1312" t="s">
        <v>174</v>
      </c>
      <c r="F133" s="1312"/>
      <c r="G133" s="1312" t="s">
        <v>175</v>
      </c>
      <c r="H133" s="1312"/>
      <c r="I133" s="1312" t="s">
        <v>1142</v>
      </c>
      <c r="J133" s="1312"/>
      <c r="K133" s="1312" t="s">
        <v>1295</v>
      </c>
      <c r="L133" s="1312"/>
      <c r="M133" s="1312" t="s">
        <v>1389</v>
      </c>
      <c r="N133" s="1312"/>
      <c r="O133" s="1312" t="s">
        <v>1297</v>
      </c>
      <c r="P133" s="1312"/>
      <c r="Q133" s="1312" t="s">
        <v>1298</v>
      </c>
    </row>
    <row r="134" spans="1:17" ht="15" customHeight="1">
      <c r="C134" s="1750" t="s">
        <v>1305</v>
      </c>
      <c r="D134" s="1635"/>
      <c r="E134" s="1752" t="s">
        <v>1370</v>
      </c>
      <c r="G134" s="1754" t="s">
        <v>278</v>
      </c>
      <c r="I134" s="1754" t="s">
        <v>1390</v>
      </c>
      <c r="K134" s="1445"/>
      <c r="M134" s="1446" t="s">
        <v>1792</v>
      </c>
      <c r="O134" s="1756" t="s">
        <v>1392</v>
      </c>
      <c r="Q134" s="1446" t="s">
        <v>1800</v>
      </c>
    </row>
    <row r="135" spans="1:17" ht="25">
      <c r="C135" s="1751"/>
      <c r="D135" s="1635"/>
      <c r="E135" s="1753"/>
      <c r="F135" s="1447"/>
      <c r="G135" s="1755"/>
      <c r="H135" s="1447"/>
      <c r="I135" s="1755"/>
      <c r="J135" s="1447"/>
      <c r="K135" s="1448" t="s">
        <v>1393</v>
      </c>
      <c r="M135" s="1707" t="s">
        <v>1394</v>
      </c>
      <c r="O135" s="1757"/>
      <c r="Q135" s="1707" t="s">
        <v>1395</v>
      </c>
    </row>
    <row r="136" spans="1:17" ht="5.15" customHeight="1"/>
    <row r="137" spans="1:17" ht="13">
      <c r="A137" s="1449"/>
      <c r="B137" s="1449"/>
      <c r="C137" s="1314">
        <f>C125+1</f>
        <v>56</v>
      </c>
      <c r="D137" s="1449"/>
      <c r="E137" s="1450" t="s">
        <v>1396</v>
      </c>
      <c r="F137" s="1449"/>
      <c r="G137" s="1451"/>
      <c r="H137" s="1449"/>
      <c r="I137" s="1451"/>
      <c r="J137" s="1449"/>
      <c r="K137" s="1452"/>
      <c r="M137" s="1441"/>
      <c r="O137" s="1453"/>
      <c r="Q137" s="1449"/>
    </row>
    <row r="138" spans="1:17" ht="5.15" customHeight="1">
      <c r="C138" s="1314"/>
    </row>
    <row r="139" spans="1:17">
      <c r="C139" s="1314">
        <f>C137+1</f>
        <v>57</v>
      </c>
      <c r="E139" s="1436" t="s">
        <v>1373</v>
      </c>
      <c r="G139" s="1454"/>
      <c r="I139" s="1451" t="s">
        <v>1397</v>
      </c>
      <c r="K139" s="1439">
        <v>0</v>
      </c>
      <c r="L139" s="1438"/>
      <c r="M139" s="1439">
        <v>0</v>
      </c>
      <c r="N139" s="1438"/>
      <c r="O139" s="1439">
        <f>-K139/4</f>
        <v>0</v>
      </c>
      <c r="P139" s="1438"/>
      <c r="Q139" s="1439">
        <f>M139+O139</f>
        <v>0</v>
      </c>
    </row>
    <row r="140" spans="1:17">
      <c r="C140" s="1314">
        <f>C139+1</f>
        <v>58</v>
      </c>
      <c r="E140" s="1436" t="s">
        <v>1398</v>
      </c>
      <c r="G140" s="1454"/>
      <c r="I140" s="1451" t="s">
        <v>1397</v>
      </c>
      <c r="K140" s="1455">
        <v>0</v>
      </c>
      <c r="L140" s="1645"/>
      <c r="M140" s="1455">
        <v>0</v>
      </c>
      <c r="N140" s="1645"/>
      <c r="O140" s="1455">
        <f>-K140/4</f>
        <v>0</v>
      </c>
      <c r="P140" s="1645"/>
      <c r="Q140" s="1455">
        <f>M140+O140</f>
        <v>0</v>
      </c>
    </row>
    <row r="141" spans="1:17">
      <c r="C141" s="1314">
        <f>C140+1</f>
        <v>59</v>
      </c>
      <c r="E141" s="1436" t="s">
        <v>1374</v>
      </c>
      <c r="G141" s="1454"/>
      <c r="I141" s="1451" t="s">
        <v>1397</v>
      </c>
      <c r="K141" s="1455">
        <v>0</v>
      </c>
      <c r="L141" s="1645"/>
      <c r="M141" s="1455">
        <v>0</v>
      </c>
      <c r="N141" s="1645"/>
      <c r="O141" s="1455">
        <f>-K141/4</f>
        <v>0</v>
      </c>
      <c r="P141" s="1645"/>
      <c r="Q141" s="1455">
        <f>M141+O141</f>
        <v>0</v>
      </c>
    </row>
    <row r="142" spans="1:17">
      <c r="C142" s="1314">
        <f>C141+1</f>
        <v>60</v>
      </c>
      <c r="E142" s="1436" t="s">
        <v>1375</v>
      </c>
      <c r="G142" s="1454"/>
      <c r="I142" s="1451" t="s">
        <v>1397</v>
      </c>
      <c r="K142" s="1455">
        <v>0</v>
      </c>
      <c r="L142" s="1645"/>
      <c r="M142" s="1455">
        <v>0</v>
      </c>
      <c r="N142" s="1645"/>
      <c r="O142" s="1455">
        <f>-K142/4</f>
        <v>0</v>
      </c>
      <c r="P142" s="1645"/>
      <c r="Q142" s="1455">
        <f>M142+O142</f>
        <v>0</v>
      </c>
    </row>
    <row r="143" spans="1:17" ht="5.15" customHeight="1">
      <c r="K143" s="1456"/>
      <c r="M143" s="1456"/>
      <c r="O143" s="1456"/>
      <c r="Q143" s="1456"/>
    </row>
    <row r="144" spans="1:17" ht="13">
      <c r="C144" s="1314">
        <f>C142+1</f>
        <v>61</v>
      </c>
      <c r="E144" s="1311" t="s">
        <v>1399</v>
      </c>
      <c r="K144" s="1441">
        <f>SUM(K138:K143)</f>
        <v>0</v>
      </c>
      <c r="L144" s="1441"/>
      <c r="M144" s="1441">
        <f>SUM(M138:M143)</f>
        <v>0</v>
      </c>
      <c r="N144" s="1438"/>
      <c r="O144" s="1441">
        <f>SUM(O138:O143)</f>
        <v>0</v>
      </c>
      <c r="P144" s="1441"/>
      <c r="Q144" s="1441">
        <f>SUM(Q138:Q143)</f>
        <v>0</v>
      </c>
    </row>
    <row r="146" spans="1:17" ht="13">
      <c r="A146" s="1449"/>
      <c r="B146" s="1449"/>
      <c r="C146" s="1314">
        <f>C144+1</f>
        <v>62</v>
      </c>
      <c r="D146" s="1449"/>
      <c r="E146" s="1450" t="s">
        <v>1400</v>
      </c>
      <c r="F146" s="1449"/>
      <c r="G146" s="1451"/>
      <c r="H146" s="1449"/>
      <c r="I146" s="1451"/>
      <c r="J146" s="1449"/>
      <c r="K146" s="1452"/>
      <c r="M146" s="1441"/>
      <c r="O146" s="1453"/>
      <c r="Q146" s="1449"/>
    </row>
    <row r="147" spans="1:17" ht="5.15" customHeight="1"/>
    <row r="148" spans="1:17">
      <c r="C148" s="1314">
        <f>C146+1</f>
        <v>63</v>
      </c>
      <c r="E148" s="1436" t="s">
        <v>1373</v>
      </c>
      <c r="G148" s="1454"/>
      <c r="I148" s="1451" t="s">
        <v>1401</v>
      </c>
      <c r="K148" s="1439">
        <v>0</v>
      </c>
      <c r="L148" s="1438"/>
      <c r="M148" s="1439">
        <v>0</v>
      </c>
      <c r="N148" s="1438"/>
      <c r="O148" s="1439">
        <v>0</v>
      </c>
      <c r="P148" s="1438"/>
      <c r="Q148" s="1439">
        <f>M148+O148</f>
        <v>0</v>
      </c>
    </row>
    <row r="149" spans="1:17">
      <c r="C149" s="1314">
        <f>C148+1</f>
        <v>64</v>
      </c>
      <c r="E149" s="1436" t="s">
        <v>1398</v>
      </c>
      <c r="G149" s="1454"/>
      <c r="I149" s="1451" t="s">
        <v>1401</v>
      </c>
      <c r="K149" s="1455">
        <v>0</v>
      </c>
      <c r="L149" s="1645"/>
      <c r="M149" s="1455">
        <v>0</v>
      </c>
      <c r="N149" s="1645"/>
      <c r="O149" s="1455">
        <v>0</v>
      </c>
      <c r="P149" s="1645"/>
      <c r="Q149" s="1455">
        <f>M149+O149</f>
        <v>0</v>
      </c>
    </row>
    <row r="150" spans="1:17">
      <c r="C150" s="1314">
        <f>C149+1</f>
        <v>65</v>
      </c>
      <c r="E150" s="1436" t="s">
        <v>1374</v>
      </c>
      <c r="G150" s="1454"/>
      <c r="I150" s="1451" t="s">
        <v>1401</v>
      </c>
      <c r="K150" s="1455">
        <v>0</v>
      </c>
      <c r="L150" s="1645"/>
      <c r="M150" s="1455">
        <v>0</v>
      </c>
      <c r="N150" s="1645"/>
      <c r="O150" s="1455">
        <f>-K150/5</f>
        <v>0</v>
      </c>
      <c r="P150" s="1645"/>
      <c r="Q150" s="1455">
        <f>M150+O150</f>
        <v>0</v>
      </c>
    </row>
    <row r="151" spans="1:17">
      <c r="C151" s="1314">
        <f>C150+1</f>
        <v>66</v>
      </c>
      <c r="E151" s="1436" t="s">
        <v>1375</v>
      </c>
      <c r="G151" s="1454"/>
      <c r="I151" s="1451" t="s">
        <v>1401</v>
      </c>
      <c r="K151" s="1455">
        <v>0</v>
      </c>
      <c r="L151" s="1645"/>
      <c r="M151" s="1455">
        <v>0</v>
      </c>
      <c r="N151" s="1645"/>
      <c r="O151" s="1455">
        <v>0</v>
      </c>
      <c r="P151" s="1645"/>
      <c r="Q151" s="1455">
        <f>M151+O151</f>
        <v>0</v>
      </c>
    </row>
    <row r="152" spans="1:17" ht="5.15" customHeight="1">
      <c r="K152" s="1456"/>
      <c r="M152" s="1456"/>
      <c r="O152" s="1456"/>
      <c r="Q152" s="1456"/>
    </row>
    <row r="153" spans="1:17" ht="13">
      <c r="C153" s="1314">
        <f>C151+1</f>
        <v>67</v>
      </c>
      <c r="E153" s="1311" t="s">
        <v>1399</v>
      </c>
      <c r="K153" s="1441">
        <f>SUM(K147:K152)</f>
        <v>0</v>
      </c>
      <c r="L153" s="1438"/>
      <c r="M153" s="1441">
        <f>SUM(M147:M152)</f>
        <v>0</v>
      </c>
      <c r="N153" s="1441"/>
      <c r="O153" s="1441">
        <f>SUM(O147:O152)</f>
        <v>0</v>
      </c>
      <c r="P153" s="1441"/>
      <c r="Q153" s="1441">
        <f>SUM(Q147:Q152)</f>
        <v>0</v>
      </c>
    </row>
    <row r="155" spans="1:17" ht="13">
      <c r="A155" s="1449"/>
      <c r="B155" s="1449"/>
      <c r="C155" s="1314">
        <f>C153+1</f>
        <v>68</v>
      </c>
      <c r="D155" s="1449"/>
      <c r="E155" s="1450" t="s">
        <v>1402</v>
      </c>
      <c r="F155" s="1449"/>
      <c r="G155" s="1451"/>
      <c r="H155" s="1449"/>
      <c r="I155" s="1451"/>
      <c r="J155" s="1449"/>
      <c r="K155" s="1452"/>
      <c r="M155" s="1441"/>
      <c r="O155" s="1453"/>
      <c r="Q155" s="1449"/>
    </row>
    <row r="156" spans="1:17" ht="5.15" customHeight="1"/>
    <row r="157" spans="1:17">
      <c r="C157" s="1314">
        <f>C155+1</f>
        <v>69</v>
      </c>
      <c r="E157" s="1436" t="s">
        <v>1373</v>
      </c>
      <c r="G157" s="1454"/>
      <c r="I157" s="1451" t="s">
        <v>1414</v>
      </c>
      <c r="K157" s="1439">
        <v>0</v>
      </c>
      <c r="L157" s="1438"/>
      <c r="M157" s="1439">
        <v>0</v>
      </c>
      <c r="N157" s="1438"/>
      <c r="O157" s="1439">
        <v>0</v>
      </c>
      <c r="P157" s="1438"/>
      <c r="Q157" s="1439">
        <f>M157+O157</f>
        <v>0</v>
      </c>
    </row>
    <row r="158" spans="1:17">
      <c r="C158" s="1314">
        <f>C157+1</f>
        <v>70</v>
      </c>
      <c r="E158" s="1436" t="s">
        <v>1398</v>
      </c>
      <c r="G158" s="1454"/>
      <c r="I158" s="1451" t="s">
        <v>1414</v>
      </c>
      <c r="K158" s="1455">
        <v>0</v>
      </c>
      <c r="L158" s="1645"/>
      <c r="M158" s="1455">
        <v>0</v>
      </c>
      <c r="N158" s="1645"/>
      <c r="O158" s="1455">
        <v>0</v>
      </c>
      <c r="P158" s="1645"/>
      <c r="Q158" s="1455">
        <f>M158+O158</f>
        <v>0</v>
      </c>
    </row>
    <row r="159" spans="1:17">
      <c r="C159" s="1314">
        <f>C158+1</f>
        <v>71</v>
      </c>
      <c r="E159" s="1436" t="s">
        <v>1374</v>
      </c>
      <c r="G159" s="1454"/>
      <c r="I159" s="1451" t="s">
        <v>1414</v>
      </c>
      <c r="K159" s="1455">
        <v>0</v>
      </c>
      <c r="L159" s="1645"/>
      <c r="M159" s="1455">
        <v>0</v>
      </c>
      <c r="N159" s="1645"/>
      <c r="O159" s="1455">
        <v>0</v>
      </c>
      <c r="P159" s="1645"/>
      <c r="Q159" s="1455">
        <f>M159+O159</f>
        <v>0</v>
      </c>
    </row>
    <row r="160" spans="1:17">
      <c r="C160" s="1314">
        <f>C159+1</f>
        <v>72</v>
      </c>
      <c r="E160" s="1436" t="s">
        <v>1375</v>
      </c>
      <c r="G160" s="1454"/>
      <c r="I160" s="1451" t="s">
        <v>1414</v>
      </c>
      <c r="K160" s="1455">
        <v>0</v>
      </c>
      <c r="L160" s="1645"/>
      <c r="M160" s="1455">
        <v>0</v>
      </c>
      <c r="N160" s="1645"/>
      <c r="O160" s="1455">
        <v>0</v>
      </c>
      <c r="P160" s="1645"/>
      <c r="Q160" s="1455">
        <f>M160+O160</f>
        <v>0</v>
      </c>
    </row>
    <row r="161" spans="1:20" ht="5.15" customHeight="1">
      <c r="K161" s="1456"/>
      <c r="M161" s="1456"/>
      <c r="O161" s="1456"/>
      <c r="Q161" s="1456"/>
    </row>
    <row r="162" spans="1:20" ht="13">
      <c r="C162" s="1314">
        <f>C160+1</f>
        <v>73</v>
      </c>
      <c r="E162" s="1311" t="s">
        <v>1399</v>
      </c>
      <c r="K162" s="1441">
        <f>SUM(K156:K161)</f>
        <v>0</v>
      </c>
      <c r="L162" s="1438"/>
      <c r="M162" s="1441">
        <f>SUM(M156:M161)</f>
        <v>0</v>
      </c>
      <c r="N162" s="1438"/>
      <c r="O162" s="1441">
        <f>SUM(O156:O161)</f>
        <v>0</v>
      </c>
      <c r="P162" s="1441"/>
      <c r="Q162" s="1441">
        <f>SUM(Q156:Q161)</f>
        <v>0</v>
      </c>
    </row>
    <row r="164" spans="1:20" ht="13.5" thickBot="1">
      <c r="C164" s="1314">
        <f>C162+1</f>
        <v>74</v>
      </c>
      <c r="E164" s="1311" t="s">
        <v>1404</v>
      </c>
      <c r="K164" s="1457">
        <f>K144+K153+K162</f>
        <v>0</v>
      </c>
      <c r="L164" s="1441"/>
      <c r="M164" s="1457">
        <f>M144+M153+M162</f>
        <v>0</v>
      </c>
      <c r="N164" s="1441"/>
      <c r="O164" s="1457">
        <f>O144+O153+O162</f>
        <v>0</v>
      </c>
      <c r="P164" s="1441"/>
      <c r="Q164" s="1457">
        <f>Q144+Q153+Q162</f>
        <v>0</v>
      </c>
    </row>
    <row r="166" spans="1:20" ht="13">
      <c r="C166" s="1314"/>
      <c r="E166" s="1311"/>
      <c r="L166" s="1441"/>
      <c r="N166" s="1441"/>
      <c r="P166" s="1441"/>
      <c r="T166" s="1458"/>
    </row>
    <row r="167" spans="1:20" ht="15.75" customHeight="1">
      <c r="C167" s="1758" t="s">
        <v>1415</v>
      </c>
      <c r="D167" s="1759"/>
      <c r="E167" s="1759"/>
      <c r="F167" s="1759"/>
      <c r="G167" s="1759"/>
      <c r="H167" s="1759"/>
      <c r="I167" s="1759"/>
      <c r="J167" s="1759"/>
      <c r="K167" s="1759"/>
      <c r="L167" s="1759"/>
      <c r="M167" s="1759"/>
      <c r="N167" s="1759"/>
      <c r="O167" s="1759"/>
      <c r="P167" s="1759"/>
      <c r="Q167" s="1760"/>
    </row>
    <row r="169" spans="1:20" ht="13">
      <c r="E169" s="1312" t="s">
        <v>174</v>
      </c>
      <c r="F169" s="1312"/>
      <c r="G169" s="1312" t="s">
        <v>175</v>
      </c>
      <c r="H169" s="1312"/>
      <c r="I169" s="1312" t="s">
        <v>1142</v>
      </c>
      <c r="J169" s="1312"/>
      <c r="K169" s="1312" t="s">
        <v>1295</v>
      </c>
      <c r="L169" s="1312"/>
      <c r="M169" s="1312" t="s">
        <v>1389</v>
      </c>
      <c r="N169" s="1312"/>
      <c r="O169" s="1312" t="s">
        <v>1297</v>
      </c>
      <c r="P169" s="1312"/>
      <c r="Q169" s="1312" t="s">
        <v>1298</v>
      </c>
    </row>
    <row r="170" spans="1:20" ht="15" customHeight="1">
      <c r="C170" s="1750" t="s">
        <v>1305</v>
      </c>
      <c r="D170" s="1635"/>
      <c r="E170" s="1752" t="s">
        <v>1370</v>
      </c>
      <c r="G170" s="1754" t="s">
        <v>278</v>
      </c>
      <c r="I170" s="1754" t="s">
        <v>1390</v>
      </c>
      <c r="K170" s="1445"/>
      <c r="M170" s="1446" t="s">
        <v>1792</v>
      </c>
      <c r="O170" s="1756" t="s">
        <v>1392</v>
      </c>
      <c r="Q170" s="1446" t="s">
        <v>1800</v>
      </c>
    </row>
    <row r="171" spans="1:20" ht="25">
      <c r="C171" s="1751"/>
      <c r="D171" s="1635"/>
      <c r="E171" s="1753"/>
      <c r="F171" s="1447"/>
      <c r="G171" s="1755"/>
      <c r="H171" s="1447"/>
      <c r="I171" s="1755"/>
      <c r="J171" s="1447"/>
      <c r="K171" s="1448" t="s">
        <v>1393</v>
      </c>
      <c r="M171" s="1707" t="s">
        <v>1394</v>
      </c>
      <c r="O171" s="1757"/>
      <c r="Q171" s="1707" t="s">
        <v>1395</v>
      </c>
    </row>
    <row r="172" spans="1:20" ht="5.15" customHeight="1"/>
    <row r="173" spans="1:20" ht="13">
      <c r="A173" s="1449"/>
      <c r="B173" s="1449"/>
      <c r="C173" s="1314">
        <f>C164+1</f>
        <v>75</v>
      </c>
      <c r="D173" s="1449"/>
      <c r="E173" s="1450" t="s">
        <v>1396</v>
      </c>
      <c r="F173" s="1449"/>
      <c r="G173" s="1451"/>
      <c r="H173" s="1449"/>
      <c r="I173" s="1451"/>
      <c r="J173" s="1449"/>
      <c r="K173" s="1452"/>
      <c r="M173" s="1441"/>
      <c r="O173" s="1453"/>
      <c r="Q173" s="1449"/>
    </row>
    <row r="174" spans="1:20" ht="5.15" customHeight="1"/>
    <row r="175" spans="1:20">
      <c r="C175" s="1314">
        <f>C173+1</f>
        <v>76</v>
      </c>
      <c r="E175" s="1436" t="s">
        <v>1373</v>
      </c>
      <c r="G175" s="1454"/>
      <c r="I175" s="1451"/>
      <c r="K175" s="1439">
        <f>K139</f>
        <v>0</v>
      </c>
      <c r="L175" s="1438"/>
      <c r="M175" s="1439">
        <f>M139</f>
        <v>0</v>
      </c>
      <c r="N175" s="1438"/>
      <c r="O175" s="1439">
        <f>O139</f>
        <v>0</v>
      </c>
      <c r="P175" s="1438"/>
      <c r="Q175" s="1439">
        <f>M175+O175</f>
        <v>0</v>
      </c>
      <c r="T175" s="1345"/>
    </row>
    <row r="176" spans="1:20">
      <c r="C176" s="1314">
        <f>C175+1</f>
        <v>77</v>
      </c>
      <c r="E176" s="1436" t="s">
        <v>1398</v>
      </c>
      <c r="G176" s="1454"/>
      <c r="I176" s="1451"/>
      <c r="K176" s="1455">
        <f t="shared" ref="K176:M178" si="0">K140</f>
        <v>0</v>
      </c>
      <c r="M176" s="1455">
        <f t="shared" si="0"/>
        <v>0</v>
      </c>
      <c r="O176" s="1455">
        <f t="shared" ref="O176:O178" si="1">O140</f>
        <v>0</v>
      </c>
      <c r="Q176" s="1440">
        <f>M176+O176</f>
        <v>0</v>
      </c>
    </row>
    <row r="177" spans="1:20">
      <c r="C177" s="1314">
        <f>C176+1</f>
        <v>78</v>
      </c>
      <c r="E177" s="1436" t="s">
        <v>1374</v>
      </c>
      <c r="G177" s="1454"/>
      <c r="I177" s="1451"/>
      <c r="K177" s="1455">
        <f t="shared" si="0"/>
        <v>0</v>
      </c>
      <c r="M177" s="1455">
        <f t="shared" si="0"/>
        <v>0</v>
      </c>
      <c r="O177" s="1455">
        <f t="shared" si="1"/>
        <v>0</v>
      </c>
      <c r="Q177" s="1440">
        <f>M177+O177</f>
        <v>0</v>
      </c>
    </row>
    <row r="178" spans="1:20">
      <c r="C178" s="1314">
        <f>C177+1</f>
        <v>79</v>
      </c>
      <c r="E178" s="1436" t="s">
        <v>1375</v>
      </c>
      <c r="G178" s="1454"/>
      <c r="I178" s="1451"/>
      <c r="K178" s="1455">
        <f t="shared" si="0"/>
        <v>0</v>
      </c>
      <c r="M178" s="1455">
        <f t="shared" si="0"/>
        <v>0</v>
      </c>
      <c r="O178" s="1455">
        <f t="shared" si="1"/>
        <v>0</v>
      </c>
      <c r="Q178" s="1440">
        <f>M178+O178</f>
        <v>0</v>
      </c>
      <c r="T178" s="1345"/>
    </row>
    <row r="179" spans="1:20" ht="5.15" customHeight="1">
      <c r="K179" s="1456"/>
      <c r="M179" s="1456"/>
      <c r="O179" s="1456"/>
      <c r="Q179" s="1456"/>
    </row>
    <row r="180" spans="1:20" ht="13">
      <c r="C180" s="1314">
        <f>C178+1</f>
        <v>80</v>
      </c>
      <c r="E180" s="1311" t="s">
        <v>1399</v>
      </c>
      <c r="K180" s="1441">
        <f>SUM(K174:K179)</f>
        <v>0</v>
      </c>
      <c r="L180" s="1441"/>
      <c r="M180" s="1441">
        <f>SUM(M174:M179)</f>
        <v>0</v>
      </c>
      <c r="N180" s="1438"/>
      <c r="O180" s="1441">
        <f>SUM(O174:O179)</f>
        <v>0</v>
      </c>
      <c r="P180" s="1441"/>
      <c r="Q180" s="1441">
        <f>SUM(Q174:Q179)</f>
        <v>0</v>
      </c>
    </row>
    <row r="181" spans="1:20">
      <c r="C181" s="1314"/>
    </row>
    <row r="182" spans="1:20" ht="13">
      <c r="A182" s="1449"/>
      <c r="B182" s="1449"/>
      <c r="C182" s="1314">
        <f>C180+1</f>
        <v>81</v>
      </c>
      <c r="D182" s="1449"/>
      <c r="E182" s="1450" t="s">
        <v>1400</v>
      </c>
      <c r="F182" s="1449"/>
      <c r="G182" s="1451"/>
      <c r="H182" s="1449"/>
      <c r="I182" s="1451"/>
      <c r="J182" s="1449"/>
      <c r="K182" s="1452"/>
      <c r="M182" s="1441"/>
      <c r="O182" s="1453"/>
      <c r="Q182" s="1449"/>
    </row>
    <row r="183" spans="1:20" ht="5.15" customHeight="1"/>
    <row r="184" spans="1:20">
      <c r="C184" s="1314">
        <f>C182+1</f>
        <v>82</v>
      </c>
      <c r="E184" s="1436" t="s">
        <v>1373</v>
      </c>
      <c r="G184" s="1454"/>
      <c r="I184" s="1451"/>
      <c r="K184" s="1439">
        <f>K148</f>
        <v>0</v>
      </c>
      <c r="L184" s="1438"/>
      <c r="M184" s="1439">
        <f>M148</f>
        <v>0</v>
      </c>
      <c r="N184" s="1438"/>
      <c r="O184" s="1439">
        <f>O148</f>
        <v>0</v>
      </c>
      <c r="P184" s="1438"/>
      <c r="Q184" s="1439">
        <f>M184+O184</f>
        <v>0</v>
      </c>
    </row>
    <row r="185" spans="1:20">
      <c r="C185" s="1314">
        <f>C184+1</f>
        <v>83</v>
      </c>
      <c r="E185" s="1436" t="s">
        <v>1398</v>
      </c>
      <c r="G185" s="1454"/>
      <c r="I185" s="1451"/>
      <c r="K185" s="1455">
        <f>K149</f>
        <v>0</v>
      </c>
      <c r="M185" s="1455">
        <f t="shared" ref="M185:M187" si="2">M149</f>
        <v>0</v>
      </c>
      <c r="O185" s="1455">
        <f t="shared" ref="O185:O187" si="3">O149</f>
        <v>0</v>
      </c>
      <c r="Q185" s="1440">
        <f>M185+O185</f>
        <v>0</v>
      </c>
    </row>
    <row r="186" spans="1:20">
      <c r="C186" s="1314">
        <f>C185+1</f>
        <v>84</v>
      </c>
      <c r="E186" s="1436" t="s">
        <v>1374</v>
      </c>
      <c r="G186" s="1454"/>
      <c r="I186" s="1451"/>
      <c r="K186" s="1455">
        <f t="shared" ref="K186:K187" si="4">K150</f>
        <v>0</v>
      </c>
      <c r="M186" s="1455">
        <f t="shared" si="2"/>
        <v>0</v>
      </c>
      <c r="O186" s="1455">
        <f t="shared" si="3"/>
        <v>0</v>
      </c>
      <c r="Q186" s="1440">
        <f>M186+O186</f>
        <v>0</v>
      </c>
      <c r="T186" s="1345"/>
    </row>
    <row r="187" spans="1:20">
      <c r="C187" s="1314">
        <f>C186+1</f>
        <v>85</v>
      </c>
      <c r="E187" s="1436" t="s">
        <v>1375</v>
      </c>
      <c r="G187" s="1454"/>
      <c r="I187" s="1451"/>
      <c r="K187" s="1455">
        <f t="shared" si="4"/>
        <v>0</v>
      </c>
      <c r="M187" s="1455">
        <f t="shared" si="2"/>
        <v>0</v>
      </c>
      <c r="O187" s="1455">
        <f t="shared" si="3"/>
        <v>0</v>
      </c>
      <c r="Q187" s="1440">
        <f>M187+O187</f>
        <v>0</v>
      </c>
    </row>
    <row r="188" spans="1:20" ht="5.15" customHeight="1">
      <c r="K188" s="1456"/>
      <c r="M188" s="1456"/>
      <c r="O188" s="1456"/>
      <c r="Q188" s="1456"/>
    </row>
    <row r="189" spans="1:20" ht="13">
      <c r="C189" s="1314">
        <f>C187+1</f>
        <v>86</v>
      </c>
      <c r="E189" s="1311" t="s">
        <v>1399</v>
      </c>
      <c r="K189" s="1441">
        <f>SUM(K183:K188)</f>
        <v>0</v>
      </c>
      <c r="L189" s="1438"/>
      <c r="M189" s="1441">
        <f>SUM(M183:M188)</f>
        <v>0</v>
      </c>
      <c r="N189" s="1441"/>
      <c r="O189" s="1441">
        <f>SUM(O183:O188)</f>
        <v>0</v>
      </c>
      <c r="P189" s="1441"/>
      <c r="Q189" s="1441">
        <f>SUM(Q183:Q188)</f>
        <v>0</v>
      </c>
    </row>
    <row r="191" spans="1:20" ht="13">
      <c r="A191" s="1449"/>
      <c r="B191" s="1449"/>
      <c r="C191" s="1314">
        <f>C189+1</f>
        <v>87</v>
      </c>
      <c r="D191" s="1449"/>
      <c r="E191" s="1450" t="s">
        <v>1402</v>
      </c>
      <c r="F191" s="1449"/>
      <c r="G191" s="1451"/>
      <c r="H191" s="1449"/>
      <c r="I191" s="1451"/>
      <c r="J191" s="1449"/>
      <c r="K191" s="1452"/>
      <c r="M191" s="1441"/>
      <c r="O191" s="1453"/>
      <c r="Q191" s="1449"/>
    </row>
    <row r="192" spans="1:20" ht="5.15" customHeight="1"/>
    <row r="193" spans="3:20">
      <c r="C193" s="1314">
        <f>C191+1</f>
        <v>88</v>
      </c>
      <c r="E193" s="1436" t="s">
        <v>1373</v>
      </c>
      <c r="G193" s="1454"/>
      <c r="I193" s="1451"/>
      <c r="K193" s="1439">
        <f>K157</f>
        <v>0</v>
      </c>
      <c r="L193" s="1438"/>
      <c r="M193" s="1439">
        <f>M157</f>
        <v>0</v>
      </c>
      <c r="N193" s="1438"/>
      <c r="O193" s="1439">
        <f>O157</f>
        <v>0</v>
      </c>
      <c r="P193" s="1438"/>
      <c r="Q193" s="1439">
        <f>M193+O193</f>
        <v>0</v>
      </c>
    </row>
    <row r="194" spans="3:20">
      <c r="C194" s="1314">
        <f>C193+1</f>
        <v>89</v>
      </c>
      <c r="E194" s="1436" t="s">
        <v>1398</v>
      </c>
      <c r="G194" s="1454"/>
      <c r="I194" s="1451"/>
      <c r="K194" s="1455">
        <f>K158</f>
        <v>0</v>
      </c>
      <c r="M194" s="1455">
        <f t="shared" ref="M194:M196" si="5">M158</f>
        <v>0</v>
      </c>
      <c r="O194" s="1455">
        <f t="shared" ref="O194:O196" si="6">O158</f>
        <v>0</v>
      </c>
      <c r="Q194" s="1440">
        <f>M194+O194</f>
        <v>0</v>
      </c>
    </row>
    <row r="195" spans="3:20">
      <c r="C195" s="1314">
        <f>C194+1</f>
        <v>90</v>
      </c>
      <c r="E195" s="1436" t="s">
        <v>1374</v>
      </c>
      <c r="G195" s="1454"/>
      <c r="I195" s="1451"/>
      <c r="K195" s="1455">
        <f t="shared" ref="K195:K196" si="7">K159</f>
        <v>0</v>
      </c>
      <c r="M195" s="1455">
        <f t="shared" si="5"/>
        <v>0</v>
      </c>
      <c r="O195" s="1455">
        <f t="shared" si="6"/>
        <v>0</v>
      </c>
      <c r="Q195" s="1440">
        <f>M195+O195</f>
        <v>0</v>
      </c>
    </row>
    <row r="196" spans="3:20">
      <c r="C196" s="1314">
        <f>C195+1</f>
        <v>91</v>
      </c>
      <c r="E196" s="1436" t="s">
        <v>1375</v>
      </c>
      <c r="G196" s="1454"/>
      <c r="I196" s="1451"/>
      <c r="K196" s="1455">
        <f t="shared" si="7"/>
        <v>0</v>
      </c>
      <c r="M196" s="1455">
        <f t="shared" si="5"/>
        <v>0</v>
      </c>
      <c r="O196" s="1455">
        <f t="shared" si="6"/>
        <v>0</v>
      </c>
      <c r="Q196" s="1440">
        <f>M196+O196</f>
        <v>0</v>
      </c>
    </row>
    <row r="197" spans="3:20" ht="5.15" customHeight="1">
      <c r="K197" s="1456"/>
      <c r="M197" s="1456"/>
      <c r="O197" s="1456"/>
      <c r="Q197" s="1456"/>
    </row>
    <row r="198" spans="3:20" ht="13">
      <c r="C198" s="1314">
        <f>C196+1</f>
        <v>92</v>
      </c>
      <c r="E198" s="1311" t="s">
        <v>1399</v>
      </c>
      <c r="K198" s="1441">
        <f>SUM(K192:K197)</f>
        <v>0</v>
      </c>
      <c r="L198" s="1438"/>
      <c r="M198" s="1441">
        <f>SUM(M192:M197)</f>
        <v>0</v>
      </c>
      <c r="N198" s="1438"/>
      <c r="O198" s="1441">
        <f>SUM(O192:O197)</f>
        <v>0</v>
      </c>
      <c r="P198" s="1441"/>
      <c r="Q198" s="1441">
        <f>SUM(Q192:Q197)</f>
        <v>0</v>
      </c>
      <c r="T198" s="1345"/>
    </row>
    <row r="200" spans="3:20" ht="13.5" thickBot="1">
      <c r="C200" s="1314">
        <f>C198+1</f>
        <v>93</v>
      </c>
      <c r="E200" s="1311" t="s">
        <v>1404</v>
      </c>
      <c r="K200" s="1457">
        <f>K180+K189+K198</f>
        <v>0</v>
      </c>
      <c r="L200" s="1441"/>
      <c r="M200" s="1457">
        <f>M180+M189+M198</f>
        <v>0</v>
      </c>
      <c r="N200" s="1441"/>
      <c r="O200" s="1457">
        <f>O180+O189+O198</f>
        <v>0</v>
      </c>
      <c r="P200" s="1441"/>
      <c r="Q200" s="1457">
        <f>Q180+Q189+Q198</f>
        <v>0</v>
      </c>
      <c r="T200" s="1458"/>
    </row>
    <row r="201" spans="3:20" ht="13">
      <c r="C201" s="1314"/>
      <c r="E201" s="1311"/>
      <c r="K201" s="1460"/>
      <c r="L201" s="1441"/>
      <c r="M201" s="1460"/>
      <c r="N201" s="1441"/>
      <c r="O201" s="1460"/>
      <c r="P201" s="1441"/>
      <c r="Q201" s="1460"/>
      <c r="T201" s="1458"/>
    </row>
    <row r="202" spans="3:20" ht="13">
      <c r="C202" s="1314"/>
      <c r="E202" s="1311"/>
      <c r="L202" s="1441"/>
      <c r="N202" s="1441"/>
      <c r="P202" s="1441"/>
      <c r="T202" s="1458"/>
    </row>
    <row r="203" spans="3:20" ht="15.5">
      <c r="E203" s="1758" t="s">
        <v>1415</v>
      </c>
      <c r="F203" s="1759"/>
      <c r="G203" s="1759"/>
      <c r="H203" s="1759"/>
      <c r="I203" s="1759"/>
      <c r="J203" s="1759"/>
      <c r="K203" s="1759"/>
      <c r="L203" s="1759"/>
      <c r="M203" s="1759"/>
      <c r="N203" s="1759"/>
      <c r="O203" s="1759"/>
      <c r="P203" s="1759"/>
      <c r="Q203" s="1760"/>
    </row>
    <row r="205" spans="3:20" ht="13">
      <c r="E205" s="1312" t="s">
        <v>174</v>
      </c>
      <c r="F205" s="1312"/>
      <c r="G205" s="1312" t="s">
        <v>175</v>
      </c>
      <c r="H205" s="1312"/>
      <c r="I205" s="1312" t="s">
        <v>1142</v>
      </c>
      <c r="J205" s="1312"/>
      <c r="K205" s="1312" t="s">
        <v>1295</v>
      </c>
      <c r="L205" s="1312"/>
      <c r="M205" s="1312" t="s">
        <v>1389</v>
      </c>
      <c r="N205" s="1312"/>
      <c r="O205" s="1312" t="s">
        <v>1297</v>
      </c>
      <c r="P205" s="1312"/>
      <c r="Q205" s="1312" t="s">
        <v>1298</v>
      </c>
    </row>
    <row r="206" spans="3:20" ht="15" customHeight="1">
      <c r="C206" s="1750" t="s">
        <v>1305</v>
      </c>
      <c r="D206" s="1635"/>
      <c r="E206" s="1752" t="s">
        <v>1370</v>
      </c>
      <c r="G206" s="1754" t="s">
        <v>278</v>
      </c>
      <c r="I206" s="1754" t="s">
        <v>1390</v>
      </c>
      <c r="M206" s="1446" t="s">
        <v>1792</v>
      </c>
      <c r="O206" s="1756" t="s">
        <v>1392</v>
      </c>
      <c r="Q206" s="1446" t="s">
        <v>1800</v>
      </c>
    </row>
    <row r="207" spans="3:20" ht="25">
      <c r="C207" s="1751"/>
      <c r="D207" s="1635"/>
      <c r="E207" s="1753"/>
      <c r="F207" s="1447"/>
      <c r="G207" s="1755"/>
      <c r="H207" s="1447"/>
      <c r="I207" s="1755"/>
      <c r="J207" s="1447"/>
      <c r="K207" s="1448" t="s">
        <v>1393</v>
      </c>
      <c r="M207" s="1707" t="s">
        <v>1394</v>
      </c>
      <c r="O207" s="1757"/>
      <c r="Q207" s="1707" t="s">
        <v>1395</v>
      </c>
    </row>
    <row r="208" spans="3:20" ht="5.15" customHeight="1"/>
    <row r="209" spans="3:17">
      <c r="C209" s="1314">
        <f>C164+1</f>
        <v>75</v>
      </c>
      <c r="E209" s="1436" t="s">
        <v>1373</v>
      </c>
      <c r="K209" s="1439">
        <f>K139+K148+K157</f>
        <v>0</v>
      </c>
      <c r="L209" s="1438"/>
      <c r="M209" s="1439">
        <f>M139+M148+M157</f>
        <v>0</v>
      </c>
      <c r="N209" s="1438"/>
      <c r="O209" s="1439">
        <f>O139+O148+O157</f>
        <v>0</v>
      </c>
      <c r="P209" s="1438"/>
      <c r="Q209" s="1439">
        <f t="shared" ref="Q209:Q212" si="8">M209+O209</f>
        <v>0</v>
      </c>
    </row>
    <row r="210" spans="3:17">
      <c r="C210" s="1314">
        <f>C209+1</f>
        <v>76</v>
      </c>
      <c r="E210" s="1436" t="s">
        <v>1398</v>
      </c>
      <c r="K210" s="1455">
        <f>K140+K149+K158</f>
        <v>0</v>
      </c>
      <c r="L210" s="1645"/>
      <c r="M210" s="1455">
        <f>M140+M149+M158</f>
        <v>0</v>
      </c>
      <c r="N210" s="1645"/>
      <c r="O210" s="1455">
        <f>O140+O149+O158</f>
        <v>0</v>
      </c>
      <c r="P210" s="1645"/>
      <c r="Q210" s="1455">
        <f t="shared" si="8"/>
        <v>0</v>
      </c>
    </row>
    <row r="211" spans="3:17">
      <c r="C211" s="1314">
        <f>C210+1</f>
        <v>77</v>
      </c>
      <c r="E211" s="1436" t="s">
        <v>1374</v>
      </c>
      <c r="K211" s="1455">
        <f>K141+K150+K159</f>
        <v>0</v>
      </c>
      <c r="L211" s="1645"/>
      <c r="M211" s="1455">
        <f>M141+M150+M159</f>
        <v>0</v>
      </c>
      <c r="N211" s="1645"/>
      <c r="O211" s="1455">
        <f>O141+O150+O159</f>
        <v>0</v>
      </c>
      <c r="P211" s="1645"/>
      <c r="Q211" s="1455">
        <f t="shared" si="8"/>
        <v>0</v>
      </c>
    </row>
    <row r="212" spans="3:17">
      <c r="C212" s="1314">
        <f>C211+1</f>
        <v>78</v>
      </c>
      <c r="E212" s="1436" t="s">
        <v>1375</v>
      </c>
      <c r="K212" s="1455">
        <f>K142+K151+K160</f>
        <v>0</v>
      </c>
      <c r="L212" s="1645"/>
      <c r="M212" s="1455">
        <f>M142+M151+M160</f>
        <v>0</v>
      </c>
      <c r="N212" s="1645"/>
      <c r="O212" s="1455">
        <f>O142+O151+O160</f>
        <v>0</v>
      </c>
      <c r="P212" s="1645"/>
      <c r="Q212" s="1455">
        <f t="shared" si="8"/>
        <v>0</v>
      </c>
    </row>
    <row r="213" spans="3:17" ht="5.15" customHeight="1">
      <c r="Q213" s="1456"/>
    </row>
    <row r="214" spans="3:17" ht="13">
      <c r="C214" s="1314">
        <f>C212+1</f>
        <v>79</v>
      </c>
      <c r="E214" s="1311" t="s">
        <v>1404</v>
      </c>
      <c r="K214" s="1461">
        <f>SUM(K209:K213)</f>
        <v>0</v>
      </c>
      <c r="L214" s="1441"/>
      <c r="M214" s="1461">
        <f>SUM(M209:M213)</f>
        <v>0</v>
      </c>
      <c r="N214" s="1441"/>
      <c r="O214" s="1461">
        <f>SUM(O209:O213)</f>
        <v>0</v>
      </c>
      <c r="P214" s="1441"/>
      <c r="Q214" s="1461">
        <f>SUM(Q209:Q213)</f>
        <v>0</v>
      </c>
    </row>
    <row r="215" spans="3:17" ht="5.15" customHeight="1"/>
    <row r="216" spans="3:17">
      <c r="C216" s="1314">
        <f>C214+1</f>
        <v>80</v>
      </c>
      <c r="E216" s="1436" t="s">
        <v>1245</v>
      </c>
      <c r="G216" s="1008" t="s">
        <v>1634</v>
      </c>
      <c r="K216" s="1462">
        <f>'ATT H-1A'!$H$248</f>
        <v>1.3910140492418972</v>
      </c>
      <c r="M216" s="1462">
        <f>'ATT H-1A'!$H$248</f>
        <v>1.3910140492418972</v>
      </c>
      <c r="O216" s="1462">
        <f>'ATT H-1A'!$H$248</f>
        <v>1.3910140492418972</v>
      </c>
      <c r="Q216" s="1462">
        <f>'ATT H-1A'!$H$248</f>
        <v>1.3910140492418972</v>
      </c>
    </row>
    <row r="217" spans="3:17" ht="5.15" customHeight="1"/>
    <row r="218" spans="3:17" ht="13.5" thickBot="1">
      <c r="C218" s="1314">
        <f>C216+1</f>
        <v>81</v>
      </c>
      <c r="E218" s="1311" t="s">
        <v>1408</v>
      </c>
      <c r="K218" s="1463">
        <f>K214*K216</f>
        <v>0</v>
      </c>
      <c r="L218" s="1441"/>
      <c r="M218" s="1463">
        <f>M214*M216</f>
        <v>0</v>
      </c>
      <c r="N218" s="1441"/>
      <c r="O218" s="1463">
        <f>O214*O216</f>
        <v>0</v>
      </c>
      <c r="P218" s="1441"/>
      <c r="Q218" s="1463">
        <f>Q214*Q216</f>
        <v>0</v>
      </c>
    </row>
    <row r="219" spans="3:17" ht="13" thickTop="1"/>
    <row r="221" spans="3:17" ht="15.5">
      <c r="E221" s="1758" t="s">
        <v>1416</v>
      </c>
      <c r="F221" s="1759"/>
      <c r="G221" s="1759"/>
      <c r="H221" s="1759"/>
      <c r="I221" s="1759"/>
      <c r="J221" s="1759"/>
      <c r="K221" s="1759"/>
      <c r="L221" s="1759"/>
      <c r="M221" s="1759"/>
      <c r="N221" s="1759"/>
      <c r="O221" s="1759"/>
      <c r="P221" s="1759"/>
      <c r="Q221" s="1760"/>
    </row>
    <row r="223" spans="3:17" ht="13">
      <c r="E223" s="1312" t="s">
        <v>174</v>
      </c>
      <c r="F223" s="1312"/>
      <c r="G223" s="1312" t="s">
        <v>175</v>
      </c>
      <c r="H223" s="1312"/>
      <c r="I223" s="1312" t="s">
        <v>1142</v>
      </c>
      <c r="J223" s="1312"/>
      <c r="K223" s="1312" t="s">
        <v>1295</v>
      </c>
      <c r="L223" s="1312"/>
      <c r="M223" s="1312" t="s">
        <v>1389</v>
      </c>
      <c r="N223" s="1312"/>
      <c r="O223" s="1312" t="s">
        <v>1297</v>
      </c>
      <c r="P223" s="1312"/>
      <c r="Q223" s="1312" t="s">
        <v>1298</v>
      </c>
    </row>
    <row r="224" spans="3:17" ht="12.75" customHeight="1">
      <c r="C224" s="1761" t="s">
        <v>1305</v>
      </c>
      <c r="E224" s="1762" t="s">
        <v>1410</v>
      </c>
      <c r="G224" s="1764" t="s">
        <v>278</v>
      </c>
      <c r="H224" s="1764"/>
      <c r="I224" s="1764"/>
      <c r="K224" s="1445"/>
      <c r="M224" s="1446" t="s">
        <v>1792</v>
      </c>
      <c r="O224" s="1756" t="s">
        <v>1392</v>
      </c>
      <c r="Q224" s="1446" t="s">
        <v>1800</v>
      </c>
    </row>
    <row r="225" spans="3:17" ht="25">
      <c r="C225" s="1737"/>
      <c r="E225" s="1763"/>
      <c r="G225" s="1765"/>
      <c r="H225" s="1765"/>
      <c r="I225" s="1765"/>
      <c r="J225" s="1447"/>
      <c r="K225" s="1448" t="s">
        <v>1393</v>
      </c>
      <c r="M225" s="1707" t="s">
        <v>1394</v>
      </c>
      <c r="O225" s="1757"/>
      <c r="Q225" s="1707" t="s">
        <v>1395</v>
      </c>
    </row>
    <row r="226" spans="3:17" ht="5.15" customHeight="1"/>
    <row r="227" spans="3:17">
      <c r="C227" s="1314">
        <f>C218+1</f>
        <v>82</v>
      </c>
      <c r="E227" s="1436" t="s">
        <v>1411</v>
      </c>
      <c r="K227" s="1439">
        <v>0</v>
      </c>
      <c r="L227" s="1438"/>
      <c r="M227" s="1439">
        <v>0</v>
      </c>
      <c r="N227" s="1438"/>
      <c r="O227" s="1439">
        <v>0</v>
      </c>
      <c r="P227" s="1438"/>
      <c r="Q227" s="1439">
        <v>0</v>
      </c>
    </row>
    <row r="228" spans="3:17">
      <c r="C228" s="1314">
        <f>C227+1</f>
        <v>83</v>
      </c>
      <c r="E228" s="1436" t="s">
        <v>1412</v>
      </c>
      <c r="K228" s="1440">
        <f>K218</f>
        <v>0</v>
      </c>
      <c r="M228" s="1440">
        <f>M218</f>
        <v>0</v>
      </c>
      <c r="O228" s="1440">
        <f>O218</f>
        <v>0</v>
      </c>
      <c r="Q228" s="1440">
        <f>Q218</f>
        <v>0</v>
      </c>
    </row>
    <row r="229" spans="3:17" ht="5.15" customHeight="1">
      <c r="K229" s="1456"/>
      <c r="M229" s="1456"/>
      <c r="O229" s="1456"/>
      <c r="Q229" s="1456"/>
    </row>
    <row r="230" spans="3:17" ht="13">
      <c r="C230" s="1314">
        <f>C228+1</f>
        <v>84</v>
      </c>
      <c r="E230" s="1311" t="s">
        <v>1413</v>
      </c>
      <c r="K230" s="1441">
        <f>SUM(K227:K229)</f>
        <v>0</v>
      </c>
      <c r="L230" s="1441"/>
      <c r="M230" s="1441">
        <f>SUM(M227:M229)</f>
        <v>0</v>
      </c>
      <c r="N230" s="1438"/>
      <c r="O230" s="1441">
        <f>SUM(O227:O229)</f>
        <v>0</v>
      </c>
      <c r="P230" s="1438"/>
      <c r="Q230" s="1441">
        <f>SUM(Q227:Q229)</f>
        <v>0</v>
      </c>
    </row>
    <row r="231" spans="3:17">
      <c r="K231" s="1458"/>
    </row>
    <row r="233" spans="3:17" ht="15.5">
      <c r="E233" s="1747" t="s">
        <v>1417</v>
      </c>
      <c r="F233" s="1747"/>
      <c r="G233" s="1747"/>
      <c r="H233" s="1747"/>
      <c r="I233" s="1747"/>
      <c r="J233" s="1747"/>
      <c r="K233" s="1747"/>
      <c r="L233" s="1747"/>
      <c r="M233" s="1747"/>
      <c r="N233" s="1747"/>
      <c r="O233" s="1747"/>
      <c r="P233" s="1747"/>
      <c r="Q233" s="1747"/>
    </row>
    <row r="235" spans="3:17" ht="15.5">
      <c r="E235" s="1758" t="s">
        <v>1418</v>
      </c>
      <c r="F235" s="1759"/>
      <c r="G235" s="1759"/>
      <c r="H235" s="1759"/>
      <c r="I235" s="1759"/>
      <c r="J235" s="1759"/>
      <c r="K235" s="1759"/>
      <c r="L235" s="1759"/>
      <c r="M235" s="1759"/>
      <c r="N235" s="1759"/>
      <c r="O235" s="1759"/>
      <c r="P235" s="1759"/>
      <c r="Q235" s="1760"/>
    </row>
    <row r="237" spans="3:17" ht="13">
      <c r="E237" s="1312" t="s">
        <v>174</v>
      </c>
      <c r="F237" s="1312"/>
      <c r="G237" s="1312" t="s">
        <v>175</v>
      </c>
      <c r="H237" s="1312"/>
      <c r="I237" s="1312" t="s">
        <v>1142</v>
      </c>
      <c r="J237" s="1312"/>
      <c r="K237" s="1312" t="s">
        <v>1295</v>
      </c>
      <c r="L237" s="1312"/>
      <c r="M237" s="1312" t="s">
        <v>1389</v>
      </c>
      <c r="N237" s="1312"/>
      <c r="O237" s="1312" t="s">
        <v>1297</v>
      </c>
      <c r="P237" s="1312"/>
      <c r="Q237" s="1312" t="s">
        <v>1298</v>
      </c>
    </row>
    <row r="238" spans="3:17" ht="12.75" customHeight="1">
      <c r="C238" s="1761" t="s">
        <v>1305</v>
      </c>
      <c r="E238" s="1762" t="s">
        <v>1410</v>
      </c>
      <c r="G238" s="1764" t="s">
        <v>278</v>
      </c>
      <c r="H238" s="1764"/>
      <c r="I238" s="1764"/>
      <c r="K238" s="1445"/>
      <c r="M238" s="1446" t="s">
        <v>1792</v>
      </c>
      <c r="O238" s="1756" t="s">
        <v>1392</v>
      </c>
      <c r="Q238" s="1446" t="s">
        <v>1800</v>
      </c>
    </row>
    <row r="239" spans="3:17" ht="25">
      <c r="C239" s="1737"/>
      <c r="E239" s="1763"/>
      <c r="G239" s="1765"/>
      <c r="H239" s="1765"/>
      <c r="I239" s="1765"/>
      <c r="J239" s="1447"/>
      <c r="K239" s="1448" t="s">
        <v>1393</v>
      </c>
      <c r="M239" s="1707" t="s">
        <v>1394</v>
      </c>
      <c r="O239" s="1757"/>
      <c r="Q239" s="1707" t="s">
        <v>1395</v>
      </c>
    </row>
    <row r="240" spans="3:17" ht="5.15" customHeight="1"/>
    <row r="241" spans="1:19">
      <c r="C241" s="1314">
        <f>C230+1</f>
        <v>85</v>
      </c>
      <c r="E241" s="1436" t="s">
        <v>1411</v>
      </c>
      <c r="K241" s="1439">
        <f>K122+K227</f>
        <v>0</v>
      </c>
      <c r="L241" s="1438"/>
      <c r="M241" s="1439">
        <f>M122+M227</f>
        <v>0</v>
      </c>
      <c r="N241" s="1438"/>
      <c r="O241" s="1439">
        <f>O122+O227</f>
        <v>0</v>
      </c>
      <c r="P241" s="1438"/>
      <c r="Q241" s="1439">
        <f>Q122+Q227</f>
        <v>0</v>
      </c>
    </row>
    <row r="242" spans="1:19">
      <c r="C242" s="1314">
        <f>C241+1</f>
        <v>86</v>
      </c>
      <c r="E242" s="1436" t="s">
        <v>1412</v>
      </c>
      <c r="K242" s="1455">
        <f>K123+K228</f>
        <v>-150724490.89087057</v>
      </c>
      <c r="M242" s="1455">
        <f>M123+M228</f>
        <v>-96416595.077207699</v>
      </c>
      <c r="O242" s="1455">
        <f>O123+O228</f>
        <v>18456328.093381271</v>
      </c>
      <c r="Q242" s="1455">
        <f>Q123+Q228</f>
        <v>-77960266.983826444</v>
      </c>
    </row>
    <row r="243" spans="1:19" ht="5.15" customHeight="1">
      <c r="K243" s="1456"/>
      <c r="M243" s="1456"/>
      <c r="O243" s="1456"/>
      <c r="Q243" s="1456"/>
    </row>
    <row r="244" spans="1:19" ht="13">
      <c r="C244" s="1314">
        <f>C242+1</f>
        <v>87</v>
      </c>
      <c r="E244" s="1311" t="s">
        <v>1413</v>
      </c>
      <c r="K244" s="1441">
        <f>SUM(K241:K243)</f>
        <v>-150724490.89087057</v>
      </c>
      <c r="L244" s="1441"/>
      <c r="M244" s="1441">
        <f>SUM(M241:M243)</f>
        <v>-96416595.077207699</v>
      </c>
      <c r="N244" s="1438"/>
      <c r="O244" s="1441">
        <f>SUM(O241:O243)</f>
        <v>18456328.093381271</v>
      </c>
      <c r="P244" s="1438"/>
      <c r="Q244" s="1441">
        <f>SUM(Q241:Q243)</f>
        <v>-77960266.983826444</v>
      </c>
    </row>
    <row r="248" spans="1:19" ht="18">
      <c r="A248" s="916"/>
      <c r="B248" s="916" t="s">
        <v>1419</v>
      </c>
      <c r="C248" s="916"/>
      <c r="D248" s="916"/>
      <c r="E248" s="916"/>
      <c r="F248" s="916"/>
      <c r="G248" s="916"/>
      <c r="H248" s="916"/>
      <c r="I248" s="916"/>
      <c r="J248" s="916"/>
      <c r="K248" s="916"/>
      <c r="L248" s="916"/>
      <c r="M248" s="916"/>
      <c r="N248" s="916"/>
      <c r="O248" s="916"/>
      <c r="P248" s="916"/>
      <c r="Q248" s="916"/>
      <c r="R248" s="916"/>
      <c r="S248" s="916"/>
    </row>
    <row r="249" spans="1:19">
      <c r="A249" s="44"/>
      <c r="B249" s="44"/>
      <c r="C249" s="44"/>
      <c r="D249" s="44"/>
      <c r="E249" s="44"/>
      <c r="F249" s="44"/>
      <c r="G249" s="44"/>
      <c r="H249" s="44"/>
      <c r="I249" s="44"/>
      <c r="J249" s="44"/>
      <c r="K249" s="44"/>
      <c r="L249" s="44"/>
      <c r="M249" s="44"/>
      <c r="N249" s="44"/>
      <c r="O249" s="44"/>
      <c r="P249" s="44"/>
      <c r="Q249" s="44"/>
    </row>
    <row r="250" spans="1:19">
      <c r="A250" s="44"/>
      <c r="B250" s="1766" t="s">
        <v>1420</v>
      </c>
      <c r="C250" s="1766"/>
      <c r="D250" s="1766"/>
      <c r="E250" s="1766"/>
      <c r="F250" s="1766"/>
      <c r="G250" s="1766"/>
      <c r="H250" s="1766"/>
      <c r="I250" s="1766"/>
      <c r="J250" s="1766"/>
      <c r="K250" s="1766"/>
      <c r="L250" s="1766"/>
      <c r="M250" s="1766"/>
      <c r="N250" s="1766"/>
      <c r="O250" s="1766"/>
      <c r="P250" s="1766"/>
      <c r="Q250" s="1766"/>
    </row>
    <row r="251" spans="1:19">
      <c r="A251" s="44"/>
      <c r="B251" s="1766"/>
      <c r="C251" s="1766"/>
      <c r="D251" s="1766"/>
      <c r="E251" s="1766"/>
      <c r="F251" s="1766"/>
      <c r="G251" s="1766"/>
      <c r="H251" s="1766"/>
      <c r="I251" s="1766"/>
      <c r="J251" s="1766"/>
      <c r="K251" s="1766"/>
      <c r="L251" s="1766"/>
      <c r="M251" s="1766"/>
      <c r="N251" s="1766"/>
      <c r="O251" s="1766"/>
      <c r="P251" s="1766"/>
      <c r="Q251" s="1766"/>
    </row>
    <row r="252" spans="1:19">
      <c r="A252" s="44"/>
      <c r="B252" s="1766"/>
      <c r="C252" s="1766"/>
      <c r="D252" s="1766"/>
      <c r="E252" s="1766"/>
      <c r="F252" s="1766"/>
      <c r="G252" s="1766"/>
      <c r="H252" s="1766"/>
      <c r="I252" s="1766"/>
      <c r="J252" s="1766"/>
      <c r="K252" s="1766"/>
      <c r="L252" s="1766"/>
      <c r="M252" s="1766"/>
      <c r="N252" s="1766"/>
      <c r="O252" s="1766"/>
      <c r="P252" s="1766"/>
      <c r="Q252" s="1766"/>
    </row>
    <row r="253" spans="1:19">
      <c r="A253" s="44"/>
      <c r="B253" s="1766" t="s">
        <v>1421</v>
      </c>
      <c r="C253" s="1766"/>
      <c r="D253" s="1766"/>
      <c r="E253" s="1766"/>
      <c r="F253" s="1766"/>
      <c r="G253" s="1766"/>
      <c r="H253" s="1766"/>
      <c r="I253" s="1766"/>
      <c r="J253" s="1766"/>
      <c r="K253" s="1766"/>
      <c r="L253" s="1766"/>
      <c r="M253" s="1766"/>
      <c r="N253" s="1766"/>
      <c r="O253" s="1766"/>
      <c r="P253" s="1766"/>
      <c r="Q253" s="1766"/>
    </row>
    <row r="254" spans="1:19">
      <c r="A254" s="44"/>
      <c r="B254" s="1766"/>
      <c r="C254" s="1766"/>
      <c r="D254" s="1766"/>
      <c r="E254" s="1766"/>
      <c r="F254" s="1766"/>
      <c r="G254" s="1766"/>
      <c r="H254" s="1766"/>
      <c r="I254" s="1766"/>
      <c r="J254" s="1766"/>
      <c r="K254" s="1766"/>
      <c r="L254" s="1766"/>
      <c r="M254" s="1766"/>
      <c r="N254" s="1766"/>
      <c r="O254" s="1766"/>
      <c r="P254" s="1766"/>
      <c r="Q254" s="1766"/>
    </row>
    <row r="255" spans="1:19">
      <c r="A255" s="44"/>
      <c r="B255" s="1766"/>
      <c r="C255" s="1766"/>
      <c r="D255" s="1766"/>
      <c r="E255" s="1766"/>
      <c r="F255" s="1766"/>
      <c r="G255" s="1766"/>
      <c r="H255" s="1766"/>
      <c r="I255" s="1766"/>
      <c r="J255" s="1766"/>
      <c r="K255" s="1766"/>
      <c r="L255" s="1766"/>
      <c r="M255" s="1766"/>
      <c r="N255" s="1766"/>
      <c r="O255" s="1766"/>
      <c r="P255" s="1766"/>
      <c r="Q255" s="1766"/>
    </row>
    <row r="256" spans="1:19">
      <c r="A256" s="44"/>
      <c r="B256" s="1766" t="s">
        <v>1422</v>
      </c>
      <c r="C256" s="1766"/>
      <c r="D256" s="1766"/>
      <c r="E256" s="1766"/>
      <c r="F256" s="1766"/>
      <c r="G256" s="1766"/>
      <c r="H256" s="1766"/>
      <c r="I256" s="1766"/>
      <c r="J256" s="1766"/>
      <c r="K256" s="1766"/>
      <c r="L256" s="1766"/>
      <c r="M256" s="1766"/>
      <c r="N256" s="1766"/>
      <c r="O256" s="1766"/>
      <c r="P256" s="1766"/>
      <c r="Q256" s="1766"/>
    </row>
    <row r="257" spans="1:19">
      <c r="A257" s="44"/>
      <c r="B257" s="1766"/>
      <c r="C257" s="1766"/>
      <c r="D257" s="1766"/>
      <c r="E257" s="1766"/>
      <c r="F257" s="1766"/>
      <c r="G257" s="1766"/>
      <c r="H257" s="1766"/>
      <c r="I257" s="1766"/>
      <c r="J257" s="1766"/>
      <c r="K257" s="1766"/>
      <c r="L257" s="1766"/>
      <c r="M257" s="1766"/>
      <c r="N257" s="1766"/>
      <c r="O257" s="1766"/>
      <c r="P257" s="1766"/>
      <c r="Q257" s="1766"/>
    </row>
    <row r="258" spans="1:19">
      <c r="A258" s="44"/>
      <c r="B258" s="1766"/>
      <c r="C258" s="1766"/>
      <c r="D258" s="1766"/>
      <c r="E258" s="1766"/>
      <c r="F258" s="1766"/>
      <c r="G258" s="1766"/>
      <c r="H258" s="1766"/>
      <c r="I258" s="1766"/>
      <c r="J258" s="1766"/>
      <c r="K258" s="1766"/>
      <c r="L258" s="1766"/>
      <c r="M258" s="1766"/>
      <c r="N258" s="1766"/>
      <c r="O258" s="1766"/>
      <c r="P258" s="1766"/>
      <c r="Q258" s="1766"/>
    </row>
    <row r="259" spans="1:19">
      <c r="A259" s="44"/>
      <c r="B259" s="1766" t="s">
        <v>1423</v>
      </c>
      <c r="C259" s="1766"/>
      <c r="D259" s="1766"/>
      <c r="E259" s="1766"/>
      <c r="F259" s="1766"/>
      <c r="G259" s="1766"/>
      <c r="H259" s="1766"/>
      <c r="I259" s="1766"/>
      <c r="J259" s="1766"/>
      <c r="K259" s="1766"/>
      <c r="L259" s="1766"/>
      <c r="M259" s="1766"/>
      <c r="N259" s="1766"/>
      <c r="O259" s="1766"/>
      <c r="P259" s="1766"/>
      <c r="Q259" s="1766"/>
    </row>
    <row r="260" spans="1:19">
      <c r="A260" s="44"/>
      <c r="B260" s="1766"/>
      <c r="C260" s="1766"/>
      <c r="D260" s="1766"/>
      <c r="E260" s="1766"/>
      <c r="F260" s="1766"/>
      <c r="G260" s="1766"/>
      <c r="H260" s="1766"/>
      <c r="I260" s="1766"/>
      <c r="J260" s="1766"/>
      <c r="K260" s="1766"/>
      <c r="L260" s="1766"/>
      <c r="M260" s="1766"/>
      <c r="N260" s="1766"/>
      <c r="O260" s="1766"/>
      <c r="P260" s="1766"/>
      <c r="Q260" s="1766"/>
    </row>
    <row r="261" spans="1:19">
      <c r="A261" s="44"/>
      <c r="B261" s="1637"/>
      <c r="C261" s="1637"/>
      <c r="D261" s="1637"/>
      <c r="E261" s="1637"/>
      <c r="F261" s="1637"/>
      <c r="G261" s="1637"/>
      <c r="H261" s="1637"/>
      <c r="I261" s="1637"/>
      <c r="J261" s="1637"/>
      <c r="K261" s="1637"/>
      <c r="L261" s="1637"/>
      <c r="M261" s="1637"/>
      <c r="N261" s="1637"/>
      <c r="O261" s="1637"/>
      <c r="P261" s="1637"/>
      <c r="Q261" s="1637"/>
    </row>
    <row r="262" spans="1:19" ht="18">
      <c r="A262" s="916"/>
      <c r="B262" s="916" t="s">
        <v>925</v>
      </c>
      <c r="C262" s="916"/>
      <c r="D262" s="916"/>
      <c r="E262" s="916"/>
      <c r="F262" s="916"/>
      <c r="G262" s="916"/>
      <c r="H262" s="916"/>
      <c r="I262" s="916"/>
      <c r="J262" s="916"/>
      <c r="K262" s="916"/>
      <c r="L262" s="916"/>
      <c r="M262" s="916"/>
      <c r="N262" s="916"/>
      <c r="O262" s="916"/>
      <c r="P262" s="916"/>
      <c r="Q262" s="916"/>
      <c r="R262" s="916"/>
      <c r="S262" s="916"/>
    </row>
    <row r="263" spans="1:19">
      <c r="A263" s="44"/>
      <c r="B263" s="44"/>
      <c r="C263" s="44"/>
      <c r="D263" s="44"/>
      <c r="E263" s="44"/>
      <c r="F263" s="44"/>
      <c r="G263" s="44"/>
      <c r="H263" s="44"/>
      <c r="I263" s="44" t="s">
        <v>86</v>
      </c>
      <c r="J263" s="44"/>
      <c r="K263" s="44"/>
      <c r="L263" s="44"/>
      <c r="M263" s="44"/>
      <c r="N263" s="44"/>
      <c r="O263" s="44"/>
      <c r="P263" s="44"/>
      <c r="Q263" s="44"/>
    </row>
    <row r="264" spans="1:19" ht="12.75" customHeight="1">
      <c r="A264" s="44"/>
      <c r="B264" s="44" t="s">
        <v>9</v>
      </c>
      <c r="C264" s="1766" t="s">
        <v>1601</v>
      </c>
      <c r="D264" s="1766"/>
      <c r="E264" s="1766"/>
      <c r="F264" s="1766"/>
      <c r="G264" s="1766"/>
      <c r="H264" s="1766"/>
      <c r="I264" s="1766"/>
      <c r="J264" s="1766"/>
      <c r="K264" s="1766"/>
      <c r="L264" s="1766"/>
      <c r="M264" s="1766"/>
      <c r="N264" s="1766"/>
      <c r="O264" s="1766"/>
      <c r="P264" s="1766"/>
      <c r="Q264" s="1766"/>
    </row>
    <row r="265" spans="1:19">
      <c r="A265" s="44"/>
      <c r="B265" s="44"/>
      <c r="C265" s="1766"/>
      <c r="D265" s="1766"/>
      <c r="E265" s="1766"/>
      <c r="F265" s="1766"/>
      <c r="G265" s="1766"/>
      <c r="H265" s="1766"/>
      <c r="I265" s="1766"/>
      <c r="J265" s="1766"/>
      <c r="K265" s="1766"/>
      <c r="L265" s="1766"/>
      <c r="M265" s="1766"/>
      <c r="N265" s="1766"/>
      <c r="O265" s="1766"/>
      <c r="P265" s="1766"/>
      <c r="Q265" s="1766"/>
    </row>
    <row r="266" spans="1:19">
      <c r="A266" s="44"/>
      <c r="B266" s="44"/>
      <c r="C266" s="1766"/>
      <c r="D266" s="1766"/>
      <c r="E266" s="1766"/>
      <c r="F266" s="1766"/>
      <c r="G266" s="1766"/>
      <c r="H266" s="1766"/>
      <c r="I266" s="1766"/>
      <c r="J266" s="1766"/>
      <c r="K266" s="1766"/>
      <c r="L266" s="1766"/>
      <c r="M266" s="1766"/>
      <c r="N266" s="1766"/>
      <c r="O266" s="1766"/>
      <c r="P266" s="1766"/>
      <c r="Q266" s="1766"/>
    </row>
    <row r="267" spans="1:19">
      <c r="A267" s="44"/>
      <c r="B267" s="44"/>
      <c r="C267" s="1766"/>
      <c r="D267" s="1766"/>
      <c r="E267" s="1766"/>
      <c r="F267" s="1766"/>
      <c r="G267" s="1766"/>
      <c r="H267" s="1766"/>
      <c r="I267" s="1766"/>
      <c r="J267" s="1766"/>
      <c r="K267" s="1766"/>
      <c r="L267" s="1766"/>
      <c r="M267" s="1766"/>
      <c r="N267" s="1766"/>
      <c r="O267" s="1766"/>
      <c r="P267" s="1766"/>
      <c r="Q267" s="1766"/>
    </row>
    <row r="268" spans="1:19">
      <c r="A268" s="44"/>
      <c r="B268" s="44"/>
      <c r="C268" s="1766"/>
      <c r="D268" s="1766"/>
      <c r="E268" s="1766"/>
      <c r="F268" s="1766"/>
      <c r="G268" s="1766"/>
      <c r="H268" s="1766"/>
      <c r="I268" s="1766"/>
      <c r="J268" s="1766"/>
      <c r="K268" s="1766"/>
      <c r="L268" s="1766"/>
      <c r="M268" s="1766"/>
      <c r="N268" s="1766"/>
      <c r="O268" s="1766"/>
      <c r="P268" s="1766"/>
      <c r="Q268" s="1766"/>
    </row>
    <row r="269" spans="1:19">
      <c r="A269" s="44"/>
      <c r="B269" s="44"/>
      <c r="C269" s="1766"/>
      <c r="D269" s="1766"/>
      <c r="E269" s="1766"/>
      <c r="F269" s="1766"/>
      <c r="G269" s="1766"/>
      <c r="H269" s="1766"/>
      <c r="I269" s="1766"/>
      <c r="J269" s="1766"/>
      <c r="K269" s="1766"/>
      <c r="L269" s="1766"/>
      <c r="M269" s="1766"/>
      <c r="N269" s="1766"/>
      <c r="O269" s="1766"/>
      <c r="P269" s="1766"/>
      <c r="Q269" s="1766"/>
    </row>
    <row r="270" spans="1:19">
      <c r="A270" s="44"/>
      <c r="B270" s="44"/>
      <c r="C270" s="1766"/>
      <c r="D270" s="1766"/>
      <c r="E270" s="1766"/>
      <c r="F270" s="1766"/>
      <c r="G270" s="1766"/>
      <c r="H270" s="1766"/>
      <c r="I270" s="1766"/>
      <c r="J270" s="1766"/>
      <c r="K270" s="1766"/>
      <c r="L270" s="1766"/>
      <c r="M270" s="1766"/>
      <c r="N270" s="1766"/>
      <c r="O270" s="1766"/>
      <c r="P270" s="1766"/>
      <c r="Q270" s="1766"/>
    </row>
    <row r="271" spans="1:19" ht="12.75" customHeight="1">
      <c r="A271" s="44"/>
      <c r="B271" s="44" t="s">
        <v>10</v>
      </c>
      <c r="C271" s="1766" t="s">
        <v>1424</v>
      </c>
      <c r="D271" s="1766"/>
      <c r="E271" s="1766"/>
      <c r="F271" s="1766"/>
      <c r="G271" s="1766"/>
      <c r="H271" s="1766"/>
      <c r="I271" s="1766"/>
      <c r="J271" s="1766"/>
      <c r="K271" s="1766"/>
      <c r="L271" s="1766"/>
      <c r="M271" s="1766"/>
      <c r="N271" s="1766"/>
      <c r="O271" s="1766"/>
      <c r="P271" s="1766"/>
      <c r="Q271" s="1766"/>
    </row>
    <row r="272" spans="1:19" ht="12.75" customHeight="1">
      <c r="A272" s="44"/>
      <c r="B272" s="44"/>
      <c r="C272" s="1766"/>
      <c r="D272" s="1766"/>
      <c r="E272" s="1766"/>
      <c r="F272" s="1766"/>
      <c r="G272" s="1766"/>
      <c r="H272" s="1766"/>
      <c r="I272" s="1766"/>
      <c r="J272" s="1766"/>
      <c r="K272" s="1766"/>
      <c r="L272" s="1766"/>
      <c r="M272" s="1766"/>
      <c r="N272" s="1766"/>
      <c r="O272" s="1766"/>
      <c r="P272" s="1766"/>
      <c r="Q272" s="1766"/>
    </row>
    <row r="273" spans="1:19">
      <c r="A273" s="44"/>
      <c r="B273" s="44"/>
      <c r="C273" s="1766"/>
      <c r="D273" s="1766"/>
      <c r="E273" s="1766"/>
      <c r="F273" s="1766"/>
      <c r="G273" s="1766"/>
      <c r="H273" s="1766"/>
      <c r="I273" s="1766"/>
      <c r="J273" s="1766"/>
      <c r="K273" s="1766"/>
      <c r="L273" s="1766"/>
      <c r="M273" s="1766"/>
      <c r="N273" s="1766"/>
      <c r="O273" s="1766"/>
      <c r="P273" s="1766"/>
      <c r="Q273" s="1766"/>
    </row>
    <row r="274" spans="1:19">
      <c r="E274" s="1634"/>
      <c r="F274" s="1634"/>
      <c r="G274" s="1634"/>
      <c r="H274" s="1634"/>
      <c r="I274" s="1634"/>
      <c r="J274" s="1634"/>
      <c r="K274" s="1634"/>
      <c r="L274" s="1634"/>
      <c r="M274" s="1634"/>
      <c r="N274" s="1634"/>
      <c r="O274" s="1634"/>
      <c r="P274" s="1634"/>
      <c r="Q274" s="1634"/>
    </row>
    <row r="275" spans="1:19" ht="15.5">
      <c r="A275" s="1424" t="s">
        <v>489</v>
      </c>
      <c r="B275" s="1424"/>
      <c r="C275" s="1424"/>
      <c r="D275" s="1424"/>
      <c r="E275" s="1425"/>
      <c r="F275" s="225"/>
      <c r="G275" s="225"/>
      <c r="H275" s="576"/>
      <c r="I275" s="225"/>
      <c r="J275" s="225"/>
      <c r="K275" s="225"/>
      <c r="L275" s="225"/>
      <c r="M275" s="225"/>
      <c r="N275" s="225"/>
      <c r="O275" s="225"/>
      <c r="P275" s="225"/>
      <c r="Q275" s="225"/>
      <c r="R275" s="225"/>
      <c r="S275" s="225"/>
    </row>
  </sheetData>
  <mergeCells count="69">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O224:O225"/>
    <mergeCell ref="O238:O239"/>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38" orientation="landscape" r:id="rId1"/>
  <rowBreaks count="2" manualBreakCount="2">
    <brk id="96" max="19" man="1"/>
    <brk id="201"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topLeftCell="L89" zoomScale="68" zoomScaleNormal="68" workbookViewId="0">
      <selection activeCell="L128" sqref="L128"/>
    </sheetView>
  </sheetViews>
  <sheetFormatPr defaultColWidth="9.1796875" defaultRowHeight="12.5"/>
  <cols>
    <col min="1" max="1" width="9.1796875" style="1464" customWidth="1"/>
    <col min="2" max="2" width="9.453125" style="1466" customWidth="1"/>
    <col min="3" max="3" width="75.26953125" style="1466" customWidth="1"/>
    <col min="4" max="4" width="50.7265625" style="1466" bestFit="1" customWidth="1"/>
    <col min="5" max="5" width="25.81640625" style="1466" bestFit="1" customWidth="1"/>
    <col min="6" max="6" width="23.453125" style="1464" bestFit="1" customWidth="1"/>
    <col min="7" max="7" width="23" style="1464" bestFit="1" customWidth="1"/>
    <col min="8" max="9" width="21.453125" style="1464" customWidth="1"/>
    <col min="10" max="10" width="25.453125" style="1464" bestFit="1" customWidth="1"/>
    <col min="11" max="11" width="5.453125" style="1464" customWidth="1"/>
    <col min="12" max="12" width="23" style="1464" bestFit="1" customWidth="1"/>
    <col min="13" max="15" width="21.453125" style="1464" customWidth="1"/>
    <col min="16" max="16" width="25.1796875" style="1464" bestFit="1" customWidth="1"/>
    <col min="17" max="17" width="2.7265625" style="1464" customWidth="1"/>
    <col min="18" max="18" width="26.54296875" style="1464" customWidth="1"/>
    <col min="19" max="19" width="2.7265625" style="1464" customWidth="1"/>
    <col min="20" max="20" width="21.453125" style="1464" customWidth="1"/>
    <col min="21" max="21" width="2.7265625" style="1464" customWidth="1"/>
    <col min="22" max="22" width="24.26953125" style="1464" customWidth="1"/>
    <col min="23" max="23" width="2.7265625" style="1464" customWidth="1"/>
    <col min="24" max="24" width="26.54296875" style="1464" customWidth="1"/>
    <col min="25" max="25" width="2.7265625" style="1464" customWidth="1"/>
    <col min="26" max="26" width="22.7265625" style="1466" customWidth="1"/>
    <col min="27" max="27" width="2.7265625" style="1464" customWidth="1"/>
    <col min="28" max="28" width="18.7265625" style="1466" customWidth="1"/>
    <col min="29" max="29" width="2.7265625" style="1464" customWidth="1"/>
    <col min="30" max="30" width="14.453125" style="1464" customWidth="1"/>
    <col min="31" max="31" width="2.453125" style="1464" customWidth="1"/>
    <col min="32" max="32" width="31.81640625" style="1464" bestFit="1" customWidth="1"/>
    <col min="33" max="33" width="2.453125" style="1464" customWidth="1"/>
    <col min="34" max="34" width="19.81640625" style="1465" customWidth="1"/>
    <col min="35" max="35" width="2.453125" style="1465" customWidth="1"/>
    <col min="36" max="16384" width="9.1796875" style="1464"/>
  </cols>
  <sheetData>
    <row r="1" spans="1:162" ht="14">
      <c r="A1" s="1444" t="s">
        <v>1547</v>
      </c>
      <c r="B1" s="1444"/>
      <c r="C1" s="1464"/>
      <c r="D1" s="1464"/>
      <c r="E1" s="1464"/>
      <c r="X1" s="1444"/>
      <c r="Z1" s="1464"/>
      <c r="AB1" s="1464"/>
    </row>
    <row r="2" spans="1:162" ht="14">
      <c r="A2" s="1444" t="s">
        <v>1425</v>
      </c>
      <c r="B2" s="1444"/>
      <c r="C2" s="1464"/>
      <c r="D2" s="1464"/>
      <c r="E2" s="1464"/>
      <c r="X2" s="1444"/>
      <c r="Z2" s="1464"/>
      <c r="AB2" s="1464"/>
    </row>
    <row r="3" spans="1:162" ht="14">
      <c r="A3" s="1444" t="s">
        <v>1426</v>
      </c>
      <c r="B3" s="1444"/>
      <c r="C3" s="1464"/>
      <c r="D3" s="1464"/>
      <c r="E3" s="1464"/>
      <c r="Z3" s="1464"/>
      <c r="AB3" s="1464"/>
    </row>
    <row r="4" spans="1:162" ht="14">
      <c r="B4" s="1444"/>
    </row>
    <row r="5" spans="1:162" ht="19">
      <c r="B5" s="1769" t="s">
        <v>1388</v>
      </c>
      <c r="C5" s="1770"/>
      <c r="D5" s="1770"/>
      <c r="E5" s="1770"/>
      <c r="F5" s="1770"/>
      <c r="G5" s="1770"/>
      <c r="H5" s="1770"/>
      <c r="I5" s="1770"/>
      <c r="J5" s="1770"/>
      <c r="K5" s="1770"/>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1"/>
    </row>
    <row r="6" spans="1:162" ht="14">
      <c r="B6" s="1444"/>
    </row>
    <row r="7" spans="1:162" s="1680" customFormat="1" ht="15.5">
      <c r="B7" s="1681"/>
      <c r="C7" s="1681"/>
      <c r="D7" s="1681"/>
      <c r="E7" s="1681"/>
      <c r="F7" s="1772" t="s">
        <v>1427</v>
      </c>
      <c r="G7" s="1773"/>
      <c r="H7" s="1773"/>
      <c r="I7" s="1773"/>
      <c r="J7" s="1774"/>
      <c r="L7" s="1772" t="s">
        <v>1428</v>
      </c>
      <c r="M7" s="1773"/>
      <c r="N7" s="1773"/>
      <c r="O7" s="1773"/>
      <c r="P7" s="1774"/>
      <c r="R7" s="1772" t="s">
        <v>1429</v>
      </c>
      <c r="S7" s="1773"/>
      <c r="T7" s="1773"/>
      <c r="U7" s="1773"/>
      <c r="V7" s="1773"/>
      <c r="W7" s="1773"/>
      <c r="X7" s="1773"/>
      <c r="Y7" s="1773"/>
      <c r="Z7" s="1773"/>
      <c r="AA7" s="1773"/>
      <c r="AB7" s="1773"/>
      <c r="AC7" s="1773"/>
      <c r="AD7" s="1773"/>
      <c r="AE7" s="1773"/>
      <c r="AF7" s="1774"/>
      <c r="AG7" s="1682"/>
      <c r="AH7" s="1683"/>
      <c r="AI7" s="1683"/>
    </row>
    <row r="8" spans="1:162" s="1467" customFormat="1" ht="61.5" customHeight="1">
      <c r="B8" s="1647" t="s">
        <v>573</v>
      </c>
      <c r="C8" s="1648" t="s">
        <v>1430</v>
      </c>
      <c r="D8" s="1648" t="s">
        <v>1247</v>
      </c>
      <c r="E8" s="1647" t="s">
        <v>1431</v>
      </c>
      <c r="F8" s="1647" t="s">
        <v>1432</v>
      </c>
      <c r="G8" s="1647" t="s">
        <v>1433</v>
      </c>
      <c r="H8" s="1647" t="s">
        <v>1434</v>
      </c>
      <c r="I8" s="1647" t="s">
        <v>1435</v>
      </c>
      <c r="J8" s="1647" t="s">
        <v>1436</v>
      </c>
      <c r="K8" s="1647"/>
      <c r="L8" s="1647" t="s">
        <v>1432</v>
      </c>
      <c r="M8" s="1647" t="s">
        <v>1437</v>
      </c>
      <c r="N8" s="1647" t="s">
        <v>1434</v>
      </c>
      <c r="O8" s="1647" t="s">
        <v>1435</v>
      </c>
      <c r="P8" s="1647" t="s">
        <v>1436</v>
      </c>
      <c r="Q8" s="1647"/>
      <c r="R8" s="1647" t="s">
        <v>1438</v>
      </c>
      <c r="S8" s="1647"/>
      <c r="T8" s="1647" t="s">
        <v>1097</v>
      </c>
      <c r="U8" s="1647"/>
      <c r="V8" s="1647" t="s">
        <v>1439</v>
      </c>
      <c r="W8" s="1647"/>
      <c r="X8" s="1647" t="s">
        <v>1440</v>
      </c>
      <c r="Y8" s="1647"/>
      <c r="Z8" s="1647" t="s">
        <v>1441</v>
      </c>
      <c r="AA8" s="1647"/>
      <c r="AB8" s="1647" t="s">
        <v>1442</v>
      </c>
      <c r="AC8" s="1647"/>
      <c r="AD8" s="1647" t="s">
        <v>1636</v>
      </c>
      <c r="AE8" s="1647"/>
      <c r="AF8" s="1647" t="s">
        <v>1443</v>
      </c>
      <c r="AG8" s="1647"/>
      <c r="AH8" s="1647" t="s">
        <v>1444</v>
      </c>
      <c r="AI8" s="1464"/>
      <c r="AJ8" s="1464"/>
      <c r="AK8" s="1464"/>
      <c r="AL8" s="1464"/>
      <c r="AM8" s="1464"/>
      <c r="AN8" s="1464"/>
      <c r="AO8" s="1464"/>
      <c r="AP8" s="1464"/>
      <c r="AQ8" s="1464"/>
      <c r="AR8" s="1464"/>
      <c r="AS8" s="1464"/>
      <c r="AT8" s="1464"/>
      <c r="AU8" s="1464"/>
      <c r="AV8" s="1464"/>
      <c r="AW8" s="1464"/>
      <c r="AX8" s="1464"/>
      <c r="AY8" s="1464"/>
      <c r="AZ8" s="1464"/>
      <c r="BA8" s="1464"/>
      <c r="BB8" s="1464"/>
      <c r="BC8" s="1464"/>
      <c r="BD8" s="1464"/>
      <c r="BE8" s="1464"/>
      <c r="BF8" s="1464"/>
      <c r="BG8" s="1464"/>
      <c r="BH8" s="1464"/>
      <c r="BI8" s="1464"/>
      <c r="BJ8" s="1464"/>
      <c r="BK8" s="1464"/>
      <c r="BL8" s="1464"/>
      <c r="BM8" s="1464"/>
      <c r="BN8" s="1464"/>
      <c r="BO8" s="1464"/>
      <c r="BP8" s="1464"/>
      <c r="BQ8" s="1464"/>
      <c r="BR8" s="1464"/>
      <c r="BS8" s="1464"/>
      <c r="BT8" s="1464"/>
      <c r="BU8" s="1464"/>
      <c r="BV8" s="1464"/>
      <c r="BW8" s="1464"/>
      <c r="BX8" s="1464"/>
      <c r="BY8" s="1464"/>
      <c r="BZ8" s="1464"/>
      <c r="CA8" s="1464"/>
      <c r="CB8" s="1464"/>
      <c r="CC8" s="1464"/>
      <c r="CD8" s="1464"/>
      <c r="CE8" s="1464"/>
      <c r="CF8" s="1464"/>
      <c r="CG8" s="1464"/>
      <c r="CH8" s="1464"/>
      <c r="CI8" s="1464"/>
      <c r="CJ8" s="1464"/>
      <c r="CK8" s="1464"/>
      <c r="CL8" s="1464"/>
      <c r="CM8" s="1464"/>
      <c r="CN8" s="1464"/>
      <c r="CO8" s="1464"/>
      <c r="CP8" s="1464"/>
      <c r="CQ8" s="1464"/>
      <c r="CR8" s="1464"/>
      <c r="CS8" s="1464"/>
      <c r="CT8" s="1464"/>
      <c r="CU8" s="1464"/>
      <c r="CV8" s="1464"/>
      <c r="CW8" s="1464"/>
      <c r="CX8" s="1464"/>
      <c r="CY8" s="1464"/>
      <c r="CZ8" s="1464"/>
      <c r="DA8" s="1464"/>
      <c r="DB8" s="1464"/>
      <c r="DC8" s="1464"/>
      <c r="DD8" s="1464"/>
      <c r="DE8" s="1464"/>
      <c r="DF8" s="1464"/>
      <c r="DG8" s="1464"/>
      <c r="DH8" s="1464"/>
      <c r="DI8" s="1464"/>
      <c r="DJ8" s="1464"/>
      <c r="DK8" s="1464"/>
      <c r="DL8" s="1464"/>
      <c r="DM8" s="1464"/>
      <c r="DN8" s="1464"/>
      <c r="DO8" s="1464"/>
      <c r="DP8" s="1464"/>
      <c r="DQ8" s="1464"/>
      <c r="DR8" s="1464"/>
      <c r="DS8" s="1464"/>
      <c r="DT8" s="1464"/>
      <c r="DU8" s="1464"/>
      <c r="DV8" s="1464"/>
      <c r="DW8" s="1464"/>
      <c r="DX8" s="1464"/>
      <c r="DY8" s="1464"/>
      <c r="DZ8" s="1464"/>
      <c r="EA8" s="1464"/>
      <c r="EB8" s="1464"/>
      <c r="EC8" s="1464"/>
      <c r="ED8" s="1464"/>
      <c r="EE8" s="1464"/>
      <c r="EF8" s="1464"/>
      <c r="EG8" s="1464"/>
      <c r="EH8" s="1464"/>
      <c r="EI8" s="1464"/>
      <c r="EJ8" s="1464"/>
      <c r="EK8" s="1464"/>
      <c r="EL8" s="1464"/>
      <c r="EM8" s="1464"/>
      <c r="EN8" s="1464"/>
      <c r="EO8" s="1464"/>
      <c r="EP8" s="1464"/>
      <c r="EQ8" s="1464"/>
      <c r="ER8" s="1464"/>
      <c r="ES8" s="1464"/>
      <c r="ET8" s="1464"/>
      <c r="EU8" s="1464"/>
      <c r="EV8" s="1464"/>
      <c r="EW8" s="1464"/>
      <c r="EX8" s="1464"/>
      <c r="EY8" s="1464"/>
      <c r="EZ8" s="1464"/>
      <c r="FA8" s="1464"/>
      <c r="FB8" s="1464"/>
      <c r="FC8" s="1464"/>
      <c r="FD8" s="1464"/>
      <c r="FE8" s="1464"/>
      <c r="FF8" s="1464"/>
    </row>
    <row r="9" spans="1:162" ht="15" customHeight="1">
      <c r="B9" s="1468"/>
      <c r="C9" s="1649" t="s">
        <v>174</v>
      </c>
      <c r="D9" s="1650" t="s">
        <v>175</v>
      </c>
      <c r="E9" s="1650" t="s">
        <v>1142</v>
      </c>
      <c r="F9" s="1650" t="s">
        <v>1295</v>
      </c>
      <c r="G9" s="1650" t="s">
        <v>1445</v>
      </c>
      <c r="H9" s="1650" t="s">
        <v>1297</v>
      </c>
      <c r="I9" s="1650" t="s">
        <v>1446</v>
      </c>
      <c r="J9" s="1650" t="s">
        <v>1447</v>
      </c>
      <c r="K9" s="1469"/>
      <c r="L9" s="1650" t="s">
        <v>1300</v>
      </c>
      <c r="M9" s="1650" t="s">
        <v>1448</v>
      </c>
      <c r="N9" s="1650" t="s">
        <v>1302</v>
      </c>
      <c r="O9" s="1650" t="s">
        <v>1449</v>
      </c>
      <c r="P9" s="1650" t="s">
        <v>1450</v>
      </c>
      <c r="Q9" s="1470"/>
      <c r="R9" s="1650" t="s">
        <v>1451</v>
      </c>
      <c r="S9" s="1650"/>
      <c r="T9" s="1650" t="s">
        <v>1452</v>
      </c>
      <c r="U9" s="1650"/>
      <c r="V9" s="1650" t="s">
        <v>1453</v>
      </c>
      <c r="W9" s="1650"/>
      <c r="X9" s="1650" t="s">
        <v>1454</v>
      </c>
      <c r="Y9" s="1650"/>
      <c r="Z9" s="1650" t="s">
        <v>1455</v>
      </c>
      <c r="AA9" s="1650"/>
      <c r="AB9" s="1650" t="s">
        <v>1456</v>
      </c>
      <c r="AC9" s="1650"/>
      <c r="AD9" s="1650" t="s">
        <v>1457</v>
      </c>
      <c r="AE9" s="1650"/>
      <c r="AF9" s="1650" t="s">
        <v>1458</v>
      </c>
      <c r="AG9" s="1650"/>
      <c r="AH9" s="1650" t="s">
        <v>1459</v>
      </c>
      <c r="AI9" s="1464"/>
    </row>
    <row r="10" spans="1:162" s="1467" customFormat="1" ht="15" customHeight="1">
      <c r="B10" s="1651"/>
      <c r="C10" s="1651"/>
      <c r="D10" s="1651"/>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464"/>
      <c r="AK10" s="1464"/>
      <c r="AL10" s="1464"/>
      <c r="AM10" s="1464"/>
      <c r="AN10" s="1464"/>
      <c r="AO10" s="1464"/>
      <c r="AP10" s="1464"/>
      <c r="AQ10" s="1464"/>
      <c r="AR10" s="1464"/>
      <c r="AS10" s="1464"/>
      <c r="AT10" s="1464"/>
      <c r="AU10" s="1464"/>
      <c r="AV10" s="1464"/>
      <c r="AW10" s="1464"/>
      <c r="AX10" s="1464"/>
      <c r="AY10" s="1464"/>
      <c r="AZ10" s="1464"/>
      <c r="BA10" s="1464"/>
      <c r="BB10" s="1464"/>
      <c r="BC10" s="1464"/>
      <c r="BD10" s="1464"/>
      <c r="BE10" s="1464"/>
      <c r="BF10" s="1464"/>
      <c r="BG10" s="1464"/>
      <c r="BH10" s="1464"/>
      <c r="BI10" s="1464"/>
      <c r="BJ10" s="1464"/>
      <c r="BK10" s="1464"/>
      <c r="BL10" s="1464"/>
      <c r="BM10" s="1464"/>
      <c r="BN10" s="1464"/>
      <c r="BO10" s="1464"/>
      <c r="BP10" s="1464"/>
      <c r="BQ10" s="1464"/>
      <c r="BR10" s="1464"/>
      <c r="BS10" s="1464"/>
      <c r="BT10" s="1464"/>
      <c r="BU10" s="1464"/>
      <c r="BV10" s="1464"/>
      <c r="BW10" s="1464"/>
      <c r="BX10" s="1464"/>
      <c r="BY10" s="1464"/>
      <c r="BZ10" s="1464"/>
      <c r="CA10" s="1464"/>
      <c r="CB10" s="1464"/>
      <c r="CC10" s="1464"/>
      <c r="CD10" s="1464"/>
      <c r="CE10" s="1464"/>
      <c r="CF10" s="1464"/>
      <c r="CG10" s="1464"/>
      <c r="CH10" s="1464"/>
      <c r="CI10" s="1464"/>
      <c r="CJ10" s="1464"/>
      <c r="CK10" s="1464"/>
      <c r="CL10" s="1464"/>
      <c r="CM10" s="1464"/>
      <c r="CN10" s="1464"/>
      <c r="CO10" s="1464"/>
      <c r="CP10" s="1464"/>
      <c r="CQ10" s="1464"/>
      <c r="CR10" s="1464"/>
      <c r="CS10" s="1464"/>
      <c r="CT10" s="1464"/>
      <c r="CU10" s="1464"/>
      <c r="CV10" s="1464"/>
      <c r="CW10" s="1464"/>
      <c r="CX10" s="1464"/>
      <c r="CY10" s="1464"/>
      <c r="CZ10" s="1464"/>
      <c r="DA10" s="1464"/>
      <c r="DB10" s="1464"/>
      <c r="DC10" s="1464"/>
      <c r="DD10" s="1464"/>
      <c r="DE10" s="1464"/>
      <c r="DF10" s="1464"/>
      <c r="DG10" s="1464"/>
      <c r="DH10" s="1464"/>
      <c r="DI10" s="1464"/>
      <c r="DJ10" s="1464"/>
      <c r="DK10" s="1464"/>
      <c r="DL10" s="1464"/>
      <c r="DM10" s="1464"/>
      <c r="DN10" s="1464"/>
      <c r="DO10" s="1464"/>
      <c r="DP10" s="1464"/>
      <c r="DQ10" s="1464"/>
      <c r="DR10" s="1464"/>
      <c r="DS10" s="1464"/>
      <c r="DT10" s="1464"/>
      <c r="DU10" s="1464"/>
      <c r="DV10" s="1464"/>
      <c r="DW10" s="1464"/>
      <c r="DX10" s="1464"/>
      <c r="DY10" s="1464"/>
      <c r="DZ10" s="1464"/>
      <c r="EA10" s="1464"/>
      <c r="EB10" s="1464"/>
      <c r="EC10" s="1464"/>
      <c r="ED10" s="1464"/>
      <c r="EE10" s="1464"/>
      <c r="EF10" s="1464"/>
      <c r="EG10" s="1464"/>
      <c r="EH10" s="1464"/>
      <c r="EI10" s="1464"/>
      <c r="EJ10" s="1464"/>
      <c r="EK10" s="1464"/>
      <c r="EL10" s="1464"/>
      <c r="EM10" s="1464"/>
      <c r="EN10" s="1464"/>
      <c r="EO10" s="1464"/>
      <c r="EP10" s="1464"/>
      <c r="EQ10" s="1464"/>
      <c r="ER10" s="1464"/>
      <c r="ES10" s="1464"/>
      <c r="ET10" s="1464"/>
      <c r="EU10" s="1464"/>
      <c r="EV10" s="1464"/>
      <c r="EW10" s="1464"/>
      <c r="EX10" s="1464"/>
      <c r="EY10" s="1464"/>
      <c r="EZ10" s="1464"/>
      <c r="FA10" s="1464"/>
      <c r="FB10" s="1464"/>
      <c r="FC10" s="1464"/>
      <c r="FD10" s="1464"/>
      <c r="FE10" s="1464"/>
      <c r="FF10" s="1464"/>
    </row>
    <row r="11" spans="1:162" s="1467" customFormat="1" ht="13">
      <c r="B11" s="1651"/>
      <c r="C11" s="1652" t="s">
        <v>1637</v>
      </c>
      <c r="D11" s="1651"/>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J11" s="1464"/>
      <c r="AK11" s="1464"/>
      <c r="AL11" s="1464"/>
      <c r="AM11" s="1464"/>
      <c r="AN11" s="1464"/>
      <c r="AO11" s="1464"/>
      <c r="AP11" s="1464"/>
      <c r="AQ11" s="1464"/>
      <c r="AR11" s="1464"/>
      <c r="AS11" s="1464"/>
      <c r="AT11" s="1464"/>
      <c r="AU11" s="1464"/>
      <c r="AV11" s="1464"/>
      <c r="AW11" s="1464"/>
      <c r="AX11" s="1464"/>
      <c r="AY11" s="1464"/>
      <c r="AZ11" s="1464"/>
      <c r="BA11" s="1464"/>
      <c r="BB11" s="1464"/>
      <c r="BC11" s="1464"/>
      <c r="BD11" s="1464"/>
      <c r="BE11" s="1464"/>
      <c r="BF11" s="1464"/>
      <c r="BG11" s="1464"/>
      <c r="BH11" s="1464"/>
      <c r="BI11" s="1464"/>
      <c r="BJ11" s="1464"/>
      <c r="BK11" s="1464"/>
      <c r="BL11" s="1464"/>
      <c r="BM11" s="1464"/>
      <c r="BN11" s="1464"/>
      <c r="BO11" s="1464"/>
      <c r="BP11" s="1464"/>
      <c r="BQ11" s="1464"/>
      <c r="BR11" s="1464"/>
      <c r="BS11" s="1464"/>
      <c r="BT11" s="1464"/>
      <c r="BU11" s="1464"/>
      <c r="BV11" s="1464"/>
      <c r="BW11" s="1464"/>
      <c r="BX11" s="1464"/>
      <c r="BY11" s="1464"/>
      <c r="BZ11" s="1464"/>
      <c r="CA11" s="1464"/>
      <c r="CB11" s="1464"/>
      <c r="CC11" s="1464"/>
      <c r="CD11" s="1464"/>
      <c r="CE11" s="1464"/>
      <c r="CF11" s="1464"/>
      <c r="CG11" s="1464"/>
      <c r="CH11" s="1464"/>
      <c r="CI11" s="1464"/>
      <c r="CJ11" s="1464"/>
      <c r="CK11" s="1464"/>
      <c r="CL11" s="1464"/>
      <c r="CM11" s="1464"/>
      <c r="CN11" s="1464"/>
      <c r="CO11" s="1464"/>
      <c r="CP11" s="1464"/>
      <c r="CQ11" s="1464"/>
      <c r="CR11" s="1464"/>
      <c r="CS11" s="1464"/>
      <c r="CT11" s="1464"/>
      <c r="CU11" s="1464"/>
      <c r="CV11" s="1464"/>
      <c r="CW11" s="1464"/>
      <c r="CX11" s="1464"/>
      <c r="CY11" s="1464"/>
      <c r="CZ11" s="1464"/>
      <c r="DA11" s="1464"/>
      <c r="DB11" s="1464"/>
      <c r="DC11" s="1464"/>
      <c r="DD11" s="1464"/>
      <c r="DE11" s="1464"/>
      <c r="DF11" s="1464"/>
      <c r="DG11" s="1464"/>
      <c r="DH11" s="1464"/>
      <c r="DI11" s="1464"/>
      <c r="DJ11" s="1464"/>
      <c r="DK11" s="1464"/>
      <c r="DL11" s="1464"/>
      <c r="DM11" s="1464"/>
      <c r="DN11" s="1464"/>
      <c r="DO11" s="1464"/>
      <c r="DP11" s="1464"/>
      <c r="DQ11" s="1464"/>
      <c r="DR11" s="1464"/>
      <c r="DS11" s="1464"/>
      <c r="DT11" s="1464"/>
      <c r="DU11" s="1464"/>
      <c r="DV11" s="1464"/>
      <c r="DW11" s="1464"/>
      <c r="DX11" s="1464"/>
      <c r="DY11" s="1464"/>
      <c r="DZ11" s="1464"/>
      <c r="EA11" s="1464"/>
      <c r="EB11" s="1464"/>
      <c r="EC11" s="1464"/>
      <c r="ED11" s="1464"/>
      <c r="EE11" s="1464"/>
      <c r="EF11" s="1464"/>
      <c r="EG11" s="1464"/>
      <c r="EH11" s="1464"/>
      <c r="EI11" s="1464"/>
      <c r="EJ11" s="1464"/>
      <c r="EK11" s="1464"/>
      <c r="EL11" s="1464"/>
      <c r="EM11" s="1464"/>
      <c r="EN11" s="1464"/>
      <c r="EO11" s="1464"/>
      <c r="EP11" s="1464"/>
      <c r="EQ11" s="1464"/>
      <c r="ER11" s="1464"/>
      <c r="ES11" s="1464"/>
      <c r="ET11" s="1464"/>
      <c r="EU11" s="1464"/>
      <c r="EV11" s="1464"/>
      <c r="EW11" s="1464"/>
      <c r="EX11" s="1464"/>
      <c r="EY11" s="1464"/>
      <c r="EZ11" s="1464"/>
      <c r="FA11" s="1464"/>
      <c r="FB11" s="1464"/>
      <c r="FC11" s="1464"/>
      <c r="FD11" s="1464"/>
      <c r="FE11" s="1464"/>
      <c r="FF11" s="1464"/>
    </row>
    <row r="12" spans="1:162">
      <c r="B12" s="1314">
        <v>1</v>
      </c>
      <c r="C12" s="1440" t="s">
        <v>1638</v>
      </c>
      <c r="D12" s="1440" t="s">
        <v>1639</v>
      </c>
      <c r="E12" s="1440" t="s">
        <v>1461</v>
      </c>
      <c r="F12" s="1653">
        <v>0</v>
      </c>
      <c r="G12" s="1654">
        <f t="shared" ref="G12:G70" si="0">F12*0.35</f>
        <v>0</v>
      </c>
      <c r="H12" s="1653">
        <v>561350.97</v>
      </c>
      <c r="I12" s="1654">
        <f t="shared" ref="I12:I70" si="1">-H12*0.35</f>
        <v>-196472.83949999997</v>
      </c>
      <c r="J12" s="1654">
        <f t="shared" ref="J12:J70" si="2">G12+H12+I12</f>
        <v>364878.13049999997</v>
      </c>
      <c r="K12" s="1655"/>
      <c r="L12" s="1653">
        <f t="shared" ref="L12:L69" si="3">F12</f>
        <v>0</v>
      </c>
      <c r="M12" s="1654">
        <f t="shared" ref="M12:M70" si="4">L12*0.21</f>
        <v>0</v>
      </c>
      <c r="N12" s="1653">
        <v>561350.97</v>
      </c>
      <c r="O12" s="1654">
        <f t="shared" ref="O12:O70" si="5">-N12*0.21</f>
        <v>-117883.70369999998</v>
      </c>
      <c r="P12" s="1654">
        <f t="shared" ref="P12:P70" si="6">M12+N12+O12</f>
        <v>443467.26630000002</v>
      </c>
      <c r="R12" s="1654">
        <f t="shared" ref="R12:R70" si="7">J12-P12</f>
        <v>-78589.135800000047</v>
      </c>
      <c r="S12" s="1655"/>
      <c r="T12" s="1653">
        <v>0</v>
      </c>
      <c r="U12" s="1655"/>
      <c r="V12" s="1653">
        <v>0</v>
      </c>
      <c r="W12" s="1655"/>
      <c r="X12" s="1654">
        <f t="shared" ref="X12:X70" si="8">R12-T12-V12</f>
        <v>-78589.135800000047</v>
      </c>
      <c r="Y12" s="1655"/>
      <c r="Z12" s="1449" t="s">
        <v>1475</v>
      </c>
      <c r="AA12" s="1656"/>
      <c r="AB12" s="1449" t="s">
        <v>22</v>
      </c>
      <c r="AC12" s="1656"/>
      <c r="AD12" s="1657">
        <v>0.33300000000000002</v>
      </c>
      <c r="AE12" s="1656"/>
      <c r="AF12" s="1654">
        <f t="shared" ref="AF12:AF70" si="9">X12*AD12</f>
        <v>-26170.182221400017</v>
      </c>
      <c r="AG12" s="1008"/>
      <c r="AH12" s="1314">
        <v>190</v>
      </c>
      <c r="AI12" s="1314"/>
    </row>
    <row r="13" spans="1:162">
      <c r="B13" s="1314">
        <v>2</v>
      </c>
      <c r="C13" s="1440" t="s">
        <v>1460</v>
      </c>
      <c r="D13" s="1440" t="s">
        <v>1640</v>
      </c>
      <c r="E13" s="1440" t="s">
        <v>1461</v>
      </c>
      <c r="F13" s="1658">
        <v>222051.82999999996</v>
      </c>
      <c r="G13" s="1659">
        <f t="shared" si="0"/>
        <v>77718.14049999998</v>
      </c>
      <c r="H13" s="1658">
        <v>19984.664699999994</v>
      </c>
      <c r="I13" s="1659">
        <f t="shared" si="1"/>
        <v>-6994.6326449999979</v>
      </c>
      <c r="J13" s="1659">
        <f t="shared" si="2"/>
        <v>90708.172554999968</v>
      </c>
      <c r="K13" s="1660"/>
      <c r="L13" s="1658">
        <f t="shared" si="3"/>
        <v>222051.82999999996</v>
      </c>
      <c r="M13" s="1659">
        <f t="shared" si="4"/>
        <v>46630.884299999991</v>
      </c>
      <c r="N13" s="1658">
        <v>19984.664699999994</v>
      </c>
      <c r="O13" s="1659">
        <f t="shared" si="5"/>
        <v>-4196.7795869999982</v>
      </c>
      <c r="P13" s="1659">
        <f t="shared" si="6"/>
        <v>62418.769412999987</v>
      </c>
      <c r="Q13" s="1659"/>
      <c r="R13" s="1659">
        <f t="shared" si="7"/>
        <v>28289.403141999981</v>
      </c>
      <c r="S13" s="1660"/>
      <c r="T13" s="1658">
        <v>0</v>
      </c>
      <c r="U13" s="1660"/>
      <c r="V13" s="1658">
        <v>0</v>
      </c>
      <c r="W13" s="1660"/>
      <c r="X13" s="1659">
        <f t="shared" si="8"/>
        <v>28289.403141999981</v>
      </c>
      <c r="Y13" s="1655"/>
      <c r="Z13" s="1449" t="s">
        <v>260</v>
      </c>
      <c r="AA13" s="1656"/>
      <c r="AB13" s="1449" t="s">
        <v>22</v>
      </c>
      <c r="AC13" s="1656"/>
      <c r="AD13" s="1657">
        <v>6.5299999999999997E-2</v>
      </c>
      <c r="AE13" s="1656"/>
      <c r="AF13" s="1659">
        <f t="shared" si="9"/>
        <v>1847.2980251725987</v>
      </c>
      <c r="AG13" s="1008"/>
      <c r="AH13" s="1314">
        <v>190</v>
      </c>
      <c r="AI13" s="1314"/>
    </row>
    <row r="14" spans="1:162">
      <c r="B14" s="1314">
        <v>3</v>
      </c>
      <c r="C14" s="1440" t="s">
        <v>1641</v>
      </c>
      <c r="D14" s="1440" t="s">
        <v>1640</v>
      </c>
      <c r="E14" s="1440" t="s">
        <v>1461</v>
      </c>
      <c r="F14" s="1658">
        <v>561535.93000000005</v>
      </c>
      <c r="G14" s="1659">
        <f t="shared" si="0"/>
        <v>196537.57550000001</v>
      </c>
      <c r="H14" s="1658">
        <v>50538.233700000004</v>
      </c>
      <c r="I14" s="1659">
        <f t="shared" si="1"/>
        <v>-17688.381795000001</v>
      </c>
      <c r="J14" s="1659">
        <f t="shared" si="2"/>
        <v>229387.42740500002</v>
      </c>
      <c r="K14" s="1660"/>
      <c r="L14" s="1658">
        <f t="shared" si="3"/>
        <v>561535.93000000005</v>
      </c>
      <c r="M14" s="1659">
        <f t="shared" si="4"/>
        <v>117922.54530000001</v>
      </c>
      <c r="N14" s="1658">
        <v>50538.233700000004</v>
      </c>
      <c r="O14" s="1659">
        <f t="shared" si="5"/>
        <v>-10613.029077000001</v>
      </c>
      <c r="P14" s="1659">
        <f t="shared" si="6"/>
        <v>157847.749923</v>
      </c>
      <c r="Q14" s="1659"/>
      <c r="R14" s="1659">
        <f t="shared" si="7"/>
        <v>71539.677482000028</v>
      </c>
      <c r="S14" s="1660"/>
      <c r="T14" s="1658">
        <v>0</v>
      </c>
      <c r="U14" s="1660"/>
      <c r="V14" s="1658">
        <v>0</v>
      </c>
      <c r="W14" s="1660"/>
      <c r="X14" s="1659">
        <f t="shared" si="8"/>
        <v>71539.677482000028</v>
      </c>
      <c r="Y14" s="1655"/>
      <c r="Z14" s="1449" t="s">
        <v>260</v>
      </c>
      <c r="AA14" s="1656"/>
      <c r="AB14" s="1449" t="s">
        <v>22</v>
      </c>
      <c r="AC14" s="1656"/>
      <c r="AD14" s="1657">
        <v>6.5299999999999997E-2</v>
      </c>
      <c r="AE14" s="1656"/>
      <c r="AF14" s="1659">
        <f t="shared" si="9"/>
        <v>4671.5409395746019</v>
      </c>
      <c r="AG14" s="1008"/>
      <c r="AH14" s="1314">
        <v>190</v>
      </c>
      <c r="AI14" s="1314"/>
    </row>
    <row r="15" spans="1:162">
      <c r="B15" s="1314">
        <v>4</v>
      </c>
      <c r="C15" s="1440" t="s">
        <v>1642</v>
      </c>
      <c r="D15" s="1440" t="s">
        <v>1640</v>
      </c>
      <c r="E15" s="1440" t="s">
        <v>1461</v>
      </c>
      <c r="F15" s="1658">
        <v>1350412</v>
      </c>
      <c r="G15" s="1659">
        <f t="shared" si="0"/>
        <v>472644.19999999995</v>
      </c>
      <c r="H15" s="1658">
        <v>121537.08</v>
      </c>
      <c r="I15" s="1659">
        <f t="shared" si="1"/>
        <v>-42537.977999999996</v>
      </c>
      <c r="J15" s="1659">
        <f t="shared" si="2"/>
        <v>551643.30199999991</v>
      </c>
      <c r="K15" s="1660"/>
      <c r="L15" s="1658">
        <f t="shared" si="3"/>
        <v>1350412</v>
      </c>
      <c r="M15" s="1659">
        <f t="shared" si="4"/>
        <v>283586.51999999996</v>
      </c>
      <c r="N15" s="1658">
        <v>121537.08</v>
      </c>
      <c r="O15" s="1659">
        <f t="shared" si="5"/>
        <v>-25522.786799999998</v>
      </c>
      <c r="P15" s="1659">
        <f t="shared" si="6"/>
        <v>379600.81319999998</v>
      </c>
      <c r="Q15" s="1659"/>
      <c r="R15" s="1659">
        <f t="shared" si="7"/>
        <v>172042.48879999993</v>
      </c>
      <c r="S15" s="1660"/>
      <c r="T15" s="1658">
        <v>0</v>
      </c>
      <c r="U15" s="1660"/>
      <c r="V15" s="1658">
        <v>0</v>
      </c>
      <c r="W15" s="1660"/>
      <c r="X15" s="1659">
        <f t="shared" si="8"/>
        <v>172042.48879999993</v>
      </c>
      <c r="Y15" s="1655"/>
      <c r="Z15" s="1449" t="s">
        <v>260</v>
      </c>
      <c r="AA15" s="1656"/>
      <c r="AB15" s="1449" t="s">
        <v>22</v>
      </c>
      <c r="AC15" s="1656"/>
      <c r="AD15" s="1657">
        <v>6.5299999999999997E-2</v>
      </c>
      <c r="AE15" s="1656"/>
      <c r="AF15" s="1659">
        <f t="shared" si="9"/>
        <v>11234.374518639996</v>
      </c>
      <c r="AG15" s="1008"/>
      <c r="AH15" s="1314">
        <v>190</v>
      </c>
      <c r="AI15" s="1314"/>
    </row>
    <row r="16" spans="1:162">
      <c r="B16" s="1314">
        <v>5</v>
      </c>
      <c r="C16" s="1440" t="s">
        <v>1643</v>
      </c>
      <c r="D16" s="1440" t="s">
        <v>1640</v>
      </c>
      <c r="E16" s="1440" t="s">
        <v>1461</v>
      </c>
      <c r="F16" s="1658">
        <v>156169.44</v>
      </c>
      <c r="G16" s="1659">
        <f t="shared" si="0"/>
        <v>54659.303999999996</v>
      </c>
      <c r="H16" s="1658">
        <v>14055.249599999999</v>
      </c>
      <c r="I16" s="1659">
        <f t="shared" si="1"/>
        <v>-4919.3373599999995</v>
      </c>
      <c r="J16" s="1659">
        <f t="shared" si="2"/>
        <v>63795.216240000002</v>
      </c>
      <c r="K16" s="1660"/>
      <c r="L16" s="1658">
        <f t="shared" si="3"/>
        <v>156169.44</v>
      </c>
      <c r="M16" s="1659">
        <f t="shared" si="4"/>
        <v>32795.582399999999</v>
      </c>
      <c r="N16" s="1658">
        <v>14055.249599999999</v>
      </c>
      <c r="O16" s="1659">
        <f t="shared" si="5"/>
        <v>-2951.6024159999997</v>
      </c>
      <c r="P16" s="1659">
        <f t="shared" si="6"/>
        <v>43899.229583999993</v>
      </c>
      <c r="Q16" s="1659"/>
      <c r="R16" s="1659">
        <f t="shared" si="7"/>
        <v>19895.986656000008</v>
      </c>
      <c r="S16" s="1660"/>
      <c r="T16" s="1658">
        <v>0</v>
      </c>
      <c r="U16" s="1660"/>
      <c r="V16" s="1658">
        <v>0</v>
      </c>
      <c r="W16" s="1660"/>
      <c r="X16" s="1659">
        <f t="shared" si="8"/>
        <v>19895.986656000008</v>
      </c>
      <c r="Y16" s="1655"/>
      <c r="Z16" s="1449" t="s">
        <v>260</v>
      </c>
      <c r="AA16" s="1656"/>
      <c r="AB16" s="1449" t="s">
        <v>22</v>
      </c>
      <c r="AC16" s="1656"/>
      <c r="AD16" s="1657">
        <v>6.5299999999999997E-2</v>
      </c>
      <c r="AE16" s="1656"/>
      <c r="AF16" s="1659">
        <f t="shared" si="9"/>
        <v>1299.2079286368005</v>
      </c>
      <c r="AG16" s="1008"/>
      <c r="AH16" s="1314">
        <v>190</v>
      </c>
      <c r="AI16" s="1314"/>
    </row>
    <row r="17" spans="2:35">
      <c r="B17" s="1314">
        <v>6</v>
      </c>
      <c r="C17" s="1440" t="s">
        <v>1465</v>
      </c>
      <c r="D17" s="1440" t="s">
        <v>1640</v>
      </c>
      <c r="E17" s="1440" t="s">
        <v>1461</v>
      </c>
      <c r="F17" s="1658">
        <v>3405703.67</v>
      </c>
      <c r="G17" s="1659">
        <f t="shared" si="0"/>
        <v>1191996.2844999998</v>
      </c>
      <c r="H17" s="1658">
        <v>306513.33029999997</v>
      </c>
      <c r="I17" s="1659">
        <f t="shared" si="1"/>
        <v>-107279.66560499999</v>
      </c>
      <c r="J17" s="1659">
        <f t="shared" si="2"/>
        <v>1391229.9491949999</v>
      </c>
      <c r="K17" s="1660"/>
      <c r="L17" s="1658">
        <f t="shared" si="3"/>
        <v>3405703.67</v>
      </c>
      <c r="M17" s="1659">
        <f t="shared" si="4"/>
        <v>715197.77069999999</v>
      </c>
      <c r="N17" s="1658">
        <v>306513.33029999997</v>
      </c>
      <c r="O17" s="1659">
        <f t="shared" si="5"/>
        <v>-64367.799362999991</v>
      </c>
      <c r="P17" s="1659">
        <f t="shared" si="6"/>
        <v>957343.30163700006</v>
      </c>
      <c r="Q17" s="1659"/>
      <c r="R17" s="1659">
        <f t="shared" si="7"/>
        <v>433886.64755799982</v>
      </c>
      <c r="S17" s="1660"/>
      <c r="T17" s="1658">
        <v>0</v>
      </c>
      <c r="U17" s="1660"/>
      <c r="V17" s="1658">
        <v>0</v>
      </c>
      <c r="W17" s="1660"/>
      <c r="X17" s="1659">
        <f t="shared" si="8"/>
        <v>433886.64755799982</v>
      </c>
      <c r="Y17" s="1655"/>
      <c r="Z17" s="1449" t="s">
        <v>260</v>
      </c>
      <c r="AA17" s="1656"/>
      <c r="AB17" s="1449" t="s">
        <v>22</v>
      </c>
      <c r="AC17" s="1656"/>
      <c r="AD17" s="1657">
        <v>6.5299999999999997E-2</v>
      </c>
      <c r="AE17" s="1656"/>
      <c r="AF17" s="1659">
        <f t="shared" si="9"/>
        <v>28332.798085537386</v>
      </c>
      <c r="AG17" s="1008"/>
      <c r="AH17" s="1314">
        <v>190</v>
      </c>
      <c r="AI17" s="1314"/>
    </row>
    <row r="18" spans="2:35">
      <c r="B18" s="1314">
        <v>7</v>
      </c>
      <c r="C18" s="1440" t="s">
        <v>1468</v>
      </c>
      <c r="D18" s="1440" t="s">
        <v>1640</v>
      </c>
      <c r="E18" s="1440" t="s">
        <v>1461</v>
      </c>
      <c r="F18" s="1658">
        <v>1776910.91</v>
      </c>
      <c r="G18" s="1659">
        <f t="shared" si="0"/>
        <v>621918.81849999994</v>
      </c>
      <c r="H18" s="1658">
        <v>159921.98189999998</v>
      </c>
      <c r="I18" s="1659">
        <f t="shared" si="1"/>
        <v>-55972.693664999992</v>
      </c>
      <c r="J18" s="1659">
        <f t="shared" si="2"/>
        <v>725868.10673499992</v>
      </c>
      <c r="K18" s="1660"/>
      <c r="L18" s="1658">
        <f t="shared" si="3"/>
        <v>1776910.91</v>
      </c>
      <c r="M18" s="1659">
        <f t="shared" si="4"/>
        <v>373151.29109999997</v>
      </c>
      <c r="N18" s="1658">
        <v>159921.98189999998</v>
      </c>
      <c r="O18" s="1659">
        <f t="shared" si="5"/>
        <v>-33583.616198999996</v>
      </c>
      <c r="P18" s="1659">
        <f t="shared" si="6"/>
        <v>499489.65680099995</v>
      </c>
      <c r="Q18" s="1659"/>
      <c r="R18" s="1659">
        <f t="shared" si="7"/>
        <v>226378.44993399997</v>
      </c>
      <c r="S18" s="1660"/>
      <c r="T18" s="1658">
        <v>0</v>
      </c>
      <c r="U18" s="1660"/>
      <c r="V18" s="1658">
        <v>0</v>
      </c>
      <c r="W18" s="1660"/>
      <c r="X18" s="1659">
        <f t="shared" si="8"/>
        <v>226378.44993399997</v>
      </c>
      <c r="Y18" s="1655"/>
      <c r="Z18" s="1449" t="s">
        <v>260</v>
      </c>
      <c r="AA18" s="1656"/>
      <c r="AB18" s="1449" t="s">
        <v>22</v>
      </c>
      <c r="AC18" s="1656"/>
      <c r="AD18" s="1657">
        <v>6.5299999999999997E-2</v>
      </c>
      <c r="AE18" s="1656"/>
      <c r="AF18" s="1659">
        <f t="shared" si="9"/>
        <v>14782.512780690198</v>
      </c>
      <c r="AG18" s="1008"/>
      <c r="AH18" s="1314">
        <v>190</v>
      </c>
      <c r="AI18" s="1314"/>
    </row>
    <row r="19" spans="2:35">
      <c r="B19" s="1314">
        <v>8</v>
      </c>
      <c r="C19" s="1440" t="s">
        <v>1469</v>
      </c>
      <c r="D19" s="1440" t="s">
        <v>1640</v>
      </c>
      <c r="E19" s="1440" t="s">
        <v>1461</v>
      </c>
      <c r="F19" s="1658">
        <v>2978952.3642689832</v>
      </c>
      <c r="G19" s="1659">
        <f t="shared" si="0"/>
        <v>1042633.3274941441</v>
      </c>
      <c r="H19" s="1658">
        <v>268105.71278420847</v>
      </c>
      <c r="I19" s="1659">
        <f t="shared" si="1"/>
        <v>-93836.999474472963</v>
      </c>
      <c r="J19" s="1659">
        <f t="shared" si="2"/>
        <v>1216902.0408038795</v>
      </c>
      <c r="K19" s="1660"/>
      <c r="L19" s="1658">
        <f t="shared" si="3"/>
        <v>2978952.3642689832</v>
      </c>
      <c r="M19" s="1659">
        <f t="shared" si="4"/>
        <v>625579.99649648648</v>
      </c>
      <c r="N19" s="1658">
        <v>268105.71278420847</v>
      </c>
      <c r="O19" s="1659">
        <f t="shared" si="5"/>
        <v>-56302.199684683779</v>
      </c>
      <c r="P19" s="1659">
        <f t="shared" si="6"/>
        <v>837383.50959601114</v>
      </c>
      <c r="Q19" s="1659"/>
      <c r="R19" s="1659">
        <f t="shared" si="7"/>
        <v>379518.53120786836</v>
      </c>
      <c r="S19" s="1660"/>
      <c r="T19" s="1658">
        <v>0</v>
      </c>
      <c r="U19" s="1660"/>
      <c r="V19" s="1658">
        <v>0</v>
      </c>
      <c r="W19" s="1660"/>
      <c r="X19" s="1659">
        <f t="shared" si="8"/>
        <v>379518.53120786836</v>
      </c>
      <c r="Y19" s="1655"/>
      <c r="Z19" s="1449" t="s">
        <v>260</v>
      </c>
      <c r="AA19" s="1656"/>
      <c r="AB19" s="1449" t="s">
        <v>22</v>
      </c>
      <c r="AC19" s="1656"/>
      <c r="AD19" s="1657">
        <v>6.5299999999999997E-2</v>
      </c>
      <c r="AE19" s="1656"/>
      <c r="AF19" s="1659">
        <f t="shared" si="9"/>
        <v>24782.560087873804</v>
      </c>
      <c r="AG19" s="1008"/>
      <c r="AH19" s="1314">
        <v>190</v>
      </c>
      <c r="AI19" s="1314"/>
    </row>
    <row r="20" spans="2:35">
      <c r="B20" s="1314">
        <v>9</v>
      </c>
      <c r="C20" s="1440" t="s">
        <v>1644</v>
      </c>
      <c r="D20" s="1440" t="s">
        <v>1640</v>
      </c>
      <c r="E20" s="1440" t="s">
        <v>1461</v>
      </c>
      <c r="F20" s="1658">
        <v>135000</v>
      </c>
      <c r="G20" s="1659">
        <f t="shared" si="0"/>
        <v>47250</v>
      </c>
      <c r="H20" s="1658">
        <v>12150</v>
      </c>
      <c r="I20" s="1659">
        <f t="shared" si="1"/>
        <v>-4252.5</v>
      </c>
      <c r="J20" s="1659">
        <f t="shared" si="2"/>
        <v>55147.5</v>
      </c>
      <c r="K20" s="1660"/>
      <c r="L20" s="1658">
        <f t="shared" si="3"/>
        <v>135000</v>
      </c>
      <c r="M20" s="1659">
        <f t="shared" si="4"/>
        <v>28350</v>
      </c>
      <c r="N20" s="1658">
        <v>12150</v>
      </c>
      <c r="O20" s="1659">
        <f t="shared" si="5"/>
        <v>-2551.5</v>
      </c>
      <c r="P20" s="1659">
        <f t="shared" si="6"/>
        <v>37948.5</v>
      </c>
      <c r="Q20" s="1659"/>
      <c r="R20" s="1659">
        <f t="shared" si="7"/>
        <v>17199</v>
      </c>
      <c r="S20" s="1660"/>
      <c r="T20" s="1658">
        <v>0</v>
      </c>
      <c r="U20" s="1660"/>
      <c r="V20" s="1658">
        <v>0</v>
      </c>
      <c r="W20" s="1660"/>
      <c r="X20" s="1659">
        <f t="shared" si="8"/>
        <v>17199</v>
      </c>
      <c r="Y20" s="1655"/>
      <c r="Z20" s="1449" t="s">
        <v>260</v>
      </c>
      <c r="AA20" s="1656"/>
      <c r="AB20" s="1449" t="s">
        <v>22</v>
      </c>
      <c r="AC20" s="1656"/>
      <c r="AD20" s="1657">
        <v>6.5299999999999997E-2</v>
      </c>
      <c r="AE20" s="1656"/>
      <c r="AF20" s="1659">
        <f t="shared" si="9"/>
        <v>1123.0946999999999</v>
      </c>
      <c r="AG20" s="1008"/>
      <c r="AH20" s="1314">
        <v>190</v>
      </c>
      <c r="AI20" s="1314"/>
    </row>
    <row r="21" spans="2:35">
      <c r="B21" s="1314">
        <v>10</v>
      </c>
      <c r="C21" s="1440" t="s">
        <v>1645</v>
      </c>
      <c r="D21" s="1440" t="s">
        <v>1640</v>
      </c>
      <c r="E21" s="1440" t="s">
        <v>1461</v>
      </c>
      <c r="F21" s="1658">
        <v>-156169.44</v>
      </c>
      <c r="G21" s="1659">
        <f t="shared" si="0"/>
        <v>-54659.303999999996</v>
      </c>
      <c r="H21" s="1658">
        <v>-14055.249599999999</v>
      </c>
      <c r="I21" s="1659">
        <f t="shared" si="1"/>
        <v>4919.3373599999995</v>
      </c>
      <c r="J21" s="1659">
        <f t="shared" si="2"/>
        <v>-63795.216240000002</v>
      </c>
      <c r="K21" s="1660"/>
      <c r="L21" s="1658">
        <f t="shared" si="3"/>
        <v>-156169.44</v>
      </c>
      <c r="M21" s="1659">
        <f t="shared" si="4"/>
        <v>-32795.582399999999</v>
      </c>
      <c r="N21" s="1658">
        <v>-14055.249599999999</v>
      </c>
      <c r="O21" s="1659">
        <f t="shared" si="5"/>
        <v>2951.6024159999997</v>
      </c>
      <c r="P21" s="1659">
        <f t="shared" si="6"/>
        <v>-43899.229583999993</v>
      </c>
      <c r="Q21" s="1659"/>
      <c r="R21" s="1659">
        <f t="shared" si="7"/>
        <v>-19895.986656000008</v>
      </c>
      <c r="S21" s="1660"/>
      <c r="T21" s="1658">
        <v>0</v>
      </c>
      <c r="U21" s="1660"/>
      <c r="V21" s="1658">
        <v>0</v>
      </c>
      <c r="W21" s="1660"/>
      <c r="X21" s="1659">
        <f t="shared" si="8"/>
        <v>-19895.986656000008</v>
      </c>
      <c r="Y21" s="1655"/>
      <c r="Z21" s="1449" t="s">
        <v>260</v>
      </c>
      <c r="AA21" s="1656"/>
      <c r="AB21" s="1449" t="s">
        <v>22</v>
      </c>
      <c r="AC21" s="1656"/>
      <c r="AD21" s="1657">
        <v>6.5299999999999997E-2</v>
      </c>
      <c r="AE21" s="1656"/>
      <c r="AF21" s="1659">
        <f t="shared" si="9"/>
        <v>-1299.2079286368005</v>
      </c>
      <c r="AG21" s="1008"/>
      <c r="AH21" s="1314">
        <v>190</v>
      </c>
      <c r="AI21" s="1314"/>
    </row>
    <row r="22" spans="2:35">
      <c r="B22" s="1314">
        <v>11</v>
      </c>
      <c r="C22" s="1440" t="s">
        <v>1646</v>
      </c>
      <c r="D22" s="1440" t="s">
        <v>1640</v>
      </c>
      <c r="E22" s="1440" t="s">
        <v>1461</v>
      </c>
      <c r="F22" s="1658">
        <v>-1350412</v>
      </c>
      <c r="G22" s="1659">
        <f t="shared" si="0"/>
        <v>-472644.19999999995</v>
      </c>
      <c r="H22" s="1658">
        <v>-121537.08</v>
      </c>
      <c r="I22" s="1659">
        <f t="shared" si="1"/>
        <v>42537.977999999996</v>
      </c>
      <c r="J22" s="1659">
        <f t="shared" si="2"/>
        <v>-551643.30199999991</v>
      </c>
      <c r="K22" s="1660"/>
      <c r="L22" s="1658">
        <f t="shared" si="3"/>
        <v>-1350412</v>
      </c>
      <c r="M22" s="1659">
        <f t="shared" si="4"/>
        <v>-283586.51999999996</v>
      </c>
      <c r="N22" s="1658">
        <v>-121537.08</v>
      </c>
      <c r="O22" s="1659">
        <f t="shared" si="5"/>
        <v>25522.786799999998</v>
      </c>
      <c r="P22" s="1659">
        <f t="shared" si="6"/>
        <v>-379600.81319999998</v>
      </c>
      <c r="Q22" s="1659"/>
      <c r="R22" s="1659">
        <f t="shared" si="7"/>
        <v>-172042.48879999993</v>
      </c>
      <c r="S22" s="1660"/>
      <c r="T22" s="1658">
        <v>0</v>
      </c>
      <c r="U22" s="1660"/>
      <c r="V22" s="1658">
        <v>0</v>
      </c>
      <c r="W22" s="1660"/>
      <c r="X22" s="1659">
        <f t="shared" si="8"/>
        <v>-172042.48879999993</v>
      </c>
      <c r="Y22" s="1655"/>
      <c r="Z22" s="1449" t="s">
        <v>260</v>
      </c>
      <c r="AA22" s="1656"/>
      <c r="AB22" s="1449" t="s">
        <v>22</v>
      </c>
      <c r="AC22" s="1656"/>
      <c r="AD22" s="1657">
        <v>6.5299999999999997E-2</v>
      </c>
      <c r="AE22" s="1656"/>
      <c r="AF22" s="1659">
        <f t="shared" si="9"/>
        <v>-11234.374518639996</v>
      </c>
      <c r="AG22" s="1008"/>
      <c r="AH22" s="1314">
        <v>190</v>
      </c>
      <c r="AI22" s="1314"/>
    </row>
    <row r="23" spans="2:35">
      <c r="B23" s="1314">
        <v>12</v>
      </c>
      <c r="C23" s="1440" t="s">
        <v>1647</v>
      </c>
      <c r="D23" s="1440" t="s">
        <v>1640</v>
      </c>
      <c r="E23" s="1440" t="s">
        <v>1461</v>
      </c>
      <c r="F23" s="1658">
        <v>8741596</v>
      </c>
      <c r="G23" s="1659">
        <f t="shared" si="0"/>
        <v>3059558.5999999996</v>
      </c>
      <c r="H23" s="1658">
        <v>786743.64</v>
      </c>
      <c r="I23" s="1659">
        <f t="shared" si="1"/>
        <v>-275360.27399999998</v>
      </c>
      <c r="J23" s="1659">
        <f t="shared" si="2"/>
        <v>3570941.966</v>
      </c>
      <c r="K23" s="1660"/>
      <c r="L23" s="1658">
        <f t="shared" si="3"/>
        <v>8741596</v>
      </c>
      <c r="M23" s="1659">
        <f t="shared" si="4"/>
        <v>1835735.16</v>
      </c>
      <c r="N23" s="1658">
        <v>786743.64</v>
      </c>
      <c r="O23" s="1659">
        <f t="shared" si="5"/>
        <v>-165216.16440000001</v>
      </c>
      <c r="P23" s="1659">
        <f t="shared" si="6"/>
        <v>2457262.6355999997</v>
      </c>
      <c r="Q23" s="1659"/>
      <c r="R23" s="1659">
        <f t="shared" si="7"/>
        <v>1113679.3304000003</v>
      </c>
      <c r="S23" s="1660"/>
      <c r="T23" s="1658">
        <v>0</v>
      </c>
      <c r="U23" s="1660"/>
      <c r="V23" s="1658">
        <v>0</v>
      </c>
      <c r="W23" s="1660"/>
      <c r="X23" s="1659">
        <f t="shared" si="8"/>
        <v>1113679.3304000003</v>
      </c>
      <c r="Y23" s="1655"/>
      <c r="Z23" s="1449" t="s">
        <v>260</v>
      </c>
      <c r="AA23" s="1656"/>
      <c r="AB23" s="1449" t="s">
        <v>22</v>
      </c>
      <c r="AC23" s="1656"/>
      <c r="AD23" s="1657">
        <v>6.5299999999999997E-2</v>
      </c>
      <c r="AE23" s="1656"/>
      <c r="AF23" s="1659">
        <f t="shared" si="9"/>
        <v>72723.260275120017</v>
      </c>
      <c r="AG23" s="1008"/>
      <c r="AH23" s="1314">
        <v>190</v>
      </c>
      <c r="AI23" s="1314"/>
    </row>
    <row r="24" spans="2:35">
      <c r="B24" s="1314">
        <v>13</v>
      </c>
      <c r="C24" s="1440" t="s">
        <v>1648</v>
      </c>
      <c r="D24" s="1440" t="s">
        <v>1640</v>
      </c>
      <c r="E24" s="1440" t="s">
        <v>1461</v>
      </c>
      <c r="F24" s="1658">
        <v>518589.12</v>
      </c>
      <c r="G24" s="1659">
        <f t="shared" si="0"/>
        <v>181506.19199999998</v>
      </c>
      <c r="H24" s="1658">
        <v>46673.020799999998</v>
      </c>
      <c r="I24" s="1659">
        <f t="shared" si="1"/>
        <v>-16335.557279999999</v>
      </c>
      <c r="J24" s="1659">
        <f t="shared" si="2"/>
        <v>211843.65551999997</v>
      </c>
      <c r="K24" s="1660"/>
      <c r="L24" s="1658">
        <f t="shared" si="3"/>
        <v>518589.12</v>
      </c>
      <c r="M24" s="1659">
        <f t="shared" si="4"/>
        <v>108903.71519999999</v>
      </c>
      <c r="N24" s="1658">
        <v>46673.020799999998</v>
      </c>
      <c r="O24" s="1659">
        <f t="shared" si="5"/>
        <v>-9801.3343679999998</v>
      </c>
      <c r="P24" s="1659">
        <f t="shared" si="6"/>
        <v>145775.40163199996</v>
      </c>
      <c r="Q24" s="1659"/>
      <c r="R24" s="1659">
        <f t="shared" si="7"/>
        <v>66068.253888000007</v>
      </c>
      <c r="S24" s="1660"/>
      <c r="T24" s="1658">
        <v>0</v>
      </c>
      <c r="U24" s="1660"/>
      <c r="V24" s="1658">
        <v>0</v>
      </c>
      <c r="W24" s="1660"/>
      <c r="X24" s="1659">
        <f t="shared" si="8"/>
        <v>66068.253888000007</v>
      </c>
      <c r="Y24" s="1655"/>
      <c r="Z24" s="1449" t="s">
        <v>260</v>
      </c>
      <c r="AA24" s="1656"/>
      <c r="AB24" s="1449" t="s">
        <v>22</v>
      </c>
      <c r="AC24" s="1656"/>
      <c r="AD24" s="1657">
        <v>6.5299999999999997E-2</v>
      </c>
      <c r="AE24" s="1656"/>
      <c r="AF24" s="1659">
        <f t="shared" si="9"/>
        <v>4314.2569788864002</v>
      </c>
      <c r="AG24" s="1008"/>
      <c r="AH24" s="1314">
        <v>190</v>
      </c>
      <c r="AI24" s="1314"/>
    </row>
    <row r="25" spans="2:35">
      <c r="B25" s="1314">
        <v>14</v>
      </c>
      <c r="C25" s="1440" t="s">
        <v>1649</v>
      </c>
      <c r="D25" s="1440" t="s">
        <v>1640</v>
      </c>
      <c r="E25" s="1440" t="s">
        <v>1461</v>
      </c>
      <c r="F25" s="1658">
        <v>-135000</v>
      </c>
      <c r="G25" s="1659">
        <f t="shared" si="0"/>
        <v>-47250</v>
      </c>
      <c r="H25" s="1658">
        <v>-12150</v>
      </c>
      <c r="I25" s="1659">
        <f t="shared" si="1"/>
        <v>4252.5</v>
      </c>
      <c r="J25" s="1659">
        <f t="shared" si="2"/>
        <v>-55147.5</v>
      </c>
      <c r="K25" s="1660"/>
      <c r="L25" s="1658">
        <f t="shared" si="3"/>
        <v>-135000</v>
      </c>
      <c r="M25" s="1659">
        <f t="shared" si="4"/>
        <v>-28350</v>
      </c>
      <c r="N25" s="1658">
        <v>-12150</v>
      </c>
      <c r="O25" s="1659">
        <f t="shared" si="5"/>
        <v>2551.5</v>
      </c>
      <c r="P25" s="1659">
        <f t="shared" si="6"/>
        <v>-37948.5</v>
      </c>
      <c r="Q25" s="1659"/>
      <c r="R25" s="1659">
        <f t="shared" si="7"/>
        <v>-17199</v>
      </c>
      <c r="S25" s="1660"/>
      <c r="T25" s="1658">
        <v>0</v>
      </c>
      <c r="U25" s="1660"/>
      <c r="V25" s="1658">
        <v>0</v>
      </c>
      <c r="W25" s="1660"/>
      <c r="X25" s="1659">
        <f t="shared" si="8"/>
        <v>-17199</v>
      </c>
      <c r="Y25" s="1655"/>
      <c r="Z25" s="1449" t="s">
        <v>260</v>
      </c>
      <c r="AA25" s="1656"/>
      <c r="AB25" s="1449" t="s">
        <v>22</v>
      </c>
      <c r="AC25" s="1656"/>
      <c r="AD25" s="1657">
        <v>6.5299999999999997E-2</v>
      </c>
      <c r="AE25" s="1656"/>
      <c r="AF25" s="1659">
        <f t="shared" si="9"/>
        <v>-1123.0946999999999</v>
      </c>
      <c r="AG25" s="1008"/>
      <c r="AH25" s="1314">
        <v>190</v>
      </c>
      <c r="AI25" s="1314"/>
    </row>
    <row r="26" spans="2:35">
      <c r="B26" s="1314">
        <v>15</v>
      </c>
      <c r="C26" s="1440" t="s">
        <v>1472</v>
      </c>
      <c r="D26" s="1440" t="s">
        <v>1640</v>
      </c>
      <c r="E26" s="1440" t="s">
        <v>1461</v>
      </c>
      <c r="F26" s="1658">
        <v>140236.19</v>
      </c>
      <c r="G26" s="1659">
        <f t="shared" si="0"/>
        <v>49082.666499999999</v>
      </c>
      <c r="H26" s="1658">
        <v>12621.257099999999</v>
      </c>
      <c r="I26" s="1659">
        <f t="shared" si="1"/>
        <v>-4417.4399849999991</v>
      </c>
      <c r="J26" s="1659">
        <f t="shared" si="2"/>
        <v>57286.483614999997</v>
      </c>
      <c r="K26" s="1660"/>
      <c r="L26" s="1658">
        <f t="shared" si="3"/>
        <v>140236.19</v>
      </c>
      <c r="M26" s="1659">
        <f t="shared" si="4"/>
        <v>29449.599900000001</v>
      </c>
      <c r="N26" s="1658">
        <v>12621.257099999999</v>
      </c>
      <c r="O26" s="1659">
        <f t="shared" si="5"/>
        <v>-2650.4639909999996</v>
      </c>
      <c r="P26" s="1659">
        <f t="shared" si="6"/>
        <v>39420.393009000007</v>
      </c>
      <c r="Q26" s="1659"/>
      <c r="R26" s="1659">
        <f t="shared" si="7"/>
        <v>17866.090605999991</v>
      </c>
      <c r="S26" s="1660"/>
      <c r="T26" s="1658">
        <v>0</v>
      </c>
      <c r="U26" s="1660"/>
      <c r="V26" s="1658">
        <v>0</v>
      </c>
      <c r="W26" s="1660"/>
      <c r="X26" s="1659">
        <f t="shared" si="8"/>
        <v>17866.090605999991</v>
      </c>
      <c r="Y26" s="1655"/>
      <c r="Z26" s="1449" t="s">
        <v>260</v>
      </c>
      <c r="AA26" s="1656"/>
      <c r="AB26" s="1449" t="s">
        <v>22</v>
      </c>
      <c r="AC26" s="1656"/>
      <c r="AD26" s="1657">
        <v>6.5299999999999997E-2</v>
      </c>
      <c r="AE26" s="1656"/>
      <c r="AF26" s="1659">
        <f t="shared" si="9"/>
        <v>1166.6557165717993</v>
      </c>
      <c r="AG26" s="1008"/>
      <c r="AH26" s="1314">
        <v>190</v>
      </c>
      <c r="AI26" s="1314"/>
    </row>
    <row r="27" spans="2:35">
      <c r="B27" s="1314">
        <v>16</v>
      </c>
      <c r="C27" s="1440" t="s">
        <v>1650</v>
      </c>
      <c r="D27" s="1440" t="s">
        <v>1640</v>
      </c>
      <c r="E27" s="1440" t="s">
        <v>1461</v>
      </c>
      <c r="F27" s="1658">
        <v>-122306.25</v>
      </c>
      <c r="G27" s="1659">
        <f t="shared" si="0"/>
        <v>-42807.1875</v>
      </c>
      <c r="H27" s="1658">
        <v>-11007.5625</v>
      </c>
      <c r="I27" s="1659">
        <f t="shared" si="1"/>
        <v>3852.6468749999999</v>
      </c>
      <c r="J27" s="1659">
        <f t="shared" si="2"/>
        <v>-49962.103125000001</v>
      </c>
      <c r="K27" s="1660"/>
      <c r="L27" s="1658">
        <f t="shared" si="3"/>
        <v>-122306.25</v>
      </c>
      <c r="M27" s="1659">
        <f t="shared" si="4"/>
        <v>-25684.3125</v>
      </c>
      <c r="N27" s="1658">
        <v>-11007.5625</v>
      </c>
      <c r="O27" s="1659">
        <f t="shared" si="5"/>
        <v>2311.5881249999998</v>
      </c>
      <c r="P27" s="1659">
        <f t="shared" si="6"/>
        <v>-34380.286874999998</v>
      </c>
      <c r="Q27" s="1659"/>
      <c r="R27" s="1659">
        <f t="shared" si="7"/>
        <v>-15581.816250000003</v>
      </c>
      <c r="S27" s="1660"/>
      <c r="T27" s="1658">
        <v>0</v>
      </c>
      <c r="U27" s="1660"/>
      <c r="V27" s="1658">
        <v>0</v>
      </c>
      <c r="W27" s="1660"/>
      <c r="X27" s="1659">
        <f t="shared" si="8"/>
        <v>-15581.816250000003</v>
      </c>
      <c r="Y27" s="1655"/>
      <c r="Z27" s="1449" t="s">
        <v>260</v>
      </c>
      <c r="AA27" s="1656"/>
      <c r="AB27" s="1449" t="s">
        <v>22</v>
      </c>
      <c r="AC27" s="1656"/>
      <c r="AD27" s="1657">
        <v>6.5299999999999997E-2</v>
      </c>
      <c r="AE27" s="1656"/>
      <c r="AF27" s="1659">
        <f t="shared" si="9"/>
        <v>-1017.4926011250002</v>
      </c>
      <c r="AG27" s="1008"/>
      <c r="AH27" s="1314">
        <v>190</v>
      </c>
      <c r="AI27" s="1314"/>
    </row>
    <row r="28" spans="2:35">
      <c r="B28" s="1314">
        <v>17</v>
      </c>
      <c r="C28" s="1440" t="s">
        <v>1463</v>
      </c>
      <c r="D28" s="1440" t="s">
        <v>1651</v>
      </c>
      <c r="E28" s="1440" t="s">
        <v>1461</v>
      </c>
      <c r="F28" s="1658">
        <v>249150</v>
      </c>
      <c r="G28" s="1659">
        <f t="shared" si="0"/>
        <v>87202.5</v>
      </c>
      <c r="H28" s="1658">
        <v>22423.5</v>
      </c>
      <c r="I28" s="1659">
        <f t="shared" si="1"/>
        <v>-7848.2249999999995</v>
      </c>
      <c r="J28" s="1659">
        <f t="shared" si="2"/>
        <v>101777.77499999999</v>
      </c>
      <c r="K28" s="1660"/>
      <c r="L28" s="1658">
        <f t="shared" si="3"/>
        <v>249150</v>
      </c>
      <c r="M28" s="1659">
        <f t="shared" si="4"/>
        <v>52321.5</v>
      </c>
      <c r="N28" s="1658">
        <v>22423.5</v>
      </c>
      <c r="O28" s="1659">
        <f t="shared" si="5"/>
        <v>-4708.9349999999995</v>
      </c>
      <c r="P28" s="1659">
        <f t="shared" si="6"/>
        <v>70036.065000000002</v>
      </c>
      <c r="Q28" s="1659"/>
      <c r="R28" s="1659">
        <f t="shared" si="7"/>
        <v>31741.709999999992</v>
      </c>
      <c r="S28" s="1660"/>
      <c r="T28" s="1658">
        <v>0</v>
      </c>
      <c r="U28" s="1660"/>
      <c r="V28" s="1658">
        <v>0</v>
      </c>
      <c r="W28" s="1660"/>
      <c r="X28" s="1659">
        <f t="shared" si="8"/>
        <v>31741.709999999992</v>
      </c>
      <c r="Y28" s="1655"/>
      <c r="Z28" s="1449" t="s">
        <v>260</v>
      </c>
      <c r="AA28" s="1656"/>
      <c r="AB28" s="1449" t="s">
        <v>22</v>
      </c>
      <c r="AC28" s="1656"/>
      <c r="AD28" s="1657">
        <v>6.5299999999999997E-2</v>
      </c>
      <c r="AE28" s="1656"/>
      <c r="AF28" s="1659">
        <f t="shared" si="9"/>
        <v>2072.7336629999995</v>
      </c>
      <c r="AG28" s="1008"/>
      <c r="AH28" s="1314">
        <v>190</v>
      </c>
      <c r="AI28" s="1314"/>
    </row>
    <row r="29" spans="2:35">
      <c r="B29" s="1314">
        <v>18</v>
      </c>
      <c r="C29" s="1440" t="s">
        <v>1462</v>
      </c>
      <c r="D29" s="1440" t="s">
        <v>1652</v>
      </c>
      <c r="E29" s="1440" t="s">
        <v>1461</v>
      </c>
      <c r="F29" s="1658">
        <v>2941546.13</v>
      </c>
      <c r="G29" s="1659">
        <f t="shared" si="0"/>
        <v>1029541.1454999999</v>
      </c>
      <c r="H29" s="1658">
        <v>264739.15169999999</v>
      </c>
      <c r="I29" s="1659">
        <f t="shared" si="1"/>
        <v>-92658.70309499999</v>
      </c>
      <c r="J29" s="1659">
        <f t="shared" si="2"/>
        <v>1201621.5941049999</v>
      </c>
      <c r="K29" s="1660"/>
      <c r="L29" s="1658">
        <f t="shared" si="3"/>
        <v>2941546.13</v>
      </c>
      <c r="M29" s="1659">
        <f t="shared" si="4"/>
        <v>617724.68729999999</v>
      </c>
      <c r="N29" s="1658">
        <v>264739.15169999999</v>
      </c>
      <c r="O29" s="1659">
        <f t="shared" si="5"/>
        <v>-55595.221856999997</v>
      </c>
      <c r="P29" s="1659">
        <f t="shared" si="6"/>
        <v>826868.61714299989</v>
      </c>
      <c r="Q29" s="1659"/>
      <c r="R29" s="1659">
        <f t="shared" si="7"/>
        <v>374752.97696200002</v>
      </c>
      <c r="S29" s="1660"/>
      <c r="T29" s="1658">
        <v>0</v>
      </c>
      <c r="U29" s="1660"/>
      <c r="V29" s="1658">
        <v>0</v>
      </c>
      <c r="W29" s="1660"/>
      <c r="X29" s="1659">
        <f t="shared" si="8"/>
        <v>374752.97696200002</v>
      </c>
      <c r="Y29" s="1655"/>
      <c r="Z29" s="1449" t="s">
        <v>1475</v>
      </c>
      <c r="AA29" s="1656"/>
      <c r="AB29" s="1449" t="s">
        <v>22</v>
      </c>
      <c r="AC29" s="1656"/>
      <c r="AD29" s="1657">
        <v>0.33300000000000002</v>
      </c>
      <c r="AE29" s="1656"/>
      <c r="AF29" s="1659">
        <f t="shared" si="9"/>
        <v>124792.74132834602</v>
      </c>
      <c r="AG29" s="1008"/>
      <c r="AH29" s="1314">
        <v>190</v>
      </c>
      <c r="AI29" s="1314"/>
    </row>
    <row r="30" spans="2:35">
      <c r="B30" s="1314">
        <v>19</v>
      </c>
      <c r="C30" s="1440" t="s">
        <v>1653</v>
      </c>
      <c r="D30" s="1440" t="s">
        <v>1652</v>
      </c>
      <c r="E30" s="1440" t="s">
        <v>1461</v>
      </c>
      <c r="F30" s="1658">
        <v>1093270.33</v>
      </c>
      <c r="G30" s="1659">
        <f t="shared" si="0"/>
        <v>382644.61550000001</v>
      </c>
      <c r="H30" s="1658">
        <v>98394.329700000002</v>
      </c>
      <c r="I30" s="1659">
        <f t="shared" si="1"/>
        <v>-34438.015394999995</v>
      </c>
      <c r="J30" s="1659">
        <f t="shared" si="2"/>
        <v>446600.92980500002</v>
      </c>
      <c r="K30" s="1660"/>
      <c r="L30" s="1658">
        <f t="shared" si="3"/>
        <v>1093270.33</v>
      </c>
      <c r="M30" s="1659">
        <f t="shared" si="4"/>
        <v>229586.76930000001</v>
      </c>
      <c r="N30" s="1658">
        <v>98394.329700000002</v>
      </c>
      <c r="O30" s="1659">
        <f t="shared" si="5"/>
        <v>-20662.809237000001</v>
      </c>
      <c r="P30" s="1659">
        <f t="shared" si="6"/>
        <v>307318.28976300004</v>
      </c>
      <c r="Q30" s="1659"/>
      <c r="R30" s="1659">
        <f t="shared" si="7"/>
        <v>139282.64004199998</v>
      </c>
      <c r="S30" s="1660"/>
      <c r="T30" s="1658">
        <v>0</v>
      </c>
      <c r="U30" s="1660"/>
      <c r="V30" s="1658">
        <v>0</v>
      </c>
      <c r="W30" s="1660"/>
      <c r="X30" s="1659">
        <f t="shared" si="8"/>
        <v>139282.64004199998</v>
      </c>
      <c r="Y30" s="1655"/>
      <c r="Z30" s="1449" t="s">
        <v>1475</v>
      </c>
      <c r="AA30" s="1656"/>
      <c r="AB30" s="1449" t="s">
        <v>22</v>
      </c>
      <c r="AC30" s="1656"/>
      <c r="AD30" s="1657">
        <v>0</v>
      </c>
      <c r="AE30" s="1656"/>
      <c r="AF30" s="1659">
        <f t="shared" si="9"/>
        <v>0</v>
      </c>
      <c r="AG30" s="1008"/>
      <c r="AH30" s="1314">
        <v>190</v>
      </c>
      <c r="AI30" s="1314"/>
    </row>
    <row r="31" spans="2:35">
      <c r="B31" s="1314">
        <v>20</v>
      </c>
      <c r="C31" s="1440" t="s">
        <v>1654</v>
      </c>
      <c r="D31" s="1440" t="s">
        <v>1652</v>
      </c>
      <c r="E31" s="1440" t="s">
        <v>1461</v>
      </c>
      <c r="F31" s="1658">
        <v>-10676347.949999999</v>
      </c>
      <c r="G31" s="1659">
        <f t="shared" si="0"/>
        <v>-3736721.7824999993</v>
      </c>
      <c r="H31" s="1658">
        <v>-960871.31549999991</v>
      </c>
      <c r="I31" s="1659">
        <f t="shared" si="1"/>
        <v>336304.96042499994</v>
      </c>
      <c r="J31" s="1659">
        <f t="shared" si="2"/>
        <v>-4361288.1375749996</v>
      </c>
      <c r="K31" s="1660"/>
      <c r="L31" s="1658">
        <f t="shared" si="3"/>
        <v>-10676347.949999999</v>
      </c>
      <c r="M31" s="1659">
        <f t="shared" si="4"/>
        <v>-2242033.0694999998</v>
      </c>
      <c r="N31" s="1658">
        <v>-960871.31549999991</v>
      </c>
      <c r="O31" s="1659">
        <f t="shared" si="5"/>
        <v>201782.97625499999</v>
      </c>
      <c r="P31" s="1659">
        <f t="shared" si="6"/>
        <v>-3001121.4087449997</v>
      </c>
      <c r="Q31" s="1659"/>
      <c r="R31" s="1659">
        <f t="shared" si="7"/>
        <v>-1360166.7288299999</v>
      </c>
      <c r="S31" s="1660"/>
      <c r="T31" s="1658">
        <v>0</v>
      </c>
      <c r="U31" s="1660"/>
      <c r="V31" s="1658">
        <v>0</v>
      </c>
      <c r="W31" s="1660"/>
      <c r="X31" s="1659">
        <f t="shared" si="8"/>
        <v>-1360166.7288299999</v>
      </c>
      <c r="Y31" s="1655"/>
      <c r="Z31" s="1449" t="s">
        <v>1475</v>
      </c>
      <c r="AA31" s="1656"/>
      <c r="AB31" s="1449" t="s">
        <v>22</v>
      </c>
      <c r="AC31" s="1656"/>
      <c r="AD31" s="1657">
        <v>0</v>
      </c>
      <c r="AE31" s="1656"/>
      <c r="AF31" s="1659">
        <f t="shared" si="9"/>
        <v>0</v>
      </c>
      <c r="AG31" s="1008"/>
      <c r="AH31" s="1314">
        <v>190</v>
      </c>
      <c r="AI31" s="1314"/>
    </row>
    <row r="32" spans="2:35">
      <c r="B32" s="1314">
        <v>21</v>
      </c>
      <c r="C32" s="1440" t="s">
        <v>1655</v>
      </c>
      <c r="D32" s="1440" t="s">
        <v>1652</v>
      </c>
      <c r="E32" s="1440" t="s">
        <v>1461</v>
      </c>
      <c r="F32" s="1658">
        <v>648724.67000000004</v>
      </c>
      <c r="G32" s="1659">
        <f t="shared" si="0"/>
        <v>227053.63450000001</v>
      </c>
      <c r="H32" s="1658">
        <v>58385.220300000001</v>
      </c>
      <c r="I32" s="1659">
        <f t="shared" si="1"/>
        <v>-20434.827105</v>
      </c>
      <c r="J32" s="1659">
        <f t="shared" si="2"/>
        <v>265004.02769500006</v>
      </c>
      <c r="K32" s="1660"/>
      <c r="L32" s="1658">
        <f t="shared" si="3"/>
        <v>648724.67000000004</v>
      </c>
      <c r="M32" s="1659">
        <f t="shared" si="4"/>
        <v>136232.1807</v>
      </c>
      <c r="N32" s="1658">
        <v>58385.220300000001</v>
      </c>
      <c r="O32" s="1659">
        <f t="shared" si="5"/>
        <v>-12260.896263000001</v>
      </c>
      <c r="P32" s="1659">
        <f t="shared" si="6"/>
        <v>182356.50473700001</v>
      </c>
      <c r="Q32" s="1659"/>
      <c r="R32" s="1659">
        <f t="shared" si="7"/>
        <v>82647.522958000045</v>
      </c>
      <c r="S32" s="1660"/>
      <c r="T32" s="1658">
        <v>0</v>
      </c>
      <c r="U32" s="1660"/>
      <c r="V32" s="1658">
        <v>0</v>
      </c>
      <c r="W32" s="1660"/>
      <c r="X32" s="1659">
        <f t="shared" si="8"/>
        <v>82647.522958000045</v>
      </c>
      <c r="Y32" s="1655"/>
      <c r="Z32" s="1449" t="s">
        <v>1475</v>
      </c>
      <c r="AA32" s="1656"/>
      <c r="AB32" s="1449" t="s">
        <v>22</v>
      </c>
      <c r="AC32" s="1656"/>
      <c r="AD32" s="1657">
        <v>0</v>
      </c>
      <c r="AE32" s="1656"/>
      <c r="AF32" s="1659">
        <f t="shared" si="9"/>
        <v>0</v>
      </c>
      <c r="AG32" s="1008"/>
      <c r="AH32" s="1314">
        <v>190</v>
      </c>
      <c r="AI32" s="1314"/>
    </row>
    <row r="33" spans="2:35">
      <c r="B33" s="1314">
        <v>22</v>
      </c>
      <c r="C33" s="1440" t="s">
        <v>1656</v>
      </c>
      <c r="D33" s="1440" t="s">
        <v>1652</v>
      </c>
      <c r="E33" s="1440" t="s">
        <v>1461</v>
      </c>
      <c r="F33" s="1658">
        <v>399147.01</v>
      </c>
      <c r="G33" s="1659">
        <f t="shared" si="0"/>
        <v>139701.4535</v>
      </c>
      <c r="H33" s="1658">
        <v>35923.230900000002</v>
      </c>
      <c r="I33" s="1659">
        <f t="shared" si="1"/>
        <v>-12573.130815</v>
      </c>
      <c r="J33" s="1659">
        <f t="shared" si="2"/>
        <v>163051.55358499999</v>
      </c>
      <c r="K33" s="1660"/>
      <c r="L33" s="1658">
        <f t="shared" si="3"/>
        <v>399147.01</v>
      </c>
      <c r="M33" s="1659">
        <f t="shared" si="4"/>
        <v>83820.872099999993</v>
      </c>
      <c r="N33" s="1658">
        <v>35923.230900000002</v>
      </c>
      <c r="O33" s="1659">
        <f t="shared" si="5"/>
        <v>-7543.8784890000006</v>
      </c>
      <c r="P33" s="1659">
        <f t="shared" si="6"/>
        <v>112200.22451100001</v>
      </c>
      <c r="Q33" s="1659"/>
      <c r="R33" s="1659">
        <f t="shared" si="7"/>
        <v>50851.329073999979</v>
      </c>
      <c r="S33" s="1660"/>
      <c r="T33" s="1658">
        <v>0</v>
      </c>
      <c r="U33" s="1660"/>
      <c r="V33" s="1658">
        <v>0</v>
      </c>
      <c r="W33" s="1660"/>
      <c r="X33" s="1659">
        <f t="shared" si="8"/>
        <v>50851.329073999979</v>
      </c>
      <c r="Y33" s="1655"/>
      <c r="Z33" s="1449" t="s">
        <v>1475</v>
      </c>
      <c r="AA33" s="1656"/>
      <c r="AB33" s="1449" t="s">
        <v>22</v>
      </c>
      <c r="AC33" s="1656"/>
      <c r="AD33" s="1657">
        <v>0</v>
      </c>
      <c r="AE33" s="1656"/>
      <c r="AF33" s="1659">
        <f t="shared" si="9"/>
        <v>0</v>
      </c>
      <c r="AG33" s="1008"/>
      <c r="AH33" s="1314">
        <v>190</v>
      </c>
      <c r="AI33" s="1314"/>
    </row>
    <row r="34" spans="2:35">
      <c r="B34" s="1314">
        <v>23</v>
      </c>
      <c r="C34" s="1440" t="s">
        <v>1657</v>
      </c>
      <c r="D34" s="1440" t="s">
        <v>1652</v>
      </c>
      <c r="E34" s="1440" t="s">
        <v>1461</v>
      </c>
      <c r="F34" s="1658">
        <v>890925.7</v>
      </c>
      <c r="G34" s="1659">
        <f t="shared" si="0"/>
        <v>311823.99499999994</v>
      </c>
      <c r="H34" s="1658">
        <v>80183.312999999995</v>
      </c>
      <c r="I34" s="1659">
        <f t="shared" si="1"/>
        <v>-28064.159549999997</v>
      </c>
      <c r="J34" s="1659">
        <f t="shared" si="2"/>
        <v>363943.14844999998</v>
      </c>
      <c r="K34" s="1660"/>
      <c r="L34" s="1658">
        <f t="shared" si="3"/>
        <v>890925.7</v>
      </c>
      <c r="M34" s="1659">
        <f t="shared" si="4"/>
        <v>187094.397</v>
      </c>
      <c r="N34" s="1658">
        <v>80183.312999999995</v>
      </c>
      <c r="O34" s="1659">
        <f t="shared" si="5"/>
        <v>-16838.495729999999</v>
      </c>
      <c r="P34" s="1659">
        <f t="shared" si="6"/>
        <v>250439.21426999997</v>
      </c>
      <c r="Q34" s="1659"/>
      <c r="R34" s="1659">
        <f t="shared" si="7"/>
        <v>113503.93418000001</v>
      </c>
      <c r="S34" s="1660"/>
      <c r="T34" s="1658">
        <v>0</v>
      </c>
      <c r="U34" s="1660"/>
      <c r="V34" s="1658">
        <v>0</v>
      </c>
      <c r="W34" s="1660"/>
      <c r="X34" s="1659">
        <f t="shared" si="8"/>
        <v>113503.93418000001</v>
      </c>
      <c r="Y34" s="1655"/>
      <c r="Z34" s="1449" t="s">
        <v>1475</v>
      </c>
      <c r="AA34" s="1656"/>
      <c r="AB34" s="1449" t="s">
        <v>22</v>
      </c>
      <c r="AC34" s="1656"/>
      <c r="AD34" s="1657">
        <v>0</v>
      </c>
      <c r="AE34" s="1656"/>
      <c r="AF34" s="1659">
        <f t="shared" si="9"/>
        <v>0</v>
      </c>
      <c r="AG34" s="1008"/>
      <c r="AH34" s="1314">
        <v>190</v>
      </c>
      <c r="AI34" s="1314"/>
    </row>
    <row r="35" spans="2:35">
      <c r="B35" s="1314">
        <v>24</v>
      </c>
      <c r="C35" s="1440" t="s">
        <v>1658</v>
      </c>
      <c r="D35" s="1440" t="s">
        <v>1652</v>
      </c>
      <c r="E35" s="1440" t="s">
        <v>1461</v>
      </c>
      <c r="F35" s="1658">
        <v>465468.46</v>
      </c>
      <c r="G35" s="1659">
        <f t="shared" si="0"/>
        <v>162913.96100000001</v>
      </c>
      <c r="H35" s="1658">
        <v>41892.161399999997</v>
      </c>
      <c r="I35" s="1659">
        <f t="shared" si="1"/>
        <v>-14662.256489999998</v>
      </c>
      <c r="J35" s="1659">
        <f t="shared" si="2"/>
        <v>190143.86590999999</v>
      </c>
      <c r="K35" s="1660"/>
      <c r="L35" s="1658">
        <f t="shared" si="3"/>
        <v>465468.46</v>
      </c>
      <c r="M35" s="1659">
        <f t="shared" si="4"/>
        <v>97748.376600000003</v>
      </c>
      <c r="N35" s="1658">
        <v>41892.161399999997</v>
      </c>
      <c r="O35" s="1659">
        <f t="shared" si="5"/>
        <v>-8797.3538939999999</v>
      </c>
      <c r="P35" s="1659">
        <f t="shared" si="6"/>
        <v>130843.184106</v>
      </c>
      <c r="Q35" s="1659"/>
      <c r="R35" s="1659">
        <f t="shared" si="7"/>
        <v>59300.681803999993</v>
      </c>
      <c r="S35" s="1660"/>
      <c r="T35" s="1658">
        <v>0</v>
      </c>
      <c r="U35" s="1660"/>
      <c r="V35" s="1658">
        <v>0</v>
      </c>
      <c r="W35" s="1660"/>
      <c r="X35" s="1659">
        <f t="shared" si="8"/>
        <v>59300.681803999993</v>
      </c>
      <c r="Y35" s="1655"/>
      <c r="Z35" s="1449" t="s">
        <v>1475</v>
      </c>
      <c r="AA35" s="1656"/>
      <c r="AB35" s="1449" t="s">
        <v>22</v>
      </c>
      <c r="AC35" s="1656"/>
      <c r="AD35" s="1657">
        <v>0</v>
      </c>
      <c r="AE35" s="1656"/>
      <c r="AF35" s="1659">
        <f t="shared" si="9"/>
        <v>0</v>
      </c>
      <c r="AG35" s="1008"/>
      <c r="AH35" s="1314">
        <v>190</v>
      </c>
      <c r="AI35" s="1314"/>
    </row>
    <row r="36" spans="2:35">
      <c r="B36" s="1314">
        <v>25</v>
      </c>
      <c r="C36" s="1440" t="s">
        <v>1659</v>
      </c>
      <c r="D36" s="1440" t="s">
        <v>1652</v>
      </c>
      <c r="E36" s="1440" t="s">
        <v>1461</v>
      </c>
      <c r="F36" s="1658">
        <v>11121010.91</v>
      </c>
      <c r="G36" s="1659">
        <f t="shared" si="0"/>
        <v>3892353.8184999996</v>
      </c>
      <c r="H36" s="1658">
        <v>1000890.9819</v>
      </c>
      <c r="I36" s="1659">
        <f t="shared" si="1"/>
        <v>-350311.84366499999</v>
      </c>
      <c r="J36" s="1659">
        <f t="shared" si="2"/>
        <v>4542932.956735</v>
      </c>
      <c r="K36" s="1660"/>
      <c r="L36" s="1658">
        <f t="shared" si="3"/>
        <v>11121010.91</v>
      </c>
      <c r="M36" s="1659">
        <f t="shared" si="4"/>
        <v>2335412.2911</v>
      </c>
      <c r="N36" s="1658">
        <v>1000890.9819</v>
      </c>
      <c r="O36" s="1659">
        <f t="shared" si="5"/>
        <v>-210187.106199</v>
      </c>
      <c r="P36" s="1659">
        <f t="shared" si="6"/>
        <v>3126116.166801</v>
      </c>
      <c r="Q36" s="1659"/>
      <c r="R36" s="1659">
        <f t="shared" si="7"/>
        <v>1416816.789934</v>
      </c>
      <c r="S36" s="1660"/>
      <c r="T36" s="1658">
        <v>0</v>
      </c>
      <c r="U36" s="1660"/>
      <c r="V36" s="1658">
        <v>0</v>
      </c>
      <c r="W36" s="1660"/>
      <c r="X36" s="1659">
        <f t="shared" si="8"/>
        <v>1416816.789934</v>
      </c>
      <c r="Y36" s="1655"/>
      <c r="Z36" s="1449" t="s">
        <v>1475</v>
      </c>
      <c r="AA36" s="1656"/>
      <c r="AB36" s="1449" t="s">
        <v>22</v>
      </c>
      <c r="AC36" s="1656"/>
      <c r="AD36" s="1657">
        <v>0</v>
      </c>
      <c r="AE36" s="1656"/>
      <c r="AF36" s="1659">
        <f t="shared" si="9"/>
        <v>0</v>
      </c>
      <c r="AG36" s="1008"/>
      <c r="AH36" s="1314">
        <v>190</v>
      </c>
      <c r="AI36" s="1314"/>
    </row>
    <row r="37" spans="2:35">
      <c r="B37" s="1314">
        <v>26</v>
      </c>
      <c r="C37" s="1440" t="s">
        <v>1660</v>
      </c>
      <c r="D37" s="1440" t="s">
        <v>1652</v>
      </c>
      <c r="E37" s="1440" t="s">
        <v>1461</v>
      </c>
      <c r="F37" s="1658">
        <v>2534005.9</v>
      </c>
      <c r="G37" s="1659">
        <f t="shared" si="0"/>
        <v>886902.06499999994</v>
      </c>
      <c r="H37" s="1658">
        <v>228060.53099999999</v>
      </c>
      <c r="I37" s="1659">
        <f t="shared" si="1"/>
        <v>-79821.185849999994</v>
      </c>
      <c r="J37" s="1659">
        <f t="shared" si="2"/>
        <v>1035141.4101499999</v>
      </c>
      <c r="K37" s="1660"/>
      <c r="L37" s="1658">
        <f t="shared" si="3"/>
        <v>2534005.9</v>
      </c>
      <c r="M37" s="1659">
        <f t="shared" si="4"/>
        <v>532141.23899999994</v>
      </c>
      <c r="N37" s="1658">
        <v>228060.53099999999</v>
      </c>
      <c r="O37" s="1659">
        <f t="shared" si="5"/>
        <v>-47892.711509999994</v>
      </c>
      <c r="P37" s="1659">
        <f t="shared" si="6"/>
        <v>712309.05848999997</v>
      </c>
      <c r="Q37" s="1659"/>
      <c r="R37" s="1659">
        <f t="shared" si="7"/>
        <v>322832.35165999993</v>
      </c>
      <c r="S37" s="1660"/>
      <c r="T37" s="1658">
        <v>0</v>
      </c>
      <c r="U37" s="1660"/>
      <c r="V37" s="1658">
        <v>0</v>
      </c>
      <c r="W37" s="1660"/>
      <c r="X37" s="1659">
        <f t="shared" si="8"/>
        <v>322832.35165999993</v>
      </c>
      <c r="Y37" s="1655"/>
      <c r="Z37" s="1449" t="s">
        <v>1475</v>
      </c>
      <c r="AA37" s="1656"/>
      <c r="AB37" s="1449" t="s">
        <v>22</v>
      </c>
      <c r="AC37" s="1656"/>
      <c r="AD37" s="1657">
        <v>0</v>
      </c>
      <c r="AE37" s="1656"/>
      <c r="AF37" s="1659">
        <f t="shared" si="9"/>
        <v>0</v>
      </c>
      <c r="AG37" s="1008"/>
      <c r="AH37" s="1314">
        <v>190</v>
      </c>
      <c r="AI37" s="1314"/>
    </row>
    <row r="38" spans="2:35">
      <c r="B38" s="1314">
        <v>27</v>
      </c>
      <c r="C38" s="1440" t="s">
        <v>1661</v>
      </c>
      <c r="D38" s="1440" t="s">
        <v>1652</v>
      </c>
      <c r="E38" s="1440" t="s">
        <v>1461</v>
      </c>
      <c r="F38" s="1658">
        <v>1371624.65</v>
      </c>
      <c r="G38" s="1659">
        <f t="shared" si="0"/>
        <v>480068.62749999994</v>
      </c>
      <c r="H38" s="1658">
        <v>123446.21849999999</v>
      </c>
      <c r="I38" s="1659">
        <f t="shared" si="1"/>
        <v>-43206.176474999993</v>
      </c>
      <c r="J38" s="1659">
        <f t="shared" si="2"/>
        <v>560308.66952499992</v>
      </c>
      <c r="K38" s="1660"/>
      <c r="L38" s="1658">
        <f t="shared" si="3"/>
        <v>1371624.65</v>
      </c>
      <c r="M38" s="1659">
        <f t="shared" si="4"/>
        <v>288041.17649999994</v>
      </c>
      <c r="N38" s="1658">
        <v>123446.21849999999</v>
      </c>
      <c r="O38" s="1659">
        <f t="shared" si="5"/>
        <v>-25923.705884999996</v>
      </c>
      <c r="P38" s="1659">
        <f t="shared" si="6"/>
        <v>385563.6891149999</v>
      </c>
      <c r="Q38" s="1659"/>
      <c r="R38" s="1659">
        <f t="shared" si="7"/>
        <v>174744.98041000002</v>
      </c>
      <c r="S38" s="1660"/>
      <c r="T38" s="1658">
        <v>0</v>
      </c>
      <c r="U38" s="1660"/>
      <c r="V38" s="1658">
        <v>0</v>
      </c>
      <c r="W38" s="1660"/>
      <c r="X38" s="1659">
        <f t="shared" si="8"/>
        <v>174744.98041000002</v>
      </c>
      <c r="Y38" s="1655"/>
      <c r="Z38" s="1449" t="s">
        <v>1078</v>
      </c>
      <c r="AA38" s="1656"/>
      <c r="AB38" s="1449" t="s">
        <v>22</v>
      </c>
      <c r="AC38" s="1656"/>
      <c r="AD38" s="1657">
        <v>0</v>
      </c>
      <c r="AE38" s="1656"/>
      <c r="AF38" s="1659">
        <f t="shared" si="9"/>
        <v>0</v>
      </c>
      <c r="AG38" s="1008"/>
      <c r="AH38" s="1314">
        <v>190</v>
      </c>
      <c r="AI38" s="1314"/>
    </row>
    <row r="39" spans="2:35">
      <c r="B39" s="1314">
        <v>28</v>
      </c>
      <c r="C39" s="1440" t="s">
        <v>1662</v>
      </c>
      <c r="D39" s="1440" t="s">
        <v>1652</v>
      </c>
      <c r="E39" s="1440" t="s">
        <v>1461</v>
      </c>
      <c r="F39" s="1658">
        <v>-1093270.33</v>
      </c>
      <c r="G39" s="1659">
        <f t="shared" si="0"/>
        <v>-382644.61550000001</v>
      </c>
      <c r="H39" s="1658">
        <v>-98394.329700000002</v>
      </c>
      <c r="I39" s="1659">
        <f t="shared" si="1"/>
        <v>34438.015394999995</v>
      </c>
      <c r="J39" s="1659">
        <f t="shared" si="2"/>
        <v>-446600.92980500002</v>
      </c>
      <c r="K39" s="1660"/>
      <c r="L39" s="1658">
        <f t="shared" si="3"/>
        <v>-1093270.33</v>
      </c>
      <c r="M39" s="1659">
        <f t="shared" si="4"/>
        <v>-229586.76930000001</v>
      </c>
      <c r="N39" s="1658">
        <v>-98394.329700000002</v>
      </c>
      <c r="O39" s="1659">
        <f t="shared" si="5"/>
        <v>20662.809237000001</v>
      </c>
      <c r="P39" s="1659">
        <f t="shared" si="6"/>
        <v>-307318.28976300004</v>
      </c>
      <c r="Q39" s="1659"/>
      <c r="R39" s="1659">
        <f t="shared" si="7"/>
        <v>-139282.64004199998</v>
      </c>
      <c r="S39" s="1660"/>
      <c r="T39" s="1658">
        <v>0</v>
      </c>
      <c r="U39" s="1660"/>
      <c r="V39" s="1658">
        <v>0</v>
      </c>
      <c r="W39" s="1660"/>
      <c r="X39" s="1659">
        <f t="shared" si="8"/>
        <v>-139282.64004199998</v>
      </c>
      <c r="Y39" s="1655"/>
      <c r="Z39" s="1449" t="s">
        <v>1475</v>
      </c>
      <c r="AA39" s="1656"/>
      <c r="AB39" s="1449" t="s">
        <v>22</v>
      </c>
      <c r="AC39" s="1656"/>
      <c r="AD39" s="1657">
        <v>0</v>
      </c>
      <c r="AE39" s="1656"/>
      <c r="AF39" s="1659">
        <f t="shared" si="9"/>
        <v>0</v>
      </c>
      <c r="AG39" s="1008"/>
      <c r="AH39" s="1314">
        <v>190</v>
      </c>
      <c r="AI39" s="1314"/>
    </row>
    <row r="40" spans="2:35">
      <c r="B40" s="1314">
        <v>29</v>
      </c>
      <c r="C40" s="1440" t="s">
        <v>1476</v>
      </c>
      <c r="D40" s="1440" t="s">
        <v>1652</v>
      </c>
      <c r="E40" s="1440" t="s">
        <v>1461</v>
      </c>
      <c r="F40" s="1658">
        <v>-25730</v>
      </c>
      <c r="G40" s="1659">
        <f t="shared" si="0"/>
        <v>-9005.5</v>
      </c>
      <c r="H40" s="1658">
        <v>-2315.6999999999998</v>
      </c>
      <c r="I40" s="1659">
        <f t="shared" si="1"/>
        <v>810.49499999999989</v>
      </c>
      <c r="J40" s="1659">
        <f t="shared" si="2"/>
        <v>-10510.705000000002</v>
      </c>
      <c r="K40" s="1660"/>
      <c r="L40" s="1658">
        <f t="shared" si="3"/>
        <v>-25730</v>
      </c>
      <c r="M40" s="1659">
        <f t="shared" si="4"/>
        <v>-5403.3</v>
      </c>
      <c r="N40" s="1658">
        <v>-2315.6999999999998</v>
      </c>
      <c r="O40" s="1659">
        <f t="shared" si="5"/>
        <v>486.29699999999997</v>
      </c>
      <c r="P40" s="1659">
        <f t="shared" si="6"/>
        <v>-7232.7030000000004</v>
      </c>
      <c r="Q40" s="1659"/>
      <c r="R40" s="1659">
        <f t="shared" si="7"/>
        <v>-3278.0020000000013</v>
      </c>
      <c r="S40" s="1660"/>
      <c r="T40" s="1658">
        <v>0</v>
      </c>
      <c r="U40" s="1660"/>
      <c r="V40" s="1658">
        <v>0</v>
      </c>
      <c r="W40" s="1660"/>
      <c r="X40" s="1659">
        <f t="shared" si="8"/>
        <v>-3278.0020000000013</v>
      </c>
      <c r="Y40" s="1655"/>
      <c r="Z40" s="1449" t="s">
        <v>1475</v>
      </c>
      <c r="AA40" s="1656"/>
      <c r="AB40" s="1449" t="s">
        <v>22</v>
      </c>
      <c r="AC40" s="1656"/>
      <c r="AD40" s="1657">
        <v>0</v>
      </c>
      <c r="AE40" s="1656"/>
      <c r="AF40" s="1659">
        <f t="shared" si="9"/>
        <v>0</v>
      </c>
      <c r="AG40" s="1008"/>
      <c r="AH40" s="1314">
        <v>190</v>
      </c>
      <c r="AI40" s="1314"/>
    </row>
    <row r="41" spans="2:35">
      <c r="B41" s="1314">
        <v>30</v>
      </c>
      <c r="C41" s="1440" t="s">
        <v>1663</v>
      </c>
      <c r="D41" s="1440" t="s">
        <v>1652</v>
      </c>
      <c r="E41" s="1440" t="s">
        <v>1461</v>
      </c>
      <c r="F41" s="1658">
        <v>-1450365.86</v>
      </c>
      <c r="G41" s="1659">
        <f t="shared" si="0"/>
        <v>-507628.05099999998</v>
      </c>
      <c r="H41" s="1658">
        <v>-130532.9274</v>
      </c>
      <c r="I41" s="1659">
        <f t="shared" si="1"/>
        <v>45686.524590000001</v>
      </c>
      <c r="J41" s="1659">
        <f t="shared" si="2"/>
        <v>-592474.45380999998</v>
      </c>
      <c r="K41" s="1660"/>
      <c r="L41" s="1658">
        <f t="shared" si="3"/>
        <v>-1450365.86</v>
      </c>
      <c r="M41" s="1659">
        <f t="shared" si="4"/>
        <v>-304576.83059999999</v>
      </c>
      <c r="N41" s="1658">
        <v>-130532.9274</v>
      </c>
      <c r="O41" s="1659">
        <f t="shared" si="5"/>
        <v>27411.914753999998</v>
      </c>
      <c r="P41" s="1659">
        <f t="shared" si="6"/>
        <v>-407697.843246</v>
      </c>
      <c r="Q41" s="1659"/>
      <c r="R41" s="1659">
        <f t="shared" si="7"/>
        <v>-184776.61056399997</v>
      </c>
      <c r="S41" s="1660"/>
      <c r="T41" s="1658">
        <v>0</v>
      </c>
      <c r="U41" s="1660"/>
      <c r="V41" s="1658">
        <v>0</v>
      </c>
      <c r="W41" s="1660"/>
      <c r="X41" s="1659">
        <f t="shared" si="8"/>
        <v>-184776.61056399997</v>
      </c>
      <c r="Y41" s="1655"/>
      <c r="Z41" s="1449" t="s">
        <v>1475</v>
      </c>
      <c r="AA41" s="1656"/>
      <c r="AB41" s="1449" t="s">
        <v>22</v>
      </c>
      <c r="AC41" s="1656"/>
      <c r="AD41" s="1657">
        <v>0</v>
      </c>
      <c r="AE41" s="1656"/>
      <c r="AF41" s="1659">
        <f t="shared" si="9"/>
        <v>0</v>
      </c>
      <c r="AG41" s="1008"/>
      <c r="AH41" s="1314">
        <v>190</v>
      </c>
      <c r="AI41" s="1314"/>
    </row>
    <row r="42" spans="2:35">
      <c r="B42" s="1314">
        <v>31</v>
      </c>
      <c r="C42" s="1440" t="s">
        <v>1664</v>
      </c>
      <c r="D42" s="1440" t="s">
        <v>1652</v>
      </c>
      <c r="E42" s="1440" t="s">
        <v>1461</v>
      </c>
      <c r="F42" s="1658">
        <v>2210220.04</v>
      </c>
      <c r="G42" s="1659">
        <f t="shared" si="0"/>
        <v>773577.01399999997</v>
      </c>
      <c r="H42" s="1658">
        <v>198919.80359999998</v>
      </c>
      <c r="I42" s="1659">
        <f t="shared" si="1"/>
        <v>-69621.931259999983</v>
      </c>
      <c r="J42" s="1659">
        <f t="shared" si="2"/>
        <v>902874.88633999997</v>
      </c>
      <c r="K42" s="1660"/>
      <c r="L42" s="1658">
        <f t="shared" si="3"/>
        <v>2210220.04</v>
      </c>
      <c r="M42" s="1659">
        <f t="shared" si="4"/>
        <v>464146.2084</v>
      </c>
      <c r="N42" s="1658">
        <v>198919.80359999998</v>
      </c>
      <c r="O42" s="1659">
        <f t="shared" si="5"/>
        <v>-41773.158755999997</v>
      </c>
      <c r="P42" s="1659">
        <f t="shared" si="6"/>
        <v>621292.853244</v>
      </c>
      <c r="Q42" s="1659"/>
      <c r="R42" s="1659">
        <f t="shared" si="7"/>
        <v>281582.03309599997</v>
      </c>
      <c r="S42" s="1660"/>
      <c r="T42" s="1658">
        <v>281582.03309600003</v>
      </c>
      <c r="U42" s="1660"/>
      <c r="V42" s="1658">
        <v>0</v>
      </c>
      <c r="W42" s="1660"/>
      <c r="X42" s="1659">
        <f t="shared" si="8"/>
        <v>-5.8207660913467407E-11</v>
      </c>
      <c r="Y42" s="1655"/>
      <c r="Z42" s="1449" t="s">
        <v>1475</v>
      </c>
      <c r="AA42" s="1656"/>
      <c r="AB42" s="1449" t="s">
        <v>23</v>
      </c>
      <c r="AC42" s="1656"/>
      <c r="AD42" s="1657">
        <v>0</v>
      </c>
      <c r="AE42" s="1656"/>
      <c r="AF42" s="1659">
        <f t="shared" si="9"/>
        <v>0</v>
      </c>
      <c r="AG42" s="1008"/>
      <c r="AH42" s="1314">
        <v>190</v>
      </c>
      <c r="AI42" s="1314"/>
    </row>
    <row r="43" spans="2:35">
      <c r="B43" s="1314">
        <v>32</v>
      </c>
      <c r="C43" s="1440" t="s">
        <v>1665</v>
      </c>
      <c r="D43" s="1440" t="s">
        <v>1652</v>
      </c>
      <c r="E43" s="1440" t="s">
        <v>1461</v>
      </c>
      <c r="F43" s="1658">
        <v>1450365.86</v>
      </c>
      <c r="G43" s="1659">
        <f t="shared" si="0"/>
        <v>507628.05099999998</v>
      </c>
      <c r="H43" s="1658">
        <v>130532.9274</v>
      </c>
      <c r="I43" s="1659">
        <f t="shared" si="1"/>
        <v>-45686.524590000001</v>
      </c>
      <c r="J43" s="1659">
        <f t="shared" si="2"/>
        <v>592474.45380999998</v>
      </c>
      <c r="K43" s="1660"/>
      <c r="L43" s="1658">
        <f t="shared" si="3"/>
        <v>1450365.86</v>
      </c>
      <c r="M43" s="1659">
        <f t="shared" si="4"/>
        <v>304576.83059999999</v>
      </c>
      <c r="N43" s="1658">
        <v>130532.9274</v>
      </c>
      <c r="O43" s="1659">
        <f t="shared" si="5"/>
        <v>-27411.914753999998</v>
      </c>
      <c r="P43" s="1659">
        <f t="shared" si="6"/>
        <v>407697.843246</v>
      </c>
      <c r="Q43" s="1659"/>
      <c r="R43" s="1659">
        <f t="shared" si="7"/>
        <v>184776.61056399997</v>
      </c>
      <c r="S43" s="1660"/>
      <c r="T43" s="1658">
        <v>0</v>
      </c>
      <c r="U43" s="1660"/>
      <c r="V43" s="1658">
        <v>0</v>
      </c>
      <c r="W43" s="1660"/>
      <c r="X43" s="1659">
        <f t="shared" si="8"/>
        <v>184776.61056399997</v>
      </c>
      <c r="Y43" s="1655"/>
      <c r="Z43" s="1449" t="s">
        <v>1475</v>
      </c>
      <c r="AA43" s="1656"/>
      <c r="AB43" s="1449" t="s">
        <v>22</v>
      </c>
      <c r="AC43" s="1656"/>
      <c r="AD43" s="1657">
        <v>0</v>
      </c>
      <c r="AE43" s="1656"/>
      <c r="AF43" s="1659">
        <f t="shared" si="9"/>
        <v>0</v>
      </c>
      <c r="AG43" s="1008"/>
      <c r="AH43" s="1314">
        <v>190</v>
      </c>
      <c r="AI43" s="1314"/>
    </row>
    <row r="44" spans="2:35">
      <c r="B44" s="1314">
        <v>33</v>
      </c>
      <c r="C44" s="1440" t="s">
        <v>1666</v>
      </c>
      <c r="D44" s="1440" t="s">
        <v>1667</v>
      </c>
      <c r="E44" s="1440" t="s">
        <v>1461</v>
      </c>
      <c r="F44" s="1658">
        <v>1898240.94</v>
      </c>
      <c r="G44" s="1659">
        <f t="shared" si="0"/>
        <v>664384.32899999991</v>
      </c>
      <c r="H44" s="1658">
        <v>170841.68459999998</v>
      </c>
      <c r="I44" s="1659">
        <f t="shared" si="1"/>
        <v>-59794.589609999988</v>
      </c>
      <c r="J44" s="1659">
        <f t="shared" si="2"/>
        <v>775431.42398999992</v>
      </c>
      <c r="K44" s="1660"/>
      <c r="L44" s="1658">
        <f t="shared" si="3"/>
        <v>1898240.94</v>
      </c>
      <c r="M44" s="1659">
        <f t="shared" si="4"/>
        <v>398630.59739999997</v>
      </c>
      <c r="N44" s="1658">
        <v>170841.68459999998</v>
      </c>
      <c r="O44" s="1659">
        <f t="shared" si="5"/>
        <v>-35876.753765999994</v>
      </c>
      <c r="P44" s="1659">
        <f t="shared" si="6"/>
        <v>533595.52823399985</v>
      </c>
      <c r="Q44" s="1659"/>
      <c r="R44" s="1659">
        <f t="shared" si="7"/>
        <v>241835.89575600007</v>
      </c>
      <c r="S44" s="1660"/>
      <c r="T44" s="1658">
        <v>0</v>
      </c>
      <c r="U44" s="1660"/>
      <c r="V44" s="1658">
        <v>0</v>
      </c>
      <c r="W44" s="1660"/>
      <c r="X44" s="1659">
        <f t="shared" si="8"/>
        <v>241835.89575600007</v>
      </c>
      <c r="Y44" s="1655"/>
      <c r="Z44" s="1449" t="s">
        <v>1475</v>
      </c>
      <c r="AA44" s="1656"/>
      <c r="AB44" s="1449" t="s">
        <v>22</v>
      </c>
      <c r="AC44" s="1656"/>
      <c r="AD44" s="1657">
        <v>0.33300000000000002</v>
      </c>
      <c r="AE44" s="1656"/>
      <c r="AF44" s="1659">
        <f t="shared" si="9"/>
        <v>80531.353286748024</v>
      </c>
      <c r="AG44" s="1008"/>
      <c r="AH44" s="1314">
        <v>190</v>
      </c>
      <c r="AI44" s="1314"/>
    </row>
    <row r="45" spans="2:35">
      <c r="B45" s="1314">
        <v>34</v>
      </c>
      <c r="C45" s="1440" t="s">
        <v>1668</v>
      </c>
      <c r="D45" s="1440" t="s">
        <v>1667</v>
      </c>
      <c r="E45" s="1440" t="s">
        <v>1461</v>
      </c>
      <c r="F45" s="1658">
        <v>1450365.86</v>
      </c>
      <c r="G45" s="1659">
        <f t="shared" si="0"/>
        <v>507628.05099999998</v>
      </c>
      <c r="H45" s="1658">
        <v>130532.9274</v>
      </c>
      <c r="I45" s="1659">
        <f t="shared" si="1"/>
        <v>-45686.524590000001</v>
      </c>
      <c r="J45" s="1659">
        <f t="shared" si="2"/>
        <v>592474.45380999998</v>
      </c>
      <c r="K45" s="1660"/>
      <c r="L45" s="1658">
        <f t="shared" si="3"/>
        <v>1450365.86</v>
      </c>
      <c r="M45" s="1659">
        <f t="shared" si="4"/>
        <v>304576.83059999999</v>
      </c>
      <c r="N45" s="1658">
        <v>130532.9274</v>
      </c>
      <c r="O45" s="1659">
        <f t="shared" si="5"/>
        <v>-27411.914753999998</v>
      </c>
      <c r="P45" s="1659">
        <f t="shared" si="6"/>
        <v>407697.843246</v>
      </c>
      <c r="Q45" s="1659"/>
      <c r="R45" s="1659">
        <f t="shared" si="7"/>
        <v>184776.61056399997</v>
      </c>
      <c r="S45" s="1660"/>
      <c r="T45" s="1658">
        <v>0</v>
      </c>
      <c r="U45" s="1660"/>
      <c r="V45" s="1658">
        <v>0</v>
      </c>
      <c r="W45" s="1660"/>
      <c r="X45" s="1659">
        <f t="shared" si="8"/>
        <v>184776.61056399997</v>
      </c>
      <c r="Y45" s="1655"/>
      <c r="Z45" s="1449" t="s">
        <v>1475</v>
      </c>
      <c r="AA45" s="1656"/>
      <c r="AB45" s="1449" t="s">
        <v>22</v>
      </c>
      <c r="AC45" s="1656"/>
      <c r="AD45" s="1657">
        <v>0</v>
      </c>
      <c r="AE45" s="1656"/>
      <c r="AF45" s="1659">
        <f t="shared" si="9"/>
        <v>0</v>
      </c>
      <c r="AG45" s="1008"/>
      <c r="AH45" s="1314">
        <v>190</v>
      </c>
      <c r="AI45" s="1314"/>
    </row>
    <row r="46" spans="2:35">
      <c r="B46" s="1314">
        <v>35</v>
      </c>
      <c r="C46" s="1440" t="s">
        <v>1474</v>
      </c>
      <c r="D46" s="1440" t="s">
        <v>1667</v>
      </c>
      <c r="E46" s="1440" t="s">
        <v>1461</v>
      </c>
      <c r="F46" s="1658">
        <v>0</v>
      </c>
      <c r="G46" s="1659">
        <f t="shared" si="0"/>
        <v>0</v>
      </c>
      <c r="H46" s="1658">
        <v>0</v>
      </c>
      <c r="I46" s="1659">
        <f t="shared" si="1"/>
        <v>0</v>
      </c>
      <c r="J46" s="1659">
        <f t="shared" si="2"/>
        <v>0</v>
      </c>
      <c r="K46" s="1660"/>
      <c r="L46" s="1658">
        <f t="shared" si="3"/>
        <v>0</v>
      </c>
      <c r="M46" s="1659">
        <f t="shared" si="4"/>
        <v>0</v>
      </c>
      <c r="N46" s="1658">
        <v>0</v>
      </c>
      <c r="O46" s="1659">
        <f t="shared" si="5"/>
        <v>0</v>
      </c>
      <c r="P46" s="1659">
        <f t="shared" si="6"/>
        <v>0</v>
      </c>
      <c r="Q46" s="1659"/>
      <c r="R46" s="1659">
        <f t="shared" si="7"/>
        <v>0</v>
      </c>
      <c r="S46" s="1660"/>
      <c r="T46" s="1658">
        <v>0</v>
      </c>
      <c r="U46" s="1660"/>
      <c r="V46" s="1658">
        <v>0</v>
      </c>
      <c r="W46" s="1660"/>
      <c r="X46" s="1659">
        <f t="shared" si="8"/>
        <v>0</v>
      </c>
      <c r="Y46" s="1655"/>
      <c r="Z46" s="1449" t="s">
        <v>1475</v>
      </c>
      <c r="AA46" s="1656"/>
      <c r="AB46" s="1449" t="s">
        <v>23</v>
      </c>
      <c r="AC46" s="1656"/>
      <c r="AD46" s="1657">
        <v>0</v>
      </c>
      <c r="AE46" s="1656"/>
      <c r="AF46" s="1659">
        <f t="shared" si="9"/>
        <v>0</v>
      </c>
      <c r="AG46" s="1008"/>
      <c r="AH46" s="1314">
        <v>190</v>
      </c>
      <c r="AI46" s="1314"/>
    </row>
    <row r="47" spans="2:35">
      <c r="B47" s="1314">
        <v>36</v>
      </c>
      <c r="C47" s="1440" t="s">
        <v>1669</v>
      </c>
      <c r="D47" s="1440" t="s">
        <v>1667</v>
      </c>
      <c r="E47" s="1440" t="s">
        <v>1461</v>
      </c>
      <c r="F47" s="1658">
        <v>968920</v>
      </c>
      <c r="G47" s="1659">
        <f t="shared" si="0"/>
        <v>339122</v>
      </c>
      <c r="H47" s="1658">
        <v>87202.8</v>
      </c>
      <c r="I47" s="1659">
        <f t="shared" si="1"/>
        <v>-30520.98</v>
      </c>
      <c r="J47" s="1659">
        <f t="shared" si="2"/>
        <v>395803.82</v>
      </c>
      <c r="K47" s="1660"/>
      <c r="L47" s="1658">
        <f t="shared" si="3"/>
        <v>968920</v>
      </c>
      <c r="M47" s="1659">
        <f t="shared" si="4"/>
        <v>203473.19999999998</v>
      </c>
      <c r="N47" s="1658">
        <v>87202.8</v>
      </c>
      <c r="O47" s="1659">
        <f t="shared" si="5"/>
        <v>-18312.588</v>
      </c>
      <c r="P47" s="1659">
        <f t="shared" si="6"/>
        <v>272363.41200000001</v>
      </c>
      <c r="Q47" s="1659"/>
      <c r="R47" s="1659">
        <f t="shared" si="7"/>
        <v>123440.408</v>
      </c>
      <c r="S47" s="1660"/>
      <c r="T47" s="1658">
        <v>123440.40800000001</v>
      </c>
      <c r="U47" s="1660"/>
      <c r="V47" s="1658">
        <v>0</v>
      </c>
      <c r="W47" s="1660"/>
      <c r="X47" s="1659">
        <f t="shared" si="8"/>
        <v>-1.4551915228366852E-11</v>
      </c>
      <c r="Y47" s="1655"/>
      <c r="Z47" s="1449" t="s">
        <v>1475</v>
      </c>
      <c r="AA47" s="1656"/>
      <c r="AB47" s="1449" t="s">
        <v>23</v>
      </c>
      <c r="AC47" s="1656"/>
      <c r="AD47" s="1657">
        <v>0</v>
      </c>
      <c r="AE47" s="1656"/>
      <c r="AF47" s="1659">
        <f t="shared" si="9"/>
        <v>0</v>
      </c>
      <c r="AG47" s="1008"/>
      <c r="AH47" s="1314">
        <v>190</v>
      </c>
      <c r="AI47" s="1314"/>
    </row>
    <row r="48" spans="2:35">
      <c r="B48" s="1314">
        <v>37</v>
      </c>
      <c r="C48" s="1440" t="s">
        <v>1670</v>
      </c>
      <c r="D48" s="1440" t="s">
        <v>1667</v>
      </c>
      <c r="E48" s="1440" t="s">
        <v>1461</v>
      </c>
      <c r="F48" s="1658">
        <v>6720799.4800000004</v>
      </c>
      <c r="G48" s="1659">
        <f t="shared" si="0"/>
        <v>2352279.818</v>
      </c>
      <c r="H48" s="1658">
        <v>604871.95319999999</v>
      </c>
      <c r="I48" s="1659">
        <f t="shared" si="1"/>
        <v>-211705.18362</v>
      </c>
      <c r="J48" s="1659">
        <f t="shared" si="2"/>
        <v>2745446.5875800001</v>
      </c>
      <c r="K48" s="1660"/>
      <c r="L48" s="1658">
        <f t="shared" si="3"/>
        <v>6720799.4800000004</v>
      </c>
      <c r="M48" s="1659">
        <f t="shared" si="4"/>
        <v>1411367.8907999999</v>
      </c>
      <c r="N48" s="1658">
        <v>604871.95319999999</v>
      </c>
      <c r="O48" s="1659">
        <f t="shared" si="5"/>
        <v>-127023.11017199999</v>
      </c>
      <c r="P48" s="1659">
        <f t="shared" si="6"/>
        <v>1889216.733828</v>
      </c>
      <c r="Q48" s="1659"/>
      <c r="R48" s="1659">
        <f t="shared" si="7"/>
        <v>856229.85375200002</v>
      </c>
      <c r="S48" s="1660"/>
      <c r="T48" s="1658">
        <v>856229.85375200014</v>
      </c>
      <c r="U48" s="1660"/>
      <c r="V48" s="1658">
        <v>0</v>
      </c>
      <c r="W48" s="1660"/>
      <c r="X48" s="1659">
        <f t="shared" si="8"/>
        <v>-1.1641532182693481E-10</v>
      </c>
      <c r="Y48" s="1655"/>
      <c r="Z48" s="1449" t="s">
        <v>1475</v>
      </c>
      <c r="AA48" s="1656"/>
      <c r="AB48" s="1449" t="s">
        <v>23</v>
      </c>
      <c r="AC48" s="1656"/>
      <c r="AD48" s="1657">
        <v>0</v>
      </c>
      <c r="AE48" s="1656"/>
      <c r="AF48" s="1659">
        <f t="shared" si="9"/>
        <v>0</v>
      </c>
      <c r="AG48" s="1008"/>
      <c r="AH48" s="1314">
        <v>190</v>
      </c>
      <c r="AI48" s="1314"/>
    </row>
    <row r="49" spans="2:35">
      <c r="B49" s="1314">
        <v>38</v>
      </c>
      <c r="C49" s="1440" t="s">
        <v>1671</v>
      </c>
      <c r="D49" s="1440" t="s">
        <v>1671</v>
      </c>
      <c r="E49" s="1440" t="s">
        <v>1402</v>
      </c>
      <c r="F49" s="1658">
        <v>3697280</v>
      </c>
      <c r="G49" s="1659">
        <f t="shared" si="0"/>
        <v>1294048</v>
      </c>
      <c r="H49" s="1658">
        <v>332755.20000000001</v>
      </c>
      <c r="I49" s="1659">
        <f t="shared" si="1"/>
        <v>-116464.31999999999</v>
      </c>
      <c r="J49" s="1659">
        <f t="shared" si="2"/>
        <v>1510338.88</v>
      </c>
      <c r="K49" s="1660"/>
      <c r="L49" s="1658">
        <f t="shared" si="3"/>
        <v>3697280</v>
      </c>
      <c r="M49" s="1659">
        <f t="shared" si="4"/>
        <v>776428.79999999993</v>
      </c>
      <c r="N49" s="1658">
        <v>332755.20000000001</v>
      </c>
      <c r="O49" s="1659">
        <f t="shared" si="5"/>
        <v>-69878.592000000004</v>
      </c>
      <c r="P49" s="1659">
        <f t="shared" si="6"/>
        <v>1039305.4080000001</v>
      </c>
      <c r="Q49" s="1659"/>
      <c r="R49" s="1659">
        <f t="shared" si="7"/>
        <v>471033.47199999983</v>
      </c>
      <c r="S49" s="1660"/>
      <c r="T49" s="1658">
        <v>0</v>
      </c>
      <c r="U49" s="1660"/>
      <c r="V49" s="1658">
        <v>0</v>
      </c>
      <c r="W49" s="1660"/>
      <c r="X49" s="1659">
        <f t="shared" si="8"/>
        <v>471033.47199999983</v>
      </c>
      <c r="Y49" s="1655"/>
      <c r="Z49" s="1449" t="s">
        <v>1475</v>
      </c>
      <c r="AA49" s="1656"/>
      <c r="AB49" s="1449" t="s">
        <v>22</v>
      </c>
      <c r="AC49" s="1656"/>
      <c r="AD49" s="1657">
        <v>0.33300000000000002</v>
      </c>
      <c r="AE49" s="1656"/>
      <c r="AF49" s="1659">
        <f t="shared" si="9"/>
        <v>156854.14617599995</v>
      </c>
      <c r="AG49" s="1008"/>
      <c r="AH49" s="1314">
        <v>190</v>
      </c>
      <c r="AI49" s="1314"/>
    </row>
    <row r="50" spans="2:35">
      <c r="B50" s="1314">
        <v>39</v>
      </c>
      <c r="C50" s="1440" t="s">
        <v>1672</v>
      </c>
      <c r="D50" s="1440" t="s">
        <v>1673</v>
      </c>
      <c r="E50" s="1440" t="s">
        <v>1461</v>
      </c>
      <c r="F50" s="1658">
        <v>1831322.27</v>
      </c>
      <c r="G50" s="1659">
        <f t="shared" si="0"/>
        <v>640962.79449999996</v>
      </c>
      <c r="H50" s="1658">
        <v>164819.0043</v>
      </c>
      <c r="I50" s="1659">
        <f t="shared" si="1"/>
        <v>-57686.651504999994</v>
      </c>
      <c r="J50" s="1659">
        <f t="shared" si="2"/>
        <v>748095.14729500003</v>
      </c>
      <c r="K50" s="1660"/>
      <c r="L50" s="1658">
        <f t="shared" si="3"/>
        <v>1831322.27</v>
      </c>
      <c r="M50" s="1659">
        <f t="shared" si="4"/>
        <v>384577.67670000001</v>
      </c>
      <c r="N50" s="1658">
        <v>164819.0043</v>
      </c>
      <c r="O50" s="1659">
        <f t="shared" si="5"/>
        <v>-34611.990902999998</v>
      </c>
      <c r="P50" s="1659">
        <f t="shared" si="6"/>
        <v>514784.69009699998</v>
      </c>
      <c r="Q50" s="1659"/>
      <c r="R50" s="1659">
        <f t="shared" si="7"/>
        <v>233310.45719800005</v>
      </c>
      <c r="S50" s="1660"/>
      <c r="T50" s="1658">
        <v>0</v>
      </c>
      <c r="U50" s="1660"/>
      <c r="V50" s="1658">
        <v>0</v>
      </c>
      <c r="W50" s="1660"/>
      <c r="X50" s="1659">
        <f t="shared" si="8"/>
        <v>233310.45719800005</v>
      </c>
      <c r="Y50" s="1655"/>
      <c r="Z50" s="1449" t="s">
        <v>1475</v>
      </c>
      <c r="AA50" s="1656"/>
      <c r="AB50" s="1449" t="s">
        <v>22</v>
      </c>
      <c r="AC50" s="1656"/>
      <c r="AD50" s="1657">
        <v>0</v>
      </c>
      <c r="AE50" s="1656"/>
      <c r="AF50" s="1659">
        <f t="shared" si="9"/>
        <v>0</v>
      </c>
      <c r="AG50" s="1008"/>
      <c r="AH50" s="1314">
        <v>190</v>
      </c>
      <c r="AI50" s="1314"/>
    </row>
    <row r="51" spans="2:35">
      <c r="B51" s="1314">
        <v>40</v>
      </c>
      <c r="C51" s="1440" t="s">
        <v>1674</v>
      </c>
      <c r="D51" s="1440" t="s">
        <v>1673</v>
      </c>
      <c r="E51" s="1440" t="s">
        <v>1461</v>
      </c>
      <c r="F51" s="1658">
        <v>15938799.439999999</v>
      </c>
      <c r="G51" s="1659">
        <f t="shared" si="0"/>
        <v>5578579.8039999995</v>
      </c>
      <c r="H51" s="1658">
        <v>1434491.9495999999</v>
      </c>
      <c r="I51" s="1659">
        <f t="shared" si="1"/>
        <v>-502072.18235999992</v>
      </c>
      <c r="J51" s="1659">
        <f t="shared" si="2"/>
        <v>6510999.5712399995</v>
      </c>
      <c r="K51" s="1660"/>
      <c r="L51" s="1658">
        <f t="shared" si="3"/>
        <v>15938799.439999999</v>
      </c>
      <c r="M51" s="1659">
        <f t="shared" si="4"/>
        <v>3347147.8823999995</v>
      </c>
      <c r="N51" s="1658">
        <v>1434491.9495999999</v>
      </c>
      <c r="O51" s="1659">
        <f t="shared" si="5"/>
        <v>-301243.30941599997</v>
      </c>
      <c r="P51" s="1659">
        <f t="shared" si="6"/>
        <v>4480396.5225839997</v>
      </c>
      <c r="Q51" s="1659"/>
      <c r="R51" s="1659">
        <f t="shared" si="7"/>
        <v>2030603.0486559998</v>
      </c>
      <c r="S51" s="1660"/>
      <c r="T51" s="1658">
        <v>0</v>
      </c>
      <c r="U51" s="1660"/>
      <c r="V51" s="1658">
        <v>0</v>
      </c>
      <c r="W51" s="1660"/>
      <c r="X51" s="1659">
        <f t="shared" si="8"/>
        <v>2030603.0486559998</v>
      </c>
      <c r="Y51" s="1655"/>
      <c r="Z51" s="1449" t="s">
        <v>1475</v>
      </c>
      <c r="AA51" s="1656"/>
      <c r="AB51" s="1449" t="s">
        <v>22</v>
      </c>
      <c r="AC51" s="1656"/>
      <c r="AD51" s="1657">
        <v>0</v>
      </c>
      <c r="AE51" s="1656"/>
      <c r="AF51" s="1659">
        <f t="shared" si="9"/>
        <v>0</v>
      </c>
      <c r="AG51" s="1008"/>
      <c r="AH51" s="1314">
        <v>190</v>
      </c>
      <c r="AI51" s="1314"/>
    </row>
    <row r="52" spans="2:35">
      <c r="B52" s="1314">
        <v>41</v>
      </c>
      <c r="C52" s="1440" t="s">
        <v>1675</v>
      </c>
      <c r="D52" s="1440" t="s">
        <v>1676</v>
      </c>
      <c r="E52" s="1440" t="s">
        <v>1461</v>
      </c>
      <c r="F52" s="1658">
        <v>2031657.71</v>
      </c>
      <c r="G52" s="1659">
        <f t="shared" si="0"/>
        <v>711080.19849999994</v>
      </c>
      <c r="H52" s="1658">
        <v>0</v>
      </c>
      <c r="I52" s="1659">
        <f t="shared" si="1"/>
        <v>0</v>
      </c>
      <c r="J52" s="1659">
        <f t="shared" si="2"/>
        <v>711080.19849999994</v>
      </c>
      <c r="K52" s="1660"/>
      <c r="L52" s="1658">
        <f t="shared" si="3"/>
        <v>2031657.71</v>
      </c>
      <c r="M52" s="1659">
        <f t="shared" si="4"/>
        <v>426648.11909999995</v>
      </c>
      <c r="N52" s="1658">
        <v>0</v>
      </c>
      <c r="O52" s="1659">
        <f t="shared" si="5"/>
        <v>0</v>
      </c>
      <c r="P52" s="1659">
        <f t="shared" si="6"/>
        <v>426648.11909999995</v>
      </c>
      <c r="Q52" s="1659"/>
      <c r="R52" s="1659">
        <f t="shared" si="7"/>
        <v>284432.07939999999</v>
      </c>
      <c r="S52" s="1660"/>
      <c r="T52" s="1658">
        <v>284432.07940000005</v>
      </c>
      <c r="U52" s="1660"/>
      <c r="V52" s="1658">
        <v>0</v>
      </c>
      <c r="W52" s="1660"/>
      <c r="X52" s="1659">
        <f t="shared" si="8"/>
        <v>-5.8207660913467407E-11</v>
      </c>
      <c r="Y52" s="1655"/>
      <c r="Z52" s="1449" t="s">
        <v>1475</v>
      </c>
      <c r="AA52" s="1656"/>
      <c r="AB52" s="1449" t="s">
        <v>23</v>
      </c>
      <c r="AC52" s="1656"/>
      <c r="AD52" s="1657">
        <v>0</v>
      </c>
      <c r="AE52" s="1656"/>
      <c r="AF52" s="1659">
        <f t="shared" si="9"/>
        <v>0</v>
      </c>
      <c r="AG52" s="1008"/>
      <c r="AH52" s="1314">
        <v>190</v>
      </c>
      <c r="AI52" s="1314"/>
    </row>
    <row r="53" spans="2:35">
      <c r="B53" s="1314">
        <v>42</v>
      </c>
      <c r="C53" s="1440" t="s">
        <v>1677</v>
      </c>
      <c r="D53" s="1440" t="s">
        <v>1676</v>
      </c>
      <c r="E53" s="1440" t="s">
        <v>1461</v>
      </c>
      <c r="F53" s="1658">
        <v>0</v>
      </c>
      <c r="G53" s="1659">
        <f t="shared" si="0"/>
        <v>0</v>
      </c>
      <c r="H53" s="1658">
        <v>196724.4057</v>
      </c>
      <c r="I53" s="1659">
        <f t="shared" si="1"/>
        <v>-68853.541994999992</v>
      </c>
      <c r="J53" s="1659">
        <f t="shared" si="2"/>
        <v>127870.86370500001</v>
      </c>
      <c r="K53" s="1660"/>
      <c r="L53" s="1658">
        <f t="shared" si="3"/>
        <v>0</v>
      </c>
      <c r="M53" s="1659">
        <f t="shared" si="4"/>
        <v>0</v>
      </c>
      <c r="N53" s="1658">
        <v>196724.4057</v>
      </c>
      <c r="O53" s="1659">
        <f t="shared" si="5"/>
        <v>-41312.125197000001</v>
      </c>
      <c r="P53" s="1659">
        <f t="shared" si="6"/>
        <v>155412.28050300002</v>
      </c>
      <c r="Q53" s="1659"/>
      <c r="R53" s="1659">
        <f t="shared" si="7"/>
        <v>-27541.416798000006</v>
      </c>
      <c r="S53" s="1660"/>
      <c r="T53" s="1658">
        <v>-27541.416798000002</v>
      </c>
      <c r="U53" s="1660"/>
      <c r="V53" s="1658">
        <v>0</v>
      </c>
      <c r="W53" s="1660"/>
      <c r="X53" s="1659">
        <f t="shared" si="8"/>
        <v>-3.637978807091713E-12</v>
      </c>
      <c r="Y53" s="1655"/>
      <c r="Z53" s="1449" t="s">
        <v>1475</v>
      </c>
      <c r="AA53" s="1656"/>
      <c r="AB53" s="1449" t="s">
        <v>23</v>
      </c>
      <c r="AC53" s="1656"/>
      <c r="AD53" s="1657">
        <v>0</v>
      </c>
      <c r="AE53" s="1656"/>
      <c r="AF53" s="1659">
        <f t="shared" si="9"/>
        <v>0</v>
      </c>
      <c r="AG53" s="1008"/>
      <c r="AH53" s="1314">
        <v>190</v>
      </c>
      <c r="AI53" s="1314"/>
    </row>
    <row r="54" spans="2:35">
      <c r="B54" s="1314">
        <v>43</v>
      </c>
      <c r="C54" s="1440" t="s">
        <v>1678</v>
      </c>
      <c r="D54" s="1440" t="s">
        <v>1679</v>
      </c>
      <c r="E54" s="1440" t="s">
        <v>1461</v>
      </c>
      <c r="F54" s="1658">
        <v>285000</v>
      </c>
      <c r="G54" s="1659">
        <f t="shared" si="0"/>
        <v>99750</v>
      </c>
      <c r="H54" s="1658">
        <v>25650</v>
      </c>
      <c r="I54" s="1659">
        <f t="shared" si="1"/>
        <v>-8977.5</v>
      </c>
      <c r="J54" s="1659">
        <f t="shared" si="2"/>
        <v>116422.5</v>
      </c>
      <c r="K54" s="1660"/>
      <c r="L54" s="1658">
        <f t="shared" si="3"/>
        <v>285000</v>
      </c>
      <c r="M54" s="1659">
        <f t="shared" si="4"/>
        <v>59850</v>
      </c>
      <c r="N54" s="1658">
        <v>25650</v>
      </c>
      <c r="O54" s="1659">
        <f t="shared" si="5"/>
        <v>-5386.5</v>
      </c>
      <c r="P54" s="1659">
        <f t="shared" si="6"/>
        <v>80113.5</v>
      </c>
      <c r="Q54" s="1659"/>
      <c r="R54" s="1659">
        <f t="shared" si="7"/>
        <v>36309</v>
      </c>
      <c r="S54" s="1660"/>
      <c r="T54" s="1658">
        <v>0</v>
      </c>
      <c r="U54" s="1660"/>
      <c r="V54" s="1658">
        <v>0</v>
      </c>
      <c r="W54" s="1660"/>
      <c r="X54" s="1659">
        <f t="shared" si="8"/>
        <v>36309</v>
      </c>
      <c r="Y54" s="1655"/>
      <c r="Z54" s="1449" t="s">
        <v>1475</v>
      </c>
      <c r="AA54" s="1656"/>
      <c r="AB54" s="1449" t="s">
        <v>22</v>
      </c>
      <c r="AC54" s="1656"/>
      <c r="AD54" s="1657">
        <v>0</v>
      </c>
      <c r="AE54" s="1656"/>
      <c r="AF54" s="1659">
        <f t="shared" si="9"/>
        <v>0</v>
      </c>
      <c r="AG54" s="1008"/>
      <c r="AH54" s="1314">
        <v>190</v>
      </c>
      <c r="AI54" s="1314"/>
    </row>
    <row r="55" spans="2:35">
      <c r="B55" s="1314">
        <v>44</v>
      </c>
      <c r="C55" s="1440" t="s">
        <v>1680</v>
      </c>
      <c r="D55" s="1440" t="s">
        <v>1679</v>
      </c>
      <c r="E55" s="1440" t="s">
        <v>1461</v>
      </c>
      <c r="F55" s="1658">
        <v>-285000</v>
      </c>
      <c r="G55" s="1659">
        <f t="shared" si="0"/>
        <v>-99750</v>
      </c>
      <c r="H55" s="1658">
        <v>-25650</v>
      </c>
      <c r="I55" s="1659">
        <f t="shared" si="1"/>
        <v>8977.5</v>
      </c>
      <c r="J55" s="1659">
        <f t="shared" si="2"/>
        <v>-116422.5</v>
      </c>
      <c r="K55" s="1660"/>
      <c r="L55" s="1658">
        <f t="shared" si="3"/>
        <v>-285000</v>
      </c>
      <c r="M55" s="1659">
        <f t="shared" si="4"/>
        <v>-59850</v>
      </c>
      <c r="N55" s="1658">
        <v>-25650</v>
      </c>
      <c r="O55" s="1659">
        <f t="shared" si="5"/>
        <v>5386.5</v>
      </c>
      <c r="P55" s="1659">
        <f t="shared" si="6"/>
        <v>-80113.5</v>
      </c>
      <c r="Q55" s="1659"/>
      <c r="R55" s="1659">
        <f t="shared" si="7"/>
        <v>-36309</v>
      </c>
      <c r="S55" s="1660"/>
      <c r="T55" s="1658">
        <v>0</v>
      </c>
      <c r="U55" s="1660"/>
      <c r="V55" s="1658">
        <v>0</v>
      </c>
      <c r="W55" s="1660"/>
      <c r="X55" s="1659">
        <f t="shared" si="8"/>
        <v>-36309</v>
      </c>
      <c r="Y55" s="1655"/>
      <c r="Z55" s="1449" t="s">
        <v>1475</v>
      </c>
      <c r="AA55" s="1656"/>
      <c r="AB55" s="1449" t="s">
        <v>22</v>
      </c>
      <c r="AC55" s="1656"/>
      <c r="AD55" s="1657">
        <v>0</v>
      </c>
      <c r="AE55" s="1656"/>
      <c r="AF55" s="1659">
        <f t="shared" si="9"/>
        <v>0</v>
      </c>
      <c r="AG55" s="1008"/>
      <c r="AH55" s="1314">
        <v>190</v>
      </c>
      <c r="AI55" s="1314"/>
    </row>
    <row r="56" spans="2:35">
      <c r="B56" s="1314">
        <v>45</v>
      </c>
      <c r="C56" s="1440" t="s">
        <v>1681</v>
      </c>
      <c r="D56" s="1440" t="s">
        <v>1679</v>
      </c>
      <c r="E56" s="1440" t="s">
        <v>1461</v>
      </c>
      <c r="F56" s="1658">
        <v>628942.43999999994</v>
      </c>
      <c r="G56" s="1659">
        <f t="shared" si="0"/>
        <v>220129.85399999996</v>
      </c>
      <c r="H56" s="1658">
        <v>56604.819599999995</v>
      </c>
      <c r="I56" s="1659">
        <f t="shared" si="1"/>
        <v>-19811.686859999998</v>
      </c>
      <c r="J56" s="1659">
        <f t="shared" si="2"/>
        <v>256922.98673999999</v>
      </c>
      <c r="K56" s="1660"/>
      <c r="L56" s="1658">
        <f t="shared" si="3"/>
        <v>628942.43999999994</v>
      </c>
      <c r="M56" s="1659">
        <f t="shared" si="4"/>
        <v>132077.91239999997</v>
      </c>
      <c r="N56" s="1658">
        <v>56604.819599999995</v>
      </c>
      <c r="O56" s="1659">
        <f t="shared" si="5"/>
        <v>-11887.012115999998</v>
      </c>
      <c r="P56" s="1659">
        <f t="shared" si="6"/>
        <v>176795.71988399996</v>
      </c>
      <c r="Q56" s="1659"/>
      <c r="R56" s="1659">
        <f t="shared" si="7"/>
        <v>80127.266856000031</v>
      </c>
      <c r="S56" s="1660"/>
      <c r="T56" s="1658">
        <v>0</v>
      </c>
      <c r="U56" s="1660"/>
      <c r="V56" s="1658">
        <v>0</v>
      </c>
      <c r="W56" s="1660"/>
      <c r="X56" s="1659">
        <f t="shared" si="8"/>
        <v>80127.266856000031</v>
      </c>
      <c r="Y56" s="1655"/>
      <c r="Z56" s="1449" t="s">
        <v>1475</v>
      </c>
      <c r="AA56" s="1656"/>
      <c r="AB56" s="1449" t="s">
        <v>22</v>
      </c>
      <c r="AC56" s="1656"/>
      <c r="AD56" s="1657">
        <v>0</v>
      </c>
      <c r="AE56" s="1656"/>
      <c r="AF56" s="1659">
        <f t="shared" si="9"/>
        <v>0</v>
      </c>
      <c r="AG56" s="1008"/>
      <c r="AH56" s="1314">
        <v>190</v>
      </c>
      <c r="AI56" s="1314"/>
    </row>
    <row r="57" spans="2:35">
      <c r="B57" s="1314">
        <v>46</v>
      </c>
      <c r="C57" s="1440" t="s">
        <v>1464</v>
      </c>
      <c r="D57" s="1440" t="s">
        <v>1682</v>
      </c>
      <c r="E57" s="1440" t="s">
        <v>1461</v>
      </c>
      <c r="F57" s="1658">
        <v>427575.23</v>
      </c>
      <c r="G57" s="1659">
        <f t="shared" si="0"/>
        <v>149651.33049999998</v>
      </c>
      <c r="H57" s="1658">
        <v>38481.770699999994</v>
      </c>
      <c r="I57" s="1659">
        <f t="shared" si="1"/>
        <v>-13468.619744999996</v>
      </c>
      <c r="J57" s="1659">
        <f t="shared" si="2"/>
        <v>174664.48145499997</v>
      </c>
      <c r="K57" s="1660"/>
      <c r="L57" s="1658">
        <f t="shared" si="3"/>
        <v>427575.23</v>
      </c>
      <c r="M57" s="1659">
        <f t="shared" si="4"/>
        <v>89790.798299999995</v>
      </c>
      <c r="N57" s="1658">
        <v>38481.770699999994</v>
      </c>
      <c r="O57" s="1659">
        <f t="shared" si="5"/>
        <v>-8081.1718469999987</v>
      </c>
      <c r="P57" s="1659">
        <f t="shared" si="6"/>
        <v>120191.39715299998</v>
      </c>
      <c r="Q57" s="1659"/>
      <c r="R57" s="1659">
        <f t="shared" si="7"/>
        <v>54473.084301999988</v>
      </c>
      <c r="S57" s="1660"/>
      <c r="T57" s="1658">
        <v>0</v>
      </c>
      <c r="U57" s="1660"/>
      <c r="V57" s="1658">
        <v>0</v>
      </c>
      <c r="W57" s="1660"/>
      <c r="X57" s="1659">
        <f t="shared" si="8"/>
        <v>54473.084301999988</v>
      </c>
      <c r="Y57" s="1655"/>
      <c r="Z57" s="1449" t="s">
        <v>260</v>
      </c>
      <c r="AA57" s="1656"/>
      <c r="AB57" s="1449" t="s">
        <v>22</v>
      </c>
      <c r="AC57" s="1656"/>
      <c r="AD57" s="1657">
        <v>6.5299999999999997E-2</v>
      </c>
      <c r="AE57" s="1656"/>
      <c r="AF57" s="1659">
        <f t="shared" si="9"/>
        <v>3557.0924049205992</v>
      </c>
      <c r="AG57" s="1008"/>
      <c r="AH57" s="1314">
        <v>190</v>
      </c>
      <c r="AI57" s="1314"/>
    </row>
    <row r="58" spans="2:35">
      <c r="B58" s="1314">
        <v>47</v>
      </c>
      <c r="C58" s="1440" t="s">
        <v>1473</v>
      </c>
      <c r="D58" s="1440" t="s">
        <v>1682</v>
      </c>
      <c r="E58" s="1440" t="s">
        <v>1461</v>
      </c>
      <c r="F58" s="1658">
        <v>16383105.710000001</v>
      </c>
      <c r="G58" s="1659">
        <f t="shared" si="0"/>
        <v>5734086.9984999998</v>
      </c>
      <c r="H58" s="1658">
        <v>1474479.5139000001</v>
      </c>
      <c r="I58" s="1659">
        <f t="shared" si="1"/>
        <v>-516067.82986500004</v>
      </c>
      <c r="J58" s="1659">
        <f t="shared" si="2"/>
        <v>6692498.6825349992</v>
      </c>
      <c r="K58" s="1660"/>
      <c r="L58" s="1658">
        <f t="shared" si="3"/>
        <v>16383105.710000001</v>
      </c>
      <c r="M58" s="1659">
        <f t="shared" si="4"/>
        <v>3440452.1990999999</v>
      </c>
      <c r="N58" s="1658">
        <v>1474479.5139000001</v>
      </c>
      <c r="O58" s="1659">
        <f t="shared" si="5"/>
        <v>-309640.697919</v>
      </c>
      <c r="P58" s="1659">
        <f t="shared" si="6"/>
        <v>4605291.0150809996</v>
      </c>
      <c r="Q58" s="1659"/>
      <c r="R58" s="1659">
        <f t="shared" si="7"/>
        <v>2087207.6674539996</v>
      </c>
      <c r="S58" s="1660"/>
      <c r="T58" s="1658">
        <v>0</v>
      </c>
      <c r="U58" s="1660"/>
      <c r="V58" s="1658">
        <v>0</v>
      </c>
      <c r="W58" s="1660"/>
      <c r="X58" s="1659">
        <f t="shared" si="8"/>
        <v>2087207.6674539996</v>
      </c>
      <c r="Y58" s="1655"/>
      <c r="Z58" s="1449" t="s">
        <v>260</v>
      </c>
      <c r="AA58" s="1656"/>
      <c r="AB58" s="1449" t="s">
        <v>22</v>
      </c>
      <c r="AC58" s="1656"/>
      <c r="AD58" s="1657">
        <v>6.5299999999999997E-2</v>
      </c>
      <c r="AE58" s="1656"/>
      <c r="AF58" s="1659">
        <f t="shared" si="9"/>
        <v>136294.66068474617</v>
      </c>
      <c r="AG58" s="1008"/>
      <c r="AH58" s="1314">
        <v>190</v>
      </c>
      <c r="AI58" s="1314"/>
    </row>
    <row r="59" spans="2:35">
      <c r="B59" s="1314">
        <v>48</v>
      </c>
      <c r="C59" s="1440" t="s">
        <v>1683</v>
      </c>
      <c r="D59" s="1440" t="s">
        <v>1682</v>
      </c>
      <c r="E59" s="1440" t="s">
        <v>1461</v>
      </c>
      <c r="F59" s="1658">
        <v>130121.22</v>
      </c>
      <c r="G59" s="1659">
        <f t="shared" si="0"/>
        <v>45542.426999999996</v>
      </c>
      <c r="H59" s="1658">
        <v>11710.909799999999</v>
      </c>
      <c r="I59" s="1659">
        <f t="shared" si="1"/>
        <v>-4098.8184299999994</v>
      </c>
      <c r="J59" s="1659">
        <f t="shared" si="2"/>
        <v>53154.518369999998</v>
      </c>
      <c r="K59" s="1660"/>
      <c r="L59" s="1658">
        <f t="shared" si="3"/>
        <v>130121.22</v>
      </c>
      <c r="M59" s="1659">
        <f t="shared" si="4"/>
        <v>27325.456200000001</v>
      </c>
      <c r="N59" s="1658">
        <v>11710.909799999999</v>
      </c>
      <c r="O59" s="1659">
        <f t="shared" si="5"/>
        <v>-2459.2910579999998</v>
      </c>
      <c r="P59" s="1659">
        <f t="shared" si="6"/>
        <v>36577.074941999999</v>
      </c>
      <c r="Q59" s="1659"/>
      <c r="R59" s="1659">
        <f t="shared" si="7"/>
        <v>16577.443427999999</v>
      </c>
      <c r="S59" s="1660"/>
      <c r="T59" s="1658">
        <v>0</v>
      </c>
      <c r="U59" s="1660"/>
      <c r="V59" s="1658">
        <v>0</v>
      </c>
      <c r="W59" s="1660"/>
      <c r="X59" s="1659">
        <f t="shared" si="8"/>
        <v>16577.443427999999</v>
      </c>
      <c r="Y59" s="1655"/>
      <c r="Z59" s="1449" t="s">
        <v>1475</v>
      </c>
      <c r="AA59" s="1656"/>
      <c r="AB59" s="1449" t="s">
        <v>22</v>
      </c>
      <c r="AC59" s="1656"/>
      <c r="AD59" s="1657">
        <v>6.5299999999999997E-2</v>
      </c>
      <c r="AE59" s="1656"/>
      <c r="AF59" s="1659">
        <f t="shared" si="9"/>
        <v>1082.5070558483999</v>
      </c>
      <c r="AG59" s="1008"/>
      <c r="AH59" s="1314">
        <v>190</v>
      </c>
      <c r="AI59" s="1314"/>
    </row>
    <row r="60" spans="2:35">
      <c r="B60" s="1314">
        <v>49</v>
      </c>
      <c r="C60" s="1440" t="s">
        <v>1684</v>
      </c>
      <c r="D60" s="1440" t="s">
        <v>1685</v>
      </c>
      <c r="E60" s="1440" t="s">
        <v>1461</v>
      </c>
      <c r="F60" s="1658">
        <v>881501.32</v>
      </c>
      <c r="G60" s="1659">
        <f t="shared" si="0"/>
        <v>308525.46199999994</v>
      </c>
      <c r="H60" s="1658">
        <v>79335.118799999997</v>
      </c>
      <c r="I60" s="1659">
        <f t="shared" si="1"/>
        <v>-27767.291579999997</v>
      </c>
      <c r="J60" s="1659">
        <f t="shared" si="2"/>
        <v>360093.28921999992</v>
      </c>
      <c r="K60" s="1660"/>
      <c r="L60" s="1658">
        <f t="shared" si="3"/>
        <v>881501.32</v>
      </c>
      <c r="M60" s="1659">
        <f t="shared" si="4"/>
        <v>185115.27719999998</v>
      </c>
      <c r="N60" s="1658">
        <v>79335.118799999997</v>
      </c>
      <c r="O60" s="1659">
        <f t="shared" si="5"/>
        <v>-16660.374947999997</v>
      </c>
      <c r="P60" s="1659">
        <f t="shared" si="6"/>
        <v>247790.02105199994</v>
      </c>
      <c r="Q60" s="1659"/>
      <c r="R60" s="1659">
        <f t="shared" si="7"/>
        <v>112303.26816799998</v>
      </c>
      <c r="S60" s="1660"/>
      <c r="T60" s="1658">
        <v>104969.86475662961</v>
      </c>
      <c r="U60" s="1660"/>
      <c r="V60" s="1658">
        <v>0</v>
      </c>
      <c r="W60" s="1660"/>
      <c r="X60" s="1659">
        <f t="shared" si="8"/>
        <v>7333.4034113703674</v>
      </c>
      <c r="Y60" s="1655"/>
      <c r="Z60" s="1449" t="s">
        <v>260</v>
      </c>
      <c r="AA60" s="1656"/>
      <c r="AB60" s="1449" t="s">
        <v>22</v>
      </c>
      <c r="AC60" s="1656"/>
      <c r="AD60" s="1657">
        <v>0</v>
      </c>
      <c r="AE60" s="1656"/>
      <c r="AF60" s="1659">
        <f t="shared" si="9"/>
        <v>0</v>
      </c>
      <c r="AG60" s="1008"/>
      <c r="AH60" s="1314">
        <v>190</v>
      </c>
      <c r="AI60" s="1314"/>
    </row>
    <row r="61" spans="2:35">
      <c r="B61" s="1314">
        <v>50</v>
      </c>
      <c r="C61" s="1440" t="s">
        <v>1686</v>
      </c>
      <c r="D61" s="1440" t="s">
        <v>1685</v>
      </c>
      <c r="E61" s="1440" t="s">
        <v>1461</v>
      </c>
      <c r="F61" s="1658">
        <v>-881501.32</v>
      </c>
      <c r="G61" s="1659">
        <f t="shared" si="0"/>
        <v>-308525.46199999994</v>
      </c>
      <c r="H61" s="1658">
        <v>-79335.118799999997</v>
      </c>
      <c r="I61" s="1659">
        <f t="shared" si="1"/>
        <v>27767.291579999997</v>
      </c>
      <c r="J61" s="1659">
        <f t="shared" si="2"/>
        <v>-360093.28921999992</v>
      </c>
      <c r="K61" s="1660"/>
      <c r="L61" s="1658">
        <f t="shared" si="3"/>
        <v>-881501.32</v>
      </c>
      <c r="M61" s="1659">
        <f t="shared" si="4"/>
        <v>-185115.27719999998</v>
      </c>
      <c r="N61" s="1658">
        <v>-79335.118799999997</v>
      </c>
      <c r="O61" s="1659">
        <f t="shared" si="5"/>
        <v>16660.374947999997</v>
      </c>
      <c r="P61" s="1659">
        <f t="shared" si="6"/>
        <v>-247790.02105199994</v>
      </c>
      <c r="Q61" s="1659"/>
      <c r="R61" s="1659">
        <f t="shared" si="7"/>
        <v>-112303.26816799998</v>
      </c>
      <c r="S61" s="1660"/>
      <c r="T61" s="1658">
        <v>-104969.86475662961</v>
      </c>
      <c r="U61" s="1660"/>
      <c r="V61" s="1658">
        <v>0</v>
      </c>
      <c r="W61" s="1660"/>
      <c r="X61" s="1659">
        <f t="shared" si="8"/>
        <v>-7333.4034113703674</v>
      </c>
      <c r="Y61" s="1655"/>
      <c r="Z61" s="1449" t="s">
        <v>260</v>
      </c>
      <c r="AA61" s="1656"/>
      <c r="AB61" s="1449" t="s">
        <v>22</v>
      </c>
      <c r="AC61" s="1656"/>
      <c r="AD61" s="1657">
        <v>0</v>
      </c>
      <c r="AE61" s="1656"/>
      <c r="AF61" s="1659">
        <f t="shared" si="9"/>
        <v>0</v>
      </c>
      <c r="AG61" s="1008"/>
      <c r="AH61" s="1314">
        <v>190</v>
      </c>
      <c r="AI61" s="1314"/>
    </row>
    <row r="62" spans="2:35">
      <c r="B62" s="1314">
        <v>51</v>
      </c>
      <c r="C62" s="1440" t="s">
        <v>1467</v>
      </c>
      <c r="D62" s="1440" t="s">
        <v>1685</v>
      </c>
      <c r="E62" s="1440" t="s">
        <v>1461</v>
      </c>
      <c r="F62" s="1658">
        <v>881501.32</v>
      </c>
      <c r="G62" s="1659">
        <f t="shared" si="0"/>
        <v>308525.46199999994</v>
      </c>
      <c r="H62" s="1658">
        <v>79335.118799999997</v>
      </c>
      <c r="I62" s="1659">
        <f t="shared" si="1"/>
        <v>-27767.291579999997</v>
      </c>
      <c r="J62" s="1659">
        <f t="shared" si="2"/>
        <v>360093.28921999992</v>
      </c>
      <c r="K62" s="1660"/>
      <c r="L62" s="1658">
        <f t="shared" si="3"/>
        <v>881501.32</v>
      </c>
      <c r="M62" s="1659">
        <f t="shared" si="4"/>
        <v>185115.27719999998</v>
      </c>
      <c r="N62" s="1658">
        <v>79335.118799999997</v>
      </c>
      <c r="O62" s="1659">
        <f t="shared" si="5"/>
        <v>-16660.374947999997</v>
      </c>
      <c r="P62" s="1659">
        <f t="shared" si="6"/>
        <v>247790.02105199994</v>
      </c>
      <c r="Q62" s="1659"/>
      <c r="R62" s="1659">
        <f t="shared" si="7"/>
        <v>112303.26816799998</v>
      </c>
      <c r="S62" s="1660"/>
      <c r="T62" s="1658">
        <v>0</v>
      </c>
      <c r="U62" s="1660"/>
      <c r="V62" s="1658">
        <v>0</v>
      </c>
      <c r="W62" s="1660"/>
      <c r="X62" s="1659">
        <f t="shared" si="8"/>
        <v>112303.26816799998</v>
      </c>
      <c r="Y62" s="1655"/>
      <c r="Z62" s="1449" t="s">
        <v>260</v>
      </c>
      <c r="AA62" s="1656"/>
      <c r="AB62" s="1449" t="s">
        <v>22</v>
      </c>
      <c r="AC62" s="1656"/>
      <c r="AD62" s="1657">
        <v>6.5299999999999997E-2</v>
      </c>
      <c r="AE62" s="1656"/>
      <c r="AF62" s="1659">
        <f t="shared" si="9"/>
        <v>7333.4034113703983</v>
      </c>
      <c r="AG62" s="1008"/>
      <c r="AH62" s="1314">
        <v>190</v>
      </c>
      <c r="AI62" s="1314"/>
    </row>
    <row r="63" spans="2:35">
      <c r="B63" s="1314">
        <v>52</v>
      </c>
      <c r="C63" s="1440" t="s">
        <v>1687</v>
      </c>
      <c r="D63" s="1440" t="s">
        <v>1688</v>
      </c>
      <c r="E63" s="1440" t="s">
        <v>1461</v>
      </c>
      <c r="F63" s="1658">
        <v>3889954.1</v>
      </c>
      <c r="G63" s="1659">
        <f t="shared" si="0"/>
        <v>1361483.9350000001</v>
      </c>
      <c r="H63" s="1658">
        <v>350095.86900000001</v>
      </c>
      <c r="I63" s="1659">
        <f t="shared" si="1"/>
        <v>-122533.55415</v>
      </c>
      <c r="J63" s="1659">
        <f t="shared" si="2"/>
        <v>1589046.24985</v>
      </c>
      <c r="K63" s="1660"/>
      <c r="L63" s="1658">
        <f t="shared" si="3"/>
        <v>3889954.1</v>
      </c>
      <c r="M63" s="1659">
        <f t="shared" si="4"/>
        <v>816890.36100000003</v>
      </c>
      <c r="N63" s="1658">
        <v>350095.86900000001</v>
      </c>
      <c r="O63" s="1659">
        <f t="shared" si="5"/>
        <v>-73520.132490000004</v>
      </c>
      <c r="P63" s="1659">
        <f t="shared" si="6"/>
        <v>1093466.09751</v>
      </c>
      <c r="Q63" s="1659"/>
      <c r="R63" s="1659">
        <f t="shared" si="7"/>
        <v>495580.15234000003</v>
      </c>
      <c r="S63" s="1660"/>
      <c r="T63" s="1658">
        <v>0</v>
      </c>
      <c r="U63" s="1660"/>
      <c r="V63" s="1658">
        <v>0</v>
      </c>
      <c r="W63" s="1660"/>
      <c r="X63" s="1659">
        <f t="shared" si="8"/>
        <v>495580.15234000003</v>
      </c>
      <c r="Y63" s="1655"/>
      <c r="Z63" s="1449" t="s">
        <v>1475</v>
      </c>
      <c r="AA63" s="1656"/>
      <c r="AB63" s="1449" t="s">
        <v>22</v>
      </c>
      <c r="AC63" s="1656"/>
      <c r="AD63" s="1657">
        <v>0</v>
      </c>
      <c r="AE63" s="1656"/>
      <c r="AF63" s="1659">
        <f t="shared" si="9"/>
        <v>0</v>
      </c>
      <c r="AG63" s="1008"/>
      <c r="AH63" s="1314">
        <v>190</v>
      </c>
      <c r="AI63" s="1314"/>
    </row>
    <row r="64" spans="2:35">
      <c r="B64" s="1314">
        <v>53</v>
      </c>
      <c r="C64" s="1440" t="s">
        <v>1689</v>
      </c>
      <c r="D64" s="1440" t="s">
        <v>1688</v>
      </c>
      <c r="E64" s="1440" t="s">
        <v>1461</v>
      </c>
      <c r="F64" s="1658">
        <v>444545.66</v>
      </c>
      <c r="G64" s="1659">
        <f t="shared" si="0"/>
        <v>155590.98099999997</v>
      </c>
      <c r="H64" s="1658">
        <v>40009.109399999994</v>
      </c>
      <c r="I64" s="1659">
        <f t="shared" si="1"/>
        <v>-14003.188289999996</v>
      </c>
      <c r="J64" s="1659">
        <f t="shared" si="2"/>
        <v>181596.90210999997</v>
      </c>
      <c r="K64" s="1660"/>
      <c r="L64" s="1658">
        <f t="shared" si="3"/>
        <v>444545.66</v>
      </c>
      <c r="M64" s="1659">
        <f t="shared" si="4"/>
        <v>93354.588599999988</v>
      </c>
      <c r="N64" s="1658">
        <v>40009.109399999994</v>
      </c>
      <c r="O64" s="1659">
        <f t="shared" si="5"/>
        <v>-8401.9129739999989</v>
      </c>
      <c r="P64" s="1659">
        <f t="shared" si="6"/>
        <v>124961.78502599997</v>
      </c>
      <c r="Q64" s="1659"/>
      <c r="R64" s="1659">
        <f t="shared" si="7"/>
        <v>56635.117083999998</v>
      </c>
      <c r="S64" s="1660"/>
      <c r="T64" s="1658">
        <v>0</v>
      </c>
      <c r="U64" s="1660"/>
      <c r="V64" s="1658">
        <v>0</v>
      </c>
      <c r="W64" s="1660"/>
      <c r="X64" s="1659">
        <f t="shared" si="8"/>
        <v>56635.117083999998</v>
      </c>
      <c r="Y64" s="1655"/>
      <c r="Z64" s="1449" t="s">
        <v>1475</v>
      </c>
      <c r="AA64" s="1656"/>
      <c r="AB64" s="1449" t="s">
        <v>22</v>
      </c>
      <c r="AC64" s="1656"/>
      <c r="AD64" s="1657">
        <v>0</v>
      </c>
      <c r="AE64" s="1656"/>
      <c r="AF64" s="1659">
        <f t="shared" si="9"/>
        <v>0</v>
      </c>
      <c r="AG64" s="1008"/>
      <c r="AH64" s="1314">
        <v>190</v>
      </c>
      <c r="AI64" s="1314"/>
    </row>
    <row r="65" spans="2:35">
      <c r="B65" s="1314">
        <v>54</v>
      </c>
      <c r="C65" s="1440" t="s">
        <v>1690</v>
      </c>
      <c r="D65" s="1440" t="s">
        <v>1691</v>
      </c>
      <c r="E65" s="1440" t="s">
        <v>1461</v>
      </c>
      <c r="F65" s="1658">
        <v>2791067</v>
      </c>
      <c r="G65" s="1659">
        <f t="shared" si="0"/>
        <v>976873.45</v>
      </c>
      <c r="H65" s="1658">
        <v>251196.03</v>
      </c>
      <c r="I65" s="1659">
        <f t="shared" si="1"/>
        <v>-87918.610499999995</v>
      </c>
      <c r="J65" s="1659">
        <f t="shared" si="2"/>
        <v>1140150.8695</v>
      </c>
      <c r="K65" s="1660"/>
      <c r="L65" s="1658">
        <f t="shared" si="3"/>
        <v>2791067</v>
      </c>
      <c r="M65" s="1659">
        <f t="shared" si="4"/>
        <v>586124.06999999995</v>
      </c>
      <c r="N65" s="1658">
        <v>251196.03</v>
      </c>
      <c r="O65" s="1659">
        <f t="shared" si="5"/>
        <v>-52751.166299999997</v>
      </c>
      <c r="P65" s="1659">
        <f t="shared" si="6"/>
        <v>784568.93369999994</v>
      </c>
      <c r="Q65" s="1659"/>
      <c r="R65" s="1659">
        <f t="shared" si="7"/>
        <v>355581.93580000009</v>
      </c>
      <c r="S65" s="1660"/>
      <c r="T65" s="1658">
        <v>0</v>
      </c>
      <c r="U65" s="1660"/>
      <c r="V65" s="1658">
        <v>0</v>
      </c>
      <c r="W65" s="1660"/>
      <c r="X65" s="1659">
        <f t="shared" si="8"/>
        <v>355581.93580000009</v>
      </c>
      <c r="Y65" s="1655"/>
      <c r="Z65" s="1449" t="s">
        <v>1475</v>
      </c>
      <c r="AA65" s="1656"/>
      <c r="AB65" s="1449" t="s">
        <v>22</v>
      </c>
      <c r="AC65" s="1656"/>
      <c r="AD65" s="1657">
        <v>0</v>
      </c>
      <c r="AE65" s="1656"/>
      <c r="AF65" s="1659">
        <f t="shared" si="9"/>
        <v>0</v>
      </c>
      <c r="AG65" s="1008"/>
      <c r="AH65" s="1314">
        <v>190</v>
      </c>
      <c r="AI65" s="1314"/>
    </row>
    <row r="66" spans="2:35">
      <c r="B66" s="1314">
        <v>55</v>
      </c>
      <c r="C66" s="1440" t="s">
        <v>1478</v>
      </c>
      <c r="D66" s="1440" t="s">
        <v>1478</v>
      </c>
      <c r="E66" s="1440" t="s">
        <v>1402</v>
      </c>
      <c r="F66" s="1658">
        <v>73232517.023589402</v>
      </c>
      <c r="G66" s="1659">
        <f t="shared" si="0"/>
        <v>25631380.958256289</v>
      </c>
      <c r="H66" s="1658">
        <v>0</v>
      </c>
      <c r="I66" s="1659">
        <f t="shared" si="1"/>
        <v>0</v>
      </c>
      <c r="J66" s="1659">
        <f t="shared" si="2"/>
        <v>25631380.958256289</v>
      </c>
      <c r="K66" s="1660"/>
      <c r="L66" s="1658">
        <f t="shared" si="3"/>
        <v>73232517.023589402</v>
      </c>
      <c r="M66" s="1659">
        <f t="shared" si="4"/>
        <v>15378828.574953774</v>
      </c>
      <c r="N66" s="1658">
        <v>0</v>
      </c>
      <c r="O66" s="1659">
        <f t="shared" si="5"/>
        <v>0</v>
      </c>
      <c r="P66" s="1659">
        <f t="shared" si="6"/>
        <v>15378828.574953774</v>
      </c>
      <c r="Q66" s="1659"/>
      <c r="R66" s="1659">
        <f t="shared" si="7"/>
        <v>10252552.383302515</v>
      </c>
      <c r="S66" s="1660"/>
      <c r="T66" s="1658">
        <v>0</v>
      </c>
      <c r="U66" s="1660"/>
      <c r="V66" s="1658">
        <v>0</v>
      </c>
      <c r="W66" s="1660"/>
      <c r="X66" s="1659">
        <f t="shared" si="8"/>
        <v>10252552.383302515</v>
      </c>
      <c r="Y66" s="1655"/>
      <c r="Z66" s="1449" t="s">
        <v>1475</v>
      </c>
      <c r="AA66" s="1656"/>
      <c r="AB66" s="1449" t="s">
        <v>22</v>
      </c>
      <c r="AC66" s="1656"/>
      <c r="AD66" s="1657">
        <v>0.33300000000000002</v>
      </c>
      <c r="AE66" s="1656"/>
      <c r="AF66" s="1659">
        <f t="shared" si="9"/>
        <v>3414099.943639738</v>
      </c>
      <c r="AG66" s="1008"/>
      <c r="AH66" s="1314">
        <v>190</v>
      </c>
      <c r="AI66" s="1314"/>
    </row>
    <row r="67" spans="2:35">
      <c r="B67" s="1314">
        <v>56</v>
      </c>
      <c r="C67" s="1440" t="s">
        <v>1692</v>
      </c>
      <c r="D67" s="1440" t="s">
        <v>1477</v>
      </c>
      <c r="E67" s="1440" t="s">
        <v>1461</v>
      </c>
      <c r="F67" s="1658">
        <v>0</v>
      </c>
      <c r="G67" s="1659">
        <f t="shared" si="0"/>
        <v>0</v>
      </c>
      <c r="H67" s="1658">
        <v>28158806.712484095</v>
      </c>
      <c r="I67" s="1659">
        <f t="shared" si="1"/>
        <v>-9855582.3493694328</v>
      </c>
      <c r="J67" s="1659">
        <f t="shared" si="2"/>
        <v>18303224.363114662</v>
      </c>
      <c r="K67" s="1660"/>
      <c r="L67" s="1658">
        <f t="shared" si="3"/>
        <v>0</v>
      </c>
      <c r="M67" s="1659">
        <f t="shared" si="4"/>
        <v>0</v>
      </c>
      <c r="N67" s="1658">
        <v>28158806.712484095</v>
      </c>
      <c r="O67" s="1659">
        <f t="shared" si="5"/>
        <v>-5913349.4096216597</v>
      </c>
      <c r="P67" s="1659">
        <f t="shared" si="6"/>
        <v>22245457.302862436</v>
      </c>
      <c r="Q67" s="1659"/>
      <c r="R67" s="1659">
        <f t="shared" si="7"/>
        <v>-3942232.9397477731</v>
      </c>
      <c r="S67" s="1660"/>
      <c r="T67" s="1658">
        <v>0</v>
      </c>
      <c r="U67" s="1660"/>
      <c r="V67" s="1658">
        <v>0</v>
      </c>
      <c r="W67" s="1660"/>
      <c r="X67" s="1659">
        <f t="shared" si="8"/>
        <v>-3942232.9397477731</v>
      </c>
      <c r="Y67" s="1655"/>
      <c r="Z67" s="1449" t="s">
        <v>1475</v>
      </c>
      <c r="AA67" s="1656"/>
      <c r="AB67" s="1449" t="s">
        <v>22</v>
      </c>
      <c r="AC67" s="1656"/>
      <c r="AD67" s="1657">
        <v>0.33300000000000002</v>
      </c>
      <c r="AE67" s="1656"/>
      <c r="AF67" s="1659">
        <f t="shared" si="9"/>
        <v>-1312763.5689360085</v>
      </c>
      <c r="AG67" s="1008"/>
      <c r="AH67" s="1314">
        <v>190</v>
      </c>
      <c r="AI67" s="1314"/>
    </row>
    <row r="68" spans="2:35">
      <c r="B68" s="1314">
        <v>57</v>
      </c>
      <c r="C68" s="1440" t="s">
        <v>1482</v>
      </c>
      <c r="D68" s="1440" t="s">
        <v>1479</v>
      </c>
      <c r="E68" s="1440" t="s">
        <v>1480</v>
      </c>
      <c r="F68" s="1658">
        <v>2553399</v>
      </c>
      <c r="G68" s="1659">
        <f t="shared" si="0"/>
        <v>893689.64999999991</v>
      </c>
      <c r="H68" s="1658">
        <v>229805.91</v>
      </c>
      <c r="I68" s="1659">
        <f t="shared" si="1"/>
        <v>-80432.068499999994</v>
      </c>
      <c r="J68" s="1659">
        <f t="shared" si="2"/>
        <v>1043063.4914999998</v>
      </c>
      <c r="K68" s="1660"/>
      <c r="L68" s="1658">
        <f t="shared" si="3"/>
        <v>2553399</v>
      </c>
      <c r="M68" s="1659">
        <f t="shared" si="4"/>
        <v>536213.79</v>
      </c>
      <c r="N68" s="1658">
        <v>229805.91</v>
      </c>
      <c r="O68" s="1659">
        <f t="shared" si="5"/>
        <v>-48259.241099999999</v>
      </c>
      <c r="P68" s="1659">
        <f t="shared" si="6"/>
        <v>717760.45890000009</v>
      </c>
      <c r="Q68" s="1659"/>
      <c r="R68" s="1659">
        <f t="shared" si="7"/>
        <v>325303.03259999969</v>
      </c>
      <c r="S68" s="1660"/>
      <c r="T68" s="1658">
        <v>0</v>
      </c>
      <c r="U68" s="1660"/>
      <c r="V68" s="1658">
        <f>R68</f>
        <v>325303.03259999969</v>
      </c>
      <c r="W68" s="1660"/>
      <c r="X68" s="1659">
        <f t="shared" si="8"/>
        <v>0</v>
      </c>
      <c r="Y68" s="1655"/>
      <c r="Z68" s="1449" t="s">
        <v>1480</v>
      </c>
      <c r="AA68" s="1656"/>
      <c r="AB68" s="1449" t="s">
        <v>23</v>
      </c>
      <c r="AC68" s="1656"/>
      <c r="AD68" s="1657">
        <v>0</v>
      </c>
      <c r="AE68" s="1656"/>
      <c r="AF68" s="1659">
        <f t="shared" si="9"/>
        <v>0</v>
      </c>
      <c r="AG68" s="1008"/>
      <c r="AH68" s="1314">
        <v>190</v>
      </c>
      <c r="AI68" s="1314"/>
    </row>
    <row r="69" spans="2:35">
      <c r="B69" s="1314">
        <v>58</v>
      </c>
      <c r="C69" s="1440" t="s">
        <v>1481</v>
      </c>
      <c r="D69" s="1440" t="s">
        <v>1479</v>
      </c>
      <c r="E69" s="1440" t="s">
        <v>1480</v>
      </c>
      <c r="F69" s="1658">
        <v>-48928893.997211538</v>
      </c>
      <c r="G69" s="1659">
        <f t="shared" si="0"/>
        <v>-17125112.899024036</v>
      </c>
      <c r="H69" s="1658">
        <v>-4403600.4597490383</v>
      </c>
      <c r="I69" s="1659">
        <f t="shared" si="1"/>
        <v>1541260.1609121633</v>
      </c>
      <c r="J69" s="1659">
        <f t="shared" si="2"/>
        <v>-19987453.197860911</v>
      </c>
      <c r="K69" s="1660"/>
      <c r="L69" s="1658">
        <f t="shared" si="3"/>
        <v>-48928893.997211538</v>
      </c>
      <c r="M69" s="1659">
        <f t="shared" si="4"/>
        <v>-10275067.739414422</v>
      </c>
      <c r="N69" s="1658">
        <v>-4403600.4597490383</v>
      </c>
      <c r="O69" s="1659">
        <f t="shared" si="5"/>
        <v>924756.09654729802</v>
      </c>
      <c r="P69" s="1659">
        <f t="shared" si="6"/>
        <v>-13753912.102616161</v>
      </c>
      <c r="Q69" s="1659"/>
      <c r="R69" s="1659">
        <f t="shared" si="7"/>
        <v>-6233541.0952447504</v>
      </c>
      <c r="S69" s="1660"/>
      <c r="T69" s="1658">
        <v>0</v>
      </c>
      <c r="U69" s="1660"/>
      <c r="V69" s="1658">
        <f>R69</f>
        <v>-6233541.0952447504</v>
      </c>
      <c r="W69" s="1660"/>
      <c r="X69" s="1659">
        <f t="shared" si="8"/>
        <v>0</v>
      </c>
      <c r="Y69" s="1655"/>
      <c r="Z69" s="1449" t="s">
        <v>1480</v>
      </c>
      <c r="AA69" s="1656"/>
      <c r="AB69" s="1449" t="s">
        <v>23</v>
      </c>
      <c r="AC69" s="1656"/>
      <c r="AD69" s="1657">
        <v>0</v>
      </c>
      <c r="AE69" s="1656"/>
      <c r="AF69" s="1659">
        <f t="shared" si="9"/>
        <v>0</v>
      </c>
      <c r="AG69" s="1008"/>
      <c r="AH69" s="1314">
        <v>190</v>
      </c>
      <c r="AI69" s="1314"/>
    </row>
    <row r="70" spans="2:35">
      <c r="B70" s="1314">
        <v>59</v>
      </c>
      <c r="C70" s="1440" t="s">
        <v>1482</v>
      </c>
      <c r="D70" s="1440" t="s">
        <v>1693</v>
      </c>
      <c r="E70" s="1440" t="s">
        <v>1480</v>
      </c>
      <c r="F70" s="1658">
        <v>0</v>
      </c>
      <c r="G70" s="1659">
        <f t="shared" si="0"/>
        <v>0</v>
      </c>
      <c r="H70" s="1658">
        <v>0</v>
      </c>
      <c r="I70" s="1659">
        <f t="shared" si="1"/>
        <v>0</v>
      </c>
      <c r="J70" s="1659">
        <f t="shared" si="2"/>
        <v>0</v>
      </c>
      <c r="K70" s="1660"/>
      <c r="L70" s="1658">
        <v>458773845.7547785</v>
      </c>
      <c r="M70" s="1659">
        <f t="shared" si="4"/>
        <v>96342507.608503476</v>
      </c>
      <c r="N70" s="1658">
        <v>41289646.117930062</v>
      </c>
      <c r="O70" s="1659">
        <f t="shared" si="5"/>
        <v>-8670825.6847653128</v>
      </c>
      <c r="P70" s="1659">
        <f t="shared" si="6"/>
        <v>128961328.04166824</v>
      </c>
      <c r="Q70" s="1659"/>
      <c r="R70" s="1659">
        <f t="shared" si="7"/>
        <v>-128961328.04166824</v>
      </c>
      <c r="S70" s="1660"/>
      <c r="T70" s="1658">
        <v>0</v>
      </c>
      <c r="U70" s="1660"/>
      <c r="V70" s="1658">
        <f>R70</f>
        <v>-128961328.04166824</v>
      </c>
      <c r="W70" s="1660"/>
      <c r="X70" s="1659">
        <f t="shared" si="8"/>
        <v>0</v>
      </c>
      <c r="Y70" s="1655"/>
      <c r="Z70" s="1449" t="s">
        <v>1480</v>
      </c>
      <c r="AA70" s="1656"/>
      <c r="AB70" s="1449" t="s">
        <v>23</v>
      </c>
      <c r="AC70" s="1656"/>
      <c r="AD70" s="1657">
        <v>0</v>
      </c>
      <c r="AE70" s="1656"/>
      <c r="AF70" s="1659">
        <f t="shared" si="9"/>
        <v>0</v>
      </c>
      <c r="AG70" s="1008"/>
      <c r="AH70" s="1314">
        <v>190</v>
      </c>
      <c r="AI70" s="1314"/>
    </row>
    <row r="71" spans="2:35" ht="13">
      <c r="B71" s="1314">
        <v>60</v>
      </c>
      <c r="C71" s="1661" t="s">
        <v>1483</v>
      </c>
      <c r="D71" s="1449"/>
      <c r="E71" s="1449"/>
      <c r="F71" s="1662">
        <f>SUM(F12:F70)</f>
        <v>117324235.69064683</v>
      </c>
      <c r="G71" s="1662">
        <f>SUM(G12:G70)</f>
        <v>41063482.491726398</v>
      </c>
      <c r="H71" s="1662">
        <f>SUM(H12:H70)</f>
        <v>32702287.574319262</v>
      </c>
      <c r="I71" s="1662">
        <f>SUM(I12:I70)</f>
        <v>-11445800.651011741</v>
      </c>
      <c r="J71" s="1662">
        <f>SUM(J12:J70)</f>
        <v>62319969.415033937</v>
      </c>
      <c r="K71" s="1663"/>
      <c r="L71" s="1662">
        <f>SUM(L12:L70)</f>
        <v>576098081.44542527</v>
      </c>
      <c r="M71" s="1662">
        <f>SUM(M12:M70)</f>
        <v>120980597.10353932</v>
      </c>
      <c r="N71" s="1662">
        <f>SUM(N12:N70)</f>
        <v>73991933.692249328</v>
      </c>
      <c r="O71" s="1662">
        <f>SUM(O12:O70)</f>
        <v>-15538306.075372359</v>
      </c>
      <c r="P71" s="1662">
        <f>SUM(P12:P70)</f>
        <v>179434224.72041631</v>
      </c>
      <c r="R71" s="1662">
        <f>SUM(R12:R70)</f>
        <v>-117114255.30538237</v>
      </c>
      <c r="S71" s="1663"/>
      <c r="T71" s="1662">
        <f>SUM(T12:T70)</f>
        <v>1518142.9574500003</v>
      </c>
      <c r="U71" s="1663"/>
      <c r="V71" s="1662">
        <f>SUM(V12:V70)</f>
        <v>-134869566.10431299</v>
      </c>
      <c r="W71" s="1663"/>
      <c r="X71" s="1662">
        <f>SUM(X12:X70)</f>
        <v>16237167.841480613</v>
      </c>
      <c r="Y71" s="1663"/>
      <c r="Z71" s="1449"/>
      <c r="AA71" s="1664"/>
      <c r="AB71" s="1449"/>
      <c r="AC71" s="1664"/>
      <c r="AD71" s="1665"/>
      <c r="AE71" s="1664"/>
      <c r="AF71" s="1662">
        <f>SUM(AF12:AF70)</f>
        <v>2739288.2207816108</v>
      </c>
      <c r="AG71" s="1664"/>
      <c r="AH71" s="1314"/>
      <c r="AI71" s="1314"/>
    </row>
    <row r="72" spans="2:35" ht="13">
      <c r="B72" s="1449"/>
      <c r="C72" s="1449"/>
      <c r="D72" s="1449"/>
      <c r="E72" s="1449"/>
      <c r="F72" s="1666"/>
      <c r="G72" s="1666"/>
      <c r="H72" s="1666"/>
      <c r="I72" s="1666"/>
      <c r="J72" s="1666"/>
      <c r="K72" s="1663"/>
      <c r="L72" s="1666"/>
      <c r="M72" s="1666"/>
      <c r="N72" s="1666"/>
      <c r="O72" s="1666"/>
      <c r="P72" s="1666"/>
      <c r="R72" s="1666"/>
      <c r="S72" s="1663"/>
      <c r="T72" s="1666"/>
      <c r="U72" s="1663"/>
      <c r="V72" s="1666"/>
      <c r="W72" s="1663"/>
      <c r="X72" s="1666"/>
      <c r="Y72" s="1663"/>
      <c r="Z72" s="1449"/>
      <c r="AA72" s="1664"/>
      <c r="AB72" s="1449"/>
      <c r="AC72" s="1664"/>
      <c r="AD72" s="1665"/>
      <c r="AE72" s="1664"/>
      <c r="AF72" s="1666"/>
      <c r="AG72" s="1664"/>
      <c r="AH72" s="1314"/>
      <c r="AI72" s="1314"/>
    </row>
    <row r="73" spans="2:35" ht="13">
      <c r="B73" s="1449"/>
      <c r="C73" s="1449"/>
      <c r="D73" s="1449"/>
      <c r="E73" s="1449"/>
      <c r="F73" s="1666"/>
      <c r="G73" s="1666"/>
      <c r="H73" s="1666"/>
      <c r="I73" s="1666"/>
      <c r="J73" s="1666"/>
      <c r="K73" s="1663"/>
      <c r="L73" s="1666"/>
      <c r="M73" s="1666"/>
      <c r="N73" s="1666"/>
      <c r="O73" s="1666"/>
      <c r="P73" s="1666"/>
      <c r="R73" s="1666"/>
      <c r="S73" s="1663"/>
      <c r="T73" s="1666"/>
      <c r="U73" s="1663"/>
      <c r="V73" s="1666"/>
      <c r="W73" s="1663"/>
      <c r="X73" s="1666"/>
      <c r="Y73" s="1663"/>
      <c r="Z73" s="1449"/>
      <c r="AA73" s="1664"/>
      <c r="AB73" s="1449"/>
      <c r="AC73" s="1664"/>
      <c r="AD73" s="1665"/>
      <c r="AE73" s="1664"/>
      <c r="AF73" s="1666"/>
      <c r="AG73" s="1664"/>
      <c r="AH73" s="1314"/>
      <c r="AI73" s="1314"/>
    </row>
    <row r="74" spans="2:35" ht="13">
      <c r="B74" s="1449"/>
      <c r="C74" s="1652" t="s">
        <v>1694</v>
      </c>
      <c r="D74" s="1449"/>
      <c r="E74" s="1449"/>
      <c r="F74" s="1666"/>
      <c r="G74" s="1666"/>
      <c r="H74" s="1666"/>
      <c r="I74" s="1666"/>
      <c r="J74" s="1666"/>
      <c r="K74" s="1663"/>
      <c r="L74" s="1666"/>
      <c r="M74" s="1666"/>
      <c r="N74" s="1666"/>
      <c r="O74" s="1666"/>
      <c r="P74" s="1666"/>
      <c r="R74" s="1666"/>
      <c r="S74" s="1663"/>
      <c r="T74" s="1666"/>
      <c r="U74" s="1663"/>
      <c r="V74" s="1666"/>
      <c r="W74" s="1663"/>
      <c r="X74" s="1666"/>
      <c r="Y74" s="1663"/>
      <c r="Z74" s="1449"/>
      <c r="AA74" s="1664"/>
      <c r="AB74" s="1449"/>
      <c r="AC74" s="1664"/>
      <c r="AD74" s="1665"/>
      <c r="AE74" s="1664"/>
      <c r="AF74" s="1666"/>
      <c r="AG74" s="1664"/>
      <c r="AH74" s="1314"/>
      <c r="AI74" s="1314"/>
    </row>
    <row r="75" spans="2:35">
      <c r="B75" s="1314">
        <v>61</v>
      </c>
      <c r="C75" s="1440" t="s">
        <v>1695</v>
      </c>
      <c r="D75" s="1440" t="s">
        <v>1484</v>
      </c>
      <c r="E75" s="1440" t="s">
        <v>1402</v>
      </c>
      <c r="F75" s="1653">
        <v>-1102869694.0899999</v>
      </c>
      <c r="G75" s="1654">
        <f t="shared" ref="G75:G85" si="10">F75*0.35</f>
        <v>-386004392.93149996</v>
      </c>
      <c r="H75" s="1653">
        <v>0</v>
      </c>
      <c r="I75" s="1654">
        <f t="shared" ref="I75:I85" si="11">-H75*0.35</f>
        <v>0</v>
      </c>
      <c r="J75" s="1654">
        <f t="shared" ref="J75:J85" si="12">G75+H75+I75</f>
        <v>-386004392.93149996</v>
      </c>
      <c r="K75" s="1655"/>
      <c r="L75" s="1653">
        <f t="shared" ref="L75:L85" si="13">F75</f>
        <v>-1102869694.0899999</v>
      </c>
      <c r="M75" s="1654">
        <f t="shared" ref="M75:M85" si="14">L75*0.21</f>
        <v>-231602635.75889999</v>
      </c>
      <c r="N75" s="1653">
        <v>0</v>
      </c>
      <c r="O75" s="1654">
        <f t="shared" ref="O75:O85" si="15">-N75*0.21</f>
        <v>0</v>
      </c>
      <c r="P75" s="1654">
        <f t="shared" ref="P75:P85" si="16">M75+N75+O75</f>
        <v>-231602635.75889999</v>
      </c>
      <c r="R75" s="1654">
        <f t="shared" ref="R75:R85" si="17">J75-P75</f>
        <v>-154401757.17259997</v>
      </c>
      <c r="S75" s="1655"/>
      <c r="T75" s="1653">
        <v>0</v>
      </c>
      <c r="U75" s="1655"/>
      <c r="V75" s="1653">
        <v>0</v>
      </c>
      <c r="W75" s="1655"/>
      <c r="X75" s="1654">
        <f t="shared" ref="X75:X85" si="18">R75-T75-V75</f>
        <v>-154401757.17259997</v>
      </c>
      <c r="Y75" s="1655"/>
      <c r="Z75" s="1449" t="s">
        <v>1475</v>
      </c>
      <c r="AA75" s="1656"/>
      <c r="AB75" s="1449" t="s">
        <v>22</v>
      </c>
      <c r="AC75" s="1656"/>
      <c r="AD75" s="1657">
        <v>0.33300000000000002</v>
      </c>
      <c r="AE75" s="1656"/>
      <c r="AF75" s="1654">
        <f t="shared" ref="AF75:AF85" si="19">X75*AD75</f>
        <v>-51415785.138475791</v>
      </c>
      <c r="AG75" s="1008"/>
      <c r="AH75" s="1314">
        <v>282</v>
      </c>
      <c r="AI75" s="1314"/>
    </row>
    <row r="76" spans="2:35">
      <c r="B76" s="1314">
        <v>62</v>
      </c>
      <c r="C76" s="1440" t="s">
        <v>1485</v>
      </c>
      <c r="D76" s="1440" t="s">
        <v>1486</v>
      </c>
      <c r="E76" s="1440" t="s">
        <v>1400</v>
      </c>
      <c r="F76" s="1658">
        <v>-1313024378.9947503</v>
      </c>
      <c r="G76" s="1659">
        <f t="shared" si="10"/>
        <v>-459558532.64816254</v>
      </c>
      <c r="H76" s="1658">
        <v>0</v>
      </c>
      <c r="I76" s="1659">
        <f t="shared" si="11"/>
        <v>0</v>
      </c>
      <c r="J76" s="1659">
        <f t="shared" si="12"/>
        <v>-459558532.64816254</v>
      </c>
      <c r="K76" s="1660"/>
      <c r="L76" s="1658">
        <f t="shared" si="13"/>
        <v>-1313024378.9947503</v>
      </c>
      <c r="M76" s="1659">
        <f t="shared" si="14"/>
        <v>-275735119.58889753</v>
      </c>
      <c r="N76" s="1658">
        <v>0</v>
      </c>
      <c r="O76" s="1659">
        <f t="shared" si="15"/>
        <v>0</v>
      </c>
      <c r="P76" s="1659">
        <f t="shared" si="16"/>
        <v>-275735119.58889753</v>
      </c>
      <c r="Q76" s="1659"/>
      <c r="R76" s="1659">
        <f>J76-P76</f>
        <v>-183823413.05926502</v>
      </c>
      <c r="S76" s="1660"/>
      <c r="T76" s="1658">
        <v>0</v>
      </c>
      <c r="U76" s="1660"/>
      <c r="V76" s="1658">
        <v>-10247068.463183939</v>
      </c>
      <c r="W76" s="1660"/>
      <c r="X76" s="1659">
        <f t="shared" si="18"/>
        <v>-173576344.59608108</v>
      </c>
      <c r="Y76" s="1655"/>
      <c r="Z76" s="1449" t="s">
        <v>1475</v>
      </c>
      <c r="AA76" s="1656"/>
      <c r="AB76" s="1449" t="s">
        <v>22</v>
      </c>
      <c r="AC76" s="1656"/>
      <c r="AD76" s="1657">
        <v>0.33300000000000002</v>
      </c>
      <c r="AE76" s="1656"/>
      <c r="AF76" s="1659">
        <f t="shared" si="19"/>
        <v>-57800922.750495002</v>
      </c>
      <c r="AG76" s="1008"/>
      <c r="AH76" s="1314">
        <v>282</v>
      </c>
      <c r="AI76" s="1314"/>
    </row>
    <row r="77" spans="2:35">
      <c r="B77" s="1314">
        <v>63</v>
      </c>
      <c r="C77" s="1440" t="s">
        <v>1487</v>
      </c>
      <c r="D77" s="1440" t="s">
        <v>1486</v>
      </c>
      <c r="E77" s="1440" t="s">
        <v>1400</v>
      </c>
      <c r="F77" s="1658">
        <v>119800702.8</v>
      </c>
      <c r="G77" s="1659">
        <f t="shared" si="10"/>
        <v>41930245.979999997</v>
      </c>
      <c r="H77" s="1658">
        <v>0</v>
      </c>
      <c r="I77" s="1659">
        <f t="shared" si="11"/>
        <v>0</v>
      </c>
      <c r="J77" s="1659">
        <f t="shared" si="12"/>
        <v>41930245.979999997</v>
      </c>
      <c r="K77" s="1660"/>
      <c r="L77" s="1658">
        <f t="shared" si="13"/>
        <v>119800702.8</v>
      </c>
      <c r="M77" s="1659">
        <f t="shared" si="14"/>
        <v>25158147.588</v>
      </c>
      <c r="N77" s="1658">
        <v>0</v>
      </c>
      <c r="O77" s="1659">
        <f t="shared" si="15"/>
        <v>0</v>
      </c>
      <c r="P77" s="1659">
        <f t="shared" si="16"/>
        <v>25158147.588</v>
      </c>
      <c r="Q77" s="1659"/>
      <c r="R77" s="1659">
        <f t="shared" si="17"/>
        <v>16772098.391999997</v>
      </c>
      <c r="S77" s="1660"/>
      <c r="T77" s="1658">
        <v>0</v>
      </c>
      <c r="U77" s="1660"/>
      <c r="V77" s="1658">
        <v>0</v>
      </c>
      <c r="W77" s="1660"/>
      <c r="X77" s="1659">
        <f t="shared" si="18"/>
        <v>16772098.391999997</v>
      </c>
      <c r="Y77" s="1655"/>
      <c r="Z77" s="1449" t="s">
        <v>1696</v>
      </c>
      <c r="AA77" s="1656"/>
      <c r="AB77" s="1449" t="s">
        <v>23</v>
      </c>
      <c r="AC77" s="1656"/>
      <c r="AD77" s="1657">
        <v>0</v>
      </c>
      <c r="AE77" s="1656"/>
      <c r="AF77" s="1659">
        <f t="shared" si="19"/>
        <v>0</v>
      </c>
      <c r="AG77" s="1008"/>
      <c r="AH77" s="1314">
        <v>282</v>
      </c>
      <c r="AI77" s="1314"/>
    </row>
    <row r="78" spans="2:35">
      <c r="B78" s="1314">
        <v>64</v>
      </c>
      <c r="C78" s="1440" t="s">
        <v>1488</v>
      </c>
      <c r="D78" s="1440" t="s">
        <v>1486</v>
      </c>
      <c r="E78" s="1440" t="s">
        <v>1400</v>
      </c>
      <c r="F78" s="1658">
        <v>-74991897.359999999</v>
      </c>
      <c r="G78" s="1659">
        <f t="shared" si="10"/>
        <v>-26247164.075999998</v>
      </c>
      <c r="H78" s="1658">
        <v>0</v>
      </c>
      <c r="I78" s="1659">
        <f t="shared" si="11"/>
        <v>0</v>
      </c>
      <c r="J78" s="1659">
        <f t="shared" si="12"/>
        <v>-26247164.075999998</v>
      </c>
      <c r="K78" s="1660"/>
      <c r="L78" s="1658">
        <f t="shared" si="13"/>
        <v>-74991897.359999999</v>
      </c>
      <c r="M78" s="1659">
        <f t="shared" si="14"/>
        <v>-15748298.445599999</v>
      </c>
      <c r="N78" s="1658">
        <v>0</v>
      </c>
      <c r="O78" s="1659">
        <f t="shared" si="15"/>
        <v>0</v>
      </c>
      <c r="P78" s="1659">
        <f t="shared" si="16"/>
        <v>-15748298.445599999</v>
      </c>
      <c r="Q78" s="1659"/>
      <c r="R78" s="1659">
        <f t="shared" si="17"/>
        <v>-10498865.630399998</v>
      </c>
      <c r="S78" s="1660"/>
      <c r="T78" s="1658">
        <v>0</v>
      </c>
      <c r="U78" s="1660"/>
      <c r="V78" s="1658">
        <v>0</v>
      </c>
      <c r="W78" s="1660"/>
      <c r="X78" s="1659">
        <f t="shared" si="18"/>
        <v>-10498865.630399998</v>
      </c>
      <c r="Y78" s="1655"/>
      <c r="Z78" s="1449" t="s">
        <v>1475</v>
      </c>
      <c r="AA78" s="1656"/>
      <c r="AB78" s="1449" t="s">
        <v>22</v>
      </c>
      <c r="AC78" s="1656"/>
      <c r="AD78" s="1657">
        <v>0.33300000000000002</v>
      </c>
      <c r="AE78" s="1656"/>
      <c r="AF78" s="1659">
        <f t="shared" si="19"/>
        <v>-3496122.2549231998</v>
      </c>
      <c r="AG78" s="1008"/>
      <c r="AH78" s="1314">
        <v>282</v>
      </c>
      <c r="AI78" s="1314"/>
    </row>
    <row r="79" spans="2:35">
      <c r="B79" s="1314">
        <v>65</v>
      </c>
      <c r="C79" s="1440" t="s">
        <v>1697</v>
      </c>
      <c r="D79" s="1440" t="s">
        <v>1486</v>
      </c>
      <c r="E79" s="1440" t="s">
        <v>1400</v>
      </c>
      <c r="F79" s="1658">
        <v>0</v>
      </c>
      <c r="G79" s="1659">
        <f t="shared" si="10"/>
        <v>0</v>
      </c>
      <c r="H79" s="1658">
        <v>-149120469.71079749</v>
      </c>
      <c r="I79" s="1659">
        <f t="shared" si="11"/>
        <v>52192164.398779117</v>
      </c>
      <c r="J79" s="1659">
        <f t="shared" si="12"/>
        <v>-96928305.312018365</v>
      </c>
      <c r="K79" s="1660"/>
      <c r="L79" s="1658">
        <f t="shared" si="13"/>
        <v>0</v>
      </c>
      <c r="M79" s="1659">
        <f t="shared" si="14"/>
        <v>0</v>
      </c>
      <c r="N79" s="1658">
        <v>-149120469.71079749</v>
      </c>
      <c r="O79" s="1659">
        <f t="shared" si="15"/>
        <v>31315298.639267471</v>
      </c>
      <c r="P79" s="1659">
        <f t="shared" si="16"/>
        <v>-117805171.07153001</v>
      </c>
      <c r="Q79" s="1659"/>
      <c r="R79" s="1659">
        <f t="shared" si="17"/>
        <v>20876865.75951165</v>
      </c>
      <c r="S79" s="1660"/>
      <c r="T79" s="1658">
        <v>0</v>
      </c>
      <c r="U79" s="1660"/>
      <c r="V79" s="1658">
        <v>0</v>
      </c>
      <c r="W79" s="1660"/>
      <c r="X79" s="1659">
        <f t="shared" si="18"/>
        <v>20876865.75951165</v>
      </c>
      <c r="Y79" s="1655"/>
      <c r="Z79" s="1449" t="s">
        <v>1475</v>
      </c>
      <c r="AA79" s="1656"/>
      <c r="AB79" s="1449" t="s">
        <v>22</v>
      </c>
      <c r="AC79" s="1656"/>
      <c r="AD79" s="1657">
        <v>0.33300000000000002</v>
      </c>
      <c r="AE79" s="1656"/>
      <c r="AF79" s="1659">
        <f t="shared" si="19"/>
        <v>6951996.29791738</v>
      </c>
      <c r="AG79" s="1008"/>
      <c r="AH79" s="1314">
        <v>282</v>
      </c>
      <c r="AI79" s="1314"/>
    </row>
    <row r="80" spans="2:35">
      <c r="B80" s="1314">
        <v>66</v>
      </c>
      <c r="C80" s="1440" t="s">
        <v>1698</v>
      </c>
      <c r="D80" s="1440" t="s">
        <v>1486</v>
      </c>
      <c r="E80" s="1440" t="s">
        <v>1400</v>
      </c>
      <c r="F80" s="1658">
        <v>0</v>
      </c>
      <c r="G80" s="1659">
        <f t="shared" si="10"/>
        <v>0</v>
      </c>
      <c r="H80" s="1658">
        <v>10782063.251999998</v>
      </c>
      <c r="I80" s="1659">
        <f t="shared" si="11"/>
        <v>-3773722.138199999</v>
      </c>
      <c r="J80" s="1659">
        <f t="shared" si="12"/>
        <v>7008341.1137999995</v>
      </c>
      <c r="K80" s="1660"/>
      <c r="L80" s="1658">
        <f t="shared" si="13"/>
        <v>0</v>
      </c>
      <c r="M80" s="1659">
        <f t="shared" si="14"/>
        <v>0</v>
      </c>
      <c r="N80" s="1658">
        <v>10782063.251999998</v>
      </c>
      <c r="O80" s="1659">
        <f t="shared" si="15"/>
        <v>-2264233.2829199997</v>
      </c>
      <c r="P80" s="1659">
        <f t="shared" si="16"/>
        <v>8517829.9690799993</v>
      </c>
      <c r="Q80" s="1659"/>
      <c r="R80" s="1659">
        <f t="shared" si="17"/>
        <v>-1509488.8552799998</v>
      </c>
      <c r="S80" s="1660"/>
      <c r="T80" s="1658">
        <v>0</v>
      </c>
      <c r="U80" s="1660"/>
      <c r="V80" s="1658">
        <v>0</v>
      </c>
      <c r="W80" s="1660"/>
      <c r="X80" s="1659">
        <f t="shared" si="18"/>
        <v>-1509488.8552799998</v>
      </c>
      <c r="Y80" s="1655"/>
      <c r="Z80" s="1449" t="s">
        <v>1696</v>
      </c>
      <c r="AA80" s="1656"/>
      <c r="AB80" s="1449" t="s">
        <v>23</v>
      </c>
      <c r="AC80" s="1656"/>
      <c r="AD80" s="1657">
        <v>0</v>
      </c>
      <c r="AE80" s="1656"/>
      <c r="AF80" s="1659">
        <f t="shared" si="19"/>
        <v>0</v>
      </c>
      <c r="AG80" s="1008"/>
      <c r="AH80" s="1314">
        <v>282</v>
      </c>
      <c r="AI80" s="1314"/>
    </row>
    <row r="81" spans="2:35">
      <c r="B81" s="1314">
        <v>67</v>
      </c>
      <c r="C81" s="1440" t="s">
        <v>1699</v>
      </c>
      <c r="D81" s="1440" t="s">
        <v>1486</v>
      </c>
      <c r="E81" s="1440" t="s">
        <v>1400</v>
      </c>
      <c r="F81" s="1658">
        <v>0</v>
      </c>
      <c r="G81" s="1659">
        <f t="shared" si="10"/>
        <v>0</v>
      </c>
      <c r="H81" s="1658">
        <v>-1798551.1943999999</v>
      </c>
      <c r="I81" s="1659">
        <f t="shared" si="11"/>
        <v>629492.9180399999</v>
      </c>
      <c r="J81" s="1659">
        <f t="shared" si="12"/>
        <v>-1169058.27636</v>
      </c>
      <c r="K81" s="1660"/>
      <c r="L81" s="1658">
        <f t="shared" si="13"/>
        <v>0</v>
      </c>
      <c r="M81" s="1659">
        <f t="shared" si="14"/>
        <v>0</v>
      </c>
      <c r="N81" s="1658">
        <v>-1798551.1943999999</v>
      </c>
      <c r="O81" s="1659">
        <f t="shared" si="15"/>
        <v>377695.75082399999</v>
      </c>
      <c r="P81" s="1659">
        <f t="shared" si="16"/>
        <v>-1420855.4435759999</v>
      </c>
      <c r="Q81" s="1659"/>
      <c r="R81" s="1659">
        <f t="shared" si="17"/>
        <v>251797.16721599991</v>
      </c>
      <c r="S81" s="1660"/>
      <c r="T81" s="1658">
        <v>0</v>
      </c>
      <c r="U81" s="1660"/>
      <c r="V81" s="1658">
        <v>0</v>
      </c>
      <c r="W81" s="1660"/>
      <c r="X81" s="1659">
        <f t="shared" si="18"/>
        <v>251797.16721599991</v>
      </c>
      <c r="Y81" s="1655"/>
      <c r="Z81" s="1449" t="s">
        <v>1475</v>
      </c>
      <c r="AA81" s="1656"/>
      <c r="AB81" s="1449" t="s">
        <v>22</v>
      </c>
      <c r="AC81" s="1656"/>
      <c r="AD81" s="1657">
        <v>0.33300000000000002</v>
      </c>
      <c r="AE81" s="1656"/>
      <c r="AF81" s="1659">
        <f t="shared" si="19"/>
        <v>83848.456682927979</v>
      </c>
      <c r="AG81" s="1008"/>
      <c r="AH81" s="1314">
        <v>282</v>
      </c>
      <c r="AI81" s="1314"/>
    </row>
    <row r="82" spans="2:35">
      <c r="B82" s="1314">
        <v>68</v>
      </c>
      <c r="C82" s="1440" t="s">
        <v>1490</v>
      </c>
      <c r="D82" s="1440" t="s">
        <v>1489</v>
      </c>
      <c r="E82" s="1440" t="s">
        <v>1400</v>
      </c>
      <c r="F82" s="1658">
        <v>-4165822.4899999984</v>
      </c>
      <c r="G82" s="1659">
        <f t="shared" si="10"/>
        <v>-1458037.8714999994</v>
      </c>
      <c r="H82" s="1658">
        <v>0</v>
      </c>
      <c r="I82" s="1659">
        <f t="shared" si="11"/>
        <v>0</v>
      </c>
      <c r="J82" s="1659">
        <f t="shared" si="12"/>
        <v>-1458037.8714999994</v>
      </c>
      <c r="K82" s="1660"/>
      <c r="L82" s="1658">
        <f t="shared" si="13"/>
        <v>-4165822.4899999984</v>
      </c>
      <c r="M82" s="1659">
        <f t="shared" si="14"/>
        <v>-874822.72289999959</v>
      </c>
      <c r="N82" s="1658">
        <v>0</v>
      </c>
      <c r="O82" s="1659">
        <f t="shared" si="15"/>
        <v>0</v>
      </c>
      <c r="P82" s="1659">
        <f t="shared" si="16"/>
        <v>-874822.72289999959</v>
      </c>
      <c r="Q82" s="1659"/>
      <c r="R82" s="1659">
        <f t="shared" si="17"/>
        <v>-583215.14859999984</v>
      </c>
      <c r="S82" s="1660"/>
      <c r="T82" s="1658">
        <v>0</v>
      </c>
      <c r="U82" s="1660"/>
      <c r="V82" s="1658">
        <v>0</v>
      </c>
      <c r="W82" s="1660"/>
      <c r="X82" s="1659">
        <f t="shared" si="18"/>
        <v>-583215.14859999984</v>
      </c>
      <c r="Y82" s="1655"/>
      <c r="Z82" s="1449" t="s">
        <v>1475</v>
      </c>
      <c r="AA82" s="1656"/>
      <c r="AB82" s="1449" t="s">
        <v>22</v>
      </c>
      <c r="AC82" s="1656"/>
      <c r="AD82" s="1657">
        <v>0.33300000000000002</v>
      </c>
      <c r="AE82" s="1656"/>
      <c r="AF82" s="1659">
        <f t="shared" si="19"/>
        <v>-194210.64448379996</v>
      </c>
      <c r="AG82" s="1008"/>
      <c r="AH82" s="1314">
        <v>282</v>
      </c>
      <c r="AI82" s="1314"/>
    </row>
    <row r="83" spans="2:35">
      <c r="B83" s="1314">
        <v>69</v>
      </c>
      <c r="C83" s="1440" t="s">
        <v>1491</v>
      </c>
      <c r="D83" s="1440" t="s">
        <v>1489</v>
      </c>
      <c r="E83" s="1440" t="s">
        <v>1400</v>
      </c>
      <c r="F83" s="1658">
        <v>13291550.949999999</v>
      </c>
      <c r="G83" s="1659">
        <f t="shared" si="10"/>
        <v>4652042.8324999996</v>
      </c>
      <c r="H83" s="1658">
        <v>0</v>
      </c>
      <c r="I83" s="1659">
        <f t="shared" si="11"/>
        <v>0</v>
      </c>
      <c r="J83" s="1659">
        <f t="shared" si="12"/>
        <v>4652042.8324999996</v>
      </c>
      <c r="K83" s="1660"/>
      <c r="L83" s="1658">
        <f t="shared" si="13"/>
        <v>13291550.949999999</v>
      </c>
      <c r="M83" s="1659">
        <f t="shared" si="14"/>
        <v>2791225.6994999996</v>
      </c>
      <c r="N83" s="1658">
        <v>0</v>
      </c>
      <c r="O83" s="1659">
        <f t="shared" si="15"/>
        <v>0</v>
      </c>
      <c r="P83" s="1659">
        <f t="shared" si="16"/>
        <v>2791225.6994999996</v>
      </c>
      <c r="Q83" s="1659"/>
      <c r="R83" s="1659">
        <f t="shared" si="17"/>
        <v>1860817.1329999999</v>
      </c>
      <c r="S83" s="1660"/>
      <c r="T83" s="1658">
        <v>0</v>
      </c>
      <c r="U83" s="1660"/>
      <c r="V83" s="1658">
        <v>0</v>
      </c>
      <c r="W83" s="1660"/>
      <c r="X83" s="1659">
        <f t="shared" si="18"/>
        <v>1860817.1329999999</v>
      </c>
      <c r="Y83" s="1655"/>
      <c r="Z83" s="1449" t="s">
        <v>1696</v>
      </c>
      <c r="AA83" s="1656"/>
      <c r="AB83" s="1449" t="s">
        <v>23</v>
      </c>
      <c r="AC83" s="1656"/>
      <c r="AD83" s="1657">
        <v>0</v>
      </c>
      <c r="AE83" s="1656"/>
      <c r="AF83" s="1659">
        <f t="shared" si="19"/>
        <v>0</v>
      </c>
      <c r="AG83" s="1008"/>
      <c r="AH83" s="1314">
        <v>282</v>
      </c>
      <c r="AI83" s="1314"/>
    </row>
    <row r="84" spans="2:35">
      <c r="B84" s="1314">
        <v>70</v>
      </c>
      <c r="C84" s="1440" t="s">
        <v>1700</v>
      </c>
      <c r="D84" s="1440" t="s">
        <v>1489</v>
      </c>
      <c r="E84" s="1440" t="s">
        <v>1400</v>
      </c>
      <c r="F84" s="1658">
        <v>0</v>
      </c>
      <c r="G84" s="1659">
        <f t="shared" si="10"/>
        <v>0</v>
      </c>
      <c r="H84" s="1658">
        <v>-374924.02409999986</v>
      </c>
      <c r="I84" s="1659">
        <f t="shared" si="11"/>
        <v>131223.40843499993</v>
      </c>
      <c r="J84" s="1659">
        <f t="shared" si="12"/>
        <v>-243700.61566499993</v>
      </c>
      <c r="K84" s="1660"/>
      <c r="L84" s="1658">
        <f t="shared" si="13"/>
        <v>0</v>
      </c>
      <c r="M84" s="1659">
        <f t="shared" si="14"/>
        <v>0</v>
      </c>
      <c r="N84" s="1658">
        <v>-374924.02409999986</v>
      </c>
      <c r="O84" s="1659">
        <f t="shared" si="15"/>
        <v>78734.045060999968</v>
      </c>
      <c r="P84" s="1659">
        <f t="shared" si="16"/>
        <v>-296189.97903899988</v>
      </c>
      <c r="Q84" s="1659"/>
      <c r="R84" s="1659">
        <f t="shared" si="17"/>
        <v>52489.36337399995</v>
      </c>
      <c r="S84" s="1660"/>
      <c r="T84" s="1658">
        <v>0</v>
      </c>
      <c r="U84" s="1660"/>
      <c r="V84" s="1658">
        <v>0</v>
      </c>
      <c r="W84" s="1660"/>
      <c r="X84" s="1659">
        <f t="shared" si="18"/>
        <v>52489.36337399995</v>
      </c>
      <c r="Y84" s="1655"/>
      <c r="Z84" s="1449" t="s">
        <v>1475</v>
      </c>
      <c r="AA84" s="1656"/>
      <c r="AB84" s="1449" t="s">
        <v>22</v>
      </c>
      <c r="AC84" s="1656"/>
      <c r="AD84" s="1657">
        <v>0.33300000000000002</v>
      </c>
      <c r="AE84" s="1656"/>
      <c r="AF84" s="1659">
        <f t="shared" si="19"/>
        <v>17478.958003541986</v>
      </c>
      <c r="AG84" s="1008"/>
      <c r="AH84" s="1314">
        <v>282</v>
      </c>
      <c r="AI84" s="1314"/>
    </row>
    <row r="85" spans="2:35">
      <c r="B85" s="1314">
        <v>71</v>
      </c>
      <c r="C85" s="1440" t="s">
        <v>1701</v>
      </c>
      <c r="D85" s="1440" t="s">
        <v>1489</v>
      </c>
      <c r="E85" s="1440" t="s">
        <v>1400</v>
      </c>
      <c r="F85" s="1658">
        <v>0</v>
      </c>
      <c r="G85" s="1659">
        <f t="shared" si="10"/>
        <v>0</v>
      </c>
      <c r="H85" s="1658">
        <v>1196239.5854999998</v>
      </c>
      <c r="I85" s="1659">
        <f t="shared" si="11"/>
        <v>-418683.85492499993</v>
      </c>
      <c r="J85" s="1659">
        <f t="shared" si="12"/>
        <v>777555.73057499994</v>
      </c>
      <c r="K85" s="1660"/>
      <c r="L85" s="1658">
        <f t="shared" si="13"/>
        <v>0</v>
      </c>
      <c r="M85" s="1659">
        <f t="shared" si="14"/>
        <v>0</v>
      </c>
      <c r="N85" s="1658">
        <v>1196239.5854999998</v>
      </c>
      <c r="O85" s="1659">
        <f t="shared" si="15"/>
        <v>-251210.31295499994</v>
      </c>
      <c r="P85" s="1659">
        <f t="shared" si="16"/>
        <v>945029.27254499984</v>
      </c>
      <c r="Q85" s="1659"/>
      <c r="R85" s="1659">
        <f t="shared" si="17"/>
        <v>-167473.5419699999</v>
      </c>
      <c r="S85" s="1660"/>
      <c r="T85" s="1658">
        <v>0</v>
      </c>
      <c r="U85" s="1660"/>
      <c r="V85" s="1658">
        <v>0</v>
      </c>
      <c r="W85" s="1660"/>
      <c r="X85" s="1659">
        <f t="shared" si="18"/>
        <v>-167473.5419699999</v>
      </c>
      <c r="Y85" s="1655"/>
      <c r="Z85" s="1449" t="s">
        <v>1696</v>
      </c>
      <c r="AA85" s="1656"/>
      <c r="AB85" s="1449" t="s">
        <v>23</v>
      </c>
      <c r="AC85" s="1656"/>
      <c r="AD85" s="1657">
        <v>0</v>
      </c>
      <c r="AE85" s="1656"/>
      <c r="AF85" s="1659">
        <f t="shared" si="19"/>
        <v>0</v>
      </c>
      <c r="AG85" s="1008"/>
      <c r="AH85" s="1314">
        <v>282</v>
      </c>
      <c r="AI85" s="1314"/>
    </row>
    <row r="86" spans="2:35" ht="13">
      <c r="B86" s="1314">
        <v>72</v>
      </c>
      <c r="C86" s="1661" t="s">
        <v>1492</v>
      </c>
      <c r="D86" s="1449"/>
      <c r="E86" s="1449"/>
      <c r="F86" s="1662">
        <f>SUM(F75:F85)</f>
        <v>-2361959539.1847501</v>
      </c>
      <c r="G86" s="1662">
        <f>SUM(G75:G85)</f>
        <v>-826685838.71466255</v>
      </c>
      <c r="H86" s="1662">
        <f>SUM(H75:H85)</f>
        <v>-139315642.0917975</v>
      </c>
      <c r="I86" s="1662">
        <f>SUM(I75:I85)</f>
        <v>48760474.732129119</v>
      </c>
      <c r="J86" s="1662">
        <f>SUM(J75:J85)</f>
        <v>-917241006.07433093</v>
      </c>
      <c r="K86" s="1663"/>
      <c r="L86" s="1662">
        <f>SUM(L75:L85)</f>
        <v>-2361959539.1847501</v>
      </c>
      <c r="M86" s="1662">
        <f>SUM(M75:M85)</f>
        <v>-496011503.22879744</v>
      </c>
      <c r="N86" s="1662">
        <f>SUM(N75:N85)</f>
        <v>-139315642.0917975</v>
      </c>
      <c r="O86" s="1662">
        <f>SUM(O75:O85)</f>
        <v>29256284.839277472</v>
      </c>
      <c r="P86" s="1662">
        <f>SUM(P75:P85)</f>
        <v>-606070860.48131752</v>
      </c>
      <c r="R86" s="1662">
        <f>SUM(R75:R85)</f>
        <v>-311170145.59301329</v>
      </c>
      <c r="S86" s="1663"/>
      <c r="T86" s="1662">
        <f>SUM(T75:T85)</f>
        <v>0</v>
      </c>
      <c r="U86" s="1663"/>
      <c r="V86" s="1662">
        <f>SUM(V75:V85)</f>
        <v>-10247068.463183939</v>
      </c>
      <c r="W86" s="1663"/>
      <c r="X86" s="1662">
        <f>SUM(X75:X85)</f>
        <v>-300923077.12982935</v>
      </c>
      <c r="Y86" s="1663"/>
      <c r="Z86" s="1449"/>
      <c r="AA86" s="1664"/>
      <c r="AB86" s="1449"/>
      <c r="AC86" s="1664"/>
      <c r="AD86" s="1665"/>
      <c r="AE86" s="1664"/>
      <c r="AF86" s="1662"/>
      <c r="AG86" s="1664"/>
      <c r="AH86" s="1314"/>
      <c r="AI86" s="1314"/>
    </row>
    <row r="87" spans="2:35" ht="13">
      <c r="B87" s="1314"/>
      <c r="C87" s="1449"/>
      <c r="D87" s="1449"/>
      <c r="E87" s="1449"/>
      <c r="F87" s="1666"/>
      <c r="G87" s="1666"/>
      <c r="H87" s="1666"/>
      <c r="I87" s="1666"/>
      <c r="J87" s="1666"/>
      <c r="K87" s="1663"/>
      <c r="L87" s="1666"/>
      <c r="M87" s="1666"/>
      <c r="N87" s="1666"/>
      <c r="O87" s="1666"/>
      <c r="P87" s="1666"/>
      <c r="R87" s="1666"/>
      <c r="S87" s="1663"/>
      <c r="T87" s="1666"/>
      <c r="U87" s="1663"/>
      <c r="V87" s="1666"/>
      <c r="W87" s="1663"/>
      <c r="X87" s="1666"/>
      <c r="Y87" s="1663"/>
      <c r="Z87" s="1449"/>
      <c r="AA87" s="1664"/>
      <c r="AB87" s="1449"/>
      <c r="AC87" s="1664"/>
      <c r="AD87" s="1665"/>
      <c r="AE87" s="1664"/>
      <c r="AF87" s="1666"/>
      <c r="AG87" s="1664"/>
      <c r="AH87" s="1314"/>
      <c r="AI87" s="1314"/>
    </row>
    <row r="88" spans="2:35" ht="13">
      <c r="B88" s="1314"/>
      <c r="C88" s="1652" t="s">
        <v>1702</v>
      </c>
      <c r="D88" s="1449"/>
      <c r="E88" s="1449"/>
      <c r="F88" s="1666"/>
      <c r="G88" s="1666"/>
      <c r="H88" s="1666"/>
      <c r="I88" s="1666"/>
      <c r="J88" s="1666"/>
      <c r="K88" s="1663"/>
      <c r="L88" s="1666"/>
      <c r="M88" s="1666"/>
      <c r="N88" s="1666"/>
      <c r="O88" s="1666"/>
      <c r="P88" s="1666"/>
      <c r="R88" s="1666"/>
      <c r="S88" s="1663"/>
      <c r="T88" s="1666"/>
      <c r="U88" s="1663"/>
      <c r="V88" s="1666"/>
      <c r="W88" s="1663"/>
      <c r="X88" s="1666"/>
      <c r="Y88" s="1663"/>
      <c r="Z88" s="1449"/>
      <c r="AA88" s="1664"/>
      <c r="AB88" s="1449"/>
      <c r="AC88" s="1664"/>
      <c r="AD88" s="1665"/>
      <c r="AE88" s="1664"/>
      <c r="AF88" s="1666"/>
      <c r="AG88" s="1664"/>
      <c r="AH88" s="1314"/>
      <c r="AI88" s="1314"/>
    </row>
    <row r="89" spans="2:35">
      <c r="B89" s="1314">
        <v>73</v>
      </c>
      <c r="C89" s="1440" t="s">
        <v>1703</v>
      </c>
      <c r="D89" s="1440" t="s">
        <v>1640</v>
      </c>
      <c r="E89" s="1440" t="s">
        <v>1461</v>
      </c>
      <c r="F89" s="1653">
        <v>-5186943.16</v>
      </c>
      <c r="G89" s="1654">
        <f t="shared" ref="G89:G120" si="20">F89*0.35</f>
        <v>-1815430.1059999999</v>
      </c>
      <c r="H89" s="1653">
        <v>-466824.88439999998</v>
      </c>
      <c r="I89" s="1654">
        <f t="shared" ref="I89:I120" si="21">-H89*0.35</f>
        <v>163388.70953999998</v>
      </c>
      <c r="J89" s="1654">
        <f t="shared" ref="J89:J120" si="22">G89+H89+I89</f>
        <v>-2118866.2808599998</v>
      </c>
      <c r="K89" s="1655"/>
      <c r="L89" s="1653">
        <f t="shared" ref="L89:L120" si="23">F89</f>
        <v>-5186943.16</v>
      </c>
      <c r="M89" s="1654">
        <f t="shared" ref="M89:M120" si="24">L89*0.21</f>
        <v>-1089258.0636</v>
      </c>
      <c r="N89" s="1653">
        <v>-466824.88439999998</v>
      </c>
      <c r="O89" s="1654">
        <f t="shared" ref="O89:O120" si="25">-N89*0.21</f>
        <v>98033.225723999989</v>
      </c>
      <c r="P89" s="1654">
        <f t="shared" ref="P89:P120" si="26">M89+N89+O89</f>
        <v>-1458049.7222759998</v>
      </c>
      <c r="R89" s="1654">
        <f t="shared" ref="R89:R120" si="27">J89-P89</f>
        <v>-660816.55858399998</v>
      </c>
      <c r="S89" s="1655"/>
      <c r="T89" s="1653">
        <v>0</v>
      </c>
      <c r="U89" s="1655"/>
      <c r="V89" s="1653">
        <v>0</v>
      </c>
      <c r="W89" s="1655"/>
      <c r="X89" s="1654">
        <f t="shared" ref="X89:X120" si="28">R89-T89-V89</f>
        <v>-660816.55858399998</v>
      </c>
      <c r="Y89" s="1655"/>
      <c r="Z89" s="1449" t="s">
        <v>260</v>
      </c>
      <c r="AA89" s="1656"/>
      <c r="AB89" s="1449" t="s">
        <v>22</v>
      </c>
      <c r="AC89" s="1656"/>
      <c r="AD89" s="1657">
        <v>6.5299999999999997E-2</v>
      </c>
      <c r="AE89" s="1656"/>
      <c r="AF89" s="1654">
        <f t="shared" ref="AF89:AF120" si="29">X89*AD89</f>
        <v>-43151.3212755352</v>
      </c>
      <c r="AG89" s="1008"/>
      <c r="AH89" s="1314">
        <v>283</v>
      </c>
      <c r="AI89" s="1314"/>
    </row>
    <row r="90" spans="2:35">
      <c r="B90" s="1314">
        <v>74</v>
      </c>
      <c r="C90" s="1440" t="s">
        <v>1704</v>
      </c>
      <c r="D90" s="1440" t="s">
        <v>1705</v>
      </c>
      <c r="E90" s="1440" t="s">
        <v>1461</v>
      </c>
      <c r="F90" s="1658">
        <v>-4574837.6100000003</v>
      </c>
      <c r="G90" s="1659">
        <f t="shared" si="20"/>
        <v>-1601193.1635</v>
      </c>
      <c r="H90" s="1658">
        <v>-411735.3849</v>
      </c>
      <c r="I90" s="1659">
        <f t="shared" si="21"/>
        <v>144107.38471499999</v>
      </c>
      <c r="J90" s="1659">
        <f t="shared" si="22"/>
        <v>-1868821.163685</v>
      </c>
      <c r="K90" s="1660"/>
      <c r="L90" s="1658">
        <f t="shared" si="23"/>
        <v>-4574837.6100000003</v>
      </c>
      <c r="M90" s="1659">
        <f t="shared" si="24"/>
        <v>-960715.89809999999</v>
      </c>
      <c r="N90" s="1658">
        <v>-411735.3849</v>
      </c>
      <c r="O90" s="1659">
        <f t="shared" si="25"/>
        <v>86464.430829000004</v>
      </c>
      <c r="P90" s="1659">
        <f t="shared" si="26"/>
        <v>-1285986.8521710001</v>
      </c>
      <c r="Q90" s="1659"/>
      <c r="R90" s="1659">
        <f t="shared" si="27"/>
        <v>-582834.31151399994</v>
      </c>
      <c r="S90" s="1660"/>
      <c r="T90" s="1658">
        <v>0</v>
      </c>
      <c r="U90" s="1660"/>
      <c r="V90" s="1658">
        <v>0</v>
      </c>
      <c r="W90" s="1660"/>
      <c r="X90" s="1659">
        <f t="shared" si="28"/>
        <v>-582834.31151399994</v>
      </c>
      <c r="Y90" s="1655"/>
      <c r="Z90" s="1449" t="s">
        <v>1475</v>
      </c>
      <c r="AA90" s="1656"/>
      <c r="AB90" s="1449" t="s">
        <v>22</v>
      </c>
      <c r="AC90" s="1656"/>
      <c r="AD90" s="1657">
        <v>0.33300000000000002</v>
      </c>
      <c r="AE90" s="1656"/>
      <c r="AF90" s="1654">
        <f t="shared" si="29"/>
        <v>-194083.825734162</v>
      </c>
      <c r="AG90" s="1008"/>
      <c r="AH90" s="1314">
        <v>283</v>
      </c>
      <c r="AI90" s="1314"/>
    </row>
    <row r="91" spans="2:35">
      <c r="B91" s="1314">
        <v>75</v>
      </c>
      <c r="C91" s="1440" t="s">
        <v>1706</v>
      </c>
      <c r="D91" s="1440" t="s">
        <v>1705</v>
      </c>
      <c r="E91" s="1440" t="s">
        <v>1461</v>
      </c>
      <c r="F91" s="1658">
        <v>-4729885.6900000004</v>
      </c>
      <c r="G91" s="1659">
        <f t="shared" si="20"/>
        <v>-1655459.9915</v>
      </c>
      <c r="H91" s="1658">
        <v>-425689.7121</v>
      </c>
      <c r="I91" s="1659">
        <f t="shared" si="21"/>
        <v>148991.39923499999</v>
      </c>
      <c r="J91" s="1659">
        <f t="shared" si="22"/>
        <v>-1932158.3043650002</v>
      </c>
      <c r="K91" s="1660"/>
      <c r="L91" s="1658">
        <f t="shared" si="23"/>
        <v>-4729885.6900000004</v>
      </c>
      <c r="M91" s="1659">
        <f t="shared" si="24"/>
        <v>-993275.99490000005</v>
      </c>
      <c r="N91" s="1658">
        <v>-425689.7121</v>
      </c>
      <c r="O91" s="1659">
        <f t="shared" si="25"/>
        <v>89394.839540999994</v>
      </c>
      <c r="P91" s="1659">
        <f t="shared" si="26"/>
        <v>-1329570.8674589999</v>
      </c>
      <c r="Q91" s="1659"/>
      <c r="R91" s="1659">
        <f t="shared" si="27"/>
        <v>-602587.43690600037</v>
      </c>
      <c r="S91" s="1660"/>
      <c r="T91" s="1658">
        <v>0</v>
      </c>
      <c r="U91" s="1660"/>
      <c r="V91" s="1658">
        <v>0</v>
      </c>
      <c r="W91" s="1660"/>
      <c r="X91" s="1659">
        <f t="shared" si="28"/>
        <v>-602587.43690600037</v>
      </c>
      <c r="Y91" s="1655"/>
      <c r="Z91" s="1449" t="s">
        <v>1475</v>
      </c>
      <c r="AA91" s="1656"/>
      <c r="AB91" s="1449" t="s">
        <v>22</v>
      </c>
      <c r="AC91" s="1656"/>
      <c r="AD91" s="1657">
        <v>0.33300000000000002</v>
      </c>
      <c r="AE91" s="1656"/>
      <c r="AF91" s="1654">
        <f t="shared" si="29"/>
        <v>-200661.61648969812</v>
      </c>
      <c r="AG91" s="1008"/>
      <c r="AH91" s="1314">
        <v>283</v>
      </c>
      <c r="AI91" s="1314"/>
    </row>
    <row r="92" spans="2:35">
      <c r="B92" s="1314">
        <v>76</v>
      </c>
      <c r="C92" s="1440" t="s">
        <v>1470</v>
      </c>
      <c r="D92" s="1440" t="s">
        <v>268</v>
      </c>
      <c r="E92" s="1440" t="s">
        <v>1461</v>
      </c>
      <c r="F92" s="1658">
        <v>171752.99</v>
      </c>
      <c r="G92" s="1659">
        <f t="shared" si="20"/>
        <v>60113.546499999989</v>
      </c>
      <c r="H92" s="1658">
        <v>15457.769099999998</v>
      </c>
      <c r="I92" s="1659">
        <f t="shared" si="21"/>
        <v>-5410.219184999999</v>
      </c>
      <c r="J92" s="1659">
        <f t="shared" si="22"/>
        <v>70161.096414999993</v>
      </c>
      <c r="K92" s="1660"/>
      <c r="L92" s="1658">
        <f t="shared" si="23"/>
        <v>171752.99</v>
      </c>
      <c r="M92" s="1659">
        <f t="shared" si="24"/>
        <v>36068.127899999999</v>
      </c>
      <c r="N92" s="1658">
        <v>15457.769099999998</v>
      </c>
      <c r="O92" s="1659">
        <f t="shared" si="25"/>
        <v>-3246.1315109999996</v>
      </c>
      <c r="P92" s="1659">
        <f t="shared" si="26"/>
        <v>48279.765488999998</v>
      </c>
      <c r="Q92" s="1659"/>
      <c r="R92" s="1659">
        <f t="shared" si="27"/>
        <v>21881.330925999995</v>
      </c>
      <c r="S92" s="1660"/>
      <c r="T92" s="1658">
        <v>21881.330925999999</v>
      </c>
      <c r="U92" s="1660"/>
      <c r="V92" s="1658">
        <v>0</v>
      </c>
      <c r="W92" s="1660"/>
      <c r="X92" s="1659">
        <f t="shared" si="28"/>
        <v>-3.637978807091713E-12</v>
      </c>
      <c r="Y92" s="1655"/>
      <c r="Z92" s="1449" t="s">
        <v>1475</v>
      </c>
      <c r="AA92" s="1656"/>
      <c r="AB92" s="1449" t="s">
        <v>23</v>
      </c>
      <c r="AC92" s="1656"/>
      <c r="AD92" s="1657">
        <v>0</v>
      </c>
      <c r="AE92" s="1656"/>
      <c r="AF92" s="1654">
        <f t="shared" si="29"/>
        <v>0</v>
      </c>
      <c r="AG92" s="1008"/>
      <c r="AH92" s="1314">
        <v>283</v>
      </c>
      <c r="AI92" s="1314"/>
    </row>
    <row r="93" spans="2:35">
      <c r="B93" s="1314">
        <v>77</v>
      </c>
      <c r="C93" s="1440" t="s">
        <v>1529</v>
      </c>
      <c r="D93" s="1440" t="s">
        <v>1707</v>
      </c>
      <c r="E93" s="1440" t="s">
        <v>1461</v>
      </c>
      <c r="F93" s="1658">
        <v>-5278948.45</v>
      </c>
      <c r="G93" s="1659">
        <f t="shared" si="20"/>
        <v>-1847631.9575</v>
      </c>
      <c r="H93" s="1658">
        <v>-475105.36050000001</v>
      </c>
      <c r="I93" s="1659">
        <f t="shared" si="21"/>
        <v>166286.87617499998</v>
      </c>
      <c r="J93" s="1659">
        <f t="shared" si="22"/>
        <v>-2156450.4418250001</v>
      </c>
      <c r="K93" s="1660"/>
      <c r="L93" s="1658">
        <f t="shared" si="23"/>
        <v>-5278948.45</v>
      </c>
      <c r="M93" s="1659">
        <f t="shared" si="24"/>
        <v>-1108579.1745</v>
      </c>
      <c r="N93" s="1658">
        <v>-475105.36050000001</v>
      </c>
      <c r="O93" s="1659">
        <f t="shared" si="25"/>
        <v>99772.125704999999</v>
      </c>
      <c r="P93" s="1659">
        <f t="shared" si="26"/>
        <v>-1483912.4092949999</v>
      </c>
      <c r="Q93" s="1659"/>
      <c r="R93" s="1659">
        <f t="shared" si="27"/>
        <v>-672538.0325300002</v>
      </c>
      <c r="S93" s="1660"/>
      <c r="T93" s="1658">
        <v>0</v>
      </c>
      <c r="U93" s="1660"/>
      <c r="V93" s="1658">
        <v>0</v>
      </c>
      <c r="W93" s="1660"/>
      <c r="X93" s="1659">
        <f t="shared" si="28"/>
        <v>-672538.0325300002</v>
      </c>
      <c r="Y93" s="1655"/>
      <c r="Z93" s="1449" t="s">
        <v>1475</v>
      </c>
      <c r="AA93" s="1656"/>
      <c r="AB93" s="1449" t="s">
        <v>22</v>
      </c>
      <c r="AC93" s="1656"/>
      <c r="AD93" s="1657">
        <v>0.33300000000000002</v>
      </c>
      <c r="AE93" s="1656"/>
      <c r="AF93" s="1654">
        <f t="shared" si="29"/>
        <v>-223955.16483249009</v>
      </c>
      <c r="AG93" s="1008"/>
      <c r="AH93" s="1314">
        <v>283</v>
      </c>
      <c r="AI93" s="1314"/>
    </row>
    <row r="94" spans="2:35">
      <c r="B94" s="1314">
        <v>78</v>
      </c>
      <c r="C94" s="1440" t="s">
        <v>1708</v>
      </c>
      <c r="D94" s="1440" t="s">
        <v>1709</v>
      </c>
      <c r="E94" s="1440" t="s">
        <v>1461</v>
      </c>
      <c r="F94" s="1658">
        <v>-1723744.42</v>
      </c>
      <c r="G94" s="1659">
        <f t="shared" si="20"/>
        <v>-603310.5469999999</v>
      </c>
      <c r="H94" s="1658">
        <v>-155136.99779999998</v>
      </c>
      <c r="I94" s="1659">
        <f t="shared" si="21"/>
        <v>54297.949229999991</v>
      </c>
      <c r="J94" s="1659">
        <f t="shared" si="22"/>
        <v>-704149.59556999989</v>
      </c>
      <c r="K94" s="1660"/>
      <c r="L94" s="1658">
        <f t="shared" si="23"/>
        <v>-1723744.42</v>
      </c>
      <c r="M94" s="1659">
        <f t="shared" si="24"/>
        <v>-361986.32819999999</v>
      </c>
      <c r="N94" s="1658">
        <v>-155136.99779999998</v>
      </c>
      <c r="O94" s="1659">
        <f t="shared" si="25"/>
        <v>32578.769537999997</v>
      </c>
      <c r="P94" s="1659">
        <f t="shared" si="26"/>
        <v>-484544.55646200001</v>
      </c>
      <c r="Q94" s="1659"/>
      <c r="R94" s="1659">
        <f t="shared" si="27"/>
        <v>-219605.03910799988</v>
      </c>
      <c r="S94" s="1660"/>
      <c r="T94" s="1658">
        <v>0</v>
      </c>
      <c r="U94" s="1660"/>
      <c r="V94" s="1658">
        <v>0</v>
      </c>
      <c r="W94" s="1660"/>
      <c r="X94" s="1659">
        <f t="shared" si="28"/>
        <v>-219605.03910799988</v>
      </c>
      <c r="Y94" s="1655"/>
      <c r="Z94" s="1449" t="s">
        <v>1475</v>
      </c>
      <c r="AA94" s="1656"/>
      <c r="AB94" s="1449" t="s">
        <v>22</v>
      </c>
      <c r="AC94" s="1656"/>
      <c r="AD94" s="1657">
        <v>0.33300000000000002</v>
      </c>
      <c r="AE94" s="1656"/>
      <c r="AF94" s="1654">
        <f t="shared" si="29"/>
        <v>-73128.478022963958</v>
      </c>
      <c r="AG94" s="1008"/>
      <c r="AH94" s="1314">
        <v>283</v>
      </c>
      <c r="AI94" s="1314"/>
    </row>
    <row r="95" spans="2:35">
      <c r="B95" s="1314">
        <v>79</v>
      </c>
      <c r="C95" s="1440" t="s">
        <v>1710</v>
      </c>
      <c r="D95" s="1440" t="s">
        <v>1711</v>
      </c>
      <c r="E95" s="1440" t="s">
        <v>1461</v>
      </c>
      <c r="F95" s="1658">
        <v>-23578420.859999999</v>
      </c>
      <c r="G95" s="1659">
        <f t="shared" si="20"/>
        <v>-8252447.300999999</v>
      </c>
      <c r="H95" s="1658">
        <v>-2122057.8773999996</v>
      </c>
      <c r="I95" s="1659">
        <f t="shared" si="21"/>
        <v>742720.25708999985</v>
      </c>
      <c r="J95" s="1659">
        <f t="shared" si="22"/>
        <v>-9631784.9213099983</v>
      </c>
      <c r="K95" s="1660"/>
      <c r="L95" s="1658">
        <f t="shared" si="23"/>
        <v>-23578420.859999999</v>
      </c>
      <c r="M95" s="1659">
        <f t="shared" si="24"/>
        <v>-4951468.3805999998</v>
      </c>
      <c r="N95" s="1658">
        <v>-2122057.8773999996</v>
      </c>
      <c r="O95" s="1659">
        <f t="shared" si="25"/>
        <v>445632.15425399994</v>
      </c>
      <c r="P95" s="1659">
        <f t="shared" si="26"/>
        <v>-6627894.1037459997</v>
      </c>
      <c r="Q95" s="1659"/>
      <c r="R95" s="1659">
        <f t="shared" si="27"/>
        <v>-3003890.8175639985</v>
      </c>
      <c r="S95" s="1660"/>
      <c r="T95" s="1658">
        <v>0</v>
      </c>
      <c r="U95" s="1660"/>
      <c r="V95" s="1658">
        <v>0</v>
      </c>
      <c r="W95" s="1660"/>
      <c r="X95" s="1659">
        <f t="shared" si="28"/>
        <v>-3003890.8175639985</v>
      </c>
      <c r="Y95" s="1655"/>
      <c r="Z95" s="1449" t="s">
        <v>1475</v>
      </c>
      <c r="AA95" s="1656"/>
      <c r="AB95" s="1449" t="s">
        <v>22</v>
      </c>
      <c r="AC95" s="1656"/>
      <c r="AD95" s="1657">
        <v>0.33300000000000002</v>
      </c>
      <c r="AE95" s="1656"/>
      <c r="AF95" s="1654">
        <f t="shared" si="29"/>
        <v>-1000295.6422488115</v>
      </c>
      <c r="AG95" s="1008"/>
      <c r="AH95" s="1314">
        <v>283</v>
      </c>
      <c r="AI95" s="1314"/>
    </row>
    <row r="96" spans="2:35">
      <c r="B96" s="1314">
        <v>80</v>
      </c>
      <c r="C96" s="1440" t="s">
        <v>1712</v>
      </c>
      <c r="D96" s="1440" t="s">
        <v>1713</v>
      </c>
      <c r="E96" s="1440" t="s">
        <v>1461</v>
      </c>
      <c r="F96" s="1658">
        <v>-1249134.8</v>
      </c>
      <c r="G96" s="1659">
        <f t="shared" si="20"/>
        <v>-437197.18</v>
      </c>
      <c r="H96" s="1658">
        <v>-112422.132</v>
      </c>
      <c r="I96" s="1659">
        <f t="shared" si="21"/>
        <v>39347.746199999994</v>
      </c>
      <c r="J96" s="1659">
        <f t="shared" si="22"/>
        <v>-510271.56580000004</v>
      </c>
      <c r="K96" s="1660"/>
      <c r="L96" s="1658">
        <f t="shared" si="23"/>
        <v>-1249134.8</v>
      </c>
      <c r="M96" s="1659">
        <f t="shared" si="24"/>
        <v>-262318.30800000002</v>
      </c>
      <c r="N96" s="1658">
        <v>-112422.132</v>
      </c>
      <c r="O96" s="1659">
        <f t="shared" si="25"/>
        <v>23608.647719999997</v>
      </c>
      <c r="P96" s="1659">
        <f t="shared" si="26"/>
        <v>-351131.79227999999</v>
      </c>
      <c r="Q96" s="1659"/>
      <c r="R96" s="1659">
        <f t="shared" si="27"/>
        <v>-159139.77352000005</v>
      </c>
      <c r="S96" s="1660"/>
      <c r="T96" s="1658">
        <v>0</v>
      </c>
      <c r="U96" s="1660"/>
      <c r="V96" s="1658">
        <v>0</v>
      </c>
      <c r="W96" s="1660"/>
      <c r="X96" s="1659">
        <f t="shared" si="28"/>
        <v>-159139.77352000005</v>
      </c>
      <c r="Y96" s="1655"/>
      <c r="Z96" s="1449" t="s">
        <v>1475</v>
      </c>
      <c r="AA96" s="1656"/>
      <c r="AB96" s="1449" t="s">
        <v>22</v>
      </c>
      <c r="AC96" s="1656"/>
      <c r="AD96" s="1657">
        <v>0.33300000000000002</v>
      </c>
      <c r="AE96" s="1656"/>
      <c r="AF96" s="1654">
        <f t="shared" si="29"/>
        <v>-52993.544582160015</v>
      </c>
      <c r="AG96" s="1008"/>
      <c r="AH96" s="1314">
        <v>283</v>
      </c>
      <c r="AI96" s="1314"/>
    </row>
    <row r="97" spans="2:35">
      <c r="B97" s="1314">
        <v>81</v>
      </c>
      <c r="C97" s="1440" t="s">
        <v>1714</v>
      </c>
      <c r="D97" s="1440" t="s">
        <v>1713</v>
      </c>
      <c r="E97" s="1440" t="s">
        <v>1461</v>
      </c>
      <c r="F97" s="1658">
        <v>548390.72</v>
      </c>
      <c r="G97" s="1659">
        <f t="shared" si="20"/>
        <v>191936.75199999998</v>
      </c>
      <c r="H97" s="1658">
        <v>49355.164799999999</v>
      </c>
      <c r="I97" s="1659">
        <f t="shared" si="21"/>
        <v>-17274.307679999998</v>
      </c>
      <c r="J97" s="1659">
        <f t="shared" si="22"/>
        <v>224017.60911999998</v>
      </c>
      <c r="K97" s="1660"/>
      <c r="L97" s="1658">
        <f t="shared" si="23"/>
        <v>548390.72</v>
      </c>
      <c r="M97" s="1659">
        <f t="shared" si="24"/>
        <v>115162.05119999999</v>
      </c>
      <c r="N97" s="1658">
        <v>49355.164799999999</v>
      </c>
      <c r="O97" s="1659">
        <f t="shared" si="25"/>
        <v>-10364.584607999999</v>
      </c>
      <c r="P97" s="1659">
        <f t="shared" si="26"/>
        <v>154152.63139199998</v>
      </c>
      <c r="Q97" s="1659"/>
      <c r="R97" s="1659">
        <f t="shared" si="27"/>
        <v>69864.977727999998</v>
      </c>
      <c r="S97" s="1660"/>
      <c r="T97" s="1658">
        <v>0</v>
      </c>
      <c r="U97" s="1660"/>
      <c r="V97" s="1658">
        <v>0</v>
      </c>
      <c r="W97" s="1660"/>
      <c r="X97" s="1659">
        <f t="shared" si="28"/>
        <v>69864.977727999998</v>
      </c>
      <c r="Y97" s="1655"/>
      <c r="Z97" s="1449" t="s">
        <v>1475</v>
      </c>
      <c r="AA97" s="1656"/>
      <c r="AB97" s="1449" t="s">
        <v>22</v>
      </c>
      <c r="AC97" s="1656"/>
      <c r="AD97" s="1657">
        <v>0.33300000000000002</v>
      </c>
      <c r="AE97" s="1656"/>
      <c r="AF97" s="1654">
        <f t="shared" si="29"/>
        <v>23265.037583424</v>
      </c>
      <c r="AG97" s="1008"/>
      <c r="AH97" s="1314">
        <v>283</v>
      </c>
      <c r="AI97" s="1314"/>
    </row>
    <row r="98" spans="2:35">
      <c r="B98" s="1314">
        <v>82</v>
      </c>
      <c r="C98" s="1440" t="s">
        <v>1466</v>
      </c>
      <c r="D98" s="1440" t="s">
        <v>1713</v>
      </c>
      <c r="E98" s="1440" t="s">
        <v>1461</v>
      </c>
      <c r="F98" s="1658">
        <v>69901.08</v>
      </c>
      <c r="G98" s="1659">
        <f t="shared" si="20"/>
        <v>24465.378000000001</v>
      </c>
      <c r="H98" s="1658">
        <v>6291.0972000000002</v>
      </c>
      <c r="I98" s="1659">
        <f t="shared" si="21"/>
        <v>-2201.88402</v>
      </c>
      <c r="J98" s="1659">
        <f t="shared" si="22"/>
        <v>28554.591179999999</v>
      </c>
      <c r="K98" s="1660"/>
      <c r="L98" s="1658">
        <f t="shared" si="23"/>
        <v>69901.08</v>
      </c>
      <c r="M98" s="1659">
        <f t="shared" si="24"/>
        <v>14679.2268</v>
      </c>
      <c r="N98" s="1658">
        <v>6291.0972000000002</v>
      </c>
      <c r="O98" s="1659">
        <f t="shared" si="25"/>
        <v>-1321.130412</v>
      </c>
      <c r="P98" s="1659">
        <f t="shared" si="26"/>
        <v>19649.193588000002</v>
      </c>
      <c r="Q98" s="1659"/>
      <c r="R98" s="1659">
        <f t="shared" si="27"/>
        <v>8905.3975919999975</v>
      </c>
      <c r="S98" s="1660"/>
      <c r="T98" s="1658">
        <v>0</v>
      </c>
      <c r="U98" s="1660"/>
      <c r="V98" s="1658">
        <v>0</v>
      </c>
      <c r="W98" s="1660"/>
      <c r="X98" s="1659">
        <f t="shared" si="28"/>
        <v>8905.3975919999975</v>
      </c>
      <c r="Y98" s="1655"/>
      <c r="Z98" s="1449" t="s">
        <v>1475</v>
      </c>
      <c r="AA98" s="1656"/>
      <c r="AB98" s="1449" t="s">
        <v>22</v>
      </c>
      <c r="AC98" s="1656"/>
      <c r="AD98" s="1657">
        <v>0.33300000000000002</v>
      </c>
      <c r="AE98" s="1656"/>
      <c r="AF98" s="1654">
        <f t="shared" si="29"/>
        <v>2965.4973981359994</v>
      </c>
      <c r="AG98" s="1008"/>
      <c r="AH98" s="1314">
        <v>283</v>
      </c>
      <c r="AI98" s="1314"/>
    </row>
    <row r="99" spans="2:35">
      <c r="B99" s="1314">
        <v>83</v>
      </c>
      <c r="C99" s="1440" t="s">
        <v>1715</v>
      </c>
      <c r="D99" s="1440" t="s">
        <v>1713</v>
      </c>
      <c r="E99" s="1440" t="s">
        <v>1461</v>
      </c>
      <c r="F99" s="1658">
        <v>-1479389.3</v>
      </c>
      <c r="G99" s="1659">
        <f t="shared" si="20"/>
        <v>-517786.255</v>
      </c>
      <c r="H99" s="1658">
        <v>-133145.03700000001</v>
      </c>
      <c r="I99" s="1659">
        <f t="shared" si="21"/>
        <v>46600.762950000004</v>
      </c>
      <c r="J99" s="1659">
        <f t="shared" si="22"/>
        <v>-604330.52905000001</v>
      </c>
      <c r="K99" s="1660"/>
      <c r="L99" s="1658">
        <f t="shared" si="23"/>
        <v>-1479389.3</v>
      </c>
      <c r="M99" s="1659">
        <f t="shared" si="24"/>
        <v>-310671.75300000003</v>
      </c>
      <c r="N99" s="1658">
        <v>-133145.03700000001</v>
      </c>
      <c r="O99" s="1659">
        <f t="shared" si="25"/>
        <v>27960.457770000001</v>
      </c>
      <c r="P99" s="1659">
        <f t="shared" si="26"/>
        <v>-415856.33223000006</v>
      </c>
      <c r="Q99" s="1659"/>
      <c r="R99" s="1659">
        <f t="shared" si="27"/>
        <v>-188474.19681999995</v>
      </c>
      <c r="S99" s="1660"/>
      <c r="T99" s="1658">
        <v>0</v>
      </c>
      <c r="U99" s="1660"/>
      <c r="V99" s="1658">
        <v>0</v>
      </c>
      <c r="W99" s="1660"/>
      <c r="X99" s="1659">
        <f t="shared" si="28"/>
        <v>-188474.19681999995</v>
      </c>
      <c r="Y99" s="1655"/>
      <c r="Z99" s="1449" t="s">
        <v>1475</v>
      </c>
      <c r="AA99" s="1656"/>
      <c r="AB99" s="1449" t="s">
        <v>22</v>
      </c>
      <c r="AC99" s="1656"/>
      <c r="AD99" s="1657">
        <v>0.33300000000000002</v>
      </c>
      <c r="AE99" s="1656"/>
      <c r="AF99" s="1654">
        <f t="shared" si="29"/>
        <v>-62761.907541059991</v>
      </c>
      <c r="AG99" s="1008"/>
      <c r="AH99" s="1314">
        <v>283</v>
      </c>
      <c r="AI99" s="1314"/>
    </row>
    <row r="100" spans="2:35">
      <c r="B100" s="1314">
        <v>84</v>
      </c>
      <c r="C100" s="1440" t="s">
        <v>1494</v>
      </c>
      <c r="D100" s="1440" t="s">
        <v>1716</v>
      </c>
      <c r="E100" s="1440" t="s">
        <v>1461</v>
      </c>
      <c r="F100" s="1658">
        <v>-79930586.430000007</v>
      </c>
      <c r="G100" s="1659">
        <f t="shared" si="20"/>
        <v>-27975705.250500001</v>
      </c>
      <c r="H100" s="1658">
        <v>-7193752.7787000006</v>
      </c>
      <c r="I100" s="1659">
        <f t="shared" si="21"/>
        <v>2517813.4725450003</v>
      </c>
      <c r="J100" s="1659">
        <f t="shared" si="22"/>
        <v>-32651644.556655001</v>
      </c>
      <c r="K100" s="1660"/>
      <c r="L100" s="1658">
        <f t="shared" si="23"/>
        <v>-79930586.430000007</v>
      </c>
      <c r="M100" s="1659">
        <f t="shared" si="24"/>
        <v>-16785423.1503</v>
      </c>
      <c r="N100" s="1658">
        <v>-7193752.7787000006</v>
      </c>
      <c r="O100" s="1659">
        <f t="shared" si="25"/>
        <v>1510688.0835270002</v>
      </c>
      <c r="P100" s="1659">
        <f t="shared" si="26"/>
        <v>-22468487.845473003</v>
      </c>
      <c r="Q100" s="1659"/>
      <c r="R100" s="1659">
        <f t="shared" si="27"/>
        <v>-10183156.711181998</v>
      </c>
      <c r="S100" s="1660"/>
      <c r="T100" s="1658">
        <v>0</v>
      </c>
      <c r="U100" s="1660"/>
      <c r="V100" s="1658">
        <v>0</v>
      </c>
      <c r="W100" s="1660"/>
      <c r="X100" s="1659">
        <f t="shared" si="28"/>
        <v>-10183156.711181998</v>
      </c>
      <c r="Y100" s="1655"/>
      <c r="Z100" s="1449" t="s">
        <v>260</v>
      </c>
      <c r="AA100" s="1656"/>
      <c r="AB100" s="1449" t="s">
        <v>22</v>
      </c>
      <c r="AC100" s="1656"/>
      <c r="AD100" s="1657">
        <v>6.5299999999999997E-2</v>
      </c>
      <c r="AE100" s="1656"/>
      <c r="AF100" s="1654">
        <f t="shared" si="29"/>
        <v>-664960.1332401844</v>
      </c>
      <c r="AG100" s="1008"/>
      <c r="AH100" s="1314">
        <v>283</v>
      </c>
      <c r="AI100" s="1314"/>
    </row>
    <row r="101" spans="2:35">
      <c r="B101" s="1314">
        <v>85</v>
      </c>
      <c r="C101" s="1440" t="s">
        <v>1717</v>
      </c>
      <c r="D101" s="1440" t="s">
        <v>1718</v>
      </c>
      <c r="E101" s="1440" t="s">
        <v>1461</v>
      </c>
      <c r="F101" s="1658">
        <v>-10602815</v>
      </c>
      <c r="G101" s="1659">
        <f t="shared" si="20"/>
        <v>-3710985.2499999995</v>
      </c>
      <c r="H101" s="1658">
        <v>-954253.35</v>
      </c>
      <c r="I101" s="1659">
        <f t="shared" si="21"/>
        <v>333988.67249999999</v>
      </c>
      <c r="J101" s="1659">
        <f t="shared" si="22"/>
        <v>-4331249.9274999993</v>
      </c>
      <c r="K101" s="1660"/>
      <c r="L101" s="1658">
        <f t="shared" si="23"/>
        <v>-10602815</v>
      </c>
      <c r="M101" s="1659">
        <f t="shared" si="24"/>
        <v>-2226591.15</v>
      </c>
      <c r="N101" s="1658">
        <v>-954253.35</v>
      </c>
      <c r="O101" s="1659">
        <f t="shared" si="25"/>
        <v>200393.20349999997</v>
      </c>
      <c r="P101" s="1659">
        <f t="shared" si="26"/>
        <v>-2980451.2965000002</v>
      </c>
      <c r="Q101" s="1659"/>
      <c r="R101" s="1659">
        <f t="shared" si="27"/>
        <v>-1350798.6309999991</v>
      </c>
      <c r="S101" s="1660"/>
      <c r="T101" s="1658">
        <v>0</v>
      </c>
      <c r="U101" s="1660"/>
      <c r="V101" s="1658">
        <v>0</v>
      </c>
      <c r="W101" s="1660"/>
      <c r="X101" s="1659">
        <f t="shared" si="28"/>
        <v>-1350798.6309999991</v>
      </c>
      <c r="Y101" s="1655"/>
      <c r="Z101" s="1449" t="s">
        <v>1078</v>
      </c>
      <c r="AA101" s="1656"/>
      <c r="AB101" s="1449" t="s">
        <v>22</v>
      </c>
      <c r="AC101" s="1656"/>
      <c r="AD101" s="1657">
        <v>1</v>
      </c>
      <c r="AE101" s="1656"/>
      <c r="AF101" s="1654">
        <f t="shared" si="29"/>
        <v>-1350798.6309999991</v>
      </c>
      <c r="AG101" s="1008"/>
      <c r="AH101" s="1314">
        <v>283</v>
      </c>
      <c r="AI101" s="1314"/>
    </row>
    <row r="102" spans="2:35">
      <c r="B102" s="1314">
        <v>86</v>
      </c>
      <c r="C102" s="1440" t="s">
        <v>1719</v>
      </c>
      <c r="D102" s="1440" t="s">
        <v>1720</v>
      </c>
      <c r="E102" s="1440" t="s">
        <v>1461</v>
      </c>
      <c r="F102" s="1658">
        <v>-18516982.73</v>
      </c>
      <c r="G102" s="1659">
        <f t="shared" si="20"/>
        <v>-6480943.9555000002</v>
      </c>
      <c r="H102" s="1658">
        <v>-1666528.4457</v>
      </c>
      <c r="I102" s="1659">
        <f t="shared" si="21"/>
        <v>583284.95599499997</v>
      </c>
      <c r="J102" s="1659">
        <f t="shared" si="22"/>
        <v>-7564187.4452050002</v>
      </c>
      <c r="K102" s="1660"/>
      <c r="L102" s="1658">
        <f t="shared" si="23"/>
        <v>-18516982.73</v>
      </c>
      <c r="M102" s="1659">
        <f t="shared" si="24"/>
        <v>-3888566.3733000001</v>
      </c>
      <c r="N102" s="1658">
        <v>-1666528.4457</v>
      </c>
      <c r="O102" s="1659">
        <f t="shared" si="25"/>
        <v>349970.973597</v>
      </c>
      <c r="P102" s="1659">
        <f t="shared" si="26"/>
        <v>-5205123.8454029998</v>
      </c>
      <c r="Q102" s="1659"/>
      <c r="R102" s="1659">
        <f t="shared" si="27"/>
        <v>-2359063.5998020004</v>
      </c>
      <c r="S102" s="1660"/>
      <c r="T102" s="1658">
        <v>0</v>
      </c>
      <c r="U102" s="1660"/>
      <c r="V102" s="1658">
        <v>0</v>
      </c>
      <c r="W102" s="1660"/>
      <c r="X102" s="1659">
        <f t="shared" si="28"/>
        <v>-2359063.5998020004</v>
      </c>
      <c r="Y102" s="1655"/>
      <c r="Z102" s="1449" t="s">
        <v>1475</v>
      </c>
      <c r="AA102" s="1656"/>
      <c r="AB102" s="1449" t="s">
        <v>22</v>
      </c>
      <c r="AC102" s="1656"/>
      <c r="AD102" s="1657">
        <v>0.33300000000000002</v>
      </c>
      <c r="AE102" s="1656"/>
      <c r="AF102" s="1654">
        <f t="shared" si="29"/>
        <v>-785568.1787340662</v>
      </c>
      <c r="AG102" s="1008"/>
      <c r="AH102" s="1314">
        <v>283</v>
      </c>
      <c r="AI102" s="1314"/>
    </row>
    <row r="103" spans="2:35">
      <c r="B103" s="1314">
        <v>87</v>
      </c>
      <c r="C103" s="1440" t="s">
        <v>1721</v>
      </c>
      <c r="D103" s="1440" t="s">
        <v>1720</v>
      </c>
      <c r="E103" s="1440" t="s">
        <v>1461</v>
      </c>
      <c r="F103" s="1658">
        <v>-9126247.2300000004</v>
      </c>
      <c r="G103" s="1659">
        <f t="shared" si="20"/>
        <v>-3194186.5304999999</v>
      </c>
      <c r="H103" s="1658">
        <v>-821362.25069999998</v>
      </c>
      <c r="I103" s="1659">
        <f t="shared" si="21"/>
        <v>287476.78774499998</v>
      </c>
      <c r="J103" s="1659">
        <f t="shared" si="22"/>
        <v>-3728071.9934550002</v>
      </c>
      <c r="K103" s="1660"/>
      <c r="L103" s="1658">
        <f t="shared" si="23"/>
        <v>-9126247.2300000004</v>
      </c>
      <c r="M103" s="1659">
        <f t="shared" si="24"/>
        <v>-1916511.9183</v>
      </c>
      <c r="N103" s="1658">
        <v>-821362.25069999998</v>
      </c>
      <c r="O103" s="1659">
        <f t="shared" si="25"/>
        <v>172486.07264699999</v>
      </c>
      <c r="P103" s="1659">
        <f t="shared" si="26"/>
        <v>-2565388.0963529996</v>
      </c>
      <c r="Q103" s="1659"/>
      <c r="R103" s="1659">
        <f t="shared" si="27"/>
        <v>-1162683.8971020007</v>
      </c>
      <c r="S103" s="1660"/>
      <c r="T103" s="1658">
        <v>0</v>
      </c>
      <c r="U103" s="1660"/>
      <c r="V103" s="1658">
        <v>0</v>
      </c>
      <c r="W103" s="1660"/>
      <c r="X103" s="1659">
        <f t="shared" si="28"/>
        <v>-1162683.8971020007</v>
      </c>
      <c r="Y103" s="1655"/>
      <c r="Z103" s="1449" t="s">
        <v>1475</v>
      </c>
      <c r="AA103" s="1656"/>
      <c r="AB103" s="1449" t="s">
        <v>22</v>
      </c>
      <c r="AC103" s="1656"/>
      <c r="AD103" s="1657">
        <v>0.33300000000000002</v>
      </c>
      <c r="AE103" s="1656"/>
      <c r="AF103" s="1654">
        <f t="shared" si="29"/>
        <v>-387173.73773496621</v>
      </c>
      <c r="AG103" s="1008"/>
      <c r="AH103" s="1314">
        <v>283</v>
      </c>
      <c r="AI103" s="1314"/>
    </row>
    <row r="104" spans="2:35">
      <c r="B104" s="1314">
        <v>88</v>
      </c>
      <c r="C104" s="1440" t="s">
        <v>1722</v>
      </c>
      <c r="D104" s="1440" t="s">
        <v>1723</v>
      </c>
      <c r="E104" s="1440" t="s">
        <v>1461</v>
      </c>
      <c r="F104" s="1658">
        <v>-24618339.359999999</v>
      </c>
      <c r="G104" s="1659">
        <f t="shared" si="20"/>
        <v>-8616418.7759999987</v>
      </c>
      <c r="H104" s="1658">
        <v>-2215650.5423999997</v>
      </c>
      <c r="I104" s="1659">
        <f t="shared" si="21"/>
        <v>775477.68983999989</v>
      </c>
      <c r="J104" s="1659">
        <f t="shared" si="22"/>
        <v>-10056591.628559999</v>
      </c>
      <c r="K104" s="1660"/>
      <c r="L104" s="1658">
        <f t="shared" si="23"/>
        <v>-24618339.359999999</v>
      </c>
      <c r="M104" s="1659">
        <f t="shared" si="24"/>
        <v>-5169851.2655999996</v>
      </c>
      <c r="N104" s="1658">
        <v>-2215650.5423999997</v>
      </c>
      <c r="O104" s="1659">
        <f t="shared" si="25"/>
        <v>465286.61390399991</v>
      </c>
      <c r="P104" s="1659">
        <f t="shared" si="26"/>
        <v>-6920215.194095999</v>
      </c>
      <c r="Q104" s="1659"/>
      <c r="R104" s="1659">
        <f t="shared" si="27"/>
        <v>-3136376.4344640002</v>
      </c>
      <c r="S104" s="1660"/>
      <c r="T104" s="1658">
        <v>0</v>
      </c>
      <c r="U104" s="1660"/>
      <c r="V104" s="1658">
        <v>0</v>
      </c>
      <c r="W104" s="1660"/>
      <c r="X104" s="1659">
        <f t="shared" si="28"/>
        <v>-3136376.4344640002</v>
      </c>
      <c r="Y104" s="1655"/>
      <c r="Z104" s="1449" t="s">
        <v>1475</v>
      </c>
      <c r="AA104" s="1656"/>
      <c r="AB104" s="1449" t="s">
        <v>22</v>
      </c>
      <c r="AC104" s="1656"/>
      <c r="AD104" s="1657">
        <v>0</v>
      </c>
      <c r="AE104" s="1656"/>
      <c r="AF104" s="1654">
        <f t="shared" si="29"/>
        <v>0</v>
      </c>
      <c r="AG104" s="1008"/>
      <c r="AH104" s="1314">
        <v>283</v>
      </c>
      <c r="AI104" s="1314"/>
    </row>
    <row r="105" spans="2:35">
      <c r="B105" s="1314">
        <v>89</v>
      </c>
      <c r="C105" s="1440" t="s">
        <v>1724</v>
      </c>
      <c r="D105" s="1440" t="s">
        <v>1723</v>
      </c>
      <c r="E105" s="1440" t="s">
        <v>1461</v>
      </c>
      <c r="F105" s="1658">
        <v>-28268277.120000001</v>
      </c>
      <c r="G105" s="1659">
        <f t="shared" si="20"/>
        <v>-9893896.9920000006</v>
      </c>
      <c r="H105" s="1658">
        <v>-2544144.9408</v>
      </c>
      <c r="I105" s="1659">
        <f t="shared" si="21"/>
        <v>890450.72927999997</v>
      </c>
      <c r="J105" s="1659">
        <f t="shared" si="22"/>
        <v>-11547591.20352</v>
      </c>
      <c r="K105" s="1660"/>
      <c r="L105" s="1658">
        <f t="shared" si="23"/>
        <v>-28268277.120000001</v>
      </c>
      <c r="M105" s="1659">
        <f t="shared" si="24"/>
        <v>-5936338.1952</v>
      </c>
      <c r="N105" s="1658">
        <v>-2544144.9408</v>
      </c>
      <c r="O105" s="1659">
        <f t="shared" si="25"/>
        <v>534270.43756799994</v>
      </c>
      <c r="P105" s="1659">
        <f t="shared" si="26"/>
        <v>-7946212.6984320004</v>
      </c>
      <c r="Q105" s="1659"/>
      <c r="R105" s="1659">
        <f t="shared" si="27"/>
        <v>-3601378.5050879996</v>
      </c>
      <c r="S105" s="1660"/>
      <c r="T105" s="1658">
        <v>0</v>
      </c>
      <c r="U105" s="1660"/>
      <c r="V105" s="1658">
        <v>0</v>
      </c>
      <c r="W105" s="1660"/>
      <c r="X105" s="1659">
        <f t="shared" si="28"/>
        <v>-3601378.5050879996</v>
      </c>
      <c r="Y105" s="1655"/>
      <c r="Z105" s="1449" t="s">
        <v>1475</v>
      </c>
      <c r="AA105" s="1656"/>
      <c r="AB105" s="1449" t="s">
        <v>22</v>
      </c>
      <c r="AC105" s="1656"/>
      <c r="AD105" s="1657">
        <v>0</v>
      </c>
      <c r="AE105" s="1656"/>
      <c r="AF105" s="1654">
        <f t="shared" si="29"/>
        <v>0</v>
      </c>
      <c r="AG105" s="1008"/>
      <c r="AH105" s="1314">
        <v>283</v>
      </c>
      <c r="AI105" s="1314"/>
    </row>
    <row r="106" spans="2:35">
      <c r="B106" s="1314">
        <v>90</v>
      </c>
      <c r="C106" s="1440" t="s">
        <v>1725</v>
      </c>
      <c r="D106" s="1440" t="s">
        <v>1723</v>
      </c>
      <c r="E106" s="1440" t="s">
        <v>1461</v>
      </c>
      <c r="F106" s="1658">
        <v>10676347.949999999</v>
      </c>
      <c r="G106" s="1659">
        <f t="shared" si="20"/>
        <v>3736721.7824999993</v>
      </c>
      <c r="H106" s="1658">
        <v>960871.31549999991</v>
      </c>
      <c r="I106" s="1659">
        <f t="shared" si="21"/>
        <v>-336304.96042499994</v>
      </c>
      <c r="J106" s="1659">
        <f t="shared" si="22"/>
        <v>4361288.1375749996</v>
      </c>
      <c r="K106" s="1660"/>
      <c r="L106" s="1658">
        <f t="shared" si="23"/>
        <v>10676347.949999999</v>
      </c>
      <c r="M106" s="1659">
        <f t="shared" si="24"/>
        <v>2242033.0694999998</v>
      </c>
      <c r="N106" s="1658">
        <v>960871.31549999991</v>
      </c>
      <c r="O106" s="1659">
        <f t="shared" si="25"/>
        <v>-201782.97625499999</v>
      </c>
      <c r="P106" s="1659">
        <f t="shared" si="26"/>
        <v>3001121.4087449997</v>
      </c>
      <c r="Q106" s="1659"/>
      <c r="R106" s="1659">
        <f t="shared" si="27"/>
        <v>1360166.7288299999</v>
      </c>
      <c r="S106" s="1660"/>
      <c r="T106" s="1658">
        <v>0</v>
      </c>
      <c r="U106" s="1660"/>
      <c r="V106" s="1658">
        <v>0</v>
      </c>
      <c r="W106" s="1660"/>
      <c r="X106" s="1659">
        <f t="shared" si="28"/>
        <v>1360166.7288299999</v>
      </c>
      <c r="Y106" s="1655"/>
      <c r="Z106" s="1449" t="s">
        <v>1475</v>
      </c>
      <c r="AA106" s="1656"/>
      <c r="AB106" s="1449" t="s">
        <v>22</v>
      </c>
      <c r="AC106" s="1656"/>
      <c r="AD106" s="1657">
        <v>0</v>
      </c>
      <c r="AE106" s="1656"/>
      <c r="AF106" s="1654">
        <f t="shared" si="29"/>
        <v>0</v>
      </c>
      <c r="AG106" s="1008"/>
      <c r="AH106" s="1314">
        <v>283</v>
      </c>
      <c r="AI106" s="1314"/>
    </row>
    <row r="107" spans="2:35">
      <c r="B107" s="1314">
        <v>91</v>
      </c>
      <c r="C107" s="1440" t="s">
        <v>1726</v>
      </c>
      <c r="D107" s="1440" t="s">
        <v>1723</v>
      </c>
      <c r="E107" s="1440" t="s">
        <v>1461</v>
      </c>
      <c r="F107" s="1658">
        <v>-156579</v>
      </c>
      <c r="G107" s="1659">
        <f t="shared" si="20"/>
        <v>-54802.649999999994</v>
      </c>
      <c r="H107" s="1658">
        <v>-14092.109999999999</v>
      </c>
      <c r="I107" s="1659">
        <f t="shared" si="21"/>
        <v>4932.2384999999995</v>
      </c>
      <c r="J107" s="1659">
        <f t="shared" si="22"/>
        <v>-63962.521499999995</v>
      </c>
      <c r="K107" s="1660"/>
      <c r="L107" s="1658">
        <f t="shared" si="23"/>
        <v>-156579</v>
      </c>
      <c r="M107" s="1659">
        <f t="shared" si="24"/>
        <v>-32881.589999999997</v>
      </c>
      <c r="N107" s="1658">
        <v>-14092.109999999999</v>
      </c>
      <c r="O107" s="1659">
        <f t="shared" si="25"/>
        <v>2959.3430999999996</v>
      </c>
      <c r="P107" s="1659">
        <f t="shared" si="26"/>
        <v>-44014.356899999999</v>
      </c>
      <c r="Q107" s="1659"/>
      <c r="R107" s="1659">
        <f t="shared" si="27"/>
        <v>-19948.164599999996</v>
      </c>
      <c r="S107" s="1660"/>
      <c r="T107" s="1658">
        <v>0</v>
      </c>
      <c r="U107" s="1660"/>
      <c r="V107" s="1658">
        <v>0</v>
      </c>
      <c r="W107" s="1660"/>
      <c r="X107" s="1659">
        <f t="shared" si="28"/>
        <v>-19948.164599999996</v>
      </c>
      <c r="Y107" s="1655"/>
      <c r="Z107" s="1449" t="s">
        <v>1475</v>
      </c>
      <c r="AA107" s="1656"/>
      <c r="AB107" s="1449" t="s">
        <v>22</v>
      </c>
      <c r="AC107" s="1656"/>
      <c r="AD107" s="1657">
        <v>0</v>
      </c>
      <c r="AE107" s="1656"/>
      <c r="AF107" s="1654">
        <f t="shared" si="29"/>
        <v>0</v>
      </c>
      <c r="AG107" s="1008"/>
      <c r="AH107" s="1314">
        <v>283</v>
      </c>
      <c r="AI107" s="1314"/>
    </row>
    <row r="108" spans="2:35">
      <c r="B108" s="1314">
        <v>92</v>
      </c>
      <c r="C108" s="1440" t="s">
        <v>1727</v>
      </c>
      <c r="D108" s="1440" t="s">
        <v>1723</v>
      </c>
      <c r="E108" s="1440" t="s">
        <v>1461</v>
      </c>
      <c r="F108" s="1658">
        <v>24618339.359999999</v>
      </c>
      <c r="G108" s="1659">
        <f t="shared" si="20"/>
        <v>8616418.7759999987</v>
      </c>
      <c r="H108" s="1658">
        <v>2215650.5423999997</v>
      </c>
      <c r="I108" s="1659">
        <f t="shared" si="21"/>
        <v>-775477.68983999989</v>
      </c>
      <c r="J108" s="1659">
        <f t="shared" si="22"/>
        <v>10056591.628559999</v>
      </c>
      <c r="K108" s="1660"/>
      <c r="L108" s="1658">
        <f t="shared" si="23"/>
        <v>24618339.359999999</v>
      </c>
      <c r="M108" s="1659">
        <f t="shared" si="24"/>
        <v>5169851.2655999996</v>
      </c>
      <c r="N108" s="1658">
        <v>2215650.5423999997</v>
      </c>
      <c r="O108" s="1659">
        <f t="shared" si="25"/>
        <v>-465286.61390399991</v>
      </c>
      <c r="P108" s="1659">
        <f t="shared" si="26"/>
        <v>6920215.194095999</v>
      </c>
      <c r="Q108" s="1659"/>
      <c r="R108" s="1659">
        <f t="shared" si="27"/>
        <v>3136376.4344640002</v>
      </c>
      <c r="S108" s="1660"/>
      <c r="T108" s="1658">
        <v>0</v>
      </c>
      <c r="U108" s="1660"/>
      <c r="V108" s="1658">
        <v>0</v>
      </c>
      <c r="W108" s="1660"/>
      <c r="X108" s="1659">
        <f t="shared" si="28"/>
        <v>3136376.4344640002</v>
      </c>
      <c r="Y108" s="1655"/>
      <c r="Z108" s="1449" t="s">
        <v>1475</v>
      </c>
      <c r="AA108" s="1656"/>
      <c r="AB108" s="1449" t="s">
        <v>22</v>
      </c>
      <c r="AC108" s="1656"/>
      <c r="AD108" s="1657">
        <v>0</v>
      </c>
      <c r="AE108" s="1656"/>
      <c r="AF108" s="1654">
        <f t="shared" si="29"/>
        <v>0</v>
      </c>
      <c r="AG108" s="1008"/>
      <c r="AH108" s="1314">
        <v>283</v>
      </c>
      <c r="AI108" s="1314"/>
    </row>
    <row r="109" spans="2:35">
      <c r="B109" s="1314">
        <v>93</v>
      </c>
      <c r="C109" s="1440" t="s">
        <v>1728</v>
      </c>
      <c r="D109" s="1440" t="s">
        <v>1723</v>
      </c>
      <c r="E109" s="1440" t="s">
        <v>1461</v>
      </c>
      <c r="F109" s="1658">
        <v>28268277.120000001</v>
      </c>
      <c r="G109" s="1659">
        <f t="shared" si="20"/>
        <v>9893896.9920000006</v>
      </c>
      <c r="H109" s="1658">
        <v>2544144.9408</v>
      </c>
      <c r="I109" s="1659">
        <f t="shared" si="21"/>
        <v>-890450.72927999997</v>
      </c>
      <c r="J109" s="1659">
        <f t="shared" si="22"/>
        <v>11547591.20352</v>
      </c>
      <c r="K109" s="1660"/>
      <c r="L109" s="1658">
        <f t="shared" si="23"/>
        <v>28268277.120000001</v>
      </c>
      <c r="M109" s="1659">
        <f t="shared" si="24"/>
        <v>5936338.1952</v>
      </c>
      <c r="N109" s="1658">
        <v>2544144.9408</v>
      </c>
      <c r="O109" s="1659">
        <f t="shared" si="25"/>
        <v>-534270.43756799994</v>
      </c>
      <c r="P109" s="1659">
        <f t="shared" si="26"/>
        <v>7946212.6984320004</v>
      </c>
      <c r="Q109" s="1659"/>
      <c r="R109" s="1659">
        <f t="shared" si="27"/>
        <v>3601378.5050879996</v>
      </c>
      <c r="S109" s="1660"/>
      <c r="T109" s="1658">
        <v>0</v>
      </c>
      <c r="U109" s="1660"/>
      <c r="V109" s="1658">
        <v>0</v>
      </c>
      <c r="W109" s="1660"/>
      <c r="X109" s="1659">
        <f t="shared" si="28"/>
        <v>3601378.5050879996</v>
      </c>
      <c r="Y109" s="1655"/>
      <c r="Z109" s="1449" t="s">
        <v>1475</v>
      </c>
      <c r="AA109" s="1656"/>
      <c r="AB109" s="1449" t="s">
        <v>22</v>
      </c>
      <c r="AC109" s="1656"/>
      <c r="AD109" s="1657">
        <v>0</v>
      </c>
      <c r="AE109" s="1656"/>
      <c r="AF109" s="1654">
        <f t="shared" si="29"/>
        <v>0</v>
      </c>
      <c r="AG109" s="1008"/>
      <c r="AH109" s="1314">
        <v>283</v>
      </c>
      <c r="AI109" s="1314"/>
    </row>
    <row r="110" spans="2:35">
      <c r="B110" s="1314">
        <v>94</v>
      </c>
      <c r="C110" s="1440" t="s">
        <v>1493</v>
      </c>
      <c r="D110" s="1440" t="s">
        <v>1723</v>
      </c>
      <c r="E110" s="1440" t="s">
        <v>1461</v>
      </c>
      <c r="F110" s="1658">
        <v>-181590.12</v>
      </c>
      <c r="G110" s="1659">
        <f t="shared" si="20"/>
        <v>-63556.541999999994</v>
      </c>
      <c r="H110" s="1658">
        <v>-16343.110799999999</v>
      </c>
      <c r="I110" s="1659">
        <f t="shared" si="21"/>
        <v>5720.0887799999991</v>
      </c>
      <c r="J110" s="1659">
        <f t="shared" si="22"/>
        <v>-74179.564019999991</v>
      </c>
      <c r="K110" s="1660"/>
      <c r="L110" s="1658">
        <f t="shared" si="23"/>
        <v>-181590.12</v>
      </c>
      <c r="M110" s="1659">
        <f t="shared" si="24"/>
        <v>-38133.925199999998</v>
      </c>
      <c r="N110" s="1658">
        <v>-16343.110799999999</v>
      </c>
      <c r="O110" s="1659">
        <f t="shared" si="25"/>
        <v>3432.0532679999997</v>
      </c>
      <c r="P110" s="1659">
        <f t="shared" si="26"/>
        <v>-51044.982731999989</v>
      </c>
      <c r="Q110" s="1659"/>
      <c r="R110" s="1659">
        <f t="shared" si="27"/>
        <v>-23134.581288000001</v>
      </c>
      <c r="S110" s="1660"/>
      <c r="T110" s="1658">
        <v>0</v>
      </c>
      <c r="U110" s="1660"/>
      <c r="V110" s="1658">
        <v>0</v>
      </c>
      <c r="W110" s="1660"/>
      <c r="X110" s="1659">
        <f t="shared" si="28"/>
        <v>-23134.581288000001</v>
      </c>
      <c r="Y110" s="1655"/>
      <c r="Z110" s="1449" t="s">
        <v>1475</v>
      </c>
      <c r="AA110" s="1656"/>
      <c r="AB110" s="1449" t="s">
        <v>22</v>
      </c>
      <c r="AC110" s="1656"/>
      <c r="AD110" s="1657">
        <v>0</v>
      </c>
      <c r="AE110" s="1656"/>
      <c r="AF110" s="1654">
        <f t="shared" si="29"/>
        <v>0</v>
      </c>
      <c r="AG110" s="1008"/>
      <c r="AH110" s="1314">
        <v>283</v>
      </c>
      <c r="AI110" s="1314"/>
    </row>
    <row r="111" spans="2:35">
      <c r="B111" s="1314">
        <v>95</v>
      </c>
      <c r="C111" s="1440" t="s">
        <v>1729</v>
      </c>
      <c r="D111" s="1440" t="s">
        <v>1723</v>
      </c>
      <c r="E111" s="1440" t="s">
        <v>1461</v>
      </c>
      <c r="F111" s="1658">
        <v>156579</v>
      </c>
      <c r="G111" s="1659">
        <f t="shared" si="20"/>
        <v>54802.649999999994</v>
      </c>
      <c r="H111" s="1658">
        <v>14092.109999999999</v>
      </c>
      <c r="I111" s="1659">
        <f t="shared" si="21"/>
        <v>-4932.2384999999995</v>
      </c>
      <c r="J111" s="1659">
        <f t="shared" si="22"/>
        <v>63962.521499999995</v>
      </c>
      <c r="K111" s="1660"/>
      <c r="L111" s="1658">
        <f t="shared" si="23"/>
        <v>156579</v>
      </c>
      <c r="M111" s="1659">
        <f t="shared" si="24"/>
        <v>32881.589999999997</v>
      </c>
      <c r="N111" s="1658">
        <v>14092.109999999999</v>
      </c>
      <c r="O111" s="1659">
        <f t="shared" si="25"/>
        <v>-2959.3430999999996</v>
      </c>
      <c r="P111" s="1659">
        <f t="shared" si="26"/>
        <v>44014.356899999999</v>
      </c>
      <c r="Q111" s="1659"/>
      <c r="R111" s="1659">
        <f t="shared" si="27"/>
        <v>19948.164599999996</v>
      </c>
      <c r="S111" s="1660"/>
      <c r="T111" s="1658">
        <v>0</v>
      </c>
      <c r="U111" s="1660"/>
      <c r="V111" s="1658">
        <v>0</v>
      </c>
      <c r="W111" s="1660"/>
      <c r="X111" s="1659">
        <f t="shared" si="28"/>
        <v>19948.164599999996</v>
      </c>
      <c r="Y111" s="1655"/>
      <c r="Z111" s="1449" t="s">
        <v>1475</v>
      </c>
      <c r="AA111" s="1656"/>
      <c r="AB111" s="1449" t="s">
        <v>22</v>
      </c>
      <c r="AC111" s="1656"/>
      <c r="AD111" s="1657">
        <v>0</v>
      </c>
      <c r="AE111" s="1656"/>
      <c r="AF111" s="1654">
        <f t="shared" si="29"/>
        <v>0</v>
      </c>
      <c r="AG111" s="1008"/>
      <c r="AH111" s="1314">
        <v>283</v>
      </c>
      <c r="AI111" s="1314"/>
    </row>
    <row r="112" spans="2:35">
      <c r="B112" s="1314">
        <v>96</v>
      </c>
      <c r="C112" s="1440" t="s">
        <v>1730</v>
      </c>
      <c r="D112" s="1440" t="s">
        <v>1723</v>
      </c>
      <c r="E112" s="1440" t="s">
        <v>1461</v>
      </c>
      <c r="F112" s="1658">
        <v>-483907.73</v>
      </c>
      <c r="G112" s="1659">
        <f t="shared" si="20"/>
        <v>-169367.70549999998</v>
      </c>
      <c r="H112" s="1658">
        <v>-43551.695699999997</v>
      </c>
      <c r="I112" s="1659">
        <f t="shared" si="21"/>
        <v>15243.093494999997</v>
      </c>
      <c r="J112" s="1659">
        <f t="shared" si="22"/>
        <v>-197676.30770499996</v>
      </c>
      <c r="K112" s="1660"/>
      <c r="L112" s="1658">
        <f t="shared" si="23"/>
        <v>-483907.73</v>
      </c>
      <c r="M112" s="1659">
        <f t="shared" si="24"/>
        <v>-101620.62329999999</v>
      </c>
      <c r="N112" s="1658">
        <v>-43551.695699999997</v>
      </c>
      <c r="O112" s="1659">
        <f t="shared" si="25"/>
        <v>9145.856096999998</v>
      </c>
      <c r="P112" s="1659">
        <f t="shared" si="26"/>
        <v>-136026.46290299998</v>
      </c>
      <c r="Q112" s="1659"/>
      <c r="R112" s="1659">
        <f t="shared" si="27"/>
        <v>-61649.844801999978</v>
      </c>
      <c r="S112" s="1660"/>
      <c r="T112" s="1658">
        <v>0</v>
      </c>
      <c r="U112" s="1660"/>
      <c r="V112" s="1658">
        <v>0</v>
      </c>
      <c r="W112" s="1660"/>
      <c r="X112" s="1659">
        <f t="shared" si="28"/>
        <v>-61649.844801999978</v>
      </c>
      <c r="Y112" s="1655"/>
      <c r="Z112" s="1449" t="s">
        <v>1475</v>
      </c>
      <c r="AA112" s="1656"/>
      <c r="AB112" s="1449" t="s">
        <v>22</v>
      </c>
      <c r="AC112" s="1656"/>
      <c r="AD112" s="1657">
        <v>0</v>
      </c>
      <c r="AE112" s="1656"/>
      <c r="AF112" s="1654">
        <f t="shared" si="29"/>
        <v>0</v>
      </c>
      <c r="AG112" s="1008"/>
      <c r="AH112" s="1314">
        <v>283</v>
      </c>
      <c r="AI112" s="1314"/>
    </row>
    <row r="113" spans="2:35">
      <c r="B113" s="1314">
        <v>97</v>
      </c>
      <c r="C113" s="1440" t="s">
        <v>1731</v>
      </c>
      <c r="D113" s="1440" t="s">
        <v>1732</v>
      </c>
      <c r="E113" s="1440" t="s">
        <v>1461</v>
      </c>
      <c r="F113" s="1658">
        <v>-634877.64</v>
      </c>
      <c r="G113" s="1659">
        <f t="shared" si="20"/>
        <v>-222207.174</v>
      </c>
      <c r="H113" s="1658">
        <v>-57138.9876</v>
      </c>
      <c r="I113" s="1659">
        <f t="shared" si="21"/>
        <v>19998.645659999998</v>
      </c>
      <c r="J113" s="1659">
        <f t="shared" si="22"/>
        <v>-259347.51593999998</v>
      </c>
      <c r="K113" s="1660"/>
      <c r="L113" s="1658">
        <f t="shared" si="23"/>
        <v>-634877.64</v>
      </c>
      <c r="M113" s="1659">
        <f t="shared" si="24"/>
        <v>-133324.30439999999</v>
      </c>
      <c r="N113" s="1658">
        <v>-57138.9876</v>
      </c>
      <c r="O113" s="1659">
        <f t="shared" si="25"/>
        <v>11999.187395999999</v>
      </c>
      <c r="P113" s="1659">
        <f t="shared" si="26"/>
        <v>-178464.10460399999</v>
      </c>
      <c r="Q113" s="1659"/>
      <c r="R113" s="1659">
        <f t="shared" si="27"/>
        <v>-80883.41133599999</v>
      </c>
      <c r="S113" s="1660"/>
      <c r="T113" s="1658">
        <v>0</v>
      </c>
      <c r="U113" s="1660"/>
      <c r="V113" s="1658">
        <v>0</v>
      </c>
      <c r="W113" s="1660"/>
      <c r="X113" s="1659">
        <f t="shared" si="28"/>
        <v>-80883.41133599999</v>
      </c>
      <c r="Y113" s="1655"/>
      <c r="Z113" s="1449" t="s">
        <v>1475</v>
      </c>
      <c r="AA113" s="1656"/>
      <c r="AB113" s="1449" t="s">
        <v>22</v>
      </c>
      <c r="AC113" s="1656"/>
      <c r="AD113" s="1657">
        <v>0</v>
      </c>
      <c r="AE113" s="1656"/>
      <c r="AF113" s="1654">
        <f t="shared" si="29"/>
        <v>0</v>
      </c>
      <c r="AG113" s="1008"/>
      <c r="AH113" s="1314">
        <v>283</v>
      </c>
      <c r="AI113" s="1314"/>
    </row>
    <row r="114" spans="2:35">
      <c r="B114" s="1314">
        <v>98</v>
      </c>
      <c r="C114" s="1440" t="s">
        <v>1733</v>
      </c>
      <c r="D114" s="1440" t="s">
        <v>1688</v>
      </c>
      <c r="E114" s="1440" t="s">
        <v>1461</v>
      </c>
      <c r="F114" s="1658">
        <v>-5905594.9199999999</v>
      </c>
      <c r="G114" s="1659">
        <f t="shared" si="20"/>
        <v>-2066958.2219999998</v>
      </c>
      <c r="H114" s="1658">
        <v>-531503.54279999994</v>
      </c>
      <c r="I114" s="1659">
        <f t="shared" si="21"/>
        <v>186026.23997999995</v>
      </c>
      <c r="J114" s="1659">
        <f t="shared" si="22"/>
        <v>-2412435.5248199999</v>
      </c>
      <c r="K114" s="1660"/>
      <c r="L114" s="1658">
        <f t="shared" si="23"/>
        <v>-5905594.9199999999</v>
      </c>
      <c r="M114" s="1659">
        <f t="shared" si="24"/>
        <v>-1240174.9331999999</v>
      </c>
      <c r="N114" s="1658">
        <v>-531503.54279999994</v>
      </c>
      <c r="O114" s="1659">
        <f t="shared" si="25"/>
        <v>111615.74398799999</v>
      </c>
      <c r="P114" s="1659">
        <f t="shared" si="26"/>
        <v>-1660062.7320119997</v>
      </c>
      <c r="Q114" s="1659"/>
      <c r="R114" s="1659">
        <f t="shared" si="27"/>
        <v>-752372.79280800023</v>
      </c>
      <c r="S114" s="1660"/>
      <c r="T114" s="1658">
        <v>0</v>
      </c>
      <c r="U114" s="1660"/>
      <c r="V114" s="1658">
        <v>0</v>
      </c>
      <c r="W114" s="1660"/>
      <c r="X114" s="1659">
        <f t="shared" si="28"/>
        <v>-752372.79280800023</v>
      </c>
      <c r="Y114" s="1655"/>
      <c r="Z114" s="1449" t="s">
        <v>1475</v>
      </c>
      <c r="AA114" s="1656"/>
      <c r="AB114" s="1449" t="s">
        <v>22</v>
      </c>
      <c r="AC114" s="1656"/>
      <c r="AD114" s="1657">
        <v>0</v>
      </c>
      <c r="AE114" s="1656"/>
      <c r="AF114" s="1654">
        <f t="shared" si="29"/>
        <v>0</v>
      </c>
      <c r="AG114" s="1008"/>
      <c r="AH114" s="1314">
        <v>283</v>
      </c>
      <c r="AI114" s="1314"/>
    </row>
    <row r="115" spans="2:35">
      <c r="B115" s="1314">
        <v>99</v>
      </c>
      <c r="C115" s="1440" t="s">
        <v>1734</v>
      </c>
      <c r="D115" s="1440" t="s">
        <v>1688</v>
      </c>
      <c r="E115" s="1440" t="s">
        <v>1461</v>
      </c>
      <c r="F115" s="1658">
        <v>-649767.01</v>
      </c>
      <c r="G115" s="1659">
        <f t="shared" si="20"/>
        <v>-227418.4535</v>
      </c>
      <c r="H115" s="1658">
        <v>-58479.030899999998</v>
      </c>
      <c r="I115" s="1659">
        <f t="shared" si="21"/>
        <v>20467.660814999999</v>
      </c>
      <c r="J115" s="1659">
        <f t="shared" si="22"/>
        <v>-265429.82358500001</v>
      </c>
      <c r="K115" s="1660"/>
      <c r="L115" s="1658">
        <f t="shared" si="23"/>
        <v>-649767.01</v>
      </c>
      <c r="M115" s="1659">
        <f t="shared" si="24"/>
        <v>-136451.07209999999</v>
      </c>
      <c r="N115" s="1658">
        <v>-58479.030899999998</v>
      </c>
      <c r="O115" s="1659">
        <f t="shared" si="25"/>
        <v>12280.596489</v>
      </c>
      <c r="P115" s="1659">
        <f t="shared" si="26"/>
        <v>-182649.50651100001</v>
      </c>
      <c r="Q115" s="1659"/>
      <c r="R115" s="1659">
        <f t="shared" si="27"/>
        <v>-82780.317073999991</v>
      </c>
      <c r="S115" s="1660"/>
      <c r="T115" s="1658">
        <v>0</v>
      </c>
      <c r="U115" s="1660"/>
      <c r="V115" s="1658">
        <v>0</v>
      </c>
      <c r="W115" s="1660"/>
      <c r="X115" s="1659">
        <f t="shared" si="28"/>
        <v>-82780.317073999991</v>
      </c>
      <c r="Y115" s="1655"/>
      <c r="Z115" s="1449" t="s">
        <v>1475</v>
      </c>
      <c r="AA115" s="1656"/>
      <c r="AB115" s="1449" t="s">
        <v>22</v>
      </c>
      <c r="AC115" s="1656"/>
      <c r="AD115" s="1657">
        <v>0</v>
      </c>
      <c r="AE115" s="1656"/>
      <c r="AF115" s="1654">
        <f t="shared" si="29"/>
        <v>0</v>
      </c>
      <c r="AG115" s="1008"/>
      <c r="AH115" s="1314">
        <v>283</v>
      </c>
      <c r="AI115" s="1314"/>
    </row>
    <row r="116" spans="2:35">
      <c r="B116" s="1314">
        <v>100</v>
      </c>
      <c r="C116" s="1440" t="s">
        <v>1735</v>
      </c>
      <c r="D116" s="1440" t="s">
        <v>1688</v>
      </c>
      <c r="E116" s="1440" t="s">
        <v>1461</v>
      </c>
      <c r="F116" s="1658">
        <v>-16325388.67</v>
      </c>
      <c r="G116" s="1659">
        <f t="shared" si="20"/>
        <v>-5713886.0345000001</v>
      </c>
      <c r="H116" s="1658">
        <v>-1469284.9802999999</v>
      </c>
      <c r="I116" s="1659">
        <f t="shared" si="21"/>
        <v>514249.74310499994</v>
      </c>
      <c r="J116" s="1659">
        <f t="shared" si="22"/>
        <v>-6668921.2716950001</v>
      </c>
      <c r="K116" s="1660"/>
      <c r="L116" s="1658">
        <f t="shared" si="23"/>
        <v>-16325388.67</v>
      </c>
      <c r="M116" s="1659">
        <f t="shared" si="24"/>
        <v>-3428331.6206999999</v>
      </c>
      <c r="N116" s="1658">
        <v>-1469284.9802999999</v>
      </c>
      <c r="O116" s="1659">
        <f t="shared" si="25"/>
        <v>308549.84586299997</v>
      </c>
      <c r="P116" s="1659">
        <f t="shared" si="26"/>
        <v>-4589066.7551370002</v>
      </c>
      <c r="Q116" s="1659"/>
      <c r="R116" s="1659">
        <f t="shared" si="27"/>
        <v>-2079854.5165579999</v>
      </c>
      <c r="S116" s="1660"/>
      <c r="T116" s="1658">
        <v>0</v>
      </c>
      <c r="U116" s="1660"/>
      <c r="V116" s="1658">
        <v>0</v>
      </c>
      <c r="W116" s="1660"/>
      <c r="X116" s="1659">
        <f t="shared" si="28"/>
        <v>-2079854.5165579999</v>
      </c>
      <c r="Y116" s="1655"/>
      <c r="Z116" s="1449" t="s">
        <v>1475</v>
      </c>
      <c r="AA116" s="1656"/>
      <c r="AB116" s="1449" t="s">
        <v>22</v>
      </c>
      <c r="AC116" s="1656"/>
      <c r="AD116" s="1657">
        <v>0</v>
      </c>
      <c r="AE116" s="1656"/>
      <c r="AF116" s="1654">
        <f t="shared" si="29"/>
        <v>0</v>
      </c>
      <c r="AG116" s="1008"/>
      <c r="AH116" s="1314">
        <v>283</v>
      </c>
      <c r="AI116" s="1314"/>
    </row>
    <row r="117" spans="2:35">
      <c r="B117" s="1314">
        <v>101</v>
      </c>
      <c r="C117" s="1440" t="s">
        <v>1736</v>
      </c>
      <c r="D117" s="1440" t="s">
        <v>1688</v>
      </c>
      <c r="E117" s="1440" t="s">
        <v>1461</v>
      </c>
      <c r="F117" s="1658">
        <v>-9967332.7200000007</v>
      </c>
      <c r="G117" s="1659">
        <f t="shared" si="20"/>
        <v>-3488566.452</v>
      </c>
      <c r="H117" s="1658">
        <v>-897059.94480000006</v>
      </c>
      <c r="I117" s="1659">
        <f t="shared" si="21"/>
        <v>313970.98067999998</v>
      </c>
      <c r="J117" s="1659">
        <f t="shared" si="22"/>
        <v>-4071655.4161200002</v>
      </c>
      <c r="K117" s="1660"/>
      <c r="L117" s="1658">
        <f t="shared" si="23"/>
        <v>-9967332.7200000007</v>
      </c>
      <c r="M117" s="1659">
        <f t="shared" si="24"/>
        <v>-2093139.8712000002</v>
      </c>
      <c r="N117" s="1658">
        <v>-897059.94480000006</v>
      </c>
      <c r="O117" s="1659">
        <f t="shared" si="25"/>
        <v>188382.58840800001</v>
      </c>
      <c r="P117" s="1659">
        <f t="shared" si="26"/>
        <v>-2801817.2275920003</v>
      </c>
      <c r="Q117" s="1659"/>
      <c r="R117" s="1659">
        <f t="shared" si="27"/>
        <v>-1269838.1885279999</v>
      </c>
      <c r="S117" s="1660"/>
      <c r="T117" s="1658">
        <v>0</v>
      </c>
      <c r="U117" s="1660"/>
      <c r="V117" s="1658">
        <v>0</v>
      </c>
      <c r="W117" s="1660"/>
      <c r="X117" s="1659">
        <f t="shared" si="28"/>
        <v>-1269838.1885279999</v>
      </c>
      <c r="Y117" s="1655"/>
      <c r="Z117" s="1449" t="s">
        <v>1475</v>
      </c>
      <c r="AA117" s="1656"/>
      <c r="AB117" s="1449" t="s">
        <v>22</v>
      </c>
      <c r="AC117" s="1656"/>
      <c r="AD117" s="1657">
        <v>0</v>
      </c>
      <c r="AE117" s="1656"/>
      <c r="AF117" s="1654">
        <f t="shared" si="29"/>
        <v>0</v>
      </c>
      <c r="AG117" s="1008"/>
      <c r="AH117" s="1314">
        <v>283</v>
      </c>
      <c r="AI117" s="1314"/>
    </row>
    <row r="118" spans="2:35">
      <c r="B118" s="1314">
        <v>102</v>
      </c>
      <c r="C118" s="1440" t="s">
        <v>1737</v>
      </c>
      <c r="D118" s="1440" t="s">
        <v>1688</v>
      </c>
      <c r="E118" s="1440" t="s">
        <v>1461</v>
      </c>
      <c r="F118" s="1658">
        <v>-34756750</v>
      </c>
      <c r="G118" s="1659">
        <f t="shared" si="20"/>
        <v>-12164862.5</v>
      </c>
      <c r="H118" s="1658">
        <v>-3128107.5</v>
      </c>
      <c r="I118" s="1659">
        <f t="shared" si="21"/>
        <v>1094837.625</v>
      </c>
      <c r="J118" s="1659">
        <f t="shared" si="22"/>
        <v>-14198132.375</v>
      </c>
      <c r="K118" s="1660"/>
      <c r="L118" s="1658">
        <f t="shared" si="23"/>
        <v>-34756750</v>
      </c>
      <c r="M118" s="1659">
        <f t="shared" si="24"/>
        <v>-7298917.5</v>
      </c>
      <c r="N118" s="1658">
        <v>-3128107.5</v>
      </c>
      <c r="O118" s="1659">
        <f t="shared" si="25"/>
        <v>656902.57499999995</v>
      </c>
      <c r="P118" s="1659">
        <f t="shared" si="26"/>
        <v>-9770122.4250000007</v>
      </c>
      <c r="Q118" s="1659"/>
      <c r="R118" s="1659">
        <f t="shared" si="27"/>
        <v>-4428009.9499999993</v>
      </c>
      <c r="S118" s="1660"/>
      <c r="T118" s="1658">
        <v>0</v>
      </c>
      <c r="U118" s="1660"/>
      <c r="V118" s="1658">
        <v>0</v>
      </c>
      <c r="W118" s="1660"/>
      <c r="X118" s="1659">
        <f t="shared" si="28"/>
        <v>-4428009.9499999993</v>
      </c>
      <c r="Y118" s="1655"/>
      <c r="Z118" s="1449" t="s">
        <v>1475</v>
      </c>
      <c r="AA118" s="1656"/>
      <c r="AB118" s="1449" t="s">
        <v>22</v>
      </c>
      <c r="AC118" s="1656"/>
      <c r="AD118" s="1657">
        <v>0</v>
      </c>
      <c r="AE118" s="1656"/>
      <c r="AF118" s="1654">
        <f t="shared" si="29"/>
        <v>0</v>
      </c>
      <c r="AG118" s="1008"/>
      <c r="AH118" s="1314">
        <v>283</v>
      </c>
      <c r="AI118" s="1314"/>
    </row>
    <row r="119" spans="2:35">
      <c r="B119" s="1314">
        <v>103</v>
      </c>
      <c r="C119" s="1440" t="s">
        <v>1738</v>
      </c>
      <c r="D119" s="1440" t="s">
        <v>1688</v>
      </c>
      <c r="E119" s="1440" t="s">
        <v>1461</v>
      </c>
      <c r="F119" s="1658">
        <v>-965000</v>
      </c>
      <c r="G119" s="1659">
        <f t="shared" si="20"/>
        <v>-337750</v>
      </c>
      <c r="H119" s="1658">
        <v>-86850</v>
      </c>
      <c r="I119" s="1659">
        <f t="shared" si="21"/>
        <v>30397.499999999996</v>
      </c>
      <c r="J119" s="1659">
        <f t="shared" si="22"/>
        <v>-394202.5</v>
      </c>
      <c r="K119" s="1660"/>
      <c r="L119" s="1658">
        <f t="shared" si="23"/>
        <v>-965000</v>
      </c>
      <c r="M119" s="1659">
        <f t="shared" si="24"/>
        <v>-202650</v>
      </c>
      <c r="N119" s="1658">
        <v>-86850</v>
      </c>
      <c r="O119" s="1659">
        <f t="shared" si="25"/>
        <v>18238.5</v>
      </c>
      <c r="P119" s="1659">
        <f t="shared" si="26"/>
        <v>-271261.5</v>
      </c>
      <c r="Q119" s="1659"/>
      <c r="R119" s="1659">
        <f t="shared" si="27"/>
        <v>-122941</v>
      </c>
      <c r="S119" s="1660"/>
      <c r="T119" s="1658">
        <v>0</v>
      </c>
      <c r="U119" s="1660"/>
      <c r="V119" s="1658">
        <v>0</v>
      </c>
      <c r="W119" s="1660"/>
      <c r="X119" s="1659">
        <f t="shared" si="28"/>
        <v>-122941</v>
      </c>
      <c r="Y119" s="1655"/>
      <c r="Z119" s="1449" t="s">
        <v>1475</v>
      </c>
      <c r="AA119" s="1656"/>
      <c r="AB119" s="1449" t="s">
        <v>22</v>
      </c>
      <c r="AC119" s="1656"/>
      <c r="AD119" s="1657">
        <v>0</v>
      </c>
      <c r="AE119" s="1656"/>
      <c r="AF119" s="1654">
        <f t="shared" si="29"/>
        <v>0</v>
      </c>
      <c r="AG119" s="1008"/>
      <c r="AH119" s="1314">
        <v>283</v>
      </c>
      <c r="AI119" s="1314"/>
    </row>
    <row r="120" spans="2:35">
      <c r="B120" s="1314">
        <v>104</v>
      </c>
      <c r="C120" s="1440" t="s">
        <v>1739</v>
      </c>
      <c r="D120" s="1440" t="s">
        <v>1688</v>
      </c>
      <c r="E120" s="1440" t="s">
        <v>1461</v>
      </c>
      <c r="F120" s="1658">
        <v>-2026809.5</v>
      </c>
      <c r="G120" s="1659">
        <f t="shared" si="20"/>
        <v>-709383.32499999995</v>
      </c>
      <c r="H120" s="1658">
        <v>-182412.85499999998</v>
      </c>
      <c r="I120" s="1659">
        <f t="shared" si="21"/>
        <v>63844.499249999986</v>
      </c>
      <c r="J120" s="1659">
        <f t="shared" si="22"/>
        <v>-827951.68074999994</v>
      </c>
      <c r="K120" s="1660"/>
      <c r="L120" s="1658">
        <f t="shared" si="23"/>
        <v>-2026809.5</v>
      </c>
      <c r="M120" s="1659">
        <f t="shared" si="24"/>
        <v>-425629.995</v>
      </c>
      <c r="N120" s="1658">
        <v>-182412.85499999998</v>
      </c>
      <c r="O120" s="1659">
        <f t="shared" si="25"/>
        <v>38306.699549999998</v>
      </c>
      <c r="P120" s="1659">
        <f t="shared" si="26"/>
        <v>-569736.15044999996</v>
      </c>
      <c r="Q120" s="1659"/>
      <c r="R120" s="1659">
        <f t="shared" si="27"/>
        <v>-258215.53029999998</v>
      </c>
      <c r="S120" s="1660"/>
      <c r="T120" s="1658">
        <v>0</v>
      </c>
      <c r="U120" s="1660"/>
      <c r="V120" s="1658">
        <v>0</v>
      </c>
      <c r="W120" s="1660"/>
      <c r="X120" s="1659">
        <f t="shared" si="28"/>
        <v>-258215.53029999998</v>
      </c>
      <c r="Y120" s="1655"/>
      <c r="Z120" s="1449" t="s">
        <v>1475</v>
      </c>
      <c r="AA120" s="1656"/>
      <c r="AB120" s="1449" t="s">
        <v>22</v>
      </c>
      <c r="AC120" s="1656"/>
      <c r="AD120" s="1657">
        <v>0</v>
      </c>
      <c r="AE120" s="1656"/>
      <c r="AF120" s="1654">
        <f t="shared" si="29"/>
        <v>0</v>
      </c>
      <c r="AG120" s="1008"/>
      <c r="AH120" s="1314">
        <v>283</v>
      </c>
      <c r="AI120" s="1314"/>
    </row>
    <row r="121" spans="2:35" ht="13">
      <c r="B121" s="1314">
        <v>105</v>
      </c>
      <c r="C121" s="1661" t="s">
        <v>1495</v>
      </c>
      <c r="D121" s="1449"/>
      <c r="E121" s="1449"/>
      <c r="F121" s="1662">
        <f>SUM(F89:F120)</f>
        <v>-226408561.24999994</v>
      </c>
      <c r="G121" s="1662">
        <f>SUM(G89:G120)</f>
        <v>-79242996.43750003</v>
      </c>
      <c r="H121" s="1662">
        <f>SUM(H89:H120)</f>
        <v>-20376770.512500003</v>
      </c>
      <c r="I121" s="1662">
        <f>SUM(I89:I120)</f>
        <v>7131869.6793750003</v>
      </c>
      <c r="J121" s="1662">
        <f>SUM(J89:J120)</f>
        <v>-92487897.27062501</v>
      </c>
      <c r="K121" s="1663"/>
      <c r="L121" s="1662">
        <f>SUM(L89:L120)</f>
        <v>-226408561.24999994</v>
      </c>
      <c r="M121" s="1662">
        <f>SUM(M89:M120)</f>
        <v>-47545797.862500012</v>
      </c>
      <c r="N121" s="1662">
        <f>SUM(N89:N120)</f>
        <v>-20376770.512500003</v>
      </c>
      <c r="O121" s="1662">
        <f>SUM(O89:O120)</f>
        <v>4279121.8076250004</v>
      </c>
      <c r="P121" s="1662">
        <f>SUM(P89:P120)</f>
        <v>-63643446.567374997</v>
      </c>
      <c r="R121" s="1662">
        <f>SUM(R89:R120)</f>
        <v>-28844450.703249998</v>
      </c>
      <c r="S121" s="1663"/>
      <c r="T121" s="1662">
        <f>SUM(T89:T120)</f>
        <v>21881.330925999999</v>
      </c>
      <c r="U121" s="1663"/>
      <c r="V121" s="1662">
        <f>SUM(V89:V120)</f>
        <v>0</v>
      </c>
      <c r="W121" s="1663"/>
      <c r="X121" s="1662">
        <f>SUM(X89:X120)</f>
        <v>-28866332.034175999</v>
      </c>
      <c r="Y121" s="1663"/>
      <c r="Z121" s="1449"/>
      <c r="AA121" s="1664"/>
      <c r="AB121" s="1449"/>
      <c r="AC121" s="1664"/>
      <c r="AD121" s="1664"/>
      <c r="AE121" s="1664"/>
      <c r="AF121" s="1662">
        <f>SUM(AF89:AF120)</f>
        <v>-5013301.6464545364</v>
      </c>
      <c r="AG121" s="1664"/>
      <c r="AH121" s="1314"/>
      <c r="AI121" s="1314"/>
    </row>
    <row r="122" spans="2:35" ht="13">
      <c r="B122" s="1314"/>
      <c r="D122" s="1471"/>
      <c r="F122" s="1666"/>
      <c r="G122" s="1666"/>
      <c r="H122" s="1666"/>
      <c r="I122" s="1666"/>
      <c r="J122" s="1666"/>
      <c r="K122" s="1664"/>
      <c r="P122" s="1666"/>
      <c r="R122" s="1666"/>
      <c r="S122" s="1664"/>
      <c r="T122" s="1666"/>
      <c r="U122" s="1664"/>
      <c r="V122" s="1666"/>
      <c r="W122" s="1664"/>
      <c r="X122" s="1666"/>
      <c r="Y122" s="1664"/>
      <c r="AA122" s="1664"/>
      <c r="AC122" s="1664"/>
      <c r="AD122" s="1664"/>
      <c r="AE122" s="1664"/>
      <c r="AF122" s="1666"/>
      <c r="AG122" s="1664"/>
      <c r="AH122" s="1472"/>
      <c r="AI122" s="1472"/>
    </row>
    <row r="123" spans="2:35" ht="13.5" thickBot="1">
      <c r="B123" s="1314">
        <v>106</v>
      </c>
      <c r="C123" s="1661" t="s">
        <v>1496</v>
      </c>
      <c r="D123" s="1471"/>
      <c r="E123" s="1473"/>
      <c r="F123" s="1667">
        <f>F71+F86+F121</f>
        <v>-2471043864.7441034</v>
      </c>
      <c r="G123" s="1667">
        <f>G71+G86+G121</f>
        <v>-864865352.66043615</v>
      </c>
      <c r="H123" s="1667">
        <f>H71+H86+H121</f>
        <v>-126990125.02997825</v>
      </c>
      <c r="I123" s="1667">
        <f>I71+I86+I121</f>
        <v>44446543.760492377</v>
      </c>
      <c r="J123" s="1667">
        <f>J71+J86+J121</f>
        <v>-947408933.92992198</v>
      </c>
      <c r="K123" s="1664"/>
      <c r="L123" s="1667">
        <f>L71+L86+L121</f>
        <v>-2012270018.9893248</v>
      </c>
      <c r="M123" s="1667">
        <f>M71+M86+M121</f>
        <v>-422576703.9877581</v>
      </c>
      <c r="N123" s="1667">
        <f>N71+N86+N121</f>
        <v>-85700478.912048176</v>
      </c>
      <c r="O123" s="1667">
        <f>O71+O86+O121</f>
        <v>17997100.571530115</v>
      </c>
      <c r="P123" s="1667">
        <f>P71+P86+P121</f>
        <v>-490280082.32827622</v>
      </c>
      <c r="R123" s="1667">
        <f>R71+R86+R121</f>
        <v>-457128851.60164565</v>
      </c>
      <c r="S123" s="1664"/>
      <c r="T123" s="1667">
        <f>T71+T86+T121</f>
        <v>1540024.2883760002</v>
      </c>
      <c r="U123" s="1664"/>
      <c r="V123" s="1667">
        <f>V71+V86+V121</f>
        <v>-145116634.56749693</v>
      </c>
      <c r="W123" s="1664"/>
      <c r="X123" s="1667">
        <f>X71+X86+X121</f>
        <v>-313552241.32252473</v>
      </c>
      <c r="Y123" s="1664"/>
      <c r="Z123" s="1473"/>
      <c r="AA123" s="1664"/>
      <c r="AB123" s="1473"/>
      <c r="AC123" s="1664"/>
      <c r="AD123" s="1664"/>
      <c r="AE123" s="1664"/>
      <c r="AF123" s="1667">
        <f>AF71+AF86+AF121</f>
        <v>-2274013.4256729255</v>
      </c>
      <c r="AG123" s="1664"/>
      <c r="AH123" s="1472"/>
      <c r="AI123" s="1472"/>
    </row>
    <row r="124" spans="2:35" ht="15.75" customHeight="1" thickTop="1">
      <c r="F124" s="1666"/>
      <c r="G124" s="1666"/>
      <c r="H124" s="1666"/>
      <c r="I124" s="1666"/>
    </row>
    <row r="125" spans="2:35">
      <c r="F125" s="1666"/>
      <c r="G125" s="1666"/>
      <c r="H125" s="1666"/>
      <c r="I125" s="1666"/>
      <c r="V125" s="1474" t="s">
        <v>1402</v>
      </c>
      <c r="X125" s="1438">
        <f>SUMIF($E:$E,$V$125,X:X)</f>
        <v>-143678171.31729746</v>
      </c>
      <c r="AF125" s="1438">
        <f>SUMIF($E:$E,$V$125,AF:AF)</f>
        <v>-47844831.048660055</v>
      </c>
    </row>
    <row r="126" spans="2:35" ht="15.75" customHeight="1">
      <c r="B126" s="1473"/>
      <c r="V126" s="1475"/>
      <c r="X126" s="1645"/>
      <c r="AF126" s="1645"/>
    </row>
    <row r="127" spans="2:35">
      <c r="V127" s="1474" t="s">
        <v>1400</v>
      </c>
      <c r="X127" s="1645">
        <f>SUMIF($E:$E,$V$127,X:X)</f>
        <v>-146521319.9572295</v>
      </c>
      <c r="AF127" s="1645">
        <f>SUMIF($E:$E,$V$127,AF:AF)</f>
        <v>-54437931.937298149</v>
      </c>
    </row>
    <row r="128" spans="2:35" ht="15.75" customHeight="1">
      <c r="V128" s="1474" t="s">
        <v>1461</v>
      </c>
      <c r="X128" s="1645">
        <f>SUMIF($E:$E,$V$128,X:X)</f>
        <v>-23352750.047997907</v>
      </c>
      <c r="AF128" s="1645">
        <f>SUMIF($E:$E,$V$128,AF:AF)</f>
        <v>-5844967.5154886637</v>
      </c>
    </row>
    <row r="129" spans="1:35" ht="5.15" customHeight="1">
      <c r="V129" s="1008"/>
      <c r="X129" s="1645"/>
      <c r="AF129" s="1645"/>
    </row>
    <row r="130" spans="1:35" ht="15.75" customHeight="1">
      <c r="V130" s="1476" t="s">
        <v>1497</v>
      </c>
      <c r="X130" s="1668">
        <f>SUM(X127:X129)</f>
        <v>-169874070.00522739</v>
      </c>
      <c r="AF130" s="1668">
        <f>SUM(AF127:AF129)</f>
        <v>-60282899.452786811</v>
      </c>
    </row>
    <row r="131" spans="1:35">
      <c r="V131" s="1475"/>
      <c r="X131" s="1645"/>
      <c r="AF131" s="1645"/>
    </row>
    <row r="132" spans="1:35" ht="15.75" customHeight="1" thickBot="1">
      <c r="B132" s="1477"/>
      <c r="V132" s="1476" t="s">
        <v>1498</v>
      </c>
      <c r="X132" s="1669">
        <f>X125+X130</f>
        <v>-313552241.32252485</v>
      </c>
      <c r="AF132" s="1669">
        <f>AF125+AF130</f>
        <v>-108127730.50144687</v>
      </c>
    </row>
    <row r="133" spans="1:35" ht="15.75" customHeight="1" thickTop="1">
      <c r="B133" s="1477"/>
      <c r="V133" s="1476"/>
      <c r="X133" s="1670"/>
      <c r="AF133" s="1670"/>
    </row>
    <row r="134" spans="1:35" ht="15.75" customHeight="1">
      <c r="A134" s="1346"/>
      <c r="B134" s="916" t="s">
        <v>1419</v>
      </c>
      <c r="C134" s="1346"/>
      <c r="D134" s="1346"/>
      <c r="E134" s="1346"/>
      <c r="F134" s="1346"/>
      <c r="G134" s="1346"/>
      <c r="H134" s="1346"/>
      <c r="I134" s="1346"/>
      <c r="J134" s="1346"/>
      <c r="K134" s="1346"/>
      <c r="L134" s="1346"/>
      <c r="M134" s="1346"/>
      <c r="N134" s="1346"/>
      <c r="O134" s="1346"/>
      <c r="P134" s="1346"/>
      <c r="Q134" s="1346"/>
      <c r="R134" s="1346"/>
      <c r="S134" s="1346"/>
      <c r="T134" s="1346"/>
      <c r="U134" s="1346"/>
      <c r="V134" s="1346"/>
      <c r="W134" s="1346"/>
      <c r="X134" s="1346"/>
      <c r="Y134" s="1346"/>
      <c r="Z134" s="1346"/>
      <c r="AA134" s="1346"/>
      <c r="AB134" s="1346"/>
      <c r="AC134" s="1346"/>
      <c r="AD134" s="1346"/>
      <c r="AE134" s="1346"/>
      <c r="AF134" s="1346"/>
      <c r="AG134" s="1346"/>
      <c r="AH134" s="1346"/>
      <c r="AI134" s="1346"/>
    </row>
    <row r="135" spans="1:35">
      <c r="B135" s="1478"/>
      <c r="C135" s="1478"/>
      <c r="D135" s="1478"/>
      <c r="Z135" s="1464"/>
      <c r="AB135" s="1464"/>
      <c r="AH135" s="1464"/>
      <c r="AI135" s="1464"/>
    </row>
    <row r="136" spans="1:35" ht="15.75" customHeight="1">
      <c r="B136" s="1768" t="s">
        <v>1499</v>
      </c>
      <c r="C136" s="1768"/>
      <c r="D136" s="1768"/>
      <c r="V136" s="1479"/>
      <c r="X136" s="1480"/>
      <c r="AF136" s="1480"/>
      <c r="AH136" s="1464"/>
      <c r="AI136" s="1466"/>
    </row>
    <row r="137" spans="1:35" ht="15.75" customHeight="1">
      <c r="B137" s="1768"/>
      <c r="C137" s="1768"/>
      <c r="D137" s="1768"/>
      <c r="V137" s="1479"/>
      <c r="X137" s="1480"/>
      <c r="AF137" s="1480"/>
      <c r="AH137" s="1464"/>
      <c r="AI137" s="1466"/>
    </row>
    <row r="138" spans="1:35" ht="15.75" customHeight="1">
      <c r="B138" s="1768"/>
      <c r="C138" s="1768"/>
      <c r="D138" s="1768"/>
      <c r="V138" s="1479"/>
      <c r="X138" s="1480"/>
      <c r="AF138" s="1480"/>
      <c r="AH138" s="1464"/>
      <c r="AI138" s="1466"/>
    </row>
    <row r="139" spans="1:35" ht="15.75" customHeight="1">
      <c r="B139" s="1768"/>
      <c r="C139" s="1768"/>
      <c r="D139" s="1768"/>
      <c r="V139" s="1479"/>
      <c r="X139" s="1480"/>
      <c r="AF139" s="1480"/>
      <c r="AH139" s="1464"/>
      <c r="AI139" s="1466"/>
    </row>
    <row r="140" spans="1:35" ht="15.75" customHeight="1">
      <c r="B140" s="1768"/>
      <c r="C140" s="1768"/>
      <c r="D140" s="1768"/>
      <c r="V140" s="1479"/>
      <c r="X140" s="1480"/>
      <c r="AF140" s="1480"/>
      <c r="AH140" s="1464"/>
      <c r="AI140" s="1466"/>
    </row>
    <row r="141" spans="1:35" ht="15.75" customHeight="1">
      <c r="B141" s="1768"/>
      <c r="C141" s="1768"/>
      <c r="D141" s="1768"/>
      <c r="V141" s="1479"/>
      <c r="X141" s="1480"/>
      <c r="AF141" s="1480"/>
      <c r="AH141" s="1464"/>
      <c r="AI141" s="1466"/>
    </row>
    <row r="142" spans="1:35" ht="15.75" customHeight="1">
      <c r="B142" s="1768"/>
      <c r="C142" s="1768"/>
      <c r="D142" s="1768"/>
      <c r="V142" s="1479"/>
      <c r="X142" s="1480"/>
      <c r="AF142" s="1480"/>
      <c r="AH142" s="1464"/>
      <c r="AI142" s="1466"/>
    </row>
    <row r="143" spans="1:35" ht="15.75" customHeight="1">
      <c r="B143" s="1768"/>
      <c r="C143" s="1768"/>
      <c r="D143" s="1768"/>
      <c r="V143" s="1479"/>
      <c r="X143" s="1480"/>
      <c r="AF143" s="1480"/>
      <c r="AH143" s="1464"/>
      <c r="AI143" s="1466"/>
    </row>
    <row r="144" spans="1:35" ht="15.75" customHeight="1">
      <c r="B144" s="1768"/>
      <c r="C144" s="1768"/>
      <c r="D144" s="1768"/>
      <c r="V144" s="1479"/>
      <c r="X144" s="1480"/>
      <c r="AF144" s="1480"/>
      <c r="AH144" s="1464"/>
      <c r="AI144" s="1466"/>
    </row>
    <row r="145" spans="1:35" ht="15.75" customHeight="1">
      <c r="B145" s="1768"/>
      <c r="C145" s="1768"/>
      <c r="D145" s="1768"/>
      <c r="V145" s="1479"/>
      <c r="X145" s="1480"/>
      <c r="AF145" s="1480"/>
      <c r="AH145" s="1464"/>
      <c r="AI145" s="1466"/>
    </row>
    <row r="146" spans="1:35" ht="15.75" customHeight="1">
      <c r="B146" s="1768"/>
      <c r="C146" s="1768"/>
      <c r="D146" s="1768"/>
      <c r="V146" s="1479"/>
      <c r="X146" s="1480"/>
      <c r="AF146" s="1480"/>
      <c r="AH146" s="1464"/>
      <c r="AI146" s="1466"/>
    </row>
    <row r="147" spans="1:35" ht="12.75" customHeight="1">
      <c r="B147" s="1766" t="s">
        <v>1500</v>
      </c>
      <c r="C147" s="1766"/>
      <c r="D147" s="1766"/>
      <c r="E147" s="1481"/>
      <c r="F147" s="1481"/>
      <c r="G147" s="1481"/>
      <c r="H147" s="1481"/>
      <c r="I147" s="1481"/>
      <c r="J147" s="1481"/>
      <c r="K147" s="1481"/>
      <c r="L147" s="1481"/>
      <c r="M147" s="1481"/>
      <c r="N147" s="1481"/>
      <c r="O147" s="1481"/>
      <c r="Z147" s="1464"/>
      <c r="AB147" s="1464"/>
      <c r="AH147" s="1464"/>
      <c r="AI147" s="1464"/>
    </row>
    <row r="148" spans="1:35">
      <c r="B148" s="1766"/>
      <c r="C148" s="1766"/>
      <c r="D148" s="1766"/>
      <c r="E148" s="1481"/>
      <c r="F148" s="1481"/>
      <c r="G148" s="1481"/>
      <c r="H148" s="1481"/>
      <c r="I148" s="1481"/>
      <c r="J148" s="1481"/>
      <c r="K148" s="1481"/>
      <c r="L148" s="1481"/>
      <c r="M148" s="1481"/>
      <c r="N148" s="1481"/>
      <c r="O148" s="1481"/>
    </row>
    <row r="149" spans="1:35">
      <c r="B149" s="1766"/>
      <c r="C149" s="1766"/>
      <c r="D149" s="1766"/>
      <c r="E149" s="1481"/>
      <c r="F149" s="1481"/>
      <c r="G149" s="1481"/>
      <c r="H149" s="1481"/>
      <c r="I149" s="1481"/>
      <c r="J149" s="1481"/>
      <c r="K149" s="1481"/>
      <c r="L149" s="1481"/>
      <c r="M149" s="1481"/>
      <c r="N149" s="1481"/>
      <c r="O149" s="1481"/>
    </row>
    <row r="150" spans="1:35" ht="12.75" customHeight="1">
      <c r="B150" s="1766" t="s">
        <v>1501</v>
      </c>
      <c r="C150" s="1766"/>
      <c r="D150" s="1766"/>
      <c r="E150" s="1481"/>
      <c r="F150" s="1481"/>
      <c r="G150" s="1481"/>
      <c r="H150" s="1481"/>
      <c r="I150" s="1481"/>
      <c r="J150" s="1481"/>
      <c r="K150" s="1481"/>
      <c r="L150" s="1481"/>
      <c r="M150" s="1481"/>
      <c r="N150" s="1481"/>
      <c r="O150" s="1481"/>
    </row>
    <row r="151" spans="1:35">
      <c r="B151" s="1766"/>
      <c r="C151" s="1766"/>
      <c r="D151" s="1766"/>
      <c r="E151" s="1481"/>
      <c r="F151" s="1481"/>
      <c r="G151" s="1481"/>
      <c r="H151" s="1481"/>
      <c r="I151" s="1481"/>
      <c r="J151" s="1481"/>
      <c r="K151" s="1481"/>
      <c r="L151" s="1481"/>
      <c r="M151" s="1481"/>
      <c r="N151" s="1481"/>
      <c r="O151" s="1481"/>
    </row>
    <row r="152" spans="1:35">
      <c r="B152" s="1478"/>
      <c r="C152" s="1478"/>
      <c r="D152" s="1478"/>
    </row>
    <row r="153" spans="1:35" ht="15.75" customHeight="1">
      <c r="A153" s="1346"/>
      <c r="B153" s="1678" t="s">
        <v>925</v>
      </c>
      <c r="C153" s="1346"/>
      <c r="D153" s="1346"/>
      <c r="E153" s="1346"/>
      <c r="F153" s="1346"/>
      <c r="G153" s="1346"/>
      <c r="H153" s="1346"/>
      <c r="I153" s="1346"/>
      <c r="J153" s="1346"/>
      <c r="K153" s="1346"/>
      <c r="L153" s="1346"/>
      <c r="M153" s="1346"/>
      <c r="N153" s="1346"/>
      <c r="O153" s="1346"/>
      <c r="P153" s="1346"/>
      <c r="Q153" s="1346"/>
      <c r="R153" s="1346"/>
      <c r="S153" s="1346"/>
      <c r="T153" s="1346"/>
      <c r="U153" s="1346"/>
      <c r="V153" s="1346"/>
      <c r="W153" s="1346"/>
      <c r="X153" s="1346"/>
      <c r="Y153" s="1346"/>
      <c r="Z153" s="1346"/>
      <c r="AA153" s="1346"/>
      <c r="AB153" s="1346"/>
      <c r="AC153" s="1346"/>
      <c r="AD153" s="1346"/>
      <c r="AE153" s="1346"/>
      <c r="AF153" s="1346"/>
      <c r="AG153" s="1346"/>
      <c r="AH153" s="1346"/>
      <c r="AI153" s="1346"/>
    </row>
    <row r="154" spans="1:35">
      <c r="B154" s="1478"/>
      <c r="C154" s="1478"/>
      <c r="D154" s="1478"/>
    </row>
    <row r="155" spans="1:35" ht="15.75" customHeight="1">
      <c r="B155" s="1482" t="s">
        <v>9</v>
      </c>
      <c r="C155" s="1767" t="s">
        <v>1502</v>
      </c>
      <c r="D155" s="1767"/>
      <c r="X155" s="1483"/>
    </row>
    <row r="156" spans="1:35" ht="15.75" customHeight="1">
      <c r="B156" s="1482"/>
      <c r="C156" s="1767"/>
      <c r="D156" s="1767"/>
      <c r="X156" s="1483"/>
    </row>
    <row r="157" spans="1:35" ht="15.75" customHeight="1">
      <c r="B157" s="1482"/>
      <c r="C157" s="1767"/>
      <c r="D157" s="1767"/>
      <c r="X157" s="1483"/>
    </row>
    <row r="158" spans="1:35">
      <c r="B158" s="1478"/>
      <c r="C158" s="1767"/>
      <c r="D158" s="1767"/>
    </row>
    <row r="159" spans="1:35" ht="15.75" customHeight="1">
      <c r="B159" s="1484" t="s">
        <v>10</v>
      </c>
      <c r="C159" s="1768" t="s">
        <v>1503</v>
      </c>
      <c r="D159" s="1768"/>
    </row>
    <row r="160" spans="1:35">
      <c r="C160" s="1768"/>
      <c r="D160" s="1768"/>
    </row>
    <row r="161" spans="1:162" ht="15.75" customHeight="1">
      <c r="C161" s="1466" t="s">
        <v>86</v>
      </c>
    </row>
    <row r="163" spans="1:162" ht="15.75" customHeight="1">
      <c r="A163" s="1671" t="s">
        <v>489</v>
      </c>
      <c r="B163" s="1671"/>
      <c r="C163" s="1672"/>
      <c r="D163" s="1673"/>
      <c r="E163" s="1673"/>
      <c r="F163" s="1674"/>
      <c r="G163" s="1673"/>
      <c r="H163" s="1673"/>
      <c r="I163" s="1673"/>
      <c r="J163" s="1673"/>
      <c r="K163" s="1673"/>
      <c r="L163" s="1673"/>
      <c r="M163" s="1673"/>
      <c r="N163" s="1673"/>
      <c r="O163" s="1673"/>
      <c r="P163" s="1673"/>
      <c r="Q163" s="1673"/>
      <c r="R163" s="1673"/>
      <c r="S163" s="1673"/>
      <c r="T163" s="1673"/>
      <c r="U163" s="1673"/>
      <c r="V163" s="1673"/>
      <c r="W163" s="1673"/>
      <c r="X163" s="1673"/>
      <c r="Y163" s="1673"/>
      <c r="Z163" s="1673"/>
      <c r="AA163" s="1673"/>
      <c r="AB163" s="1673"/>
      <c r="AC163" s="1673"/>
      <c r="AD163" s="1673"/>
      <c r="AE163" s="1673"/>
      <c r="AF163" s="1673"/>
      <c r="AG163" s="1673"/>
      <c r="AH163" s="1673"/>
      <c r="AI163" s="1673"/>
    </row>
    <row r="165" spans="1:162" ht="15.75" customHeight="1"/>
    <row r="167" spans="1:162" ht="15.75" customHeight="1"/>
    <row r="169" spans="1:162" ht="15.75" customHeight="1"/>
    <row r="171" spans="1:162" s="1466" customFormat="1" ht="15.75" customHeight="1">
      <c r="F171" s="1464"/>
      <c r="G171" s="1464"/>
      <c r="H171" s="1464"/>
      <c r="I171" s="1464"/>
      <c r="J171" s="1464"/>
      <c r="K171" s="1464"/>
      <c r="L171" s="1464"/>
      <c r="M171" s="1464"/>
      <c r="N171" s="1464"/>
      <c r="O171" s="1464"/>
      <c r="P171" s="1464"/>
      <c r="Q171" s="1464"/>
      <c r="R171" s="1464"/>
      <c r="S171" s="1464"/>
      <c r="T171" s="1464"/>
      <c r="U171" s="1464"/>
      <c r="V171" s="1464"/>
      <c r="W171" s="1464"/>
      <c r="X171" s="1464"/>
      <c r="Y171" s="1464"/>
      <c r="AA171" s="1464"/>
      <c r="AC171" s="1464"/>
      <c r="AD171" s="1464"/>
      <c r="AE171" s="1464"/>
      <c r="AF171" s="1464"/>
      <c r="AG171" s="1464"/>
      <c r="AH171" s="1465"/>
      <c r="AI171" s="1465"/>
      <c r="AJ171" s="1464"/>
      <c r="AK171" s="1464"/>
      <c r="AL171" s="1464"/>
      <c r="AM171" s="1464"/>
      <c r="AN171" s="1464"/>
      <c r="AO171" s="1464"/>
      <c r="AP171" s="1464"/>
      <c r="AQ171" s="1464"/>
      <c r="AR171" s="1464"/>
      <c r="AS171" s="1464"/>
      <c r="AT171" s="1464"/>
      <c r="AU171" s="1464"/>
      <c r="AV171" s="1464"/>
      <c r="AW171" s="1464"/>
      <c r="AX171" s="1464"/>
      <c r="AY171" s="1464"/>
      <c r="AZ171" s="1464"/>
      <c r="BA171" s="1464"/>
      <c r="BB171" s="1464"/>
      <c r="BC171" s="1464"/>
      <c r="BD171" s="1464"/>
      <c r="BE171" s="1464"/>
      <c r="BF171" s="1464"/>
      <c r="BG171" s="1464"/>
      <c r="BH171" s="1464"/>
      <c r="BI171" s="1464"/>
      <c r="BJ171" s="1464"/>
      <c r="BK171" s="1464"/>
      <c r="BL171" s="1464"/>
      <c r="BM171" s="1464"/>
      <c r="BN171" s="1464"/>
      <c r="BO171" s="1464"/>
      <c r="BP171" s="1464"/>
      <c r="BQ171" s="1464"/>
      <c r="BR171" s="1464"/>
      <c r="BS171" s="1464"/>
      <c r="BT171" s="1464"/>
      <c r="BU171" s="1464"/>
      <c r="BV171" s="1464"/>
      <c r="BW171" s="1464"/>
      <c r="BX171" s="1464"/>
      <c r="BY171" s="1464"/>
      <c r="BZ171" s="1464"/>
      <c r="CA171" s="1464"/>
      <c r="CB171" s="1464"/>
      <c r="CC171" s="1464"/>
      <c r="CD171" s="1464"/>
      <c r="CE171" s="1464"/>
      <c r="CF171" s="1464"/>
      <c r="CG171" s="1464"/>
      <c r="CH171" s="1464"/>
      <c r="CI171" s="1464"/>
      <c r="CJ171" s="1464"/>
      <c r="CK171" s="1464"/>
      <c r="CL171" s="1464"/>
      <c r="CM171" s="1464"/>
      <c r="CN171" s="1464"/>
      <c r="CO171" s="1464"/>
      <c r="CP171" s="1464"/>
      <c r="CQ171" s="1464"/>
      <c r="CR171" s="1464"/>
      <c r="CS171" s="1464"/>
      <c r="CT171" s="1464"/>
      <c r="CU171" s="1464"/>
      <c r="CV171" s="1464"/>
      <c r="CW171" s="1464"/>
      <c r="CX171" s="1464"/>
      <c r="CY171" s="1464"/>
      <c r="CZ171" s="1464"/>
      <c r="DA171" s="1464"/>
      <c r="DB171" s="1464"/>
      <c r="DC171" s="1464"/>
      <c r="DD171" s="1464"/>
      <c r="DE171" s="1464"/>
      <c r="DF171" s="1464"/>
      <c r="DG171" s="1464"/>
      <c r="DH171" s="1464"/>
      <c r="DI171" s="1464"/>
      <c r="DJ171" s="1464"/>
      <c r="DK171" s="1464"/>
      <c r="DL171" s="1464"/>
      <c r="DM171" s="1464"/>
      <c r="DN171" s="1464"/>
      <c r="DO171" s="1464"/>
      <c r="DP171" s="1464"/>
      <c r="DQ171" s="1464"/>
      <c r="DR171" s="1464"/>
      <c r="DS171" s="1464"/>
      <c r="DT171" s="1464"/>
      <c r="DU171" s="1464"/>
      <c r="DV171" s="1464"/>
      <c r="DW171" s="1464"/>
      <c r="DX171" s="1464"/>
      <c r="DY171" s="1464"/>
      <c r="DZ171" s="1464"/>
      <c r="EA171" s="1464"/>
      <c r="EB171" s="1464"/>
      <c r="EC171" s="1464"/>
      <c r="ED171" s="1464"/>
      <c r="EE171" s="1464"/>
      <c r="EF171" s="1464"/>
      <c r="EG171" s="1464"/>
      <c r="EH171" s="1464"/>
      <c r="EI171" s="1464"/>
      <c r="EJ171" s="1464"/>
      <c r="EK171" s="1464"/>
      <c r="EL171" s="1464"/>
      <c r="EM171" s="1464"/>
      <c r="EN171" s="1464"/>
      <c r="EO171" s="1464"/>
      <c r="EP171" s="1464"/>
      <c r="EQ171" s="1464"/>
      <c r="ER171" s="1464"/>
      <c r="ES171" s="1464"/>
      <c r="ET171" s="1464"/>
      <c r="EU171" s="1464"/>
      <c r="EV171" s="1464"/>
      <c r="EW171" s="1464"/>
      <c r="EX171" s="1464"/>
      <c r="EY171" s="1464"/>
      <c r="EZ171" s="1464"/>
      <c r="FA171" s="1464"/>
      <c r="FB171" s="1464"/>
      <c r="FC171" s="1464"/>
      <c r="FD171" s="1464"/>
      <c r="FE171" s="1464"/>
      <c r="FF171" s="1464"/>
    </row>
    <row r="173" spans="1:162" s="1466" customFormat="1" ht="15.75" customHeight="1">
      <c r="F173" s="1464"/>
      <c r="G173" s="1464"/>
      <c r="H173" s="1464"/>
      <c r="I173" s="1464"/>
      <c r="J173" s="1464"/>
      <c r="K173" s="1464"/>
      <c r="L173" s="1464"/>
      <c r="M173" s="1464"/>
      <c r="N173" s="1464"/>
      <c r="O173" s="1464"/>
      <c r="P173" s="1464"/>
      <c r="Q173" s="1464"/>
      <c r="R173" s="1464"/>
      <c r="S173" s="1464"/>
      <c r="T173" s="1464"/>
      <c r="U173" s="1464"/>
      <c r="V173" s="1464"/>
      <c r="W173" s="1464"/>
      <c r="X173" s="1464"/>
      <c r="Y173" s="1464"/>
      <c r="AA173" s="1464"/>
      <c r="AC173" s="1464"/>
      <c r="AD173" s="1464"/>
      <c r="AE173" s="1464"/>
      <c r="AF173" s="1464"/>
      <c r="AG173" s="1464"/>
      <c r="AH173" s="1465"/>
      <c r="AI173" s="1465"/>
      <c r="AJ173" s="1464"/>
      <c r="AK173" s="1464"/>
      <c r="AL173" s="1464"/>
      <c r="AM173" s="1464"/>
      <c r="AN173" s="1464"/>
      <c r="AO173" s="1464"/>
      <c r="AP173" s="1464"/>
      <c r="AQ173" s="1464"/>
      <c r="AR173" s="1464"/>
      <c r="AS173" s="1464"/>
      <c r="AT173" s="1464"/>
      <c r="AU173" s="1464"/>
      <c r="AV173" s="1464"/>
      <c r="AW173" s="1464"/>
      <c r="AX173" s="1464"/>
      <c r="AY173" s="1464"/>
      <c r="AZ173" s="1464"/>
      <c r="BA173" s="1464"/>
      <c r="BB173" s="1464"/>
      <c r="BC173" s="1464"/>
      <c r="BD173" s="1464"/>
      <c r="BE173" s="1464"/>
      <c r="BF173" s="1464"/>
      <c r="BG173" s="1464"/>
      <c r="BH173" s="1464"/>
      <c r="BI173" s="1464"/>
      <c r="BJ173" s="1464"/>
      <c r="BK173" s="1464"/>
      <c r="BL173" s="1464"/>
      <c r="BM173" s="1464"/>
      <c r="BN173" s="1464"/>
      <c r="BO173" s="1464"/>
      <c r="BP173" s="1464"/>
      <c r="BQ173" s="1464"/>
      <c r="BR173" s="1464"/>
      <c r="BS173" s="1464"/>
      <c r="BT173" s="1464"/>
      <c r="BU173" s="1464"/>
      <c r="BV173" s="1464"/>
      <c r="BW173" s="1464"/>
      <c r="BX173" s="1464"/>
      <c r="BY173" s="1464"/>
      <c r="BZ173" s="1464"/>
      <c r="CA173" s="1464"/>
      <c r="CB173" s="1464"/>
      <c r="CC173" s="1464"/>
      <c r="CD173" s="1464"/>
      <c r="CE173" s="1464"/>
      <c r="CF173" s="1464"/>
      <c r="CG173" s="1464"/>
      <c r="CH173" s="1464"/>
      <c r="CI173" s="1464"/>
      <c r="CJ173" s="1464"/>
      <c r="CK173" s="1464"/>
      <c r="CL173" s="1464"/>
      <c r="CM173" s="1464"/>
      <c r="CN173" s="1464"/>
      <c r="CO173" s="1464"/>
      <c r="CP173" s="1464"/>
      <c r="CQ173" s="1464"/>
      <c r="CR173" s="1464"/>
      <c r="CS173" s="1464"/>
      <c r="CT173" s="1464"/>
      <c r="CU173" s="1464"/>
      <c r="CV173" s="1464"/>
      <c r="CW173" s="1464"/>
      <c r="CX173" s="1464"/>
      <c r="CY173" s="1464"/>
      <c r="CZ173" s="1464"/>
      <c r="DA173" s="1464"/>
      <c r="DB173" s="1464"/>
      <c r="DC173" s="1464"/>
      <c r="DD173" s="1464"/>
      <c r="DE173" s="1464"/>
      <c r="DF173" s="1464"/>
      <c r="DG173" s="1464"/>
      <c r="DH173" s="1464"/>
      <c r="DI173" s="1464"/>
      <c r="DJ173" s="1464"/>
      <c r="DK173" s="1464"/>
      <c r="DL173" s="1464"/>
      <c r="DM173" s="1464"/>
      <c r="DN173" s="1464"/>
      <c r="DO173" s="1464"/>
      <c r="DP173" s="1464"/>
      <c r="DQ173" s="1464"/>
      <c r="DR173" s="1464"/>
      <c r="DS173" s="1464"/>
      <c r="DT173" s="1464"/>
      <c r="DU173" s="1464"/>
      <c r="DV173" s="1464"/>
      <c r="DW173" s="1464"/>
      <c r="DX173" s="1464"/>
      <c r="DY173" s="1464"/>
      <c r="DZ173" s="1464"/>
      <c r="EA173" s="1464"/>
      <c r="EB173" s="1464"/>
      <c r="EC173" s="1464"/>
      <c r="ED173" s="1464"/>
      <c r="EE173" s="1464"/>
      <c r="EF173" s="1464"/>
      <c r="EG173" s="1464"/>
      <c r="EH173" s="1464"/>
      <c r="EI173" s="1464"/>
      <c r="EJ173" s="1464"/>
      <c r="EK173" s="1464"/>
      <c r="EL173" s="1464"/>
      <c r="EM173" s="1464"/>
      <c r="EN173" s="1464"/>
      <c r="EO173" s="1464"/>
      <c r="EP173" s="1464"/>
      <c r="EQ173" s="1464"/>
      <c r="ER173" s="1464"/>
      <c r="ES173" s="1464"/>
      <c r="ET173" s="1464"/>
      <c r="EU173" s="1464"/>
      <c r="EV173" s="1464"/>
      <c r="EW173" s="1464"/>
      <c r="EX173" s="1464"/>
      <c r="EY173" s="1464"/>
      <c r="EZ173" s="1464"/>
      <c r="FA173" s="1464"/>
      <c r="FB173" s="1464"/>
      <c r="FC173" s="1464"/>
      <c r="FD173" s="1464"/>
      <c r="FE173" s="1464"/>
      <c r="FF173" s="1464"/>
    </row>
    <row r="175" spans="1:162" s="1466" customFormat="1" ht="15.75" customHeight="1">
      <c r="F175" s="1464"/>
      <c r="G175" s="1464"/>
      <c r="H175" s="1464"/>
      <c r="I175" s="1464"/>
      <c r="J175" s="1464"/>
      <c r="K175" s="1464"/>
      <c r="L175" s="1464"/>
      <c r="M175" s="1464"/>
      <c r="N175" s="1464"/>
      <c r="O175" s="1464"/>
      <c r="P175" s="1464"/>
      <c r="Q175" s="1464"/>
      <c r="R175" s="1464"/>
      <c r="S175" s="1464"/>
      <c r="T175" s="1464"/>
      <c r="U175" s="1464"/>
      <c r="V175" s="1464"/>
      <c r="W175" s="1464"/>
      <c r="X175" s="1464"/>
      <c r="Y175" s="1464"/>
      <c r="AA175" s="1464"/>
      <c r="AC175" s="1464"/>
      <c r="AD175" s="1464"/>
      <c r="AE175" s="1464"/>
      <c r="AF175" s="1464"/>
      <c r="AG175" s="1464"/>
      <c r="AH175" s="1465"/>
      <c r="AI175" s="1465"/>
      <c r="AJ175" s="1464"/>
      <c r="AK175" s="1464"/>
      <c r="AL175" s="1464"/>
      <c r="AM175" s="1464"/>
      <c r="AN175" s="1464"/>
      <c r="AO175" s="1464"/>
      <c r="AP175" s="1464"/>
      <c r="AQ175" s="1464"/>
      <c r="AR175" s="1464"/>
      <c r="AS175" s="1464"/>
      <c r="AT175" s="1464"/>
      <c r="AU175" s="1464"/>
      <c r="AV175" s="1464"/>
      <c r="AW175" s="1464"/>
      <c r="AX175" s="1464"/>
      <c r="AY175" s="1464"/>
      <c r="AZ175" s="1464"/>
      <c r="BA175" s="1464"/>
      <c r="BB175" s="1464"/>
      <c r="BC175" s="1464"/>
      <c r="BD175" s="1464"/>
      <c r="BE175" s="1464"/>
      <c r="BF175" s="1464"/>
      <c r="BG175" s="1464"/>
      <c r="BH175" s="1464"/>
      <c r="BI175" s="1464"/>
      <c r="BJ175" s="1464"/>
      <c r="BK175" s="1464"/>
      <c r="BL175" s="1464"/>
      <c r="BM175" s="1464"/>
      <c r="BN175" s="1464"/>
      <c r="BO175" s="1464"/>
      <c r="BP175" s="1464"/>
      <c r="BQ175" s="1464"/>
      <c r="BR175" s="1464"/>
      <c r="BS175" s="1464"/>
      <c r="BT175" s="1464"/>
      <c r="BU175" s="1464"/>
      <c r="BV175" s="1464"/>
      <c r="BW175" s="1464"/>
      <c r="BX175" s="1464"/>
      <c r="BY175" s="1464"/>
      <c r="BZ175" s="1464"/>
      <c r="CA175" s="1464"/>
      <c r="CB175" s="1464"/>
      <c r="CC175" s="1464"/>
      <c r="CD175" s="1464"/>
      <c r="CE175" s="1464"/>
      <c r="CF175" s="1464"/>
      <c r="CG175" s="1464"/>
      <c r="CH175" s="1464"/>
      <c r="CI175" s="1464"/>
      <c r="CJ175" s="1464"/>
      <c r="CK175" s="1464"/>
      <c r="CL175" s="1464"/>
      <c r="CM175" s="1464"/>
      <c r="CN175" s="1464"/>
      <c r="CO175" s="1464"/>
      <c r="CP175" s="1464"/>
      <c r="CQ175" s="1464"/>
      <c r="CR175" s="1464"/>
      <c r="CS175" s="1464"/>
      <c r="CT175" s="1464"/>
      <c r="CU175" s="1464"/>
      <c r="CV175" s="1464"/>
      <c r="CW175" s="1464"/>
      <c r="CX175" s="1464"/>
      <c r="CY175" s="1464"/>
      <c r="CZ175" s="1464"/>
      <c r="DA175" s="1464"/>
      <c r="DB175" s="1464"/>
      <c r="DC175" s="1464"/>
      <c r="DD175" s="1464"/>
      <c r="DE175" s="1464"/>
      <c r="DF175" s="1464"/>
      <c r="DG175" s="1464"/>
      <c r="DH175" s="1464"/>
      <c r="DI175" s="1464"/>
      <c r="DJ175" s="1464"/>
      <c r="DK175" s="1464"/>
      <c r="DL175" s="1464"/>
      <c r="DM175" s="1464"/>
      <c r="DN175" s="1464"/>
      <c r="DO175" s="1464"/>
      <c r="DP175" s="1464"/>
      <c r="DQ175" s="1464"/>
      <c r="DR175" s="1464"/>
      <c r="DS175" s="1464"/>
      <c r="DT175" s="1464"/>
      <c r="DU175" s="1464"/>
      <c r="DV175" s="1464"/>
      <c r="DW175" s="1464"/>
      <c r="DX175" s="1464"/>
      <c r="DY175" s="1464"/>
      <c r="DZ175" s="1464"/>
      <c r="EA175" s="1464"/>
      <c r="EB175" s="1464"/>
      <c r="EC175" s="1464"/>
      <c r="ED175" s="1464"/>
      <c r="EE175" s="1464"/>
      <c r="EF175" s="1464"/>
      <c r="EG175" s="1464"/>
      <c r="EH175" s="1464"/>
      <c r="EI175" s="1464"/>
      <c r="EJ175" s="1464"/>
      <c r="EK175" s="1464"/>
      <c r="EL175" s="1464"/>
      <c r="EM175" s="1464"/>
      <c r="EN175" s="1464"/>
      <c r="EO175" s="1464"/>
      <c r="EP175" s="1464"/>
      <c r="EQ175" s="1464"/>
      <c r="ER175" s="1464"/>
      <c r="ES175" s="1464"/>
      <c r="ET175" s="1464"/>
      <c r="EU175" s="1464"/>
      <c r="EV175" s="1464"/>
      <c r="EW175" s="1464"/>
      <c r="EX175" s="1464"/>
      <c r="EY175" s="1464"/>
      <c r="EZ175" s="1464"/>
      <c r="FA175" s="1464"/>
      <c r="FB175" s="1464"/>
      <c r="FC175" s="1464"/>
      <c r="FD175" s="1464"/>
      <c r="FE175" s="1464"/>
      <c r="FF175" s="1464"/>
    </row>
    <row r="177" spans="6:162" s="1466" customFormat="1" ht="15.75" customHeight="1">
      <c r="F177" s="1464"/>
      <c r="G177" s="1464"/>
      <c r="H177" s="1464"/>
      <c r="I177" s="1464"/>
      <c r="J177" s="1464"/>
      <c r="K177" s="1464"/>
      <c r="L177" s="1464"/>
      <c r="M177" s="1464"/>
      <c r="N177" s="1464"/>
      <c r="O177" s="1464"/>
      <c r="P177" s="1464"/>
      <c r="Q177" s="1464"/>
      <c r="R177" s="1464"/>
      <c r="S177" s="1464"/>
      <c r="T177" s="1464"/>
      <c r="U177" s="1464"/>
      <c r="V177" s="1464"/>
      <c r="W177" s="1464"/>
      <c r="X177" s="1464"/>
      <c r="Y177" s="1464"/>
      <c r="AA177" s="1464"/>
      <c r="AC177" s="1464"/>
      <c r="AD177" s="1464"/>
      <c r="AE177" s="1464"/>
      <c r="AF177" s="1464"/>
      <c r="AG177" s="1464"/>
      <c r="AH177" s="1465"/>
      <c r="AI177" s="1465"/>
      <c r="AJ177" s="1464"/>
      <c r="AK177" s="1464"/>
      <c r="AL177" s="1464"/>
      <c r="AM177" s="1464"/>
      <c r="AN177" s="1464"/>
      <c r="AO177" s="1464"/>
      <c r="AP177" s="1464"/>
      <c r="AQ177" s="1464"/>
      <c r="AR177" s="1464"/>
      <c r="AS177" s="1464"/>
      <c r="AT177" s="1464"/>
      <c r="AU177" s="1464"/>
      <c r="AV177" s="1464"/>
      <c r="AW177" s="1464"/>
      <c r="AX177" s="1464"/>
      <c r="AY177" s="1464"/>
      <c r="AZ177" s="1464"/>
      <c r="BA177" s="1464"/>
      <c r="BB177" s="1464"/>
      <c r="BC177" s="1464"/>
      <c r="BD177" s="1464"/>
      <c r="BE177" s="1464"/>
      <c r="BF177" s="1464"/>
      <c r="BG177" s="1464"/>
      <c r="BH177" s="1464"/>
      <c r="BI177" s="1464"/>
      <c r="BJ177" s="1464"/>
      <c r="BK177" s="1464"/>
      <c r="BL177" s="1464"/>
      <c r="BM177" s="1464"/>
      <c r="BN177" s="1464"/>
      <c r="BO177" s="1464"/>
      <c r="BP177" s="1464"/>
      <c r="BQ177" s="1464"/>
      <c r="BR177" s="1464"/>
      <c r="BS177" s="1464"/>
      <c r="BT177" s="1464"/>
      <c r="BU177" s="1464"/>
      <c r="BV177" s="1464"/>
      <c r="BW177" s="1464"/>
      <c r="BX177" s="1464"/>
      <c r="BY177" s="1464"/>
      <c r="BZ177" s="1464"/>
      <c r="CA177" s="1464"/>
      <c r="CB177" s="1464"/>
      <c r="CC177" s="1464"/>
      <c r="CD177" s="1464"/>
      <c r="CE177" s="1464"/>
      <c r="CF177" s="1464"/>
      <c r="CG177" s="1464"/>
      <c r="CH177" s="1464"/>
      <c r="CI177" s="1464"/>
      <c r="CJ177" s="1464"/>
      <c r="CK177" s="1464"/>
      <c r="CL177" s="1464"/>
      <c r="CM177" s="1464"/>
      <c r="CN177" s="1464"/>
      <c r="CO177" s="1464"/>
      <c r="CP177" s="1464"/>
      <c r="CQ177" s="1464"/>
      <c r="CR177" s="1464"/>
      <c r="CS177" s="1464"/>
      <c r="CT177" s="1464"/>
      <c r="CU177" s="1464"/>
      <c r="CV177" s="1464"/>
      <c r="CW177" s="1464"/>
      <c r="CX177" s="1464"/>
      <c r="CY177" s="1464"/>
      <c r="CZ177" s="1464"/>
      <c r="DA177" s="1464"/>
      <c r="DB177" s="1464"/>
      <c r="DC177" s="1464"/>
      <c r="DD177" s="1464"/>
      <c r="DE177" s="1464"/>
      <c r="DF177" s="1464"/>
      <c r="DG177" s="1464"/>
      <c r="DH177" s="1464"/>
      <c r="DI177" s="1464"/>
      <c r="DJ177" s="1464"/>
      <c r="DK177" s="1464"/>
      <c r="DL177" s="1464"/>
      <c r="DM177" s="1464"/>
      <c r="DN177" s="1464"/>
      <c r="DO177" s="1464"/>
      <c r="DP177" s="1464"/>
      <c r="DQ177" s="1464"/>
      <c r="DR177" s="1464"/>
      <c r="DS177" s="1464"/>
      <c r="DT177" s="1464"/>
      <c r="DU177" s="1464"/>
      <c r="DV177" s="1464"/>
      <c r="DW177" s="1464"/>
      <c r="DX177" s="1464"/>
      <c r="DY177" s="1464"/>
      <c r="DZ177" s="1464"/>
      <c r="EA177" s="1464"/>
      <c r="EB177" s="1464"/>
      <c r="EC177" s="1464"/>
      <c r="ED177" s="1464"/>
      <c r="EE177" s="1464"/>
      <c r="EF177" s="1464"/>
      <c r="EG177" s="1464"/>
      <c r="EH177" s="1464"/>
      <c r="EI177" s="1464"/>
      <c r="EJ177" s="1464"/>
      <c r="EK177" s="1464"/>
      <c r="EL177" s="1464"/>
      <c r="EM177" s="1464"/>
      <c r="EN177" s="1464"/>
      <c r="EO177" s="1464"/>
      <c r="EP177" s="1464"/>
      <c r="EQ177" s="1464"/>
      <c r="ER177" s="1464"/>
      <c r="ES177" s="1464"/>
      <c r="ET177" s="1464"/>
      <c r="EU177" s="1464"/>
      <c r="EV177" s="1464"/>
      <c r="EW177" s="1464"/>
      <c r="EX177" s="1464"/>
      <c r="EY177" s="1464"/>
      <c r="EZ177" s="1464"/>
      <c r="FA177" s="1464"/>
      <c r="FB177" s="1464"/>
      <c r="FC177" s="1464"/>
      <c r="FD177" s="1464"/>
      <c r="FE177" s="1464"/>
      <c r="FF177" s="1464"/>
    </row>
    <row r="179" spans="6:162" s="1466" customFormat="1" ht="15.75" customHeight="1">
      <c r="F179" s="1464"/>
      <c r="G179" s="1464"/>
      <c r="H179" s="1464"/>
      <c r="I179" s="1464"/>
      <c r="J179" s="1464"/>
      <c r="K179" s="1464"/>
      <c r="L179" s="1464"/>
      <c r="M179" s="1464"/>
      <c r="N179" s="1464"/>
      <c r="O179" s="1464"/>
      <c r="P179" s="1464"/>
      <c r="Q179" s="1464"/>
      <c r="R179" s="1464"/>
      <c r="S179" s="1464"/>
      <c r="T179" s="1464"/>
      <c r="U179" s="1464"/>
      <c r="V179" s="1464"/>
      <c r="W179" s="1464"/>
      <c r="X179" s="1464"/>
      <c r="Y179" s="1464"/>
      <c r="AA179" s="1464"/>
      <c r="AC179" s="1464"/>
      <c r="AD179" s="1464"/>
      <c r="AE179" s="1464"/>
      <c r="AF179" s="1464"/>
      <c r="AG179" s="1464"/>
      <c r="AH179" s="1465"/>
      <c r="AI179" s="1465"/>
      <c r="AJ179" s="1464"/>
      <c r="AK179" s="1464"/>
      <c r="AL179" s="1464"/>
      <c r="AM179" s="1464"/>
      <c r="AN179" s="1464"/>
      <c r="AO179" s="1464"/>
      <c r="AP179" s="1464"/>
      <c r="AQ179" s="1464"/>
      <c r="AR179" s="1464"/>
      <c r="AS179" s="1464"/>
      <c r="AT179" s="1464"/>
      <c r="AU179" s="1464"/>
      <c r="AV179" s="1464"/>
      <c r="AW179" s="1464"/>
      <c r="AX179" s="1464"/>
      <c r="AY179" s="1464"/>
      <c r="AZ179" s="1464"/>
      <c r="BA179" s="1464"/>
      <c r="BB179" s="1464"/>
      <c r="BC179" s="1464"/>
      <c r="BD179" s="1464"/>
      <c r="BE179" s="1464"/>
      <c r="BF179" s="1464"/>
      <c r="BG179" s="1464"/>
      <c r="BH179" s="1464"/>
      <c r="BI179" s="1464"/>
      <c r="BJ179" s="1464"/>
      <c r="BK179" s="1464"/>
      <c r="BL179" s="1464"/>
      <c r="BM179" s="1464"/>
      <c r="BN179" s="1464"/>
      <c r="BO179" s="1464"/>
      <c r="BP179" s="1464"/>
      <c r="BQ179" s="1464"/>
      <c r="BR179" s="1464"/>
      <c r="BS179" s="1464"/>
      <c r="BT179" s="1464"/>
      <c r="BU179" s="1464"/>
      <c r="BV179" s="1464"/>
      <c r="BW179" s="1464"/>
      <c r="BX179" s="1464"/>
      <c r="BY179" s="1464"/>
      <c r="BZ179" s="1464"/>
      <c r="CA179" s="1464"/>
      <c r="CB179" s="1464"/>
      <c r="CC179" s="1464"/>
      <c r="CD179" s="1464"/>
      <c r="CE179" s="1464"/>
      <c r="CF179" s="1464"/>
      <c r="CG179" s="1464"/>
      <c r="CH179" s="1464"/>
      <c r="CI179" s="1464"/>
      <c r="CJ179" s="1464"/>
      <c r="CK179" s="1464"/>
      <c r="CL179" s="1464"/>
      <c r="CM179" s="1464"/>
      <c r="CN179" s="1464"/>
      <c r="CO179" s="1464"/>
      <c r="CP179" s="1464"/>
      <c r="CQ179" s="1464"/>
      <c r="CR179" s="1464"/>
      <c r="CS179" s="1464"/>
      <c r="CT179" s="1464"/>
      <c r="CU179" s="1464"/>
      <c r="CV179" s="1464"/>
      <c r="CW179" s="1464"/>
      <c r="CX179" s="1464"/>
      <c r="CY179" s="1464"/>
      <c r="CZ179" s="1464"/>
      <c r="DA179" s="1464"/>
      <c r="DB179" s="1464"/>
      <c r="DC179" s="1464"/>
      <c r="DD179" s="1464"/>
      <c r="DE179" s="1464"/>
      <c r="DF179" s="1464"/>
      <c r="DG179" s="1464"/>
      <c r="DH179" s="1464"/>
      <c r="DI179" s="1464"/>
      <c r="DJ179" s="1464"/>
      <c r="DK179" s="1464"/>
      <c r="DL179" s="1464"/>
      <c r="DM179" s="1464"/>
      <c r="DN179" s="1464"/>
      <c r="DO179" s="1464"/>
      <c r="DP179" s="1464"/>
      <c r="DQ179" s="1464"/>
      <c r="DR179" s="1464"/>
      <c r="DS179" s="1464"/>
      <c r="DT179" s="1464"/>
      <c r="DU179" s="1464"/>
      <c r="DV179" s="1464"/>
      <c r="DW179" s="1464"/>
      <c r="DX179" s="1464"/>
      <c r="DY179" s="1464"/>
      <c r="DZ179" s="1464"/>
      <c r="EA179" s="1464"/>
      <c r="EB179" s="1464"/>
      <c r="EC179" s="1464"/>
      <c r="ED179" s="1464"/>
      <c r="EE179" s="1464"/>
      <c r="EF179" s="1464"/>
      <c r="EG179" s="1464"/>
      <c r="EH179" s="1464"/>
      <c r="EI179" s="1464"/>
      <c r="EJ179" s="1464"/>
      <c r="EK179" s="1464"/>
      <c r="EL179" s="1464"/>
      <c r="EM179" s="1464"/>
      <c r="EN179" s="1464"/>
      <c r="EO179" s="1464"/>
      <c r="EP179" s="1464"/>
      <c r="EQ179" s="1464"/>
      <c r="ER179" s="1464"/>
      <c r="ES179" s="1464"/>
      <c r="ET179" s="1464"/>
      <c r="EU179" s="1464"/>
      <c r="EV179" s="1464"/>
      <c r="EW179" s="1464"/>
      <c r="EX179" s="1464"/>
      <c r="EY179" s="1464"/>
      <c r="EZ179" s="1464"/>
      <c r="FA179" s="1464"/>
      <c r="FB179" s="1464"/>
      <c r="FC179" s="1464"/>
      <c r="FD179" s="1464"/>
      <c r="FE179" s="1464"/>
      <c r="FF179" s="1464"/>
    </row>
    <row r="181" spans="6:162" s="1466" customFormat="1" ht="15.75" customHeight="1">
      <c r="F181" s="1464"/>
      <c r="G181" s="1464"/>
      <c r="H181" s="1464"/>
      <c r="I181" s="1464"/>
      <c r="J181" s="1464"/>
      <c r="K181" s="1464"/>
      <c r="L181" s="1464"/>
      <c r="M181" s="1464"/>
      <c r="N181" s="1464"/>
      <c r="O181" s="1464"/>
      <c r="P181" s="1464"/>
      <c r="Q181" s="1464"/>
      <c r="R181" s="1464"/>
      <c r="S181" s="1464"/>
      <c r="T181" s="1464"/>
      <c r="U181" s="1464"/>
      <c r="V181" s="1464"/>
      <c r="W181" s="1464"/>
      <c r="X181" s="1464"/>
      <c r="Y181" s="1464"/>
      <c r="AA181" s="1464"/>
      <c r="AC181" s="1464"/>
      <c r="AD181" s="1464"/>
      <c r="AE181" s="1464"/>
      <c r="AF181" s="1464"/>
      <c r="AG181" s="1464"/>
      <c r="AH181" s="1465"/>
      <c r="AI181" s="1465"/>
      <c r="AJ181" s="1464"/>
      <c r="AK181" s="1464"/>
      <c r="AL181" s="1464"/>
      <c r="AM181" s="1464"/>
      <c r="AN181" s="1464"/>
      <c r="AO181" s="1464"/>
      <c r="AP181" s="1464"/>
      <c r="AQ181" s="1464"/>
      <c r="AR181" s="1464"/>
      <c r="AS181" s="1464"/>
      <c r="AT181" s="1464"/>
      <c r="AU181" s="1464"/>
      <c r="AV181" s="1464"/>
      <c r="AW181" s="1464"/>
      <c r="AX181" s="1464"/>
      <c r="AY181" s="1464"/>
      <c r="AZ181" s="1464"/>
      <c r="BA181" s="1464"/>
      <c r="BB181" s="1464"/>
      <c r="BC181" s="1464"/>
      <c r="BD181" s="1464"/>
      <c r="BE181" s="1464"/>
      <c r="BF181" s="1464"/>
      <c r="BG181" s="1464"/>
      <c r="BH181" s="1464"/>
      <c r="BI181" s="1464"/>
      <c r="BJ181" s="1464"/>
      <c r="BK181" s="1464"/>
      <c r="BL181" s="1464"/>
      <c r="BM181" s="1464"/>
      <c r="BN181" s="1464"/>
      <c r="BO181" s="1464"/>
      <c r="BP181" s="1464"/>
      <c r="BQ181" s="1464"/>
      <c r="BR181" s="1464"/>
      <c r="BS181" s="1464"/>
      <c r="BT181" s="1464"/>
      <c r="BU181" s="1464"/>
      <c r="BV181" s="1464"/>
      <c r="BW181" s="1464"/>
      <c r="BX181" s="1464"/>
      <c r="BY181" s="1464"/>
      <c r="BZ181" s="1464"/>
      <c r="CA181" s="1464"/>
      <c r="CB181" s="1464"/>
      <c r="CC181" s="1464"/>
      <c r="CD181" s="1464"/>
      <c r="CE181" s="1464"/>
      <c r="CF181" s="1464"/>
      <c r="CG181" s="1464"/>
      <c r="CH181" s="1464"/>
      <c r="CI181" s="1464"/>
      <c r="CJ181" s="1464"/>
      <c r="CK181" s="1464"/>
      <c r="CL181" s="1464"/>
      <c r="CM181" s="1464"/>
      <c r="CN181" s="1464"/>
      <c r="CO181" s="1464"/>
      <c r="CP181" s="1464"/>
      <c r="CQ181" s="1464"/>
      <c r="CR181" s="1464"/>
      <c r="CS181" s="1464"/>
      <c r="CT181" s="1464"/>
      <c r="CU181" s="1464"/>
      <c r="CV181" s="1464"/>
      <c r="CW181" s="1464"/>
      <c r="CX181" s="1464"/>
      <c r="CY181" s="1464"/>
      <c r="CZ181" s="1464"/>
      <c r="DA181" s="1464"/>
      <c r="DB181" s="1464"/>
      <c r="DC181" s="1464"/>
      <c r="DD181" s="1464"/>
      <c r="DE181" s="1464"/>
      <c r="DF181" s="1464"/>
      <c r="DG181" s="1464"/>
      <c r="DH181" s="1464"/>
      <c r="DI181" s="1464"/>
      <c r="DJ181" s="1464"/>
      <c r="DK181" s="1464"/>
      <c r="DL181" s="1464"/>
      <c r="DM181" s="1464"/>
      <c r="DN181" s="1464"/>
      <c r="DO181" s="1464"/>
      <c r="DP181" s="1464"/>
      <c r="DQ181" s="1464"/>
      <c r="DR181" s="1464"/>
      <c r="DS181" s="1464"/>
      <c r="DT181" s="1464"/>
      <c r="DU181" s="1464"/>
      <c r="DV181" s="1464"/>
      <c r="DW181" s="1464"/>
      <c r="DX181" s="1464"/>
      <c r="DY181" s="1464"/>
      <c r="DZ181" s="1464"/>
      <c r="EA181" s="1464"/>
      <c r="EB181" s="1464"/>
      <c r="EC181" s="1464"/>
      <c r="ED181" s="1464"/>
      <c r="EE181" s="1464"/>
      <c r="EF181" s="1464"/>
      <c r="EG181" s="1464"/>
      <c r="EH181" s="1464"/>
      <c r="EI181" s="1464"/>
      <c r="EJ181" s="1464"/>
      <c r="EK181" s="1464"/>
      <c r="EL181" s="1464"/>
      <c r="EM181" s="1464"/>
      <c r="EN181" s="1464"/>
      <c r="EO181" s="1464"/>
      <c r="EP181" s="1464"/>
      <c r="EQ181" s="1464"/>
      <c r="ER181" s="1464"/>
      <c r="ES181" s="1464"/>
      <c r="ET181" s="1464"/>
      <c r="EU181" s="1464"/>
      <c r="EV181" s="1464"/>
      <c r="EW181" s="1464"/>
      <c r="EX181" s="1464"/>
      <c r="EY181" s="1464"/>
      <c r="EZ181" s="1464"/>
      <c r="FA181" s="1464"/>
      <c r="FB181" s="1464"/>
      <c r="FC181" s="1464"/>
      <c r="FD181" s="1464"/>
      <c r="FE181" s="1464"/>
      <c r="FF181" s="1464"/>
    </row>
    <row r="183" spans="6:162" s="1466" customFormat="1" ht="15.75" customHeight="1">
      <c r="F183" s="1464"/>
      <c r="G183" s="1464"/>
      <c r="H183" s="1464"/>
      <c r="I183" s="1464"/>
      <c r="J183" s="1464"/>
      <c r="K183" s="1464"/>
      <c r="L183" s="1464"/>
      <c r="M183" s="1464"/>
      <c r="N183" s="1464"/>
      <c r="O183" s="1464"/>
      <c r="P183" s="1464"/>
      <c r="Q183" s="1464"/>
      <c r="R183" s="1464"/>
      <c r="S183" s="1464"/>
      <c r="T183" s="1464"/>
      <c r="U183" s="1464"/>
      <c r="V183" s="1464"/>
      <c r="W183" s="1464"/>
      <c r="X183" s="1464"/>
      <c r="Y183" s="1464"/>
      <c r="AA183" s="1464"/>
      <c r="AC183" s="1464"/>
      <c r="AD183" s="1464"/>
      <c r="AE183" s="1464"/>
      <c r="AF183" s="1464"/>
      <c r="AG183" s="1464"/>
      <c r="AH183" s="1465"/>
      <c r="AI183" s="1465"/>
      <c r="AJ183" s="1464"/>
      <c r="AK183" s="1464"/>
      <c r="AL183" s="1464"/>
      <c r="AM183" s="1464"/>
      <c r="AN183" s="1464"/>
      <c r="AO183" s="1464"/>
      <c r="AP183" s="1464"/>
      <c r="AQ183" s="1464"/>
      <c r="AR183" s="1464"/>
      <c r="AS183" s="1464"/>
      <c r="AT183" s="1464"/>
      <c r="AU183" s="1464"/>
      <c r="AV183" s="1464"/>
      <c r="AW183" s="1464"/>
      <c r="AX183" s="1464"/>
      <c r="AY183" s="1464"/>
      <c r="AZ183" s="1464"/>
      <c r="BA183" s="1464"/>
      <c r="BB183" s="1464"/>
      <c r="BC183" s="1464"/>
      <c r="BD183" s="1464"/>
      <c r="BE183" s="1464"/>
      <c r="BF183" s="1464"/>
      <c r="BG183" s="1464"/>
      <c r="BH183" s="1464"/>
      <c r="BI183" s="1464"/>
      <c r="BJ183" s="1464"/>
      <c r="BK183" s="1464"/>
      <c r="BL183" s="1464"/>
      <c r="BM183" s="1464"/>
      <c r="BN183" s="1464"/>
      <c r="BO183" s="1464"/>
      <c r="BP183" s="1464"/>
      <c r="BQ183" s="1464"/>
      <c r="BR183" s="1464"/>
      <c r="BS183" s="1464"/>
      <c r="BT183" s="1464"/>
      <c r="BU183" s="1464"/>
      <c r="BV183" s="1464"/>
      <c r="BW183" s="1464"/>
      <c r="BX183" s="1464"/>
      <c r="BY183" s="1464"/>
      <c r="BZ183" s="1464"/>
      <c r="CA183" s="1464"/>
      <c r="CB183" s="1464"/>
      <c r="CC183" s="1464"/>
      <c r="CD183" s="1464"/>
      <c r="CE183" s="1464"/>
      <c r="CF183" s="1464"/>
      <c r="CG183" s="1464"/>
      <c r="CH183" s="1464"/>
      <c r="CI183" s="1464"/>
      <c r="CJ183" s="1464"/>
      <c r="CK183" s="1464"/>
      <c r="CL183" s="1464"/>
      <c r="CM183" s="1464"/>
      <c r="CN183" s="1464"/>
      <c r="CO183" s="1464"/>
      <c r="CP183" s="1464"/>
      <c r="CQ183" s="1464"/>
      <c r="CR183" s="1464"/>
      <c r="CS183" s="1464"/>
      <c r="CT183" s="1464"/>
      <c r="CU183" s="1464"/>
      <c r="CV183" s="1464"/>
      <c r="CW183" s="1464"/>
      <c r="CX183" s="1464"/>
      <c r="CY183" s="1464"/>
      <c r="CZ183" s="1464"/>
      <c r="DA183" s="1464"/>
      <c r="DB183" s="1464"/>
      <c r="DC183" s="1464"/>
      <c r="DD183" s="1464"/>
      <c r="DE183" s="1464"/>
      <c r="DF183" s="1464"/>
      <c r="DG183" s="1464"/>
      <c r="DH183" s="1464"/>
      <c r="DI183" s="1464"/>
      <c r="DJ183" s="1464"/>
      <c r="DK183" s="1464"/>
      <c r="DL183" s="1464"/>
      <c r="DM183" s="1464"/>
      <c r="DN183" s="1464"/>
      <c r="DO183" s="1464"/>
      <c r="DP183" s="1464"/>
      <c r="DQ183" s="1464"/>
      <c r="DR183" s="1464"/>
      <c r="DS183" s="1464"/>
      <c r="DT183" s="1464"/>
      <c r="DU183" s="1464"/>
      <c r="DV183" s="1464"/>
      <c r="DW183" s="1464"/>
      <c r="DX183" s="1464"/>
      <c r="DY183" s="1464"/>
      <c r="DZ183" s="1464"/>
      <c r="EA183" s="1464"/>
      <c r="EB183" s="1464"/>
      <c r="EC183" s="1464"/>
      <c r="ED183" s="1464"/>
      <c r="EE183" s="1464"/>
      <c r="EF183" s="1464"/>
      <c r="EG183" s="1464"/>
      <c r="EH183" s="1464"/>
      <c r="EI183" s="1464"/>
      <c r="EJ183" s="1464"/>
      <c r="EK183" s="1464"/>
      <c r="EL183" s="1464"/>
      <c r="EM183" s="1464"/>
      <c r="EN183" s="1464"/>
      <c r="EO183" s="1464"/>
      <c r="EP183" s="1464"/>
      <c r="EQ183" s="1464"/>
      <c r="ER183" s="1464"/>
      <c r="ES183" s="1464"/>
      <c r="ET183" s="1464"/>
      <c r="EU183" s="1464"/>
      <c r="EV183" s="1464"/>
      <c r="EW183" s="1464"/>
      <c r="EX183" s="1464"/>
      <c r="EY183" s="1464"/>
      <c r="EZ183" s="1464"/>
      <c r="FA183" s="1464"/>
      <c r="FB183" s="1464"/>
      <c r="FC183" s="1464"/>
      <c r="FD183" s="1464"/>
      <c r="FE183" s="1464"/>
      <c r="FF183" s="1464"/>
    </row>
    <row r="185" spans="6:162" s="1466" customFormat="1" ht="15.75" customHeight="1">
      <c r="F185" s="1464"/>
      <c r="G185" s="1464"/>
      <c r="H185" s="1464"/>
      <c r="I185" s="1464"/>
      <c r="J185" s="1464"/>
      <c r="K185" s="1464"/>
      <c r="L185" s="1464"/>
      <c r="M185" s="1464"/>
      <c r="N185" s="1464"/>
      <c r="O185" s="1464"/>
      <c r="P185" s="1464"/>
      <c r="Q185" s="1464"/>
      <c r="R185" s="1464"/>
      <c r="S185" s="1464"/>
      <c r="T185" s="1464"/>
      <c r="U185" s="1464"/>
      <c r="V185" s="1464"/>
      <c r="W185" s="1464"/>
      <c r="X185" s="1464"/>
      <c r="Y185" s="1464"/>
      <c r="AA185" s="1464"/>
      <c r="AC185" s="1464"/>
      <c r="AD185" s="1464"/>
      <c r="AE185" s="1464"/>
      <c r="AF185" s="1464"/>
      <c r="AG185" s="1464"/>
      <c r="AH185" s="1465"/>
      <c r="AI185" s="1465"/>
      <c r="AJ185" s="1464"/>
      <c r="AK185" s="1464"/>
      <c r="AL185" s="1464"/>
      <c r="AM185" s="1464"/>
      <c r="AN185" s="1464"/>
      <c r="AO185" s="1464"/>
      <c r="AP185" s="1464"/>
      <c r="AQ185" s="1464"/>
      <c r="AR185" s="1464"/>
      <c r="AS185" s="1464"/>
      <c r="AT185" s="1464"/>
      <c r="AU185" s="1464"/>
      <c r="AV185" s="1464"/>
      <c r="AW185" s="1464"/>
      <c r="AX185" s="1464"/>
      <c r="AY185" s="1464"/>
      <c r="AZ185" s="1464"/>
      <c r="BA185" s="1464"/>
      <c r="BB185" s="1464"/>
      <c r="BC185" s="1464"/>
      <c r="BD185" s="1464"/>
      <c r="BE185" s="1464"/>
      <c r="BF185" s="1464"/>
      <c r="BG185" s="1464"/>
      <c r="BH185" s="1464"/>
      <c r="BI185" s="1464"/>
      <c r="BJ185" s="1464"/>
      <c r="BK185" s="1464"/>
      <c r="BL185" s="1464"/>
      <c r="BM185" s="1464"/>
      <c r="BN185" s="1464"/>
      <c r="BO185" s="1464"/>
      <c r="BP185" s="1464"/>
      <c r="BQ185" s="1464"/>
      <c r="BR185" s="1464"/>
      <c r="BS185" s="1464"/>
      <c r="BT185" s="1464"/>
      <c r="BU185" s="1464"/>
      <c r="BV185" s="1464"/>
      <c r="BW185" s="1464"/>
      <c r="BX185" s="1464"/>
      <c r="BY185" s="1464"/>
      <c r="BZ185" s="1464"/>
      <c r="CA185" s="1464"/>
      <c r="CB185" s="1464"/>
      <c r="CC185" s="1464"/>
      <c r="CD185" s="1464"/>
      <c r="CE185" s="1464"/>
      <c r="CF185" s="1464"/>
      <c r="CG185" s="1464"/>
      <c r="CH185" s="1464"/>
      <c r="CI185" s="1464"/>
      <c r="CJ185" s="1464"/>
      <c r="CK185" s="1464"/>
      <c r="CL185" s="1464"/>
      <c r="CM185" s="1464"/>
      <c r="CN185" s="1464"/>
      <c r="CO185" s="1464"/>
      <c r="CP185" s="1464"/>
      <c r="CQ185" s="1464"/>
      <c r="CR185" s="1464"/>
      <c r="CS185" s="1464"/>
      <c r="CT185" s="1464"/>
      <c r="CU185" s="1464"/>
      <c r="CV185" s="1464"/>
      <c r="CW185" s="1464"/>
      <c r="CX185" s="1464"/>
      <c r="CY185" s="1464"/>
      <c r="CZ185" s="1464"/>
      <c r="DA185" s="1464"/>
      <c r="DB185" s="1464"/>
      <c r="DC185" s="1464"/>
      <c r="DD185" s="1464"/>
      <c r="DE185" s="1464"/>
      <c r="DF185" s="1464"/>
      <c r="DG185" s="1464"/>
      <c r="DH185" s="1464"/>
      <c r="DI185" s="1464"/>
      <c r="DJ185" s="1464"/>
      <c r="DK185" s="1464"/>
      <c r="DL185" s="1464"/>
      <c r="DM185" s="1464"/>
      <c r="DN185" s="1464"/>
      <c r="DO185" s="1464"/>
      <c r="DP185" s="1464"/>
      <c r="DQ185" s="1464"/>
      <c r="DR185" s="1464"/>
      <c r="DS185" s="1464"/>
      <c r="DT185" s="1464"/>
      <c r="DU185" s="1464"/>
      <c r="DV185" s="1464"/>
      <c r="DW185" s="1464"/>
      <c r="DX185" s="1464"/>
      <c r="DY185" s="1464"/>
      <c r="DZ185" s="1464"/>
      <c r="EA185" s="1464"/>
      <c r="EB185" s="1464"/>
      <c r="EC185" s="1464"/>
      <c r="ED185" s="1464"/>
      <c r="EE185" s="1464"/>
      <c r="EF185" s="1464"/>
      <c r="EG185" s="1464"/>
      <c r="EH185" s="1464"/>
      <c r="EI185" s="1464"/>
      <c r="EJ185" s="1464"/>
      <c r="EK185" s="1464"/>
      <c r="EL185" s="1464"/>
      <c r="EM185" s="1464"/>
      <c r="EN185" s="1464"/>
      <c r="EO185" s="1464"/>
      <c r="EP185" s="1464"/>
      <c r="EQ185" s="1464"/>
      <c r="ER185" s="1464"/>
      <c r="ES185" s="1464"/>
      <c r="ET185" s="1464"/>
      <c r="EU185" s="1464"/>
      <c r="EV185" s="1464"/>
      <c r="EW185" s="1464"/>
      <c r="EX185" s="1464"/>
      <c r="EY185" s="1464"/>
      <c r="EZ185" s="1464"/>
      <c r="FA185" s="1464"/>
      <c r="FB185" s="1464"/>
      <c r="FC185" s="1464"/>
      <c r="FD185" s="1464"/>
      <c r="FE185" s="1464"/>
      <c r="FF185" s="1464"/>
    </row>
    <row r="187" spans="6:162" s="1466" customFormat="1" ht="15.75" customHeight="1">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AA187" s="1464"/>
      <c r="AC187" s="1464"/>
      <c r="AD187" s="1464"/>
      <c r="AE187" s="1464"/>
      <c r="AF187" s="1464"/>
      <c r="AG187" s="1464"/>
      <c r="AH187" s="1465"/>
      <c r="AI187" s="1465"/>
      <c r="AJ187" s="1464"/>
      <c r="AK187" s="1464"/>
      <c r="AL187" s="1464"/>
      <c r="AM187" s="1464"/>
      <c r="AN187" s="1464"/>
      <c r="AO187" s="1464"/>
      <c r="AP187" s="1464"/>
      <c r="AQ187" s="1464"/>
      <c r="AR187" s="1464"/>
      <c r="AS187" s="1464"/>
      <c r="AT187" s="1464"/>
      <c r="AU187" s="1464"/>
      <c r="AV187" s="1464"/>
      <c r="AW187" s="1464"/>
      <c r="AX187" s="1464"/>
      <c r="AY187" s="1464"/>
      <c r="AZ187" s="1464"/>
      <c r="BA187" s="1464"/>
      <c r="BB187" s="1464"/>
      <c r="BC187" s="1464"/>
      <c r="BD187" s="1464"/>
      <c r="BE187" s="1464"/>
      <c r="BF187" s="1464"/>
      <c r="BG187" s="1464"/>
      <c r="BH187" s="1464"/>
      <c r="BI187" s="1464"/>
      <c r="BJ187" s="1464"/>
      <c r="BK187" s="1464"/>
      <c r="BL187" s="1464"/>
      <c r="BM187" s="1464"/>
      <c r="BN187" s="1464"/>
      <c r="BO187" s="1464"/>
      <c r="BP187" s="1464"/>
      <c r="BQ187" s="1464"/>
      <c r="BR187" s="1464"/>
      <c r="BS187" s="1464"/>
      <c r="BT187" s="1464"/>
      <c r="BU187" s="1464"/>
      <c r="BV187" s="1464"/>
      <c r="BW187" s="1464"/>
      <c r="BX187" s="1464"/>
      <c r="BY187" s="1464"/>
      <c r="BZ187" s="1464"/>
      <c r="CA187" s="1464"/>
      <c r="CB187" s="1464"/>
      <c r="CC187" s="1464"/>
      <c r="CD187" s="1464"/>
      <c r="CE187" s="1464"/>
      <c r="CF187" s="1464"/>
      <c r="CG187" s="1464"/>
      <c r="CH187" s="1464"/>
      <c r="CI187" s="1464"/>
      <c r="CJ187" s="1464"/>
      <c r="CK187" s="1464"/>
      <c r="CL187" s="1464"/>
      <c r="CM187" s="1464"/>
      <c r="CN187" s="1464"/>
      <c r="CO187" s="1464"/>
      <c r="CP187" s="1464"/>
      <c r="CQ187" s="1464"/>
      <c r="CR187" s="1464"/>
      <c r="CS187" s="1464"/>
      <c r="CT187" s="1464"/>
      <c r="CU187" s="1464"/>
      <c r="CV187" s="1464"/>
      <c r="CW187" s="1464"/>
      <c r="CX187" s="1464"/>
      <c r="CY187" s="1464"/>
      <c r="CZ187" s="1464"/>
      <c r="DA187" s="1464"/>
      <c r="DB187" s="1464"/>
      <c r="DC187" s="1464"/>
      <c r="DD187" s="1464"/>
      <c r="DE187" s="1464"/>
      <c r="DF187" s="1464"/>
      <c r="DG187" s="1464"/>
      <c r="DH187" s="1464"/>
      <c r="DI187" s="1464"/>
      <c r="DJ187" s="1464"/>
      <c r="DK187" s="1464"/>
      <c r="DL187" s="1464"/>
      <c r="DM187" s="1464"/>
      <c r="DN187" s="1464"/>
      <c r="DO187" s="1464"/>
      <c r="DP187" s="1464"/>
      <c r="DQ187" s="1464"/>
      <c r="DR187" s="1464"/>
      <c r="DS187" s="1464"/>
      <c r="DT187" s="1464"/>
      <c r="DU187" s="1464"/>
      <c r="DV187" s="1464"/>
      <c r="DW187" s="1464"/>
      <c r="DX187" s="1464"/>
      <c r="DY187" s="1464"/>
      <c r="DZ187" s="1464"/>
      <c r="EA187" s="1464"/>
      <c r="EB187" s="1464"/>
      <c r="EC187" s="1464"/>
      <c r="ED187" s="1464"/>
      <c r="EE187" s="1464"/>
      <c r="EF187" s="1464"/>
      <c r="EG187" s="1464"/>
      <c r="EH187" s="1464"/>
      <c r="EI187" s="1464"/>
      <c r="EJ187" s="1464"/>
      <c r="EK187" s="1464"/>
      <c r="EL187" s="1464"/>
      <c r="EM187" s="1464"/>
      <c r="EN187" s="1464"/>
      <c r="EO187" s="1464"/>
      <c r="EP187" s="1464"/>
      <c r="EQ187" s="1464"/>
      <c r="ER187" s="1464"/>
      <c r="ES187" s="1464"/>
      <c r="ET187" s="1464"/>
      <c r="EU187" s="1464"/>
      <c r="EV187" s="1464"/>
      <c r="EW187" s="1464"/>
      <c r="EX187" s="1464"/>
      <c r="EY187" s="1464"/>
      <c r="EZ187" s="1464"/>
      <c r="FA187" s="1464"/>
      <c r="FB187" s="1464"/>
      <c r="FC187" s="1464"/>
      <c r="FD187" s="1464"/>
      <c r="FE187" s="1464"/>
      <c r="FF187" s="1464"/>
    </row>
    <row r="189" spans="6:162" s="1466" customFormat="1" ht="15.75" customHeight="1">
      <c r="F189" s="1464"/>
      <c r="G189" s="1464"/>
      <c r="H189" s="1464"/>
      <c r="I189" s="1464"/>
      <c r="J189" s="1464"/>
      <c r="K189" s="1464"/>
      <c r="L189" s="1464"/>
      <c r="M189" s="1464"/>
      <c r="N189" s="1464"/>
      <c r="O189" s="1464"/>
      <c r="P189" s="1464"/>
      <c r="Q189" s="1464"/>
      <c r="R189" s="1464"/>
      <c r="S189" s="1464"/>
      <c r="T189" s="1464"/>
      <c r="U189" s="1464"/>
      <c r="V189" s="1464"/>
      <c r="W189" s="1464"/>
      <c r="X189" s="1464"/>
      <c r="Y189" s="1464"/>
      <c r="AA189" s="1464"/>
      <c r="AC189" s="1464"/>
      <c r="AD189" s="1464"/>
      <c r="AE189" s="1464"/>
      <c r="AF189" s="1464"/>
      <c r="AG189" s="1464"/>
      <c r="AH189" s="1465"/>
      <c r="AI189" s="1465"/>
      <c r="AJ189" s="1464"/>
      <c r="AK189" s="1464"/>
      <c r="AL189" s="1464"/>
      <c r="AM189" s="1464"/>
      <c r="AN189" s="1464"/>
      <c r="AO189" s="1464"/>
      <c r="AP189" s="1464"/>
      <c r="AQ189" s="1464"/>
      <c r="AR189" s="1464"/>
      <c r="AS189" s="1464"/>
      <c r="AT189" s="1464"/>
      <c r="AU189" s="1464"/>
      <c r="AV189" s="1464"/>
      <c r="AW189" s="1464"/>
      <c r="AX189" s="1464"/>
      <c r="AY189" s="1464"/>
      <c r="AZ189" s="1464"/>
      <c r="BA189" s="1464"/>
      <c r="BB189" s="1464"/>
      <c r="BC189" s="1464"/>
      <c r="BD189" s="1464"/>
      <c r="BE189" s="1464"/>
      <c r="BF189" s="1464"/>
      <c r="BG189" s="1464"/>
      <c r="BH189" s="1464"/>
      <c r="BI189" s="1464"/>
      <c r="BJ189" s="1464"/>
      <c r="BK189" s="1464"/>
      <c r="BL189" s="1464"/>
      <c r="BM189" s="1464"/>
      <c r="BN189" s="1464"/>
      <c r="BO189" s="1464"/>
      <c r="BP189" s="1464"/>
      <c r="BQ189" s="1464"/>
      <c r="BR189" s="1464"/>
      <c r="BS189" s="1464"/>
      <c r="BT189" s="1464"/>
      <c r="BU189" s="1464"/>
      <c r="BV189" s="1464"/>
      <c r="BW189" s="1464"/>
      <c r="BX189" s="1464"/>
      <c r="BY189" s="1464"/>
      <c r="BZ189" s="1464"/>
      <c r="CA189" s="1464"/>
      <c r="CB189" s="1464"/>
      <c r="CC189" s="1464"/>
      <c r="CD189" s="1464"/>
      <c r="CE189" s="1464"/>
      <c r="CF189" s="1464"/>
      <c r="CG189" s="1464"/>
      <c r="CH189" s="1464"/>
      <c r="CI189" s="1464"/>
      <c r="CJ189" s="1464"/>
      <c r="CK189" s="1464"/>
      <c r="CL189" s="1464"/>
      <c r="CM189" s="1464"/>
      <c r="CN189" s="1464"/>
      <c r="CO189" s="1464"/>
      <c r="CP189" s="1464"/>
      <c r="CQ189" s="1464"/>
      <c r="CR189" s="1464"/>
      <c r="CS189" s="1464"/>
      <c r="CT189" s="1464"/>
      <c r="CU189" s="1464"/>
      <c r="CV189" s="1464"/>
      <c r="CW189" s="1464"/>
      <c r="CX189" s="1464"/>
      <c r="CY189" s="1464"/>
      <c r="CZ189" s="1464"/>
      <c r="DA189" s="1464"/>
      <c r="DB189" s="1464"/>
      <c r="DC189" s="1464"/>
      <c r="DD189" s="1464"/>
      <c r="DE189" s="1464"/>
      <c r="DF189" s="1464"/>
      <c r="DG189" s="1464"/>
      <c r="DH189" s="1464"/>
      <c r="DI189" s="1464"/>
      <c r="DJ189" s="1464"/>
      <c r="DK189" s="1464"/>
      <c r="DL189" s="1464"/>
      <c r="DM189" s="1464"/>
      <c r="DN189" s="1464"/>
      <c r="DO189" s="1464"/>
      <c r="DP189" s="1464"/>
      <c r="DQ189" s="1464"/>
      <c r="DR189" s="1464"/>
      <c r="DS189" s="1464"/>
      <c r="DT189" s="1464"/>
      <c r="DU189" s="1464"/>
      <c r="DV189" s="1464"/>
      <c r="DW189" s="1464"/>
      <c r="DX189" s="1464"/>
      <c r="DY189" s="1464"/>
      <c r="DZ189" s="1464"/>
      <c r="EA189" s="1464"/>
      <c r="EB189" s="1464"/>
      <c r="EC189" s="1464"/>
      <c r="ED189" s="1464"/>
      <c r="EE189" s="1464"/>
      <c r="EF189" s="1464"/>
      <c r="EG189" s="1464"/>
      <c r="EH189" s="1464"/>
      <c r="EI189" s="1464"/>
      <c r="EJ189" s="1464"/>
      <c r="EK189" s="1464"/>
      <c r="EL189" s="1464"/>
      <c r="EM189" s="1464"/>
      <c r="EN189" s="1464"/>
      <c r="EO189" s="1464"/>
      <c r="EP189" s="1464"/>
      <c r="EQ189" s="1464"/>
      <c r="ER189" s="1464"/>
      <c r="ES189" s="1464"/>
      <c r="ET189" s="1464"/>
      <c r="EU189" s="1464"/>
      <c r="EV189" s="1464"/>
      <c r="EW189" s="1464"/>
      <c r="EX189" s="1464"/>
      <c r="EY189" s="1464"/>
      <c r="EZ189" s="1464"/>
      <c r="FA189" s="1464"/>
      <c r="FB189" s="1464"/>
      <c r="FC189" s="1464"/>
      <c r="FD189" s="1464"/>
      <c r="FE189" s="1464"/>
      <c r="FF189" s="1464"/>
    </row>
    <row r="191" spans="6:162" s="1466" customFormat="1" ht="15.75" customHeight="1">
      <c r="F191" s="1464"/>
      <c r="G191" s="1464"/>
      <c r="H191" s="1464"/>
      <c r="I191" s="1464"/>
      <c r="J191" s="1464"/>
      <c r="K191" s="1464"/>
      <c r="L191" s="1464"/>
      <c r="M191" s="1464"/>
      <c r="N191" s="1464"/>
      <c r="O191" s="1464"/>
      <c r="P191" s="1464"/>
      <c r="Q191" s="1464"/>
      <c r="R191" s="1464"/>
      <c r="S191" s="1464"/>
      <c r="T191" s="1464"/>
      <c r="U191" s="1464"/>
      <c r="V191" s="1464"/>
      <c r="W191" s="1464"/>
      <c r="X191" s="1464"/>
      <c r="Y191" s="1464"/>
      <c r="AA191" s="1464"/>
      <c r="AC191" s="1464"/>
      <c r="AD191" s="1464"/>
      <c r="AE191" s="1464"/>
      <c r="AF191" s="1464"/>
      <c r="AG191" s="1464"/>
      <c r="AH191" s="1465"/>
      <c r="AI191" s="1465"/>
      <c r="AJ191" s="1464"/>
      <c r="AK191" s="1464"/>
      <c r="AL191" s="1464"/>
      <c r="AM191" s="1464"/>
      <c r="AN191" s="1464"/>
      <c r="AO191" s="1464"/>
      <c r="AP191" s="1464"/>
      <c r="AQ191" s="1464"/>
      <c r="AR191" s="1464"/>
      <c r="AS191" s="1464"/>
      <c r="AT191" s="1464"/>
      <c r="AU191" s="1464"/>
      <c r="AV191" s="1464"/>
      <c r="AW191" s="1464"/>
      <c r="AX191" s="1464"/>
      <c r="AY191" s="1464"/>
      <c r="AZ191" s="1464"/>
      <c r="BA191" s="1464"/>
      <c r="BB191" s="1464"/>
      <c r="BC191" s="1464"/>
      <c r="BD191" s="1464"/>
      <c r="BE191" s="1464"/>
      <c r="BF191" s="1464"/>
      <c r="BG191" s="1464"/>
      <c r="BH191" s="1464"/>
      <c r="BI191" s="1464"/>
      <c r="BJ191" s="1464"/>
      <c r="BK191" s="1464"/>
      <c r="BL191" s="1464"/>
      <c r="BM191" s="1464"/>
      <c r="BN191" s="1464"/>
      <c r="BO191" s="1464"/>
      <c r="BP191" s="1464"/>
      <c r="BQ191" s="1464"/>
      <c r="BR191" s="1464"/>
      <c r="BS191" s="1464"/>
      <c r="BT191" s="1464"/>
      <c r="BU191" s="1464"/>
      <c r="BV191" s="1464"/>
      <c r="BW191" s="1464"/>
      <c r="BX191" s="1464"/>
      <c r="BY191" s="1464"/>
      <c r="BZ191" s="1464"/>
      <c r="CA191" s="1464"/>
      <c r="CB191" s="1464"/>
      <c r="CC191" s="1464"/>
      <c r="CD191" s="1464"/>
      <c r="CE191" s="1464"/>
      <c r="CF191" s="1464"/>
      <c r="CG191" s="1464"/>
      <c r="CH191" s="1464"/>
      <c r="CI191" s="1464"/>
      <c r="CJ191" s="1464"/>
      <c r="CK191" s="1464"/>
      <c r="CL191" s="1464"/>
      <c r="CM191" s="1464"/>
      <c r="CN191" s="1464"/>
      <c r="CO191" s="1464"/>
      <c r="CP191" s="1464"/>
      <c r="CQ191" s="1464"/>
      <c r="CR191" s="1464"/>
      <c r="CS191" s="1464"/>
      <c r="CT191" s="1464"/>
      <c r="CU191" s="1464"/>
      <c r="CV191" s="1464"/>
      <c r="CW191" s="1464"/>
      <c r="CX191" s="1464"/>
      <c r="CY191" s="1464"/>
      <c r="CZ191" s="1464"/>
      <c r="DA191" s="1464"/>
      <c r="DB191" s="1464"/>
      <c r="DC191" s="1464"/>
      <c r="DD191" s="1464"/>
      <c r="DE191" s="1464"/>
      <c r="DF191" s="1464"/>
      <c r="DG191" s="1464"/>
      <c r="DH191" s="1464"/>
      <c r="DI191" s="1464"/>
      <c r="DJ191" s="1464"/>
      <c r="DK191" s="1464"/>
      <c r="DL191" s="1464"/>
      <c r="DM191" s="1464"/>
      <c r="DN191" s="1464"/>
      <c r="DO191" s="1464"/>
      <c r="DP191" s="1464"/>
      <c r="DQ191" s="1464"/>
      <c r="DR191" s="1464"/>
      <c r="DS191" s="1464"/>
      <c r="DT191" s="1464"/>
      <c r="DU191" s="1464"/>
      <c r="DV191" s="1464"/>
      <c r="DW191" s="1464"/>
      <c r="DX191" s="1464"/>
      <c r="DY191" s="1464"/>
      <c r="DZ191" s="1464"/>
      <c r="EA191" s="1464"/>
      <c r="EB191" s="1464"/>
      <c r="EC191" s="1464"/>
      <c r="ED191" s="1464"/>
      <c r="EE191" s="1464"/>
      <c r="EF191" s="1464"/>
      <c r="EG191" s="1464"/>
      <c r="EH191" s="1464"/>
      <c r="EI191" s="1464"/>
      <c r="EJ191" s="1464"/>
      <c r="EK191" s="1464"/>
      <c r="EL191" s="1464"/>
      <c r="EM191" s="1464"/>
      <c r="EN191" s="1464"/>
      <c r="EO191" s="1464"/>
      <c r="EP191" s="1464"/>
      <c r="EQ191" s="1464"/>
      <c r="ER191" s="1464"/>
      <c r="ES191" s="1464"/>
      <c r="ET191" s="1464"/>
      <c r="EU191" s="1464"/>
      <c r="EV191" s="1464"/>
      <c r="EW191" s="1464"/>
      <c r="EX191" s="1464"/>
      <c r="EY191" s="1464"/>
      <c r="EZ191" s="1464"/>
      <c r="FA191" s="1464"/>
      <c r="FB191" s="1464"/>
      <c r="FC191" s="1464"/>
      <c r="FD191" s="1464"/>
      <c r="FE191" s="1464"/>
      <c r="FF191" s="1464"/>
    </row>
    <row r="193" spans="6:162" s="1466" customFormat="1" ht="15.75" customHeight="1">
      <c r="F193" s="1464"/>
      <c r="G193" s="1464"/>
      <c r="H193" s="1464"/>
      <c r="I193" s="1464"/>
      <c r="J193" s="1464"/>
      <c r="K193" s="1464"/>
      <c r="L193" s="1464"/>
      <c r="M193" s="1464"/>
      <c r="N193" s="1464"/>
      <c r="O193" s="1464"/>
      <c r="P193" s="1464"/>
      <c r="Q193" s="1464"/>
      <c r="R193" s="1464"/>
      <c r="S193" s="1464"/>
      <c r="T193" s="1464"/>
      <c r="U193" s="1464"/>
      <c r="V193" s="1464"/>
      <c r="W193" s="1464"/>
      <c r="X193" s="1464"/>
      <c r="Y193" s="1464"/>
      <c r="AA193" s="1464"/>
      <c r="AC193" s="1464"/>
      <c r="AD193" s="1464"/>
      <c r="AE193" s="1464"/>
      <c r="AF193" s="1464"/>
      <c r="AG193" s="1464"/>
      <c r="AH193" s="1465"/>
      <c r="AI193" s="1465"/>
      <c r="AJ193" s="1464"/>
      <c r="AK193" s="1464"/>
      <c r="AL193" s="1464"/>
      <c r="AM193" s="1464"/>
      <c r="AN193" s="1464"/>
      <c r="AO193" s="1464"/>
      <c r="AP193" s="1464"/>
      <c r="AQ193" s="1464"/>
      <c r="AR193" s="1464"/>
      <c r="AS193" s="1464"/>
      <c r="AT193" s="1464"/>
      <c r="AU193" s="1464"/>
      <c r="AV193" s="1464"/>
      <c r="AW193" s="1464"/>
      <c r="AX193" s="1464"/>
      <c r="AY193" s="1464"/>
      <c r="AZ193" s="1464"/>
      <c r="BA193" s="1464"/>
      <c r="BB193" s="1464"/>
      <c r="BC193" s="1464"/>
      <c r="BD193" s="1464"/>
      <c r="BE193" s="1464"/>
      <c r="BF193" s="1464"/>
      <c r="BG193" s="1464"/>
      <c r="BH193" s="1464"/>
      <c r="BI193" s="1464"/>
      <c r="BJ193" s="1464"/>
      <c r="BK193" s="1464"/>
      <c r="BL193" s="1464"/>
      <c r="BM193" s="1464"/>
      <c r="BN193" s="1464"/>
      <c r="BO193" s="1464"/>
      <c r="BP193" s="1464"/>
      <c r="BQ193" s="1464"/>
      <c r="BR193" s="1464"/>
      <c r="BS193" s="1464"/>
      <c r="BT193" s="1464"/>
      <c r="BU193" s="1464"/>
      <c r="BV193" s="1464"/>
      <c r="BW193" s="1464"/>
      <c r="BX193" s="1464"/>
      <c r="BY193" s="1464"/>
      <c r="BZ193" s="1464"/>
      <c r="CA193" s="1464"/>
      <c r="CB193" s="1464"/>
      <c r="CC193" s="1464"/>
      <c r="CD193" s="1464"/>
      <c r="CE193" s="1464"/>
      <c r="CF193" s="1464"/>
      <c r="CG193" s="1464"/>
      <c r="CH193" s="1464"/>
      <c r="CI193" s="1464"/>
      <c r="CJ193" s="1464"/>
      <c r="CK193" s="1464"/>
      <c r="CL193" s="1464"/>
      <c r="CM193" s="1464"/>
      <c r="CN193" s="1464"/>
      <c r="CO193" s="1464"/>
      <c r="CP193" s="1464"/>
      <c r="CQ193" s="1464"/>
      <c r="CR193" s="1464"/>
      <c r="CS193" s="1464"/>
      <c r="CT193" s="1464"/>
      <c r="CU193" s="1464"/>
      <c r="CV193" s="1464"/>
      <c r="CW193" s="1464"/>
      <c r="CX193" s="1464"/>
      <c r="CY193" s="1464"/>
      <c r="CZ193" s="1464"/>
      <c r="DA193" s="1464"/>
      <c r="DB193" s="1464"/>
      <c r="DC193" s="1464"/>
      <c r="DD193" s="1464"/>
      <c r="DE193" s="1464"/>
      <c r="DF193" s="1464"/>
      <c r="DG193" s="1464"/>
      <c r="DH193" s="1464"/>
      <c r="DI193" s="1464"/>
      <c r="DJ193" s="1464"/>
      <c r="DK193" s="1464"/>
      <c r="DL193" s="1464"/>
      <c r="DM193" s="1464"/>
      <c r="DN193" s="1464"/>
      <c r="DO193" s="1464"/>
      <c r="DP193" s="1464"/>
      <c r="DQ193" s="1464"/>
      <c r="DR193" s="1464"/>
      <c r="DS193" s="1464"/>
      <c r="DT193" s="1464"/>
      <c r="DU193" s="1464"/>
      <c r="DV193" s="1464"/>
      <c r="DW193" s="1464"/>
      <c r="DX193" s="1464"/>
      <c r="DY193" s="1464"/>
      <c r="DZ193" s="1464"/>
      <c r="EA193" s="1464"/>
      <c r="EB193" s="1464"/>
      <c r="EC193" s="1464"/>
      <c r="ED193" s="1464"/>
      <c r="EE193" s="1464"/>
      <c r="EF193" s="1464"/>
      <c r="EG193" s="1464"/>
      <c r="EH193" s="1464"/>
      <c r="EI193" s="1464"/>
      <c r="EJ193" s="1464"/>
      <c r="EK193" s="1464"/>
      <c r="EL193" s="1464"/>
      <c r="EM193" s="1464"/>
      <c r="EN193" s="1464"/>
      <c r="EO193" s="1464"/>
      <c r="EP193" s="1464"/>
      <c r="EQ193" s="1464"/>
      <c r="ER193" s="1464"/>
      <c r="ES193" s="1464"/>
      <c r="ET193" s="1464"/>
      <c r="EU193" s="1464"/>
      <c r="EV193" s="1464"/>
      <c r="EW193" s="1464"/>
      <c r="EX193" s="1464"/>
      <c r="EY193" s="1464"/>
      <c r="EZ193" s="1464"/>
      <c r="FA193" s="1464"/>
      <c r="FB193" s="1464"/>
      <c r="FC193" s="1464"/>
      <c r="FD193" s="1464"/>
      <c r="FE193" s="1464"/>
      <c r="FF193" s="1464"/>
    </row>
    <row r="195" spans="6:162" s="1466" customFormat="1" ht="15.75" customHeight="1">
      <c r="F195" s="1464"/>
      <c r="G195" s="1464"/>
      <c r="H195" s="1464"/>
      <c r="I195" s="1464"/>
      <c r="J195" s="1464"/>
      <c r="K195" s="1464"/>
      <c r="L195" s="1464"/>
      <c r="M195" s="1464"/>
      <c r="N195" s="1464"/>
      <c r="O195" s="1464"/>
      <c r="P195" s="1464"/>
      <c r="Q195" s="1464"/>
      <c r="R195" s="1464"/>
      <c r="S195" s="1464"/>
      <c r="T195" s="1464"/>
      <c r="U195" s="1464"/>
      <c r="V195" s="1464"/>
      <c r="W195" s="1464"/>
      <c r="X195" s="1464"/>
      <c r="Y195" s="1464"/>
      <c r="AA195" s="1464"/>
      <c r="AC195" s="1464"/>
      <c r="AD195" s="1464"/>
      <c r="AE195" s="1464"/>
      <c r="AF195" s="1464"/>
      <c r="AG195" s="1464"/>
      <c r="AH195" s="1465"/>
      <c r="AI195" s="1465"/>
      <c r="AJ195" s="1464"/>
      <c r="AK195" s="1464"/>
      <c r="AL195" s="1464"/>
      <c r="AM195" s="1464"/>
      <c r="AN195" s="1464"/>
      <c r="AO195" s="1464"/>
      <c r="AP195" s="1464"/>
      <c r="AQ195" s="1464"/>
      <c r="AR195" s="1464"/>
      <c r="AS195" s="1464"/>
      <c r="AT195" s="1464"/>
      <c r="AU195" s="1464"/>
      <c r="AV195" s="1464"/>
      <c r="AW195" s="1464"/>
      <c r="AX195" s="1464"/>
      <c r="AY195" s="1464"/>
      <c r="AZ195" s="1464"/>
      <c r="BA195" s="1464"/>
      <c r="BB195" s="1464"/>
      <c r="BC195" s="1464"/>
      <c r="BD195" s="1464"/>
      <c r="BE195" s="1464"/>
      <c r="BF195" s="1464"/>
      <c r="BG195" s="1464"/>
      <c r="BH195" s="1464"/>
      <c r="BI195" s="1464"/>
      <c r="BJ195" s="1464"/>
      <c r="BK195" s="1464"/>
      <c r="BL195" s="1464"/>
      <c r="BM195" s="1464"/>
      <c r="BN195" s="1464"/>
      <c r="BO195" s="1464"/>
      <c r="BP195" s="1464"/>
      <c r="BQ195" s="1464"/>
      <c r="BR195" s="1464"/>
      <c r="BS195" s="1464"/>
      <c r="BT195" s="1464"/>
      <c r="BU195" s="1464"/>
      <c r="BV195" s="1464"/>
      <c r="BW195" s="1464"/>
      <c r="BX195" s="1464"/>
      <c r="BY195" s="1464"/>
      <c r="BZ195" s="1464"/>
      <c r="CA195" s="1464"/>
      <c r="CB195" s="1464"/>
      <c r="CC195" s="1464"/>
      <c r="CD195" s="1464"/>
      <c r="CE195" s="1464"/>
      <c r="CF195" s="1464"/>
      <c r="CG195" s="1464"/>
      <c r="CH195" s="1464"/>
      <c r="CI195" s="1464"/>
      <c r="CJ195" s="1464"/>
      <c r="CK195" s="1464"/>
      <c r="CL195" s="1464"/>
      <c r="CM195" s="1464"/>
      <c r="CN195" s="1464"/>
      <c r="CO195" s="1464"/>
      <c r="CP195" s="1464"/>
      <c r="CQ195" s="1464"/>
      <c r="CR195" s="1464"/>
      <c r="CS195" s="1464"/>
      <c r="CT195" s="1464"/>
      <c r="CU195" s="1464"/>
      <c r="CV195" s="1464"/>
      <c r="CW195" s="1464"/>
      <c r="CX195" s="1464"/>
      <c r="CY195" s="1464"/>
      <c r="CZ195" s="1464"/>
      <c r="DA195" s="1464"/>
      <c r="DB195" s="1464"/>
      <c r="DC195" s="1464"/>
      <c r="DD195" s="1464"/>
      <c r="DE195" s="1464"/>
      <c r="DF195" s="1464"/>
      <c r="DG195" s="1464"/>
      <c r="DH195" s="1464"/>
      <c r="DI195" s="1464"/>
      <c r="DJ195" s="1464"/>
      <c r="DK195" s="1464"/>
      <c r="DL195" s="1464"/>
      <c r="DM195" s="1464"/>
      <c r="DN195" s="1464"/>
      <c r="DO195" s="1464"/>
      <c r="DP195" s="1464"/>
      <c r="DQ195" s="1464"/>
      <c r="DR195" s="1464"/>
      <c r="DS195" s="1464"/>
      <c r="DT195" s="1464"/>
      <c r="DU195" s="1464"/>
      <c r="DV195" s="1464"/>
      <c r="DW195" s="1464"/>
      <c r="DX195" s="1464"/>
      <c r="DY195" s="1464"/>
      <c r="DZ195" s="1464"/>
      <c r="EA195" s="1464"/>
      <c r="EB195" s="1464"/>
      <c r="EC195" s="1464"/>
      <c r="ED195" s="1464"/>
      <c r="EE195" s="1464"/>
      <c r="EF195" s="1464"/>
      <c r="EG195" s="1464"/>
      <c r="EH195" s="1464"/>
      <c r="EI195" s="1464"/>
      <c r="EJ195" s="1464"/>
      <c r="EK195" s="1464"/>
      <c r="EL195" s="1464"/>
      <c r="EM195" s="1464"/>
      <c r="EN195" s="1464"/>
      <c r="EO195" s="1464"/>
      <c r="EP195" s="1464"/>
      <c r="EQ195" s="1464"/>
      <c r="ER195" s="1464"/>
      <c r="ES195" s="1464"/>
      <c r="ET195" s="1464"/>
      <c r="EU195" s="1464"/>
      <c r="EV195" s="1464"/>
      <c r="EW195" s="1464"/>
      <c r="EX195" s="1464"/>
      <c r="EY195" s="1464"/>
      <c r="EZ195" s="1464"/>
      <c r="FA195" s="1464"/>
      <c r="FB195" s="1464"/>
      <c r="FC195" s="1464"/>
      <c r="FD195" s="1464"/>
      <c r="FE195" s="1464"/>
      <c r="FF195" s="1464"/>
    </row>
    <row r="197" spans="6:162" s="1466" customFormat="1" ht="15.75" customHeight="1">
      <c r="F197" s="1464"/>
      <c r="G197" s="1464"/>
      <c r="H197" s="1464"/>
      <c r="I197" s="1464"/>
      <c r="J197" s="1464"/>
      <c r="K197" s="1464"/>
      <c r="L197" s="1464"/>
      <c r="M197" s="1464"/>
      <c r="N197" s="1464"/>
      <c r="O197" s="1464"/>
      <c r="P197" s="1464"/>
      <c r="Q197" s="1464"/>
      <c r="R197" s="1464"/>
      <c r="S197" s="1464"/>
      <c r="T197" s="1464"/>
      <c r="U197" s="1464"/>
      <c r="V197" s="1464"/>
      <c r="W197" s="1464"/>
      <c r="X197" s="1464"/>
      <c r="Y197" s="1464"/>
      <c r="AA197" s="1464"/>
      <c r="AC197" s="1464"/>
      <c r="AD197" s="1464"/>
      <c r="AE197" s="1464"/>
      <c r="AF197" s="1464"/>
      <c r="AG197" s="1464"/>
      <c r="AH197" s="1465"/>
      <c r="AI197" s="1465"/>
      <c r="AJ197" s="1464"/>
      <c r="AK197" s="1464"/>
      <c r="AL197" s="1464"/>
      <c r="AM197" s="1464"/>
      <c r="AN197" s="1464"/>
      <c r="AO197" s="1464"/>
      <c r="AP197" s="1464"/>
      <c r="AQ197" s="1464"/>
      <c r="AR197" s="1464"/>
      <c r="AS197" s="1464"/>
      <c r="AT197" s="1464"/>
      <c r="AU197" s="1464"/>
      <c r="AV197" s="1464"/>
      <c r="AW197" s="1464"/>
      <c r="AX197" s="1464"/>
      <c r="AY197" s="1464"/>
      <c r="AZ197" s="1464"/>
      <c r="BA197" s="1464"/>
      <c r="BB197" s="1464"/>
      <c r="BC197" s="1464"/>
      <c r="BD197" s="1464"/>
      <c r="BE197" s="1464"/>
      <c r="BF197" s="1464"/>
      <c r="BG197" s="1464"/>
      <c r="BH197" s="1464"/>
      <c r="BI197" s="1464"/>
      <c r="BJ197" s="1464"/>
      <c r="BK197" s="1464"/>
      <c r="BL197" s="1464"/>
      <c r="BM197" s="1464"/>
      <c r="BN197" s="1464"/>
      <c r="BO197" s="1464"/>
      <c r="BP197" s="1464"/>
      <c r="BQ197" s="1464"/>
      <c r="BR197" s="1464"/>
      <c r="BS197" s="1464"/>
      <c r="BT197" s="1464"/>
      <c r="BU197" s="1464"/>
      <c r="BV197" s="1464"/>
      <c r="BW197" s="1464"/>
      <c r="BX197" s="1464"/>
      <c r="BY197" s="1464"/>
      <c r="BZ197" s="1464"/>
      <c r="CA197" s="1464"/>
      <c r="CB197" s="1464"/>
      <c r="CC197" s="1464"/>
      <c r="CD197" s="1464"/>
      <c r="CE197" s="1464"/>
      <c r="CF197" s="1464"/>
      <c r="CG197" s="1464"/>
      <c r="CH197" s="1464"/>
      <c r="CI197" s="1464"/>
      <c r="CJ197" s="1464"/>
      <c r="CK197" s="1464"/>
      <c r="CL197" s="1464"/>
      <c r="CM197" s="1464"/>
      <c r="CN197" s="1464"/>
      <c r="CO197" s="1464"/>
      <c r="CP197" s="1464"/>
      <c r="CQ197" s="1464"/>
      <c r="CR197" s="1464"/>
      <c r="CS197" s="1464"/>
      <c r="CT197" s="1464"/>
      <c r="CU197" s="1464"/>
      <c r="CV197" s="1464"/>
      <c r="CW197" s="1464"/>
      <c r="CX197" s="1464"/>
      <c r="CY197" s="1464"/>
      <c r="CZ197" s="1464"/>
      <c r="DA197" s="1464"/>
      <c r="DB197" s="1464"/>
      <c r="DC197" s="1464"/>
      <c r="DD197" s="1464"/>
      <c r="DE197" s="1464"/>
      <c r="DF197" s="1464"/>
      <c r="DG197" s="1464"/>
      <c r="DH197" s="1464"/>
      <c r="DI197" s="1464"/>
      <c r="DJ197" s="1464"/>
      <c r="DK197" s="1464"/>
      <c r="DL197" s="1464"/>
      <c r="DM197" s="1464"/>
      <c r="DN197" s="1464"/>
      <c r="DO197" s="1464"/>
      <c r="DP197" s="1464"/>
      <c r="DQ197" s="1464"/>
      <c r="DR197" s="1464"/>
      <c r="DS197" s="1464"/>
      <c r="DT197" s="1464"/>
      <c r="DU197" s="1464"/>
      <c r="DV197" s="1464"/>
      <c r="DW197" s="1464"/>
      <c r="DX197" s="1464"/>
      <c r="DY197" s="1464"/>
      <c r="DZ197" s="1464"/>
      <c r="EA197" s="1464"/>
      <c r="EB197" s="1464"/>
      <c r="EC197" s="1464"/>
      <c r="ED197" s="1464"/>
      <c r="EE197" s="1464"/>
      <c r="EF197" s="1464"/>
      <c r="EG197" s="1464"/>
      <c r="EH197" s="1464"/>
      <c r="EI197" s="1464"/>
      <c r="EJ197" s="1464"/>
      <c r="EK197" s="1464"/>
      <c r="EL197" s="1464"/>
      <c r="EM197" s="1464"/>
      <c r="EN197" s="1464"/>
      <c r="EO197" s="1464"/>
      <c r="EP197" s="1464"/>
      <c r="EQ197" s="1464"/>
      <c r="ER197" s="1464"/>
      <c r="ES197" s="1464"/>
      <c r="ET197" s="1464"/>
      <c r="EU197" s="1464"/>
      <c r="EV197" s="1464"/>
      <c r="EW197" s="1464"/>
      <c r="EX197" s="1464"/>
      <c r="EY197" s="1464"/>
      <c r="EZ197" s="1464"/>
      <c r="FA197" s="1464"/>
      <c r="FB197" s="1464"/>
      <c r="FC197" s="1464"/>
      <c r="FD197" s="1464"/>
      <c r="FE197" s="1464"/>
      <c r="FF197" s="1464"/>
    </row>
    <row r="199" spans="6:162" s="1466" customFormat="1" ht="15.75" customHeight="1">
      <c r="F199" s="1464"/>
      <c r="G199" s="1464"/>
      <c r="H199" s="1464"/>
      <c r="I199" s="1464"/>
      <c r="J199" s="1464"/>
      <c r="K199" s="1464"/>
      <c r="L199" s="1464"/>
      <c r="M199" s="1464"/>
      <c r="N199" s="1464"/>
      <c r="O199" s="1464"/>
      <c r="P199" s="1464"/>
      <c r="Q199" s="1464"/>
      <c r="R199" s="1464"/>
      <c r="S199" s="1464"/>
      <c r="T199" s="1464"/>
      <c r="U199" s="1464"/>
      <c r="V199" s="1464"/>
      <c r="W199" s="1464"/>
      <c r="X199" s="1464"/>
      <c r="Y199" s="1464"/>
      <c r="AA199" s="1464"/>
      <c r="AC199" s="1464"/>
      <c r="AD199" s="1464"/>
      <c r="AE199" s="1464"/>
      <c r="AF199" s="1464"/>
      <c r="AG199" s="1464"/>
      <c r="AH199" s="1465"/>
      <c r="AI199" s="1465"/>
      <c r="AJ199" s="1464"/>
      <c r="AK199" s="1464"/>
      <c r="AL199" s="1464"/>
      <c r="AM199" s="1464"/>
      <c r="AN199" s="1464"/>
      <c r="AO199" s="1464"/>
      <c r="AP199" s="1464"/>
      <c r="AQ199" s="1464"/>
      <c r="AR199" s="1464"/>
      <c r="AS199" s="1464"/>
      <c r="AT199" s="1464"/>
      <c r="AU199" s="1464"/>
      <c r="AV199" s="1464"/>
      <c r="AW199" s="1464"/>
      <c r="AX199" s="1464"/>
      <c r="AY199" s="1464"/>
      <c r="AZ199" s="1464"/>
      <c r="BA199" s="1464"/>
      <c r="BB199" s="1464"/>
      <c r="BC199" s="1464"/>
      <c r="BD199" s="1464"/>
      <c r="BE199" s="1464"/>
      <c r="BF199" s="1464"/>
      <c r="BG199" s="1464"/>
      <c r="BH199" s="1464"/>
      <c r="BI199" s="1464"/>
      <c r="BJ199" s="1464"/>
      <c r="BK199" s="1464"/>
      <c r="BL199" s="1464"/>
      <c r="BM199" s="1464"/>
      <c r="BN199" s="1464"/>
      <c r="BO199" s="1464"/>
      <c r="BP199" s="1464"/>
      <c r="BQ199" s="1464"/>
      <c r="BR199" s="1464"/>
      <c r="BS199" s="1464"/>
      <c r="BT199" s="1464"/>
      <c r="BU199" s="1464"/>
      <c r="BV199" s="1464"/>
      <c r="BW199" s="1464"/>
      <c r="BX199" s="1464"/>
      <c r="BY199" s="1464"/>
      <c r="BZ199" s="1464"/>
      <c r="CA199" s="1464"/>
      <c r="CB199" s="1464"/>
      <c r="CC199" s="1464"/>
      <c r="CD199" s="1464"/>
      <c r="CE199" s="1464"/>
      <c r="CF199" s="1464"/>
      <c r="CG199" s="1464"/>
      <c r="CH199" s="1464"/>
      <c r="CI199" s="1464"/>
      <c r="CJ199" s="1464"/>
      <c r="CK199" s="1464"/>
      <c r="CL199" s="1464"/>
      <c r="CM199" s="1464"/>
      <c r="CN199" s="1464"/>
      <c r="CO199" s="1464"/>
      <c r="CP199" s="1464"/>
      <c r="CQ199" s="1464"/>
      <c r="CR199" s="1464"/>
      <c r="CS199" s="1464"/>
      <c r="CT199" s="1464"/>
      <c r="CU199" s="1464"/>
      <c r="CV199" s="1464"/>
      <c r="CW199" s="1464"/>
      <c r="CX199" s="1464"/>
      <c r="CY199" s="1464"/>
      <c r="CZ199" s="1464"/>
      <c r="DA199" s="1464"/>
      <c r="DB199" s="1464"/>
      <c r="DC199" s="1464"/>
      <c r="DD199" s="1464"/>
      <c r="DE199" s="1464"/>
      <c r="DF199" s="1464"/>
      <c r="DG199" s="1464"/>
      <c r="DH199" s="1464"/>
      <c r="DI199" s="1464"/>
      <c r="DJ199" s="1464"/>
      <c r="DK199" s="1464"/>
      <c r="DL199" s="1464"/>
      <c r="DM199" s="1464"/>
      <c r="DN199" s="1464"/>
      <c r="DO199" s="1464"/>
      <c r="DP199" s="1464"/>
      <c r="DQ199" s="1464"/>
      <c r="DR199" s="1464"/>
      <c r="DS199" s="1464"/>
      <c r="DT199" s="1464"/>
      <c r="DU199" s="1464"/>
      <c r="DV199" s="1464"/>
      <c r="DW199" s="1464"/>
      <c r="DX199" s="1464"/>
      <c r="DY199" s="1464"/>
      <c r="DZ199" s="1464"/>
      <c r="EA199" s="1464"/>
      <c r="EB199" s="1464"/>
      <c r="EC199" s="1464"/>
      <c r="ED199" s="1464"/>
      <c r="EE199" s="1464"/>
      <c r="EF199" s="1464"/>
      <c r="EG199" s="1464"/>
      <c r="EH199" s="1464"/>
      <c r="EI199" s="1464"/>
      <c r="EJ199" s="1464"/>
      <c r="EK199" s="1464"/>
      <c r="EL199" s="1464"/>
      <c r="EM199" s="1464"/>
      <c r="EN199" s="1464"/>
      <c r="EO199" s="1464"/>
      <c r="EP199" s="1464"/>
      <c r="EQ199" s="1464"/>
      <c r="ER199" s="1464"/>
      <c r="ES199" s="1464"/>
      <c r="ET199" s="1464"/>
      <c r="EU199" s="1464"/>
      <c r="EV199" s="1464"/>
      <c r="EW199" s="1464"/>
      <c r="EX199" s="1464"/>
      <c r="EY199" s="1464"/>
      <c r="EZ199" s="1464"/>
      <c r="FA199" s="1464"/>
      <c r="FB199" s="1464"/>
      <c r="FC199" s="1464"/>
      <c r="FD199" s="1464"/>
      <c r="FE199" s="1464"/>
      <c r="FF199" s="1464"/>
    </row>
    <row r="201" spans="6:162" s="1466" customFormat="1" ht="15.75" customHeight="1">
      <c r="F201" s="1464"/>
      <c r="G201" s="1464"/>
      <c r="H201" s="1464"/>
      <c r="I201" s="1464"/>
      <c r="J201" s="1464"/>
      <c r="K201" s="1464"/>
      <c r="L201" s="1464"/>
      <c r="M201" s="1464"/>
      <c r="N201" s="1464"/>
      <c r="O201" s="1464"/>
      <c r="P201" s="1464"/>
      <c r="Q201" s="1464"/>
      <c r="R201" s="1464"/>
      <c r="S201" s="1464"/>
      <c r="T201" s="1464"/>
      <c r="U201" s="1464"/>
      <c r="V201" s="1464"/>
      <c r="W201" s="1464"/>
      <c r="X201" s="1464"/>
      <c r="Y201" s="1464"/>
      <c r="AA201" s="1464"/>
      <c r="AC201" s="1464"/>
      <c r="AD201" s="1464"/>
      <c r="AE201" s="1464"/>
      <c r="AF201" s="1464"/>
      <c r="AG201" s="1464"/>
      <c r="AH201" s="1465"/>
      <c r="AI201" s="1465"/>
      <c r="AJ201" s="1464"/>
      <c r="AK201" s="1464"/>
      <c r="AL201" s="1464"/>
      <c r="AM201" s="1464"/>
      <c r="AN201" s="1464"/>
      <c r="AO201" s="1464"/>
      <c r="AP201" s="1464"/>
      <c r="AQ201" s="1464"/>
      <c r="AR201" s="1464"/>
      <c r="AS201" s="1464"/>
      <c r="AT201" s="1464"/>
      <c r="AU201" s="1464"/>
      <c r="AV201" s="1464"/>
      <c r="AW201" s="1464"/>
      <c r="AX201" s="1464"/>
      <c r="AY201" s="1464"/>
      <c r="AZ201" s="1464"/>
      <c r="BA201" s="1464"/>
      <c r="BB201" s="1464"/>
      <c r="BC201" s="1464"/>
      <c r="BD201" s="1464"/>
      <c r="BE201" s="1464"/>
      <c r="BF201" s="1464"/>
      <c r="BG201" s="1464"/>
      <c r="BH201" s="1464"/>
      <c r="BI201" s="1464"/>
      <c r="BJ201" s="1464"/>
      <c r="BK201" s="1464"/>
      <c r="BL201" s="1464"/>
      <c r="BM201" s="1464"/>
      <c r="BN201" s="1464"/>
      <c r="BO201" s="1464"/>
      <c r="BP201" s="1464"/>
      <c r="BQ201" s="1464"/>
      <c r="BR201" s="1464"/>
      <c r="BS201" s="1464"/>
      <c r="BT201" s="1464"/>
      <c r="BU201" s="1464"/>
      <c r="BV201" s="1464"/>
      <c r="BW201" s="1464"/>
      <c r="BX201" s="1464"/>
      <c r="BY201" s="1464"/>
      <c r="BZ201" s="1464"/>
      <c r="CA201" s="1464"/>
      <c r="CB201" s="1464"/>
      <c r="CC201" s="1464"/>
      <c r="CD201" s="1464"/>
      <c r="CE201" s="1464"/>
      <c r="CF201" s="1464"/>
      <c r="CG201" s="1464"/>
      <c r="CH201" s="1464"/>
      <c r="CI201" s="1464"/>
      <c r="CJ201" s="1464"/>
      <c r="CK201" s="1464"/>
      <c r="CL201" s="1464"/>
      <c r="CM201" s="1464"/>
      <c r="CN201" s="1464"/>
      <c r="CO201" s="1464"/>
      <c r="CP201" s="1464"/>
      <c r="CQ201" s="1464"/>
      <c r="CR201" s="1464"/>
      <c r="CS201" s="1464"/>
      <c r="CT201" s="1464"/>
      <c r="CU201" s="1464"/>
      <c r="CV201" s="1464"/>
      <c r="CW201" s="1464"/>
      <c r="CX201" s="1464"/>
      <c r="CY201" s="1464"/>
      <c r="CZ201" s="1464"/>
      <c r="DA201" s="1464"/>
      <c r="DB201" s="1464"/>
      <c r="DC201" s="1464"/>
      <c r="DD201" s="1464"/>
      <c r="DE201" s="1464"/>
      <c r="DF201" s="1464"/>
      <c r="DG201" s="1464"/>
      <c r="DH201" s="1464"/>
      <c r="DI201" s="1464"/>
      <c r="DJ201" s="1464"/>
      <c r="DK201" s="1464"/>
      <c r="DL201" s="1464"/>
      <c r="DM201" s="1464"/>
      <c r="DN201" s="1464"/>
      <c r="DO201" s="1464"/>
      <c r="DP201" s="1464"/>
      <c r="DQ201" s="1464"/>
      <c r="DR201" s="1464"/>
      <c r="DS201" s="1464"/>
      <c r="DT201" s="1464"/>
      <c r="DU201" s="1464"/>
      <c r="DV201" s="1464"/>
      <c r="DW201" s="1464"/>
      <c r="DX201" s="1464"/>
      <c r="DY201" s="1464"/>
      <c r="DZ201" s="1464"/>
      <c r="EA201" s="1464"/>
      <c r="EB201" s="1464"/>
      <c r="EC201" s="1464"/>
      <c r="ED201" s="1464"/>
      <c r="EE201" s="1464"/>
      <c r="EF201" s="1464"/>
      <c r="EG201" s="1464"/>
      <c r="EH201" s="1464"/>
      <c r="EI201" s="1464"/>
      <c r="EJ201" s="1464"/>
      <c r="EK201" s="1464"/>
      <c r="EL201" s="1464"/>
      <c r="EM201" s="1464"/>
      <c r="EN201" s="1464"/>
      <c r="EO201" s="1464"/>
      <c r="EP201" s="1464"/>
      <c r="EQ201" s="1464"/>
      <c r="ER201" s="1464"/>
      <c r="ES201" s="1464"/>
      <c r="ET201" s="1464"/>
      <c r="EU201" s="1464"/>
      <c r="EV201" s="1464"/>
      <c r="EW201" s="1464"/>
      <c r="EX201" s="1464"/>
      <c r="EY201" s="1464"/>
      <c r="EZ201" s="1464"/>
      <c r="FA201" s="1464"/>
      <c r="FB201" s="1464"/>
      <c r="FC201" s="1464"/>
      <c r="FD201" s="1464"/>
      <c r="FE201" s="1464"/>
      <c r="FF201" s="1464"/>
    </row>
    <row r="203" spans="6:162" s="1466" customFormat="1" ht="15.75" customHeight="1">
      <c r="F203" s="1464"/>
      <c r="G203" s="1464"/>
      <c r="H203" s="1464"/>
      <c r="I203" s="1464"/>
      <c r="J203" s="1464"/>
      <c r="K203" s="1464"/>
      <c r="L203" s="1464"/>
      <c r="M203" s="1464"/>
      <c r="N203" s="1464"/>
      <c r="O203" s="1464"/>
      <c r="P203" s="1464"/>
      <c r="Q203" s="1464"/>
      <c r="R203" s="1464"/>
      <c r="S203" s="1464"/>
      <c r="T203" s="1464"/>
      <c r="U203" s="1464"/>
      <c r="V203" s="1464"/>
      <c r="W203" s="1464"/>
      <c r="X203" s="1464"/>
      <c r="Y203" s="1464"/>
      <c r="AA203" s="1464"/>
      <c r="AC203" s="1464"/>
      <c r="AD203" s="1464"/>
      <c r="AE203" s="1464"/>
      <c r="AF203" s="1464"/>
      <c r="AG203" s="1464"/>
      <c r="AH203" s="1465"/>
      <c r="AI203" s="1465"/>
      <c r="AJ203" s="1464"/>
      <c r="AK203" s="1464"/>
      <c r="AL203" s="1464"/>
      <c r="AM203" s="1464"/>
      <c r="AN203" s="1464"/>
      <c r="AO203" s="1464"/>
      <c r="AP203" s="1464"/>
      <c r="AQ203" s="1464"/>
      <c r="AR203" s="1464"/>
      <c r="AS203" s="1464"/>
      <c r="AT203" s="1464"/>
      <c r="AU203" s="1464"/>
      <c r="AV203" s="1464"/>
      <c r="AW203" s="1464"/>
      <c r="AX203" s="1464"/>
      <c r="AY203" s="1464"/>
      <c r="AZ203" s="1464"/>
      <c r="BA203" s="1464"/>
      <c r="BB203" s="1464"/>
      <c r="BC203" s="1464"/>
      <c r="BD203" s="1464"/>
      <c r="BE203" s="1464"/>
      <c r="BF203" s="1464"/>
      <c r="BG203" s="1464"/>
      <c r="BH203" s="1464"/>
      <c r="BI203" s="1464"/>
      <c r="BJ203" s="1464"/>
      <c r="BK203" s="1464"/>
      <c r="BL203" s="1464"/>
      <c r="BM203" s="1464"/>
      <c r="BN203" s="1464"/>
      <c r="BO203" s="1464"/>
      <c r="BP203" s="1464"/>
      <c r="BQ203" s="1464"/>
      <c r="BR203" s="1464"/>
      <c r="BS203" s="1464"/>
      <c r="BT203" s="1464"/>
      <c r="BU203" s="1464"/>
      <c r="BV203" s="1464"/>
      <c r="BW203" s="1464"/>
      <c r="BX203" s="1464"/>
      <c r="BY203" s="1464"/>
      <c r="BZ203" s="1464"/>
      <c r="CA203" s="1464"/>
      <c r="CB203" s="1464"/>
      <c r="CC203" s="1464"/>
      <c r="CD203" s="1464"/>
      <c r="CE203" s="1464"/>
      <c r="CF203" s="1464"/>
      <c r="CG203" s="1464"/>
      <c r="CH203" s="1464"/>
      <c r="CI203" s="1464"/>
      <c r="CJ203" s="1464"/>
      <c r="CK203" s="1464"/>
      <c r="CL203" s="1464"/>
      <c r="CM203" s="1464"/>
      <c r="CN203" s="1464"/>
      <c r="CO203" s="1464"/>
      <c r="CP203" s="1464"/>
      <c r="CQ203" s="1464"/>
      <c r="CR203" s="1464"/>
      <c r="CS203" s="1464"/>
      <c r="CT203" s="1464"/>
      <c r="CU203" s="1464"/>
      <c r="CV203" s="1464"/>
      <c r="CW203" s="1464"/>
      <c r="CX203" s="1464"/>
      <c r="CY203" s="1464"/>
      <c r="CZ203" s="1464"/>
      <c r="DA203" s="1464"/>
      <c r="DB203" s="1464"/>
      <c r="DC203" s="1464"/>
      <c r="DD203" s="1464"/>
      <c r="DE203" s="1464"/>
      <c r="DF203" s="1464"/>
      <c r="DG203" s="1464"/>
      <c r="DH203" s="1464"/>
      <c r="DI203" s="1464"/>
      <c r="DJ203" s="1464"/>
      <c r="DK203" s="1464"/>
      <c r="DL203" s="1464"/>
      <c r="DM203" s="1464"/>
      <c r="DN203" s="1464"/>
      <c r="DO203" s="1464"/>
      <c r="DP203" s="1464"/>
      <c r="DQ203" s="1464"/>
      <c r="DR203" s="1464"/>
      <c r="DS203" s="1464"/>
      <c r="DT203" s="1464"/>
      <c r="DU203" s="1464"/>
      <c r="DV203" s="1464"/>
      <c r="DW203" s="1464"/>
      <c r="DX203" s="1464"/>
      <c r="DY203" s="1464"/>
      <c r="DZ203" s="1464"/>
      <c r="EA203" s="1464"/>
      <c r="EB203" s="1464"/>
      <c r="EC203" s="1464"/>
      <c r="ED203" s="1464"/>
      <c r="EE203" s="1464"/>
      <c r="EF203" s="1464"/>
      <c r="EG203" s="1464"/>
      <c r="EH203" s="1464"/>
      <c r="EI203" s="1464"/>
      <c r="EJ203" s="1464"/>
      <c r="EK203" s="1464"/>
      <c r="EL203" s="1464"/>
      <c r="EM203" s="1464"/>
      <c r="EN203" s="1464"/>
      <c r="EO203" s="1464"/>
      <c r="EP203" s="1464"/>
      <c r="EQ203" s="1464"/>
      <c r="ER203" s="1464"/>
      <c r="ES203" s="1464"/>
      <c r="ET203" s="1464"/>
      <c r="EU203" s="1464"/>
      <c r="EV203" s="1464"/>
      <c r="EW203" s="1464"/>
      <c r="EX203" s="1464"/>
      <c r="EY203" s="1464"/>
      <c r="EZ203" s="1464"/>
      <c r="FA203" s="1464"/>
      <c r="FB203" s="1464"/>
      <c r="FC203" s="1464"/>
      <c r="FD203" s="1464"/>
      <c r="FE203" s="1464"/>
      <c r="FF203" s="1464"/>
    </row>
    <row r="205" spans="6:162" s="1466" customFormat="1" ht="15.75" customHeight="1">
      <c r="F205" s="1464"/>
      <c r="G205" s="1464"/>
      <c r="H205" s="1464"/>
      <c r="I205" s="1464"/>
      <c r="J205" s="1464"/>
      <c r="K205" s="1464"/>
      <c r="L205" s="1464"/>
      <c r="M205" s="1464"/>
      <c r="N205" s="1464"/>
      <c r="O205" s="1464"/>
      <c r="P205" s="1464"/>
      <c r="Q205" s="1464"/>
      <c r="R205" s="1464"/>
      <c r="S205" s="1464"/>
      <c r="T205" s="1464"/>
      <c r="U205" s="1464"/>
      <c r="V205" s="1464"/>
      <c r="W205" s="1464"/>
      <c r="X205" s="1464"/>
      <c r="Y205" s="1464"/>
      <c r="AA205" s="1464"/>
      <c r="AC205" s="1464"/>
      <c r="AD205" s="1464"/>
      <c r="AE205" s="1464"/>
      <c r="AF205" s="1464"/>
      <c r="AG205" s="1464"/>
      <c r="AH205" s="1465"/>
      <c r="AI205" s="1465"/>
      <c r="AJ205" s="1464"/>
      <c r="AK205" s="1464"/>
      <c r="AL205" s="1464"/>
      <c r="AM205" s="1464"/>
      <c r="AN205" s="1464"/>
      <c r="AO205" s="1464"/>
      <c r="AP205" s="1464"/>
      <c r="AQ205" s="1464"/>
      <c r="AR205" s="1464"/>
      <c r="AS205" s="1464"/>
      <c r="AT205" s="1464"/>
      <c r="AU205" s="1464"/>
      <c r="AV205" s="1464"/>
      <c r="AW205" s="1464"/>
      <c r="AX205" s="1464"/>
      <c r="AY205" s="1464"/>
      <c r="AZ205" s="1464"/>
      <c r="BA205" s="1464"/>
      <c r="BB205" s="1464"/>
      <c r="BC205" s="1464"/>
      <c r="BD205" s="1464"/>
      <c r="BE205" s="1464"/>
      <c r="BF205" s="1464"/>
      <c r="BG205" s="1464"/>
      <c r="BH205" s="1464"/>
      <c r="BI205" s="1464"/>
      <c r="BJ205" s="1464"/>
      <c r="BK205" s="1464"/>
      <c r="BL205" s="1464"/>
      <c r="BM205" s="1464"/>
      <c r="BN205" s="1464"/>
      <c r="BO205" s="1464"/>
      <c r="BP205" s="1464"/>
      <c r="BQ205" s="1464"/>
      <c r="BR205" s="1464"/>
      <c r="BS205" s="1464"/>
      <c r="BT205" s="1464"/>
      <c r="BU205" s="1464"/>
      <c r="BV205" s="1464"/>
      <c r="BW205" s="1464"/>
      <c r="BX205" s="1464"/>
      <c r="BY205" s="1464"/>
      <c r="BZ205" s="1464"/>
      <c r="CA205" s="1464"/>
      <c r="CB205" s="1464"/>
      <c r="CC205" s="1464"/>
      <c r="CD205" s="1464"/>
      <c r="CE205" s="1464"/>
      <c r="CF205" s="1464"/>
      <c r="CG205" s="1464"/>
      <c r="CH205" s="1464"/>
      <c r="CI205" s="1464"/>
      <c r="CJ205" s="1464"/>
      <c r="CK205" s="1464"/>
      <c r="CL205" s="1464"/>
      <c r="CM205" s="1464"/>
      <c r="CN205" s="1464"/>
      <c r="CO205" s="1464"/>
      <c r="CP205" s="1464"/>
      <c r="CQ205" s="1464"/>
      <c r="CR205" s="1464"/>
      <c r="CS205" s="1464"/>
      <c r="CT205" s="1464"/>
      <c r="CU205" s="1464"/>
      <c r="CV205" s="1464"/>
      <c r="CW205" s="1464"/>
      <c r="CX205" s="1464"/>
      <c r="CY205" s="1464"/>
      <c r="CZ205" s="1464"/>
      <c r="DA205" s="1464"/>
      <c r="DB205" s="1464"/>
      <c r="DC205" s="1464"/>
      <c r="DD205" s="1464"/>
      <c r="DE205" s="1464"/>
      <c r="DF205" s="1464"/>
      <c r="DG205" s="1464"/>
      <c r="DH205" s="1464"/>
      <c r="DI205" s="1464"/>
      <c r="DJ205" s="1464"/>
      <c r="DK205" s="1464"/>
      <c r="DL205" s="1464"/>
      <c r="DM205" s="1464"/>
      <c r="DN205" s="1464"/>
      <c r="DO205" s="1464"/>
      <c r="DP205" s="1464"/>
      <c r="DQ205" s="1464"/>
      <c r="DR205" s="1464"/>
      <c r="DS205" s="1464"/>
      <c r="DT205" s="1464"/>
      <c r="DU205" s="1464"/>
      <c r="DV205" s="1464"/>
      <c r="DW205" s="1464"/>
      <c r="DX205" s="1464"/>
      <c r="DY205" s="1464"/>
      <c r="DZ205" s="1464"/>
      <c r="EA205" s="1464"/>
      <c r="EB205" s="1464"/>
      <c r="EC205" s="1464"/>
      <c r="ED205" s="1464"/>
      <c r="EE205" s="1464"/>
      <c r="EF205" s="1464"/>
      <c r="EG205" s="1464"/>
      <c r="EH205" s="1464"/>
      <c r="EI205" s="1464"/>
      <c r="EJ205" s="1464"/>
      <c r="EK205" s="1464"/>
      <c r="EL205" s="1464"/>
      <c r="EM205" s="1464"/>
      <c r="EN205" s="1464"/>
      <c r="EO205" s="1464"/>
      <c r="EP205" s="1464"/>
      <c r="EQ205" s="1464"/>
      <c r="ER205" s="1464"/>
      <c r="ES205" s="1464"/>
      <c r="ET205" s="1464"/>
      <c r="EU205" s="1464"/>
      <c r="EV205" s="1464"/>
      <c r="EW205" s="1464"/>
      <c r="EX205" s="1464"/>
      <c r="EY205" s="1464"/>
      <c r="EZ205" s="1464"/>
      <c r="FA205" s="1464"/>
      <c r="FB205" s="1464"/>
      <c r="FC205" s="1464"/>
      <c r="FD205" s="1464"/>
      <c r="FE205" s="1464"/>
      <c r="FF205" s="1464"/>
    </row>
    <row r="207" spans="6:162" s="1466" customFormat="1" ht="15.75" customHeight="1">
      <c r="F207" s="1464"/>
      <c r="G207" s="1464"/>
      <c r="H207" s="1464"/>
      <c r="I207" s="1464"/>
      <c r="J207" s="1464"/>
      <c r="K207" s="1464"/>
      <c r="L207" s="1464"/>
      <c r="M207" s="1464"/>
      <c r="N207" s="1464"/>
      <c r="O207" s="1464"/>
      <c r="P207" s="1464"/>
      <c r="Q207" s="1464"/>
      <c r="R207" s="1464"/>
      <c r="S207" s="1464"/>
      <c r="T207" s="1464"/>
      <c r="U207" s="1464"/>
      <c r="V207" s="1464"/>
      <c r="W207" s="1464"/>
      <c r="X207" s="1464"/>
      <c r="Y207" s="1464"/>
      <c r="AA207" s="1464"/>
      <c r="AC207" s="1464"/>
      <c r="AD207" s="1464"/>
      <c r="AE207" s="1464"/>
      <c r="AF207" s="1464"/>
      <c r="AG207" s="1464"/>
      <c r="AH207" s="1465"/>
      <c r="AI207" s="1465"/>
      <c r="AJ207" s="1464"/>
      <c r="AK207" s="1464"/>
      <c r="AL207" s="1464"/>
      <c r="AM207" s="1464"/>
      <c r="AN207" s="1464"/>
      <c r="AO207" s="1464"/>
      <c r="AP207" s="1464"/>
      <c r="AQ207" s="1464"/>
      <c r="AR207" s="1464"/>
      <c r="AS207" s="1464"/>
      <c r="AT207" s="1464"/>
      <c r="AU207" s="1464"/>
      <c r="AV207" s="1464"/>
      <c r="AW207" s="1464"/>
      <c r="AX207" s="1464"/>
      <c r="AY207" s="1464"/>
      <c r="AZ207" s="1464"/>
      <c r="BA207" s="1464"/>
      <c r="BB207" s="1464"/>
      <c r="BC207" s="1464"/>
      <c r="BD207" s="1464"/>
      <c r="BE207" s="1464"/>
      <c r="BF207" s="1464"/>
      <c r="BG207" s="1464"/>
      <c r="BH207" s="1464"/>
      <c r="BI207" s="1464"/>
      <c r="BJ207" s="1464"/>
      <c r="BK207" s="1464"/>
      <c r="BL207" s="1464"/>
      <c r="BM207" s="1464"/>
      <c r="BN207" s="1464"/>
      <c r="BO207" s="1464"/>
      <c r="BP207" s="1464"/>
      <c r="BQ207" s="1464"/>
      <c r="BR207" s="1464"/>
      <c r="BS207" s="1464"/>
      <c r="BT207" s="1464"/>
      <c r="BU207" s="1464"/>
      <c r="BV207" s="1464"/>
      <c r="BW207" s="1464"/>
      <c r="BX207" s="1464"/>
      <c r="BY207" s="1464"/>
      <c r="BZ207" s="1464"/>
      <c r="CA207" s="1464"/>
      <c r="CB207" s="1464"/>
      <c r="CC207" s="1464"/>
      <c r="CD207" s="1464"/>
      <c r="CE207" s="1464"/>
      <c r="CF207" s="1464"/>
      <c r="CG207" s="1464"/>
      <c r="CH207" s="1464"/>
      <c r="CI207" s="1464"/>
      <c r="CJ207" s="1464"/>
      <c r="CK207" s="1464"/>
      <c r="CL207" s="1464"/>
      <c r="CM207" s="1464"/>
      <c r="CN207" s="1464"/>
      <c r="CO207" s="1464"/>
      <c r="CP207" s="1464"/>
      <c r="CQ207" s="1464"/>
      <c r="CR207" s="1464"/>
      <c r="CS207" s="1464"/>
      <c r="CT207" s="1464"/>
      <c r="CU207" s="1464"/>
      <c r="CV207" s="1464"/>
      <c r="CW207" s="1464"/>
      <c r="CX207" s="1464"/>
      <c r="CY207" s="1464"/>
      <c r="CZ207" s="1464"/>
      <c r="DA207" s="1464"/>
      <c r="DB207" s="1464"/>
      <c r="DC207" s="1464"/>
      <c r="DD207" s="1464"/>
      <c r="DE207" s="1464"/>
      <c r="DF207" s="1464"/>
      <c r="DG207" s="1464"/>
      <c r="DH207" s="1464"/>
      <c r="DI207" s="1464"/>
      <c r="DJ207" s="1464"/>
      <c r="DK207" s="1464"/>
      <c r="DL207" s="1464"/>
      <c r="DM207" s="1464"/>
      <c r="DN207" s="1464"/>
      <c r="DO207" s="1464"/>
      <c r="DP207" s="1464"/>
      <c r="DQ207" s="1464"/>
      <c r="DR207" s="1464"/>
      <c r="DS207" s="1464"/>
      <c r="DT207" s="1464"/>
      <c r="DU207" s="1464"/>
      <c r="DV207" s="1464"/>
      <c r="DW207" s="1464"/>
      <c r="DX207" s="1464"/>
      <c r="DY207" s="1464"/>
      <c r="DZ207" s="1464"/>
      <c r="EA207" s="1464"/>
      <c r="EB207" s="1464"/>
      <c r="EC207" s="1464"/>
      <c r="ED207" s="1464"/>
      <c r="EE207" s="1464"/>
      <c r="EF207" s="1464"/>
      <c r="EG207" s="1464"/>
      <c r="EH207" s="1464"/>
      <c r="EI207" s="1464"/>
      <c r="EJ207" s="1464"/>
      <c r="EK207" s="1464"/>
      <c r="EL207" s="1464"/>
      <c r="EM207" s="1464"/>
      <c r="EN207" s="1464"/>
      <c r="EO207" s="1464"/>
      <c r="EP207" s="1464"/>
      <c r="EQ207" s="1464"/>
      <c r="ER207" s="1464"/>
      <c r="ES207" s="1464"/>
      <c r="ET207" s="1464"/>
      <c r="EU207" s="1464"/>
      <c r="EV207" s="1464"/>
      <c r="EW207" s="1464"/>
      <c r="EX207" s="1464"/>
      <c r="EY207" s="1464"/>
      <c r="EZ207" s="1464"/>
      <c r="FA207" s="1464"/>
      <c r="FB207" s="1464"/>
      <c r="FC207" s="1464"/>
      <c r="FD207" s="1464"/>
      <c r="FE207" s="1464"/>
      <c r="FF207" s="1464"/>
    </row>
    <row r="209" spans="6:162" s="1466" customFormat="1" ht="15.75" customHeight="1">
      <c r="F209" s="1464"/>
      <c r="G209" s="1464"/>
      <c r="H209" s="1464"/>
      <c r="I209" s="1464"/>
      <c r="J209" s="1464"/>
      <c r="K209" s="1464"/>
      <c r="L209" s="1464"/>
      <c r="M209" s="1464"/>
      <c r="N209" s="1464"/>
      <c r="O209" s="1464"/>
      <c r="P209" s="1464"/>
      <c r="Q209" s="1464"/>
      <c r="R209" s="1464"/>
      <c r="S209" s="1464"/>
      <c r="T209" s="1464"/>
      <c r="U209" s="1464"/>
      <c r="V209" s="1464"/>
      <c r="W209" s="1464"/>
      <c r="X209" s="1464"/>
      <c r="Y209" s="1464"/>
      <c r="AA209" s="1464"/>
      <c r="AC209" s="1464"/>
      <c r="AD209" s="1464"/>
      <c r="AE209" s="1464"/>
      <c r="AF209" s="1464"/>
      <c r="AG209" s="1464"/>
      <c r="AH209" s="1465"/>
      <c r="AI209" s="1465"/>
      <c r="AJ209" s="1464"/>
      <c r="AK209" s="1464"/>
      <c r="AL209" s="1464"/>
      <c r="AM209" s="1464"/>
      <c r="AN209" s="1464"/>
      <c r="AO209" s="1464"/>
      <c r="AP209" s="1464"/>
      <c r="AQ209" s="1464"/>
      <c r="AR209" s="1464"/>
      <c r="AS209" s="1464"/>
      <c r="AT209" s="1464"/>
      <c r="AU209" s="1464"/>
      <c r="AV209" s="1464"/>
      <c r="AW209" s="1464"/>
      <c r="AX209" s="1464"/>
      <c r="AY209" s="1464"/>
      <c r="AZ209" s="1464"/>
      <c r="BA209" s="1464"/>
      <c r="BB209" s="1464"/>
      <c r="BC209" s="1464"/>
      <c r="BD209" s="1464"/>
      <c r="BE209" s="1464"/>
      <c r="BF209" s="1464"/>
      <c r="BG209" s="1464"/>
      <c r="BH209" s="1464"/>
      <c r="BI209" s="1464"/>
      <c r="BJ209" s="1464"/>
      <c r="BK209" s="1464"/>
      <c r="BL209" s="1464"/>
      <c r="BM209" s="1464"/>
      <c r="BN209" s="1464"/>
      <c r="BO209" s="1464"/>
      <c r="BP209" s="1464"/>
      <c r="BQ209" s="1464"/>
      <c r="BR209" s="1464"/>
      <c r="BS209" s="1464"/>
      <c r="BT209" s="1464"/>
      <c r="BU209" s="1464"/>
      <c r="BV209" s="1464"/>
      <c r="BW209" s="1464"/>
      <c r="BX209" s="1464"/>
      <c r="BY209" s="1464"/>
      <c r="BZ209" s="1464"/>
      <c r="CA209" s="1464"/>
      <c r="CB209" s="1464"/>
      <c r="CC209" s="1464"/>
      <c r="CD209" s="1464"/>
      <c r="CE209" s="1464"/>
      <c r="CF209" s="1464"/>
      <c r="CG209" s="1464"/>
      <c r="CH209" s="1464"/>
      <c r="CI209" s="1464"/>
      <c r="CJ209" s="1464"/>
      <c r="CK209" s="1464"/>
      <c r="CL209" s="1464"/>
      <c r="CM209" s="1464"/>
      <c r="CN209" s="1464"/>
      <c r="CO209" s="1464"/>
      <c r="CP209" s="1464"/>
      <c r="CQ209" s="1464"/>
      <c r="CR209" s="1464"/>
      <c r="CS209" s="1464"/>
      <c r="CT209" s="1464"/>
      <c r="CU209" s="1464"/>
      <c r="CV209" s="1464"/>
      <c r="CW209" s="1464"/>
      <c r="CX209" s="1464"/>
      <c r="CY209" s="1464"/>
      <c r="CZ209" s="1464"/>
      <c r="DA209" s="1464"/>
      <c r="DB209" s="1464"/>
      <c r="DC209" s="1464"/>
      <c r="DD209" s="1464"/>
      <c r="DE209" s="1464"/>
      <c r="DF209" s="1464"/>
      <c r="DG209" s="1464"/>
      <c r="DH209" s="1464"/>
      <c r="DI209" s="1464"/>
      <c r="DJ209" s="1464"/>
      <c r="DK209" s="1464"/>
      <c r="DL209" s="1464"/>
      <c r="DM209" s="1464"/>
      <c r="DN209" s="1464"/>
      <c r="DO209" s="1464"/>
      <c r="DP209" s="1464"/>
      <c r="DQ209" s="1464"/>
      <c r="DR209" s="1464"/>
      <c r="DS209" s="1464"/>
      <c r="DT209" s="1464"/>
      <c r="DU209" s="1464"/>
      <c r="DV209" s="1464"/>
      <c r="DW209" s="1464"/>
      <c r="DX209" s="1464"/>
      <c r="DY209" s="1464"/>
      <c r="DZ209" s="1464"/>
      <c r="EA209" s="1464"/>
      <c r="EB209" s="1464"/>
      <c r="EC209" s="1464"/>
      <c r="ED209" s="1464"/>
      <c r="EE209" s="1464"/>
      <c r="EF209" s="1464"/>
      <c r="EG209" s="1464"/>
      <c r="EH209" s="1464"/>
      <c r="EI209" s="1464"/>
      <c r="EJ209" s="1464"/>
      <c r="EK209" s="1464"/>
      <c r="EL209" s="1464"/>
      <c r="EM209" s="1464"/>
      <c r="EN209" s="1464"/>
      <c r="EO209" s="1464"/>
      <c r="EP209" s="1464"/>
      <c r="EQ209" s="1464"/>
      <c r="ER209" s="1464"/>
      <c r="ES209" s="1464"/>
      <c r="ET209" s="1464"/>
      <c r="EU209" s="1464"/>
      <c r="EV209" s="1464"/>
      <c r="EW209" s="1464"/>
      <c r="EX209" s="1464"/>
      <c r="EY209" s="1464"/>
      <c r="EZ209" s="1464"/>
      <c r="FA209" s="1464"/>
      <c r="FB209" s="1464"/>
      <c r="FC209" s="1464"/>
      <c r="FD209" s="1464"/>
      <c r="FE209" s="1464"/>
      <c r="FF209" s="1464"/>
    </row>
    <row r="211" spans="6:162" s="1466" customFormat="1" ht="15.75" customHeight="1">
      <c r="F211" s="1464"/>
      <c r="G211" s="1464"/>
      <c r="H211" s="1464"/>
      <c r="I211" s="1464"/>
      <c r="J211" s="1464"/>
      <c r="K211" s="1464"/>
      <c r="L211" s="1464"/>
      <c r="M211" s="1464"/>
      <c r="N211" s="1464"/>
      <c r="O211" s="1464"/>
      <c r="P211" s="1464"/>
      <c r="Q211" s="1464"/>
      <c r="R211" s="1464"/>
      <c r="S211" s="1464"/>
      <c r="T211" s="1464"/>
      <c r="U211" s="1464"/>
      <c r="V211" s="1464"/>
      <c r="W211" s="1464"/>
      <c r="X211" s="1464"/>
      <c r="Y211" s="1464"/>
      <c r="AA211" s="1464"/>
      <c r="AC211" s="1464"/>
      <c r="AD211" s="1464"/>
      <c r="AE211" s="1464"/>
      <c r="AF211" s="1464"/>
      <c r="AG211" s="1464"/>
      <c r="AH211" s="1465"/>
      <c r="AI211" s="1465"/>
      <c r="AJ211" s="1464"/>
      <c r="AK211" s="1464"/>
      <c r="AL211" s="1464"/>
      <c r="AM211" s="1464"/>
      <c r="AN211" s="1464"/>
      <c r="AO211" s="1464"/>
      <c r="AP211" s="1464"/>
      <c r="AQ211" s="1464"/>
      <c r="AR211" s="1464"/>
      <c r="AS211" s="1464"/>
      <c r="AT211" s="1464"/>
      <c r="AU211" s="1464"/>
      <c r="AV211" s="1464"/>
      <c r="AW211" s="1464"/>
      <c r="AX211" s="1464"/>
      <c r="AY211" s="1464"/>
      <c r="AZ211" s="1464"/>
      <c r="BA211" s="1464"/>
      <c r="BB211" s="1464"/>
      <c r="BC211" s="1464"/>
      <c r="BD211" s="1464"/>
      <c r="BE211" s="1464"/>
      <c r="BF211" s="1464"/>
      <c r="BG211" s="1464"/>
      <c r="BH211" s="1464"/>
      <c r="BI211" s="1464"/>
      <c r="BJ211" s="1464"/>
      <c r="BK211" s="1464"/>
      <c r="BL211" s="1464"/>
      <c r="BM211" s="1464"/>
      <c r="BN211" s="1464"/>
      <c r="BO211" s="1464"/>
      <c r="BP211" s="1464"/>
      <c r="BQ211" s="1464"/>
      <c r="BR211" s="1464"/>
      <c r="BS211" s="1464"/>
      <c r="BT211" s="1464"/>
      <c r="BU211" s="1464"/>
      <c r="BV211" s="1464"/>
      <c r="BW211" s="1464"/>
      <c r="BX211" s="1464"/>
      <c r="BY211" s="1464"/>
      <c r="BZ211" s="1464"/>
      <c r="CA211" s="1464"/>
      <c r="CB211" s="1464"/>
      <c r="CC211" s="1464"/>
      <c r="CD211" s="1464"/>
      <c r="CE211" s="1464"/>
      <c r="CF211" s="1464"/>
      <c r="CG211" s="1464"/>
      <c r="CH211" s="1464"/>
      <c r="CI211" s="1464"/>
      <c r="CJ211" s="1464"/>
      <c r="CK211" s="1464"/>
      <c r="CL211" s="1464"/>
      <c r="CM211" s="1464"/>
      <c r="CN211" s="1464"/>
      <c r="CO211" s="1464"/>
      <c r="CP211" s="1464"/>
      <c r="CQ211" s="1464"/>
      <c r="CR211" s="1464"/>
      <c r="CS211" s="1464"/>
      <c r="CT211" s="1464"/>
      <c r="CU211" s="1464"/>
      <c r="CV211" s="1464"/>
      <c r="CW211" s="1464"/>
      <c r="CX211" s="1464"/>
      <c r="CY211" s="1464"/>
      <c r="CZ211" s="1464"/>
      <c r="DA211" s="1464"/>
      <c r="DB211" s="1464"/>
      <c r="DC211" s="1464"/>
      <c r="DD211" s="1464"/>
      <c r="DE211" s="1464"/>
      <c r="DF211" s="1464"/>
      <c r="DG211" s="1464"/>
      <c r="DH211" s="1464"/>
      <c r="DI211" s="1464"/>
      <c r="DJ211" s="1464"/>
      <c r="DK211" s="1464"/>
      <c r="DL211" s="1464"/>
      <c r="DM211" s="1464"/>
      <c r="DN211" s="1464"/>
      <c r="DO211" s="1464"/>
      <c r="DP211" s="1464"/>
      <c r="DQ211" s="1464"/>
      <c r="DR211" s="1464"/>
      <c r="DS211" s="1464"/>
      <c r="DT211" s="1464"/>
      <c r="DU211" s="1464"/>
      <c r="DV211" s="1464"/>
      <c r="DW211" s="1464"/>
      <c r="DX211" s="1464"/>
      <c r="DY211" s="1464"/>
      <c r="DZ211" s="1464"/>
      <c r="EA211" s="1464"/>
      <c r="EB211" s="1464"/>
      <c r="EC211" s="1464"/>
      <c r="ED211" s="1464"/>
      <c r="EE211" s="1464"/>
      <c r="EF211" s="1464"/>
      <c r="EG211" s="1464"/>
      <c r="EH211" s="1464"/>
      <c r="EI211" s="1464"/>
      <c r="EJ211" s="1464"/>
      <c r="EK211" s="1464"/>
      <c r="EL211" s="1464"/>
      <c r="EM211" s="1464"/>
      <c r="EN211" s="1464"/>
      <c r="EO211" s="1464"/>
      <c r="EP211" s="1464"/>
      <c r="EQ211" s="1464"/>
      <c r="ER211" s="1464"/>
      <c r="ES211" s="1464"/>
      <c r="ET211" s="1464"/>
      <c r="EU211" s="1464"/>
      <c r="EV211" s="1464"/>
      <c r="EW211" s="1464"/>
      <c r="EX211" s="1464"/>
      <c r="EY211" s="1464"/>
      <c r="EZ211" s="1464"/>
      <c r="FA211" s="1464"/>
      <c r="FB211" s="1464"/>
      <c r="FC211" s="1464"/>
      <c r="FD211" s="1464"/>
      <c r="FE211" s="1464"/>
      <c r="FF211" s="1464"/>
    </row>
    <row r="213" spans="6:162" s="1466" customFormat="1" ht="15.75" customHeight="1">
      <c r="F213" s="1464"/>
      <c r="G213" s="1464"/>
      <c r="H213" s="1464"/>
      <c r="I213" s="1464"/>
      <c r="J213" s="1464"/>
      <c r="K213" s="1464"/>
      <c r="L213" s="1464"/>
      <c r="M213" s="1464"/>
      <c r="N213" s="1464"/>
      <c r="O213" s="1464"/>
      <c r="P213" s="1464"/>
      <c r="Q213" s="1464"/>
      <c r="R213" s="1464"/>
      <c r="S213" s="1464"/>
      <c r="T213" s="1464"/>
      <c r="U213" s="1464"/>
      <c r="V213" s="1464"/>
      <c r="W213" s="1464"/>
      <c r="X213" s="1464"/>
      <c r="Y213" s="1464"/>
      <c r="AA213" s="1464"/>
      <c r="AC213" s="1464"/>
      <c r="AD213" s="1464"/>
      <c r="AE213" s="1464"/>
      <c r="AF213" s="1464"/>
      <c r="AG213" s="1464"/>
      <c r="AH213" s="1465"/>
      <c r="AI213" s="1465"/>
      <c r="AJ213" s="1464"/>
      <c r="AK213" s="1464"/>
      <c r="AL213" s="1464"/>
      <c r="AM213" s="1464"/>
      <c r="AN213" s="1464"/>
      <c r="AO213" s="1464"/>
      <c r="AP213" s="1464"/>
      <c r="AQ213" s="1464"/>
      <c r="AR213" s="1464"/>
      <c r="AS213" s="1464"/>
      <c r="AT213" s="1464"/>
      <c r="AU213" s="1464"/>
      <c r="AV213" s="1464"/>
      <c r="AW213" s="1464"/>
      <c r="AX213" s="1464"/>
      <c r="AY213" s="1464"/>
      <c r="AZ213" s="1464"/>
      <c r="BA213" s="1464"/>
      <c r="BB213" s="1464"/>
      <c r="BC213" s="1464"/>
      <c r="BD213" s="1464"/>
      <c r="BE213" s="1464"/>
      <c r="BF213" s="1464"/>
      <c r="BG213" s="1464"/>
      <c r="BH213" s="1464"/>
      <c r="BI213" s="1464"/>
      <c r="BJ213" s="1464"/>
      <c r="BK213" s="1464"/>
      <c r="BL213" s="1464"/>
      <c r="BM213" s="1464"/>
      <c r="BN213" s="1464"/>
      <c r="BO213" s="1464"/>
      <c r="BP213" s="1464"/>
      <c r="BQ213" s="1464"/>
      <c r="BR213" s="1464"/>
      <c r="BS213" s="1464"/>
      <c r="BT213" s="1464"/>
      <c r="BU213" s="1464"/>
      <c r="BV213" s="1464"/>
      <c r="BW213" s="1464"/>
      <c r="BX213" s="1464"/>
      <c r="BY213" s="1464"/>
      <c r="BZ213" s="1464"/>
      <c r="CA213" s="1464"/>
      <c r="CB213" s="1464"/>
      <c r="CC213" s="1464"/>
      <c r="CD213" s="1464"/>
      <c r="CE213" s="1464"/>
      <c r="CF213" s="1464"/>
      <c r="CG213" s="1464"/>
      <c r="CH213" s="1464"/>
      <c r="CI213" s="1464"/>
      <c r="CJ213" s="1464"/>
      <c r="CK213" s="1464"/>
      <c r="CL213" s="1464"/>
      <c r="CM213" s="1464"/>
      <c r="CN213" s="1464"/>
      <c r="CO213" s="1464"/>
      <c r="CP213" s="1464"/>
      <c r="CQ213" s="1464"/>
      <c r="CR213" s="1464"/>
      <c r="CS213" s="1464"/>
      <c r="CT213" s="1464"/>
      <c r="CU213" s="1464"/>
      <c r="CV213" s="1464"/>
      <c r="CW213" s="1464"/>
      <c r="CX213" s="1464"/>
      <c r="CY213" s="1464"/>
      <c r="CZ213" s="1464"/>
      <c r="DA213" s="1464"/>
      <c r="DB213" s="1464"/>
      <c r="DC213" s="1464"/>
      <c r="DD213" s="1464"/>
      <c r="DE213" s="1464"/>
      <c r="DF213" s="1464"/>
      <c r="DG213" s="1464"/>
      <c r="DH213" s="1464"/>
      <c r="DI213" s="1464"/>
      <c r="DJ213" s="1464"/>
      <c r="DK213" s="1464"/>
      <c r="DL213" s="1464"/>
      <c r="DM213" s="1464"/>
      <c r="DN213" s="1464"/>
      <c r="DO213" s="1464"/>
      <c r="DP213" s="1464"/>
      <c r="DQ213" s="1464"/>
      <c r="DR213" s="1464"/>
      <c r="DS213" s="1464"/>
      <c r="DT213" s="1464"/>
      <c r="DU213" s="1464"/>
      <c r="DV213" s="1464"/>
      <c r="DW213" s="1464"/>
      <c r="DX213" s="1464"/>
      <c r="DY213" s="1464"/>
      <c r="DZ213" s="1464"/>
      <c r="EA213" s="1464"/>
      <c r="EB213" s="1464"/>
      <c r="EC213" s="1464"/>
      <c r="ED213" s="1464"/>
      <c r="EE213" s="1464"/>
      <c r="EF213" s="1464"/>
      <c r="EG213" s="1464"/>
      <c r="EH213" s="1464"/>
      <c r="EI213" s="1464"/>
      <c r="EJ213" s="1464"/>
      <c r="EK213" s="1464"/>
      <c r="EL213" s="1464"/>
      <c r="EM213" s="1464"/>
      <c r="EN213" s="1464"/>
      <c r="EO213" s="1464"/>
      <c r="EP213" s="1464"/>
      <c r="EQ213" s="1464"/>
      <c r="ER213" s="1464"/>
      <c r="ES213" s="1464"/>
      <c r="ET213" s="1464"/>
      <c r="EU213" s="1464"/>
      <c r="EV213" s="1464"/>
      <c r="EW213" s="1464"/>
      <c r="EX213" s="1464"/>
      <c r="EY213" s="1464"/>
      <c r="EZ213" s="1464"/>
      <c r="FA213" s="1464"/>
      <c r="FB213" s="1464"/>
      <c r="FC213" s="1464"/>
      <c r="FD213" s="1464"/>
      <c r="FE213" s="1464"/>
      <c r="FF213" s="1464"/>
    </row>
    <row r="215" spans="6:162" s="1466" customFormat="1" ht="15.75" customHeight="1">
      <c r="F215" s="1464"/>
      <c r="G215" s="1464"/>
      <c r="H215" s="1464"/>
      <c r="I215" s="1464"/>
      <c r="J215" s="1464"/>
      <c r="K215" s="1464"/>
      <c r="L215" s="1464"/>
      <c r="M215" s="1464"/>
      <c r="N215" s="1464"/>
      <c r="O215" s="1464"/>
      <c r="P215" s="1464"/>
      <c r="Q215" s="1464"/>
      <c r="R215" s="1464"/>
      <c r="S215" s="1464"/>
      <c r="T215" s="1464"/>
      <c r="U215" s="1464"/>
      <c r="V215" s="1464"/>
      <c r="W215" s="1464"/>
      <c r="X215" s="1464"/>
      <c r="Y215" s="1464"/>
      <c r="AA215" s="1464"/>
      <c r="AC215" s="1464"/>
      <c r="AD215" s="1464"/>
      <c r="AE215" s="1464"/>
      <c r="AF215" s="1464"/>
      <c r="AG215" s="1464"/>
      <c r="AH215" s="1465"/>
      <c r="AI215" s="1465"/>
      <c r="AJ215" s="1464"/>
      <c r="AK215" s="1464"/>
      <c r="AL215" s="1464"/>
      <c r="AM215" s="1464"/>
      <c r="AN215" s="1464"/>
      <c r="AO215" s="1464"/>
      <c r="AP215" s="1464"/>
      <c r="AQ215" s="1464"/>
      <c r="AR215" s="1464"/>
      <c r="AS215" s="1464"/>
      <c r="AT215" s="1464"/>
      <c r="AU215" s="1464"/>
      <c r="AV215" s="1464"/>
      <c r="AW215" s="1464"/>
      <c r="AX215" s="1464"/>
      <c r="AY215" s="1464"/>
      <c r="AZ215" s="1464"/>
      <c r="BA215" s="1464"/>
      <c r="BB215" s="1464"/>
      <c r="BC215" s="1464"/>
      <c r="BD215" s="1464"/>
      <c r="BE215" s="1464"/>
      <c r="BF215" s="1464"/>
      <c r="BG215" s="1464"/>
      <c r="BH215" s="1464"/>
      <c r="BI215" s="1464"/>
      <c r="BJ215" s="1464"/>
      <c r="BK215" s="1464"/>
      <c r="BL215" s="1464"/>
      <c r="BM215" s="1464"/>
      <c r="BN215" s="1464"/>
      <c r="BO215" s="1464"/>
      <c r="BP215" s="1464"/>
      <c r="BQ215" s="1464"/>
      <c r="BR215" s="1464"/>
      <c r="BS215" s="1464"/>
      <c r="BT215" s="1464"/>
      <c r="BU215" s="1464"/>
      <c r="BV215" s="1464"/>
      <c r="BW215" s="1464"/>
      <c r="BX215" s="1464"/>
      <c r="BY215" s="1464"/>
      <c r="BZ215" s="1464"/>
      <c r="CA215" s="1464"/>
      <c r="CB215" s="1464"/>
      <c r="CC215" s="1464"/>
      <c r="CD215" s="1464"/>
      <c r="CE215" s="1464"/>
      <c r="CF215" s="1464"/>
      <c r="CG215" s="1464"/>
      <c r="CH215" s="1464"/>
      <c r="CI215" s="1464"/>
      <c r="CJ215" s="1464"/>
      <c r="CK215" s="1464"/>
      <c r="CL215" s="1464"/>
      <c r="CM215" s="1464"/>
      <c r="CN215" s="1464"/>
      <c r="CO215" s="1464"/>
      <c r="CP215" s="1464"/>
      <c r="CQ215" s="1464"/>
      <c r="CR215" s="1464"/>
      <c r="CS215" s="1464"/>
      <c r="CT215" s="1464"/>
      <c r="CU215" s="1464"/>
      <c r="CV215" s="1464"/>
      <c r="CW215" s="1464"/>
      <c r="CX215" s="1464"/>
      <c r="CY215" s="1464"/>
      <c r="CZ215" s="1464"/>
      <c r="DA215" s="1464"/>
      <c r="DB215" s="1464"/>
      <c r="DC215" s="1464"/>
      <c r="DD215" s="1464"/>
      <c r="DE215" s="1464"/>
      <c r="DF215" s="1464"/>
      <c r="DG215" s="1464"/>
      <c r="DH215" s="1464"/>
      <c r="DI215" s="1464"/>
      <c r="DJ215" s="1464"/>
      <c r="DK215" s="1464"/>
      <c r="DL215" s="1464"/>
      <c r="DM215" s="1464"/>
      <c r="DN215" s="1464"/>
      <c r="DO215" s="1464"/>
      <c r="DP215" s="1464"/>
      <c r="DQ215" s="1464"/>
      <c r="DR215" s="1464"/>
      <c r="DS215" s="1464"/>
      <c r="DT215" s="1464"/>
      <c r="DU215" s="1464"/>
      <c r="DV215" s="1464"/>
      <c r="DW215" s="1464"/>
      <c r="DX215" s="1464"/>
      <c r="DY215" s="1464"/>
      <c r="DZ215" s="1464"/>
      <c r="EA215" s="1464"/>
      <c r="EB215" s="1464"/>
      <c r="EC215" s="1464"/>
      <c r="ED215" s="1464"/>
      <c r="EE215" s="1464"/>
      <c r="EF215" s="1464"/>
      <c r="EG215" s="1464"/>
      <c r="EH215" s="1464"/>
      <c r="EI215" s="1464"/>
      <c r="EJ215" s="1464"/>
      <c r="EK215" s="1464"/>
      <c r="EL215" s="1464"/>
      <c r="EM215" s="1464"/>
      <c r="EN215" s="1464"/>
      <c r="EO215" s="1464"/>
      <c r="EP215" s="1464"/>
      <c r="EQ215" s="1464"/>
      <c r="ER215" s="1464"/>
      <c r="ES215" s="1464"/>
      <c r="ET215" s="1464"/>
      <c r="EU215" s="1464"/>
      <c r="EV215" s="1464"/>
      <c r="EW215" s="1464"/>
      <c r="EX215" s="1464"/>
      <c r="EY215" s="1464"/>
      <c r="EZ215" s="1464"/>
      <c r="FA215" s="1464"/>
      <c r="FB215" s="1464"/>
      <c r="FC215" s="1464"/>
      <c r="FD215" s="1464"/>
      <c r="FE215" s="1464"/>
      <c r="FF215" s="1464"/>
    </row>
    <row r="217" spans="6:162" s="1466" customFormat="1" ht="15.75" customHeight="1">
      <c r="F217" s="1464"/>
      <c r="G217" s="1464"/>
      <c r="H217" s="1464"/>
      <c r="I217" s="1464"/>
      <c r="J217" s="1464"/>
      <c r="K217" s="1464"/>
      <c r="L217" s="1464"/>
      <c r="M217" s="1464"/>
      <c r="N217" s="1464"/>
      <c r="O217" s="1464"/>
      <c r="P217" s="1464"/>
      <c r="Q217" s="1464"/>
      <c r="R217" s="1464"/>
      <c r="S217" s="1464"/>
      <c r="T217" s="1464"/>
      <c r="U217" s="1464"/>
      <c r="V217" s="1464"/>
      <c r="W217" s="1464"/>
      <c r="X217" s="1464"/>
      <c r="Y217" s="1464"/>
      <c r="AA217" s="1464"/>
      <c r="AC217" s="1464"/>
      <c r="AD217" s="1464"/>
      <c r="AE217" s="1464"/>
      <c r="AF217" s="1464"/>
      <c r="AG217" s="1464"/>
      <c r="AH217" s="1465"/>
      <c r="AI217" s="1465"/>
      <c r="AJ217" s="1464"/>
      <c r="AK217" s="1464"/>
      <c r="AL217" s="1464"/>
      <c r="AM217" s="1464"/>
      <c r="AN217" s="1464"/>
      <c r="AO217" s="1464"/>
      <c r="AP217" s="1464"/>
      <c r="AQ217" s="1464"/>
      <c r="AR217" s="1464"/>
      <c r="AS217" s="1464"/>
      <c r="AT217" s="1464"/>
      <c r="AU217" s="1464"/>
      <c r="AV217" s="1464"/>
      <c r="AW217" s="1464"/>
      <c r="AX217" s="1464"/>
      <c r="AY217" s="1464"/>
      <c r="AZ217" s="1464"/>
      <c r="BA217" s="1464"/>
      <c r="BB217" s="1464"/>
      <c r="BC217" s="1464"/>
      <c r="BD217" s="1464"/>
      <c r="BE217" s="1464"/>
      <c r="BF217" s="1464"/>
      <c r="BG217" s="1464"/>
      <c r="BH217" s="1464"/>
      <c r="BI217" s="1464"/>
      <c r="BJ217" s="1464"/>
      <c r="BK217" s="1464"/>
      <c r="BL217" s="1464"/>
      <c r="BM217" s="1464"/>
      <c r="BN217" s="1464"/>
      <c r="BO217" s="1464"/>
      <c r="BP217" s="1464"/>
      <c r="BQ217" s="1464"/>
      <c r="BR217" s="1464"/>
      <c r="BS217" s="1464"/>
      <c r="BT217" s="1464"/>
      <c r="BU217" s="1464"/>
      <c r="BV217" s="1464"/>
      <c r="BW217" s="1464"/>
      <c r="BX217" s="1464"/>
      <c r="BY217" s="1464"/>
      <c r="BZ217" s="1464"/>
      <c r="CA217" s="1464"/>
      <c r="CB217" s="1464"/>
      <c r="CC217" s="1464"/>
      <c r="CD217" s="1464"/>
      <c r="CE217" s="1464"/>
      <c r="CF217" s="1464"/>
      <c r="CG217" s="1464"/>
      <c r="CH217" s="1464"/>
      <c r="CI217" s="1464"/>
      <c r="CJ217" s="1464"/>
      <c r="CK217" s="1464"/>
      <c r="CL217" s="1464"/>
      <c r="CM217" s="1464"/>
      <c r="CN217" s="1464"/>
      <c r="CO217" s="1464"/>
      <c r="CP217" s="1464"/>
      <c r="CQ217" s="1464"/>
      <c r="CR217" s="1464"/>
      <c r="CS217" s="1464"/>
      <c r="CT217" s="1464"/>
      <c r="CU217" s="1464"/>
      <c r="CV217" s="1464"/>
      <c r="CW217" s="1464"/>
      <c r="CX217" s="1464"/>
      <c r="CY217" s="1464"/>
      <c r="CZ217" s="1464"/>
      <c r="DA217" s="1464"/>
      <c r="DB217" s="1464"/>
      <c r="DC217" s="1464"/>
      <c r="DD217" s="1464"/>
      <c r="DE217" s="1464"/>
      <c r="DF217" s="1464"/>
      <c r="DG217" s="1464"/>
      <c r="DH217" s="1464"/>
      <c r="DI217" s="1464"/>
      <c r="DJ217" s="1464"/>
      <c r="DK217" s="1464"/>
      <c r="DL217" s="1464"/>
      <c r="DM217" s="1464"/>
      <c r="DN217" s="1464"/>
      <c r="DO217" s="1464"/>
      <c r="DP217" s="1464"/>
      <c r="DQ217" s="1464"/>
      <c r="DR217" s="1464"/>
      <c r="DS217" s="1464"/>
      <c r="DT217" s="1464"/>
      <c r="DU217" s="1464"/>
      <c r="DV217" s="1464"/>
      <c r="DW217" s="1464"/>
      <c r="DX217" s="1464"/>
      <c r="DY217" s="1464"/>
      <c r="DZ217" s="1464"/>
      <c r="EA217" s="1464"/>
      <c r="EB217" s="1464"/>
      <c r="EC217" s="1464"/>
      <c r="ED217" s="1464"/>
      <c r="EE217" s="1464"/>
      <c r="EF217" s="1464"/>
      <c r="EG217" s="1464"/>
      <c r="EH217" s="1464"/>
      <c r="EI217" s="1464"/>
      <c r="EJ217" s="1464"/>
      <c r="EK217" s="1464"/>
      <c r="EL217" s="1464"/>
      <c r="EM217" s="1464"/>
      <c r="EN217" s="1464"/>
      <c r="EO217" s="1464"/>
      <c r="EP217" s="1464"/>
      <c r="EQ217" s="1464"/>
      <c r="ER217" s="1464"/>
      <c r="ES217" s="1464"/>
      <c r="ET217" s="1464"/>
      <c r="EU217" s="1464"/>
      <c r="EV217" s="1464"/>
      <c r="EW217" s="1464"/>
      <c r="EX217" s="1464"/>
      <c r="EY217" s="1464"/>
      <c r="EZ217" s="1464"/>
      <c r="FA217" s="1464"/>
      <c r="FB217" s="1464"/>
      <c r="FC217" s="1464"/>
      <c r="FD217" s="1464"/>
      <c r="FE217" s="1464"/>
      <c r="FF217" s="1464"/>
    </row>
    <row r="219" spans="6:162" s="1466" customFormat="1" ht="15.75" customHeight="1">
      <c r="F219" s="1464"/>
      <c r="G219" s="1464"/>
      <c r="H219" s="1464"/>
      <c r="I219" s="1464"/>
      <c r="J219" s="1464"/>
      <c r="K219" s="1464"/>
      <c r="L219" s="1464"/>
      <c r="M219" s="1464"/>
      <c r="N219" s="1464"/>
      <c r="O219" s="1464"/>
      <c r="P219" s="1464"/>
      <c r="Q219" s="1464"/>
      <c r="R219" s="1464"/>
      <c r="S219" s="1464"/>
      <c r="T219" s="1464"/>
      <c r="U219" s="1464"/>
      <c r="V219" s="1464"/>
      <c r="W219" s="1464"/>
      <c r="X219" s="1464"/>
      <c r="Y219" s="1464"/>
      <c r="AA219" s="1464"/>
      <c r="AC219" s="1464"/>
      <c r="AD219" s="1464"/>
      <c r="AE219" s="1464"/>
      <c r="AF219" s="1464"/>
      <c r="AG219" s="1464"/>
      <c r="AH219" s="1465"/>
      <c r="AI219" s="1465"/>
      <c r="AJ219" s="1464"/>
      <c r="AK219" s="1464"/>
      <c r="AL219" s="1464"/>
      <c r="AM219" s="1464"/>
      <c r="AN219" s="1464"/>
      <c r="AO219" s="1464"/>
      <c r="AP219" s="1464"/>
      <c r="AQ219" s="1464"/>
      <c r="AR219" s="1464"/>
      <c r="AS219" s="1464"/>
      <c r="AT219" s="1464"/>
      <c r="AU219" s="1464"/>
      <c r="AV219" s="1464"/>
      <c r="AW219" s="1464"/>
      <c r="AX219" s="1464"/>
      <c r="AY219" s="1464"/>
      <c r="AZ219" s="1464"/>
      <c r="BA219" s="1464"/>
      <c r="BB219" s="1464"/>
      <c r="BC219" s="1464"/>
      <c r="BD219" s="1464"/>
      <c r="BE219" s="1464"/>
      <c r="BF219" s="1464"/>
      <c r="BG219" s="1464"/>
      <c r="BH219" s="1464"/>
      <c r="BI219" s="1464"/>
      <c r="BJ219" s="1464"/>
      <c r="BK219" s="1464"/>
      <c r="BL219" s="1464"/>
      <c r="BM219" s="1464"/>
      <c r="BN219" s="1464"/>
      <c r="BO219" s="1464"/>
      <c r="BP219" s="1464"/>
      <c r="BQ219" s="1464"/>
      <c r="BR219" s="1464"/>
      <c r="BS219" s="1464"/>
      <c r="BT219" s="1464"/>
      <c r="BU219" s="1464"/>
      <c r="BV219" s="1464"/>
      <c r="BW219" s="1464"/>
      <c r="BX219" s="1464"/>
      <c r="BY219" s="1464"/>
      <c r="BZ219" s="1464"/>
      <c r="CA219" s="1464"/>
      <c r="CB219" s="1464"/>
      <c r="CC219" s="1464"/>
      <c r="CD219" s="1464"/>
      <c r="CE219" s="1464"/>
      <c r="CF219" s="1464"/>
      <c r="CG219" s="1464"/>
      <c r="CH219" s="1464"/>
      <c r="CI219" s="1464"/>
      <c r="CJ219" s="1464"/>
      <c r="CK219" s="1464"/>
      <c r="CL219" s="1464"/>
      <c r="CM219" s="1464"/>
      <c r="CN219" s="1464"/>
      <c r="CO219" s="1464"/>
      <c r="CP219" s="1464"/>
      <c r="CQ219" s="1464"/>
      <c r="CR219" s="1464"/>
      <c r="CS219" s="1464"/>
      <c r="CT219" s="1464"/>
      <c r="CU219" s="1464"/>
      <c r="CV219" s="1464"/>
      <c r="CW219" s="1464"/>
      <c r="CX219" s="1464"/>
      <c r="CY219" s="1464"/>
      <c r="CZ219" s="1464"/>
      <c r="DA219" s="1464"/>
      <c r="DB219" s="1464"/>
      <c r="DC219" s="1464"/>
      <c r="DD219" s="1464"/>
      <c r="DE219" s="1464"/>
      <c r="DF219" s="1464"/>
      <c r="DG219" s="1464"/>
      <c r="DH219" s="1464"/>
      <c r="DI219" s="1464"/>
      <c r="DJ219" s="1464"/>
      <c r="DK219" s="1464"/>
      <c r="DL219" s="1464"/>
      <c r="DM219" s="1464"/>
      <c r="DN219" s="1464"/>
      <c r="DO219" s="1464"/>
      <c r="DP219" s="1464"/>
      <c r="DQ219" s="1464"/>
      <c r="DR219" s="1464"/>
      <c r="DS219" s="1464"/>
      <c r="DT219" s="1464"/>
      <c r="DU219" s="1464"/>
      <c r="DV219" s="1464"/>
      <c r="DW219" s="1464"/>
      <c r="DX219" s="1464"/>
      <c r="DY219" s="1464"/>
      <c r="DZ219" s="1464"/>
      <c r="EA219" s="1464"/>
      <c r="EB219" s="1464"/>
      <c r="EC219" s="1464"/>
      <c r="ED219" s="1464"/>
      <c r="EE219" s="1464"/>
      <c r="EF219" s="1464"/>
      <c r="EG219" s="1464"/>
      <c r="EH219" s="1464"/>
      <c r="EI219" s="1464"/>
      <c r="EJ219" s="1464"/>
      <c r="EK219" s="1464"/>
      <c r="EL219" s="1464"/>
      <c r="EM219" s="1464"/>
      <c r="EN219" s="1464"/>
      <c r="EO219" s="1464"/>
      <c r="EP219" s="1464"/>
      <c r="EQ219" s="1464"/>
      <c r="ER219" s="1464"/>
      <c r="ES219" s="1464"/>
      <c r="ET219" s="1464"/>
      <c r="EU219" s="1464"/>
      <c r="EV219" s="1464"/>
      <c r="EW219" s="1464"/>
      <c r="EX219" s="1464"/>
      <c r="EY219" s="1464"/>
      <c r="EZ219" s="1464"/>
      <c r="FA219" s="1464"/>
      <c r="FB219" s="1464"/>
      <c r="FC219" s="1464"/>
      <c r="FD219" s="1464"/>
      <c r="FE219" s="1464"/>
      <c r="FF219" s="1464"/>
    </row>
    <row r="221" spans="6:162" s="1466" customFormat="1" ht="15.75" customHeight="1">
      <c r="F221" s="1464"/>
      <c r="G221" s="1464"/>
      <c r="H221" s="1464"/>
      <c r="I221" s="1464"/>
      <c r="J221" s="1464"/>
      <c r="K221" s="1464"/>
      <c r="L221" s="1464"/>
      <c r="M221" s="1464"/>
      <c r="N221" s="1464"/>
      <c r="O221" s="1464"/>
      <c r="P221" s="1464"/>
      <c r="Q221" s="1464"/>
      <c r="R221" s="1464"/>
      <c r="S221" s="1464"/>
      <c r="T221" s="1464"/>
      <c r="U221" s="1464"/>
      <c r="V221" s="1464"/>
      <c r="W221" s="1464"/>
      <c r="X221" s="1464"/>
      <c r="Y221" s="1464"/>
      <c r="AA221" s="1464"/>
      <c r="AC221" s="1464"/>
      <c r="AD221" s="1464"/>
      <c r="AE221" s="1464"/>
      <c r="AF221" s="1464"/>
      <c r="AG221" s="1464"/>
      <c r="AH221" s="1465"/>
      <c r="AI221" s="1465"/>
      <c r="AJ221" s="1464"/>
      <c r="AK221" s="1464"/>
      <c r="AL221" s="1464"/>
      <c r="AM221" s="1464"/>
      <c r="AN221" s="1464"/>
      <c r="AO221" s="1464"/>
      <c r="AP221" s="1464"/>
      <c r="AQ221" s="1464"/>
      <c r="AR221" s="1464"/>
      <c r="AS221" s="1464"/>
      <c r="AT221" s="1464"/>
      <c r="AU221" s="1464"/>
      <c r="AV221" s="1464"/>
      <c r="AW221" s="1464"/>
      <c r="AX221" s="1464"/>
      <c r="AY221" s="1464"/>
      <c r="AZ221" s="1464"/>
      <c r="BA221" s="1464"/>
      <c r="BB221" s="1464"/>
      <c r="BC221" s="1464"/>
      <c r="BD221" s="1464"/>
      <c r="BE221" s="1464"/>
      <c r="BF221" s="1464"/>
      <c r="BG221" s="1464"/>
      <c r="BH221" s="1464"/>
      <c r="BI221" s="1464"/>
      <c r="BJ221" s="1464"/>
      <c r="BK221" s="1464"/>
      <c r="BL221" s="1464"/>
      <c r="BM221" s="1464"/>
      <c r="BN221" s="1464"/>
      <c r="BO221" s="1464"/>
      <c r="BP221" s="1464"/>
      <c r="BQ221" s="1464"/>
      <c r="BR221" s="1464"/>
      <c r="BS221" s="1464"/>
      <c r="BT221" s="1464"/>
      <c r="BU221" s="1464"/>
      <c r="BV221" s="1464"/>
      <c r="BW221" s="1464"/>
      <c r="BX221" s="1464"/>
      <c r="BY221" s="1464"/>
      <c r="BZ221" s="1464"/>
      <c r="CA221" s="1464"/>
      <c r="CB221" s="1464"/>
      <c r="CC221" s="1464"/>
      <c r="CD221" s="1464"/>
      <c r="CE221" s="1464"/>
      <c r="CF221" s="1464"/>
      <c r="CG221" s="1464"/>
      <c r="CH221" s="1464"/>
      <c r="CI221" s="1464"/>
      <c r="CJ221" s="1464"/>
      <c r="CK221" s="1464"/>
      <c r="CL221" s="1464"/>
      <c r="CM221" s="1464"/>
      <c r="CN221" s="1464"/>
      <c r="CO221" s="1464"/>
      <c r="CP221" s="1464"/>
      <c r="CQ221" s="1464"/>
      <c r="CR221" s="1464"/>
      <c r="CS221" s="1464"/>
      <c r="CT221" s="1464"/>
      <c r="CU221" s="1464"/>
      <c r="CV221" s="1464"/>
      <c r="CW221" s="1464"/>
      <c r="CX221" s="1464"/>
      <c r="CY221" s="1464"/>
      <c r="CZ221" s="1464"/>
      <c r="DA221" s="1464"/>
      <c r="DB221" s="1464"/>
      <c r="DC221" s="1464"/>
      <c r="DD221" s="1464"/>
      <c r="DE221" s="1464"/>
      <c r="DF221" s="1464"/>
      <c r="DG221" s="1464"/>
      <c r="DH221" s="1464"/>
      <c r="DI221" s="1464"/>
      <c r="DJ221" s="1464"/>
      <c r="DK221" s="1464"/>
      <c r="DL221" s="1464"/>
      <c r="DM221" s="1464"/>
      <c r="DN221" s="1464"/>
      <c r="DO221" s="1464"/>
      <c r="DP221" s="1464"/>
      <c r="DQ221" s="1464"/>
      <c r="DR221" s="1464"/>
      <c r="DS221" s="1464"/>
      <c r="DT221" s="1464"/>
      <c r="DU221" s="1464"/>
      <c r="DV221" s="1464"/>
      <c r="DW221" s="1464"/>
      <c r="DX221" s="1464"/>
      <c r="DY221" s="1464"/>
      <c r="DZ221" s="1464"/>
      <c r="EA221" s="1464"/>
      <c r="EB221" s="1464"/>
      <c r="EC221" s="1464"/>
      <c r="ED221" s="1464"/>
      <c r="EE221" s="1464"/>
      <c r="EF221" s="1464"/>
      <c r="EG221" s="1464"/>
      <c r="EH221" s="1464"/>
      <c r="EI221" s="1464"/>
      <c r="EJ221" s="1464"/>
      <c r="EK221" s="1464"/>
      <c r="EL221" s="1464"/>
      <c r="EM221" s="1464"/>
      <c r="EN221" s="1464"/>
      <c r="EO221" s="1464"/>
      <c r="EP221" s="1464"/>
      <c r="EQ221" s="1464"/>
      <c r="ER221" s="1464"/>
      <c r="ES221" s="1464"/>
      <c r="ET221" s="1464"/>
      <c r="EU221" s="1464"/>
      <c r="EV221" s="1464"/>
      <c r="EW221" s="1464"/>
      <c r="EX221" s="1464"/>
      <c r="EY221" s="1464"/>
      <c r="EZ221" s="1464"/>
      <c r="FA221" s="1464"/>
      <c r="FB221" s="1464"/>
      <c r="FC221" s="1464"/>
      <c r="FD221" s="1464"/>
      <c r="FE221" s="1464"/>
      <c r="FF221" s="1464"/>
    </row>
    <row r="223" spans="6:162" s="1466" customFormat="1" ht="15.75" customHeight="1">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AA223" s="1464"/>
      <c r="AC223" s="1464"/>
      <c r="AD223" s="1464"/>
      <c r="AE223" s="1464"/>
      <c r="AF223" s="1464"/>
      <c r="AG223" s="1464"/>
      <c r="AH223" s="1465"/>
      <c r="AI223" s="1465"/>
      <c r="AJ223" s="1464"/>
      <c r="AK223" s="1464"/>
      <c r="AL223" s="1464"/>
      <c r="AM223" s="1464"/>
      <c r="AN223" s="1464"/>
      <c r="AO223" s="1464"/>
      <c r="AP223" s="1464"/>
      <c r="AQ223" s="1464"/>
      <c r="AR223" s="1464"/>
      <c r="AS223" s="1464"/>
      <c r="AT223" s="1464"/>
      <c r="AU223" s="1464"/>
      <c r="AV223" s="1464"/>
      <c r="AW223" s="1464"/>
      <c r="AX223" s="1464"/>
      <c r="AY223" s="1464"/>
      <c r="AZ223" s="1464"/>
      <c r="BA223" s="1464"/>
      <c r="BB223" s="1464"/>
      <c r="BC223" s="1464"/>
      <c r="BD223" s="1464"/>
      <c r="BE223" s="1464"/>
      <c r="BF223" s="1464"/>
      <c r="BG223" s="1464"/>
      <c r="BH223" s="1464"/>
      <c r="BI223" s="1464"/>
      <c r="BJ223" s="1464"/>
      <c r="BK223" s="1464"/>
      <c r="BL223" s="1464"/>
      <c r="BM223" s="1464"/>
      <c r="BN223" s="1464"/>
      <c r="BO223" s="1464"/>
      <c r="BP223" s="1464"/>
      <c r="BQ223" s="1464"/>
      <c r="BR223" s="1464"/>
      <c r="BS223" s="1464"/>
      <c r="BT223" s="1464"/>
      <c r="BU223" s="1464"/>
      <c r="BV223" s="1464"/>
      <c r="BW223" s="1464"/>
      <c r="BX223" s="1464"/>
      <c r="BY223" s="1464"/>
      <c r="BZ223" s="1464"/>
      <c r="CA223" s="1464"/>
      <c r="CB223" s="1464"/>
      <c r="CC223" s="1464"/>
      <c r="CD223" s="1464"/>
      <c r="CE223" s="1464"/>
      <c r="CF223" s="1464"/>
      <c r="CG223" s="1464"/>
      <c r="CH223" s="1464"/>
      <c r="CI223" s="1464"/>
      <c r="CJ223" s="1464"/>
      <c r="CK223" s="1464"/>
      <c r="CL223" s="1464"/>
      <c r="CM223" s="1464"/>
      <c r="CN223" s="1464"/>
      <c r="CO223" s="1464"/>
      <c r="CP223" s="1464"/>
      <c r="CQ223" s="1464"/>
      <c r="CR223" s="1464"/>
      <c r="CS223" s="1464"/>
      <c r="CT223" s="1464"/>
      <c r="CU223" s="1464"/>
      <c r="CV223" s="1464"/>
      <c r="CW223" s="1464"/>
      <c r="CX223" s="1464"/>
      <c r="CY223" s="1464"/>
      <c r="CZ223" s="1464"/>
      <c r="DA223" s="1464"/>
      <c r="DB223" s="1464"/>
      <c r="DC223" s="1464"/>
      <c r="DD223" s="1464"/>
      <c r="DE223" s="1464"/>
      <c r="DF223" s="1464"/>
      <c r="DG223" s="1464"/>
      <c r="DH223" s="1464"/>
      <c r="DI223" s="1464"/>
      <c r="DJ223" s="1464"/>
      <c r="DK223" s="1464"/>
      <c r="DL223" s="1464"/>
      <c r="DM223" s="1464"/>
      <c r="DN223" s="1464"/>
      <c r="DO223" s="1464"/>
      <c r="DP223" s="1464"/>
      <c r="DQ223" s="1464"/>
      <c r="DR223" s="1464"/>
      <c r="DS223" s="1464"/>
      <c r="DT223" s="1464"/>
      <c r="DU223" s="1464"/>
      <c r="DV223" s="1464"/>
      <c r="DW223" s="1464"/>
      <c r="DX223" s="1464"/>
      <c r="DY223" s="1464"/>
      <c r="DZ223" s="1464"/>
      <c r="EA223" s="1464"/>
      <c r="EB223" s="1464"/>
      <c r="EC223" s="1464"/>
      <c r="ED223" s="1464"/>
      <c r="EE223" s="1464"/>
      <c r="EF223" s="1464"/>
      <c r="EG223" s="1464"/>
      <c r="EH223" s="1464"/>
      <c r="EI223" s="1464"/>
      <c r="EJ223" s="1464"/>
      <c r="EK223" s="1464"/>
      <c r="EL223" s="1464"/>
      <c r="EM223" s="1464"/>
      <c r="EN223" s="1464"/>
      <c r="EO223" s="1464"/>
      <c r="EP223" s="1464"/>
      <c r="EQ223" s="1464"/>
      <c r="ER223" s="1464"/>
      <c r="ES223" s="1464"/>
      <c r="ET223" s="1464"/>
      <c r="EU223" s="1464"/>
      <c r="EV223" s="1464"/>
      <c r="EW223" s="1464"/>
      <c r="EX223" s="1464"/>
      <c r="EY223" s="1464"/>
      <c r="EZ223" s="1464"/>
      <c r="FA223" s="1464"/>
      <c r="FB223" s="1464"/>
      <c r="FC223" s="1464"/>
      <c r="FD223" s="1464"/>
      <c r="FE223" s="1464"/>
      <c r="FF223" s="1464"/>
    </row>
    <row r="225" spans="6:162" s="1466" customFormat="1" ht="15.75" customHeight="1">
      <c r="F225" s="1464"/>
      <c r="G225" s="1464"/>
      <c r="H225" s="1464"/>
      <c r="I225" s="1464"/>
      <c r="J225" s="1464"/>
      <c r="K225" s="1464"/>
      <c r="L225" s="1464"/>
      <c r="M225" s="1464"/>
      <c r="N225" s="1464"/>
      <c r="O225" s="1464"/>
      <c r="P225" s="1464"/>
      <c r="Q225" s="1464"/>
      <c r="R225" s="1464"/>
      <c r="S225" s="1464"/>
      <c r="T225" s="1464"/>
      <c r="U225" s="1464"/>
      <c r="V225" s="1464"/>
      <c r="W225" s="1464"/>
      <c r="X225" s="1464"/>
      <c r="Y225" s="1464"/>
      <c r="AA225" s="1464"/>
      <c r="AC225" s="1464"/>
      <c r="AD225" s="1464"/>
      <c r="AE225" s="1464"/>
      <c r="AF225" s="1464"/>
      <c r="AG225" s="1464"/>
      <c r="AH225" s="1465"/>
      <c r="AI225" s="1465"/>
      <c r="AJ225" s="1464"/>
      <c r="AK225" s="1464"/>
      <c r="AL225" s="1464"/>
      <c r="AM225" s="1464"/>
      <c r="AN225" s="1464"/>
      <c r="AO225" s="1464"/>
      <c r="AP225" s="1464"/>
      <c r="AQ225" s="1464"/>
      <c r="AR225" s="1464"/>
      <c r="AS225" s="1464"/>
      <c r="AT225" s="1464"/>
      <c r="AU225" s="1464"/>
      <c r="AV225" s="1464"/>
      <c r="AW225" s="1464"/>
      <c r="AX225" s="1464"/>
      <c r="AY225" s="1464"/>
      <c r="AZ225" s="1464"/>
      <c r="BA225" s="1464"/>
      <c r="BB225" s="1464"/>
      <c r="BC225" s="1464"/>
      <c r="BD225" s="1464"/>
      <c r="BE225" s="1464"/>
      <c r="BF225" s="1464"/>
      <c r="BG225" s="1464"/>
      <c r="BH225" s="1464"/>
      <c r="BI225" s="1464"/>
      <c r="BJ225" s="1464"/>
      <c r="BK225" s="1464"/>
      <c r="BL225" s="1464"/>
      <c r="BM225" s="1464"/>
      <c r="BN225" s="1464"/>
      <c r="BO225" s="1464"/>
      <c r="BP225" s="1464"/>
      <c r="BQ225" s="1464"/>
      <c r="BR225" s="1464"/>
      <c r="BS225" s="1464"/>
      <c r="BT225" s="1464"/>
      <c r="BU225" s="1464"/>
      <c r="BV225" s="1464"/>
      <c r="BW225" s="1464"/>
      <c r="BX225" s="1464"/>
      <c r="BY225" s="1464"/>
      <c r="BZ225" s="1464"/>
      <c r="CA225" s="1464"/>
      <c r="CB225" s="1464"/>
      <c r="CC225" s="1464"/>
      <c r="CD225" s="1464"/>
      <c r="CE225" s="1464"/>
      <c r="CF225" s="1464"/>
      <c r="CG225" s="1464"/>
      <c r="CH225" s="1464"/>
      <c r="CI225" s="1464"/>
      <c r="CJ225" s="1464"/>
      <c r="CK225" s="1464"/>
      <c r="CL225" s="1464"/>
      <c r="CM225" s="1464"/>
      <c r="CN225" s="1464"/>
      <c r="CO225" s="1464"/>
      <c r="CP225" s="1464"/>
      <c r="CQ225" s="1464"/>
      <c r="CR225" s="1464"/>
      <c r="CS225" s="1464"/>
      <c r="CT225" s="1464"/>
      <c r="CU225" s="1464"/>
      <c r="CV225" s="1464"/>
      <c r="CW225" s="1464"/>
      <c r="CX225" s="1464"/>
      <c r="CY225" s="1464"/>
      <c r="CZ225" s="1464"/>
      <c r="DA225" s="1464"/>
      <c r="DB225" s="1464"/>
      <c r="DC225" s="1464"/>
      <c r="DD225" s="1464"/>
      <c r="DE225" s="1464"/>
      <c r="DF225" s="1464"/>
      <c r="DG225" s="1464"/>
      <c r="DH225" s="1464"/>
      <c r="DI225" s="1464"/>
      <c r="DJ225" s="1464"/>
      <c r="DK225" s="1464"/>
      <c r="DL225" s="1464"/>
      <c r="DM225" s="1464"/>
      <c r="DN225" s="1464"/>
      <c r="DO225" s="1464"/>
      <c r="DP225" s="1464"/>
      <c r="DQ225" s="1464"/>
      <c r="DR225" s="1464"/>
      <c r="DS225" s="1464"/>
      <c r="DT225" s="1464"/>
      <c r="DU225" s="1464"/>
      <c r="DV225" s="1464"/>
      <c r="DW225" s="1464"/>
      <c r="DX225" s="1464"/>
      <c r="DY225" s="1464"/>
      <c r="DZ225" s="1464"/>
      <c r="EA225" s="1464"/>
      <c r="EB225" s="1464"/>
      <c r="EC225" s="1464"/>
      <c r="ED225" s="1464"/>
      <c r="EE225" s="1464"/>
      <c r="EF225" s="1464"/>
      <c r="EG225" s="1464"/>
      <c r="EH225" s="1464"/>
      <c r="EI225" s="1464"/>
      <c r="EJ225" s="1464"/>
      <c r="EK225" s="1464"/>
      <c r="EL225" s="1464"/>
      <c r="EM225" s="1464"/>
      <c r="EN225" s="1464"/>
      <c r="EO225" s="1464"/>
      <c r="EP225" s="1464"/>
      <c r="EQ225" s="1464"/>
      <c r="ER225" s="1464"/>
      <c r="ES225" s="1464"/>
      <c r="ET225" s="1464"/>
      <c r="EU225" s="1464"/>
      <c r="EV225" s="1464"/>
      <c r="EW225" s="1464"/>
      <c r="EX225" s="1464"/>
      <c r="EY225" s="1464"/>
      <c r="EZ225" s="1464"/>
      <c r="FA225" s="1464"/>
      <c r="FB225" s="1464"/>
      <c r="FC225" s="1464"/>
      <c r="FD225" s="1464"/>
      <c r="FE225" s="1464"/>
      <c r="FF225" s="1464"/>
    </row>
    <row r="227" spans="6:162" s="1466" customFormat="1" ht="15.75" customHeight="1">
      <c r="F227" s="1464"/>
      <c r="G227" s="1464"/>
      <c r="H227" s="1464"/>
      <c r="I227" s="1464"/>
      <c r="J227" s="1464"/>
      <c r="K227" s="1464"/>
      <c r="L227" s="1464"/>
      <c r="M227" s="1464"/>
      <c r="N227" s="1464"/>
      <c r="O227" s="1464"/>
      <c r="P227" s="1464"/>
      <c r="Q227" s="1464"/>
      <c r="R227" s="1464"/>
      <c r="S227" s="1464"/>
      <c r="T227" s="1464"/>
      <c r="U227" s="1464"/>
      <c r="V227" s="1464"/>
      <c r="W227" s="1464"/>
      <c r="X227" s="1464"/>
      <c r="Y227" s="1464"/>
      <c r="AA227" s="1464"/>
      <c r="AC227" s="1464"/>
      <c r="AD227" s="1464"/>
      <c r="AE227" s="1464"/>
      <c r="AF227" s="1464"/>
      <c r="AG227" s="1464"/>
      <c r="AH227" s="1465"/>
      <c r="AI227" s="1465"/>
      <c r="AJ227" s="1464"/>
      <c r="AK227" s="1464"/>
      <c r="AL227" s="1464"/>
      <c r="AM227" s="1464"/>
      <c r="AN227" s="1464"/>
      <c r="AO227" s="1464"/>
      <c r="AP227" s="1464"/>
      <c r="AQ227" s="1464"/>
      <c r="AR227" s="1464"/>
      <c r="AS227" s="1464"/>
      <c r="AT227" s="1464"/>
      <c r="AU227" s="1464"/>
      <c r="AV227" s="1464"/>
      <c r="AW227" s="1464"/>
      <c r="AX227" s="1464"/>
      <c r="AY227" s="1464"/>
      <c r="AZ227" s="1464"/>
      <c r="BA227" s="1464"/>
      <c r="BB227" s="1464"/>
      <c r="BC227" s="1464"/>
      <c r="BD227" s="1464"/>
      <c r="BE227" s="1464"/>
      <c r="BF227" s="1464"/>
      <c r="BG227" s="1464"/>
      <c r="BH227" s="1464"/>
      <c r="BI227" s="1464"/>
      <c r="BJ227" s="1464"/>
      <c r="BK227" s="1464"/>
      <c r="BL227" s="1464"/>
      <c r="BM227" s="1464"/>
      <c r="BN227" s="1464"/>
      <c r="BO227" s="1464"/>
      <c r="BP227" s="1464"/>
      <c r="BQ227" s="1464"/>
      <c r="BR227" s="1464"/>
      <c r="BS227" s="1464"/>
      <c r="BT227" s="1464"/>
      <c r="BU227" s="1464"/>
      <c r="BV227" s="1464"/>
      <c r="BW227" s="1464"/>
      <c r="BX227" s="1464"/>
      <c r="BY227" s="1464"/>
      <c r="BZ227" s="1464"/>
      <c r="CA227" s="1464"/>
      <c r="CB227" s="1464"/>
      <c r="CC227" s="1464"/>
      <c r="CD227" s="1464"/>
      <c r="CE227" s="1464"/>
      <c r="CF227" s="1464"/>
      <c r="CG227" s="1464"/>
      <c r="CH227" s="1464"/>
      <c r="CI227" s="1464"/>
      <c r="CJ227" s="1464"/>
      <c r="CK227" s="1464"/>
      <c r="CL227" s="1464"/>
      <c r="CM227" s="1464"/>
      <c r="CN227" s="1464"/>
      <c r="CO227" s="1464"/>
      <c r="CP227" s="1464"/>
      <c r="CQ227" s="1464"/>
      <c r="CR227" s="1464"/>
      <c r="CS227" s="1464"/>
      <c r="CT227" s="1464"/>
      <c r="CU227" s="1464"/>
      <c r="CV227" s="1464"/>
      <c r="CW227" s="1464"/>
      <c r="CX227" s="1464"/>
      <c r="CY227" s="1464"/>
      <c r="CZ227" s="1464"/>
      <c r="DA227" s="1464"/>
      <c r="DB227" s="1464"/>
      <c r="DC227" s="1464"/>
      <c r="DD227" s="1464"/>
      <c r="DE227" s="1464"/>
      <c r="DF227" s="1464"/>
      <c r="DG227" s="1464"/>
      <c r="DH227" s="1464"/>
      <c r="DI227" s="1464"/>
      <c r="DJ227" s="1464"/>
      <c r="DK227" s="1464"/>
      <c r="DL227" s="1464"/>
      <c r="DM227" s="1464"/>
      <c r="DN227" s="1464"/>
      <c r="DO227" s="1464"/>
      <c r="DP227" s="1464"/>
      <c r="DQ227" s="1464"/>
      <c r="DR227" s="1464"/>
      <c r="DS227" s="1464"/>
      <c r="DT227" s="1464"/>
      <c r="DU227" s="1464"/>
      <c r="DV227" s="1464"/>
      <c r="DW227" s="1464"/>
      <c r="DX227" s="1464"/>
      <c r="DY227" s="1464"/>
      <c r="DZ227" s="1464"/>
      <c r="EA227" s="1464"/>
      <c r="EB227" s="1464"/>
      <c r="EC227" s="1464"/>
      <c r="ED227" s="1464"/>
      <c r="EE227" s="1464"/>
      <c r="EF227" s="1464"/>
      <c r="EG227" s="1464"/>
      <c r="EH227" s="1464"/>
      <c r="EI227" s="1464"/>
      <c r="EJ227" s="1464"/>
      <c r="EK227" s="1464"/>
      <c r="EL227" s="1464"/>
      <c r="EM227" s="1464"/>
      <c r="EN227" s="1464"/>
      <c r="EO227" s="1464"/>
      <c r="EP227" s="1464"/>
      <c r="EQ227" s="1464"/>
      <c r="ER227" s="1464"/>
      <c r="ES227" s="1464"/>
      <c r="ET227" s="1464"/>
      <c r="EU227" s="1464"/>
      <c r="EV227" s="1464"/>
      <c r="EW227" s="1464"/>
      <c r="EX227" s="1464"/>
      <c r="EY227" s="1464"/>
      <c r="EZ227" s="1464"/>
      <c r="FA227" s="1464"/>
      <c r="FB227" s="1464"/>
      <c r="FC227" s="1464"/>
      <c r="FD227" s="1464"/>
      <c r="FE227" s="1464"/>
      <c r="FF227" s="1464"/>
    </row>
    <row r="229" spans="6:162" s="1466" customFormat="1" ht="15.75" customHeight="1">
      <c r="F229" s="1464"/>
      <c r="G229" s="1464"/>
      <c r="H229" s="1464"/>
      <c r="I229" s="1464"/>
      <c r="J229" s="1464"/>
      <c r="K229" s="1464"/>
      <c r="L229" s="1464"/>
      <c r="M229" s="1464"/>
      <c r="N229" s="1464"/>
      <c r="O229" s="1464"/>
      <c r="P229" s="1464"/>
      <c r="Q229" s="1464"/>
      <c r="R229" s="1464"/>
      <c r="S229" s="1464"/>
      <c r="T229" s="1464"/>
      <c r="U229" s="1464"/>
      <c r="V229" s="1464"/>
      <c r="W229" s="1464"/>
      <c r="X229" s="1464"/>
      <c r="Y229" s="1464"/>
      <c r="AA229" s="1464"/>
      <c r="AC229" s="1464"/>
      <c r="AD229" s="1464"/>
      <c r="AE229" s="1464"/>
      <c r="AF229" s="1464"/>
      <c r="AG229" s="1464"/>
      <c r="AH229" s="1465"/>
      <c r="AI229" s="1465"/>
      <c r="AJ229" s="1464"/>
      <c r="AK229" s="1464"/>
      <c r="AL229" s="1464"/>
      <c r="AM229" s="1464"/>
      <c r="AN229" s="1464"/>
      <c r="AO229" s="1464"/>
      <c r="AP229" s="1464"/>
      <c r="AQ229" s="1464"/>
      <c r="AR229" s="1464"/>
      <c r="AS229" s="1464"/>
      <c r="AT229" s="1464"/>
      <c r="AU229" s="1464"/>
      <c r="AV229" s="1464"/>
      <c r="AW229" s="1464"/>
      <c r="AX229" s="1464"/>
      <c r="AY229" s="1464"/>
      <c r="AZ229" s="1464"/>
      <c r="BA229" s="1464"/>
      <c r="BB229" s="1464"/>
      <c r="BC229" s="1464"/>
      <c r="BD229" s="1464"/>
      <c r="BE229" s="1464"/>
      <c r="BF229" s="1464"/>
      <c r="BG229" s="1464"/>
      <c r="BH229" s="1464"/>
      <c r="BI229" s="1464"/>
      <c r="BJ229" s="1464"/>
      <c r="BK229" s="1464"/>
      <c r="BL229" s="1464"/>
      <c r="BM229" s="1464"/>
      <c r="BN229" s="1464"/>
      <c r="BO229" s="1464"/>
      <c r="BP229" s="1464"/>
      <c r="BQ229" s="1464"/>
      <c r="BR229" s="1464"/>
      <c r="BS229" s="1464"/>
      <c r="BT229" s="1464"/>
      <c r="BU229" s="1464"/>
      <c r="BV229" s="1464"/>
      <c r="BW229" s="1464"/>
      <c r="BX229" s="1464"/>
      <c r="BY229" s="1464"/>
      <c r="BZ229" s="1464"/>
      <c r="CA229" s="1464"/>
      <c r="CB229" s="1464"/>
      <c r="CC229" s="1464"/>
      <c r="CD229" s="1464"/>
      <c r="CE229" s="1464"/>
      <c r="CF229" s="1464"/>
      <c r="CG229" s="1464"/>
      <c r="CH229" s="1464"/>
      <c r="CI229" s="1464"/>
      <c r="CJ229" s="1464"/>
      <c r="CK229" s="1464"/>
      <c r="CL229" s="1464"/>
      <c r="CM229" s="1464"/>
      <c r="CN229" s="1464"/>
      <c r="CO229" s="1464"/>
      <c r="CP229" s="1464"/>
      <c r="CQ229" s="1464"/>
      <c r="CR229" s="1464"/>
      <c r="CS229" s="1464"/>
      <c r="CT229" s="1464"/>
      <c r="CU229" s="1464"/>
      <c r="CV229" s="1464"/>
      <c r="CW229" s="1464"/>
      <c r="CX229" s="1464"/>
      <c r="CY229" s="1464"/>
      <c r="CZ229" s="1464"/>
      <c r="DA229" s="1464"/>
      <c r="DB229" s="1464"/>
      <c r="DC229" s="1464"/>
      <c r="DD229" s="1464"/>
      <c r="DE229" s="1464"/>
      <c r="DF229" s="1464"/>
      <c r="DG229" s="1464"/>
      <c r="DH229" s="1464"/>
      <c r="DI229" s="1464"/>
      <c r="DJ229" s="1464"/>
      <c r="DK229" s="1464"/>
      <c r="DL229" s="1464"/>
      <c r="DM229" s="1464"/>
      <c r="DN229" s="1464"/>
      <c r="DO229" s="1464"/>
      <c r="DP229" s="1464"/>
      <c r="DQ229" s="1464"/>
      <c r="DR229" s="1464"/>
      <c r="DS229" s="1464"/>
      <c r="DT229" s="1464"/>
      <c r="DU229" s="1464"/>
      <c r="DV229" s="1464"/>
      <c r="DW229" s="1464"/>
      <c r="DX229" s="1464"/>
      <c r="DY229" s="1464"/>
      <c r="DZ229" s="1464"/>
      <c r="EA229" s="1464"/>
      <c r="EB229" s="1464"/>
      <c r="EC229" s="1464"/>
      <c r="ED229" s="1464"/>
      <c r="EE229" s="1464"/>
      <c r="EF229" s="1464"/>
      <c r="EG229" s="1464"/>
      <c r="EH229" s="1464"/>
      <c r="EI229" s="1464"/>
      <c r="EJ229" s="1464"/>
      <c r="EK229" s="1464"/>
      <c r="EL229" s="1464"/>
      <c r="EM229" s="1464"/>
      <c r="EN229" s="1464"/>
      <c r="EO229" s="1464"/>
      <c r="EP229" s="1464"/>
      <c r="EQ229" s="1464"/>
      <c r="ER229" s="1464"/>
      <c r="ES229" s="1464"/>
      <c r="ET229" s="1464"/>
      <c r="EU229" s="1464"/>
      <c r="EV229" s="1464"/>
      <c r="EW229" s="1464"/>
      <c r="EX229" s="1464"/>
      <c r="EY229" s="1464"/>
      <c r="EZ229" s="1464"/>
      <c r="FA229" s="1464"/>
      <c r="FB229" s="1464"/>
      <c r="FC229" s="1464"/>
      <c r="FD229" s="1464"/>
      <c r="FE229" s="1464"/>
      <c r="FF229" s="1464"/>
    </row>
    <row r="231" spans="6:162" s="1466" customFormat="1" ht="15.75" customHeight="1">
      <c r="F231" s="1464"/>
      <c r="G231" s="1464"/>
      <c r="H231" s="1464"/>
      <c r="I231" s="1464"/>
      <c r="J231" s="1464"/>
      <c r="K231" s="1464"/>
      <c r="L231" s="1464"/>
      <c r="M231" s="1464"/>
      <c r="N231" s="1464"/>
      <c r="O231" s="1464"/>
      <c r="P231" s="1464"/>
      <c r="Q231" s="1464"/>
      <c r="R231" s="1464"/>
      <c r="S231" s="1464"/>
      <c r="T231" s="1464"/>
      <c r="U231" s="1464"/>
      <c r="V231" s="1464"/>
      <c r="W231" s="1464"/>
      <c r="X231" s="1464"/>
      <c r="Y231" s="1464"/>
      <c r="AA231" s="1464"/>
      <c r="AC231" s="1464"/>
      <c r="AD231" s="1464"/>
      <c r="AE231" s="1464"/>
      <c r="AF231" s="1464"/>
      <c r="AG231" s="1464"/>
      <c r="AH231" s="1465"/>
      <c r="AI231" s="1465"/>
      <c r="AJ231" s="1464"/>
      <c r="AK231" s="1464"/>
      <c r="AL231" s="1464"/>
      <c r="AM231" s="1464"/>
      <c r="AN231" s="1464"/>
      <c r="AO231" s="1464"/>
      <c r="AP231" s="1464"/>
      <c r="AQ231" s="1464"/>
      <c r="AR231" s="1464"/>
      <c r="AS231" s="1464"/>
      <c r="AT231" s="1464"/>
      <c r="AU231" s="1464"/>
      <c r="AV231" s="1464"/>
      <c r="AW231" s="1464"/>
      <c r="AX231" s="1464"/>
      <c r="AY231" s="1464"/>
      <c r="AZ231" s="1464"/>
      <c r="BA231" s="1464"/>
      <c r="BB231" s="1464"/>
      <c r="BC231" s="1464"/>
      <c r="BD231" s="1464"/>
      <c r="BE231" s="1464"/>
      <c r="BF231" s="1464"/>
      <c r="BG231" s="1464"/>
      <c r="BH231" s="1464"/>
      <c r="BI231" s="1464"/>
      <c r="BJ231" s="1464"/>
      <c r="BK231" s="1464"/>
      <c r="BL231" s="1464"/>
      <c r="BM231" s="1464"/>
      <c r="BN231" s="1464"/>
      <c r="BO231" s="1464"/>
      <c r="BP231" s="1464"/>
      <c r="BQ231" s="1464"/>
      <c r="BR231" s="1464"/>
      <c r="BS231" s="1464"/>
      <c r="BT231" s="1464"/>
      <c r="BU231" s="1464"/>
      <c r="BV231" s="1464"/>
      <c r="BW231" s="1464"/>
      <c r="BX231" s="1464"/>
      <c r="BY231" s="1464"/>
      <c r="BZ231" s="1464"/>
      <c r="CA231" s="1464"/>
      <c r="CB231" s="1464"/>
      <c r="CC231" s="1464"/>
      <c r="CD231" s="1464"/>
      <c r="CE231" s="1464"/>
      <c r="CF231" s="1464"/>
      <c r="CG231" s="1464"/>
      <c r="CH231" s="1464"/>
      <c r="CI231" s="1464"/>
      <c r="CJ231" s="1464"/>
      <c r="CK231" s="1464"/>
      <c r="CL231" s="1464"/>
      <c r="CM231" s="1464"/>
      <c r="CN231" s="1464"/>
      <c r="CO231" s="1464"/>
      <c r="CP231" s="1464"/>
      <c r="CQ231" s="1464"/>
      <c r="CR231" s="1464"/>
      <c r="CS231" s="1464"/>
      <c r="CT231" s="1464"/>
      <c r="CU231" s="1464"/>
      <c r="CV231" s="1464"/>
      <c r="CW231" s="1464"/>
      <c r="CX231" s="1464"/>
      <c r="CY231" s="1464"/>
      <c r="CZ231" s="1464"/>
      <c r="DA231" s="1464"/>
      <c r="DB231" s="1464"/>
      <c r="DC231" s="1464"/>
      <c r="DD231" s="1464"/>
      <c r="DE231" s="1464"/>
      <c r="DF231" s="1464"/>
      <c r="DG231" s="1464"/>
      <c r="DH231" s="1464"/>
      <c r="DI231" s="1464"/>
      <c r="DJ231" s="1464"/>
      <c r="DK231" s="1464"/>
      <c r="DL231" s="1464"/>
      <c r="DM231" s="1464"/>
      <c r="DN231" s="1464"/>
      <c r="DO231" s="1464"/>
      <c r="DP231" s="1464"/>
      <c r="DQ231" s="1464"/>
      <c r="DR231" s="1464"/>
      <c r="DS231" s="1464"/>
      <c r="DT231" s="1464"/>
      <c r="DU231" s="1464"/>
      <c r="DV231" s="1464"/>
      <c r="DW231" s="1464"/>
      <c r="DX231" s="1464"/>
      <c r="DY231" s="1464"/>
      <c r="DZ231" s="1464"/>
      <c r="EA231" s="1464"/>
      <c r="EB231" s="1464"/>
      <c r="EC231" s="1464"/>
      <c r="ED231" s="1464"/>
      <c r="EE231" s="1464"/>
      <c r="EF231" s="1464"/>
      <c r="EG231" s="1464"/>
      <c r="EH231" s="1464"/>
      <c r="EI231" s="1464"/>
      <c r="EJ231" s="1464"/>
      <c r="EK231" s="1464"/>
      <c r="EL231" s="1464"/>
      <c r="EM231" s="1464"/>
      <c r="EN231" s="1464"/>
      <c r="EO231" s="1464"/>
      <c r="EP231" s="1464"/>
      <c r="EQ231" s="1464"/>
      <c r="ER231" s="1464"/>
      <c r="ES231" s="1464"/>
      <c r="ET231" s="1464"/>
      <c r="EU231" s="1464"/>
      <c r="EV231" s="1464"/>
      <c r="EW231" s="1464"/>
      <c r="EX231" s="1464"/>
      <c r="EY231" s="1464"/>
      <c r="EZ231" s="1464"/>
      <c r="FA231" s="1464"/>
      <c r="FB231" s="1464"/>
      <c r="FC231" s="1464"/>
      <c r="FD231" s="1464"/>
      <c r="FE231" s="1464"/>
      <c r="FF231" s="1464"/>
    </row>
    <row r="233" spans="6:162" s="1466" customFormat="1" ht="15.75" customHeight="1">
      <c r="F233" s="1464"/>
      <c r="G233" s="1464"/>
      <c r="H233" s="1464"/>
      <c r="I233" s="1464"/>
      <c r="J233" s="1464"/>
      <c r="K233" s="1464"/>
      <c r="L233" s="1464"/>
      <c r="M233" s="1464"/>
      <c r="N233" s="1464"/>
      <c r="O233" s="1464"/>
      <c r="P233" s="1464"/>
      <c r="Q233" s="1464"/>
      <c r="R233" s="1464"/>
      <c r="S233" s="1464"/>
      <c r="T233" s="1464"/>
      <c r="U233" s="1464"/>
      <c r="V233" s="1464"/>
      <c r="W233" s="1464"/>
      <c r="X233" s="1464"/>
      <c r="Y233" s="1464"/>
      <c r="AA233" s="1464"/>
      <c r="AC233" s="1464"/>
      <c r="AD233" s="1464"/>
      <c r="AE233" s="1464"/>
      <c r="AF233" s="1464"/>
      <c r="AG233" s="1464"/>
      <c r="AH233" s="1465"/>
      <c r="AI233" s="1465"/>
      <c r="AJ233" s="1464"/>
      <c r="AK233" s="1464"/>
      <c r="AL233" s="1464"/>
      <c r="AM233" s="1464"/>
      <c r="AN233" s="1464"/>
      <c r="AO233" s="1464"/>
      <c r="AP233" s="1464"/>
      <c r="AQ233" s="1464"/>
      <c r="AR233" s="1464"/>
      <c r="AS233" s="1464"/>
      <c r="AT233" s="1464"/>
      <c r="AU233" s="1464"/>
      <c r="AV233" s="1464"/>
      <c r="AW233" s="1464"/>
      <c r="AX233" s="1464"/>
      <c r="AY233" s="1464"/>
      <c r="AZ233" s="1464"/>
      <c r="BA233" s="1464"/>
      <c r="BB233" s="1464"/>
      <c r="BC233" s="1464"/>
      <c r="BD233" s="1464"/>
      <c r="BE233" s="1464"/>
      <c r="BF233" s="1464"/>
      <c r="BG233" s="1464"/>
      <c r="BH233" s="1464"/>
      <c r="BI233" s="1464"/>
      <c r="BJ233" s="1464"/>
      <c r="BK233" s="1464"/>
      <c r="BL233" s="1464"/>
      <c r="BM233" s="1464"/>
      <c r="BN233" s="1464"/>
      <c r="BO233" s="1464"/>
      <c r="BP233" s="1464"/>
      <c r="BQ233" s="1464"/>
      <c r="BR233" s="1464"/>
      <c r="BS233" s="1464"/>
      <c r="BT233" s="1464"/>
      <c r="BU233" s="1464"/>
      <c r="BV233" s="1464"/>
      <c r="BW233" s="1464"/>
      <c r="BX233" s="1464"/>
      <c r="BY233" s="1464"/>
      <c r="BZ233" s="1464"/>
      <c r="CA233" s="1464"/>
      <c r="CB233" s="1464"/>
      <c r="CC233" s="1464"/>
      <c r="CD233" s="1464"/>
      <c r="CE233" s="1464"/>
      <c r="CF233" s="1464"/>
      <c r="CG233" s="1464"/>
      <c r="CH233" s="1464"/>
      <c r="CI233" s="1464"/>
      <c r="CJ233" s="1464"/>
      <c r="CK233" s="1464"/>
      <c r="CL233" s="1464"/>
      <c r="CM233" s="1464"/>
      <c r="CN233" s="1464"/>
      <c r="CO233" s="1464"/>
      <c r="CP233" s="1464"/>
      <c r="CQ233" s="1464"/>
      <c r="CR233" s="1464"/>
      <c r="CS233" s="1464"/>
      <c r="CT233" s="1464"/>
      <c r="CU233" s="1464"/>
      <c r="CV233" s="1464"/>
      <c r="CW233" s="1464"/>
      <c r="CX233" s="1464"/>
      <c r="CY233" s="1464"/>
      <c r="CZ233" s="1464"/>
      <c r="DA233" s="1464"/>
      <c r="DB233" s="1464"/>
      <c r="DC233" s="1464"/>
      <c r="DD233" s="1464"/>
      <c r="DE233" s="1464"/>
      <c r="DF233" s="1464"/>
      <c r="DG233" s="1464"/>
      <c r="DH233" s="1464"/>
      <c r="DI233" s="1464"/>
      <c r="DJ233" s="1464"/>
      <c r="DK233" s="1464"/>
      <c r="DL233" s="1464"/>
      <c r="DM233" s="1464"/>
      <c r="DN233" s="1464"/>
      <c r="DO233" s="1464"/>
      <c r="DP233" s="1464"/>
      <c r="DQ233" s="1464"/>
      <c r="DR233" s="1464"/>
      <c r="DS233" s="1464"/>
      <c r="DT233" s="1464"/>
      <c r="DU233" s="1464"/>
      <c r="DV233" s="1464"/>
      <c r="DW233" s="1464"/>
      <c r="DX233" s="1464"/>
      <c r="DY233" s="1464"/>
      <c r="DZ233" s="1464"/>
      <c r="EA233" s="1464"/>
      <c r="EB233" s="1464"/>
      <c r="EC233" s="1464"/>
      <c r="ED233" s="1464"/>
      <c r="EE233" s="1464"/>
      <c r="EF233" s="1464"/>
      <c r="EG233" s="1464"/>
      <c r="EH233" s="1464"/>
      <c r="EI233" s="1464"/>
      <c r="EJ233" s="1464"/>
      <c r="EK233" s="1464"/>
      <c r="EL233" s="1464"/>
      <c r="EM233" s="1464"/>
      <c r="EN233" s="1464"/>
      <c r="EO233" s="1464"/>
      <c r="EP233" s="1464"/>
      <c r="EQ233" s="1464"/>
      <c r="ER233" s="1464"/>
      <c r="ES233" s="1464"/>
      <c r="ET233" s="1464"/>
      <c r="EU233" s="1464"/>
      <c r="EV233" s="1464"/>
      <c r="EW233" s="1464"/>
      <c r="EX233" s="1464"/>
      <c r="EY233" s="1464"/>
      <c r="EZ233" s="1464"/>
      <c r="FA233" s="1464"/>
      <c r="FB233" s="1464"/>
      <c r="FC233" s="1464"/>
      <c r="FD233" s="1464"/>
      <c r="FE233" s="1464"/>
      <c r="FF233" s="1464"/>
    </row>
    <row r="235" spans="6:162" s="1466" customFormat="1" ht="15.75" customHeight="1">
      <c r="F235" s="1464"/>
      <c r="G235" s="1464"/>
      <c r="H235" s="1464"/>
      <c r="I235" s="1464"/>
      <c r="J235" s="1464"/>
      <c r="K235" s="1464"/>
      <c r="L235" s="1464"/>
      <c r="M235" s="1464"/>
      <c r="N235" s="1464"/>
      <c r="O235" s="1464"/>
      <c r="P235" s="1464"/>
      <c r="Q235" s="1464"/>
      <c r="R235" s="1464"/>
      <c r="S235" s="1464"/>
      <c r="T235" s="1464"/>
      <c r="U235" s="1464"/>
      <c r="V235" s="1464"/>
      <c r="W235" s="1464"/>
      <c r="X235" s="1464"/>
      <c r="Y235" s="1464"/>
      <c r="AA235" s="1464"/>
      <c r="AC235" s="1464"/>
      <c r="AD235" s="1464"/>
      <c r="AE235" s="1464"/>
      <c r="AF235" s="1464"/>
      <c r="AG235" s="1464"/>
      <c r="AH235" s="1465"/>
      <c r="AI235" s="1465"/>
      <c r="AJ235" s="1464"/>
      <c r="AK235" s="1464"/>
      <c r="AL235" s="1464"/>
      <c r="AM235" s="1464"/>
      <c r="AN235" s="1464"/>
      <c r="AO235" s="1464"/>
      <c r="AP235" s="1464"/>
      <c r="AQ235" s="1464"/>
      <c r="AR235" s="1464"/>
      <c r="AS235" s="1464"/>
      <c r="AT235" s="1464"/>
      <c r="AU235" s="1464"/>
      <c r="AV235" s="1464"/>
      <c r="AW235" s="1464"/>
      <c r="AX235" s="1464"/>
      <c r="AY235" s="1464"/>
      <c r="AZ235" s="1464"/>
      <c r="BA235" s="1464"/>
      <c r="BB235" s="1464"/>
      <c r="BC235" s="1464"/>
      <c r="BD235" s="1464"/>
      <c r="BE235" s="1464"/>
      <c r="BF235" s="1464"/>
      <c r="BG235" s="1464"/>
      <c r="BH235" s="1464"/>
      <c r="BI235" s="1464"/>
      <c r="BJ235" s="1464"/>
      <c r="BK235" s="1464"/>
      <c r="BL235" s="1464"/>
      <c r="BM235" s="1464"/>
      <c r="BN235" s="1464"/>
      <c r="BO235" s="1464"/>
      <c r="BP235" s="1464"/>
      <c r="BQ235" s="1464"/>
      <c r="BR235" s="1464"/>
      <c r="BS235" s="1464"/>
      <c r="BT235" s="1464"/>
      <c r="BU235" s="1464"/>
      <c r="BV235" s="1464"/>
      <c r="BW235" s="1464"/>
      <c r="BX235" s="1464"/>
      <c r="BY235" s="1464"/>
      <c r="BZ235" s="1464"/>
      <c r="CA235" s="1464"/>
      <c r="CB235" s="1464"/>
      <c r="CC235" s="1464"/>
      <c r="CD235" s="1464"/>
      <c r="CE235" s="1464"/>
      <c r="CF235" s="1464"/>
      <c r="CG235" s="1464"/>
      <c r="CH235" s="1464"/>
      <c r="CI235" s="1464"/>
      <c r="CJ235" s="1464"/>
      <c r="CK235" s="1464"/>
      <c r="CL235" s="1464"/>
      <c r="CM235" s="1464"/>
      <c r="CN235" s="1464"/>
      <c r="CO235" s="1464"/>
      <c r="CP235" s="1464"/>
      <c r="CQ235" s="1464"/>
      <c r="CR235" s="1464"/>
      <c r="CS235" s="1464"/>
      <c r="CT235" s="1464"/>
      <c r="CU235" s="1464"/>
      <c r="CV235" s="1464"/>
      <c r="CW235" s="1464"/>
      <c r="CX235" s="1464"/>
      <c r="CY235" s="1464"/>
      <c r="CZ235" s="1464"/>
      <c r="DA235" s="1464"/>
      <c r="DB235" s="1464"/>
      <c r="DC235" s="1464"/>
      <c r="DD235" s="1464"/>
      <c r="DE235" s="1464"/>
      <c r="DF235" s="1464"/>
      <c r="DG235" s="1464"/>
      <c r="DH235" s="1464"/>
      <c r="DI235" s="1464"/>
      <c r="DJ235" s="1464"/>
      <c r="DK235" s="1464"/>
      <c r="DL235" s="1464"/>
      <c r="DM235" s="1464"/>
      <c r="DN235" s="1464"/>
      <c r="DO235" s="1464"/>
      <c r="DP235" s="1464"/>
      <c r="DQ235" s="1464"/>
      <c r="DR235" s="1464"/>
      <c r="DS235" s="1464"/>
      <c r="DT235" s="1464"/>
      <c r="DU235" s="1464"/>
      <c r="DV235" s="1464"/>
      <c r="DW235" s="1464"/>
      <c r="DX235" s="1464"/>
      <c r="DY235" s="1464"/>
      <c r="DZ235" s="1464"/>
      <c r="EA235" s="1464"/>
      <c r="EB235" s="1464"/>
      <c r="EC235" s="1464"/>
      <c r="ED235" s="1464"/>
      <c r="EE235" s="1464"/>
      <c r="EF235" s="1464"/>
      <c r="EG235" s="1464"/>
      <c r="EH235" s="1464"/>
      <c r="EI235" s="1464"/>
      <c r="EJ235" s="1464"/>
      <c r="EK235" s="1464"/>
      <c r="EL235" s="1464"/>
      <c r="EM235" s="1464"/>
      <c r="EN235" s="1464"/>
      <c r="EO235" s="1464"/>
      <c r="EP235" s="1464"/>
      <c r="EQ235" s="1464"/>
      <c r="ER235" s="1464"/>
      <c r="ES235" s="1464"/>
      <c r="ET235" s="1464"/>
      <c r="EU235" s="1464"/>
      <c r="EV235" s="1464"/>
      <c r="EW235" s="1464"/>
      <c r="EX235" s="1464"/>
      <c r="EY235" s="1464"/>
      <c r="EZ235" s="1464"/>
      <c r="FA235" s="1464"/>
      <c r="FB235" s="1464"/>
      <c r="FC235" s="1464"/>
      <c r="FD235" s="1464"/>
      <c r="FE235" s="1464"/>
      <c r="FF235" s="1464"/>
    </row>
    <row r="237" spans="6:162" s="1466" customFormat="1" ht="15.75" customHeight="1">
      <c r="F237" s="1464"/>
      <c r="G237" s="1464"/>
      <c r="H237" s="1464"/>
      <c r="I237" s="1464"/>
      <c r="J237" s="1464"/>
      <c r="K237" s="1464"/>
      <c r="L237" s="1464"/>
      <c r="M237" s="1464"/>
      <c r="N237" s="1464"/>
      <c r="O237" s="1464"/>
      <c r="P237" s="1464"/>
      <c r="Q237" s="1464"/>
      <c r="R237" s="1464"/>
      <c r="S237" s="1464"/>
      <c r="T237" s="1464"/>
      <c r="U237" s="1464"/>
      <c r="V237" s="1464"/>
      <c r="W237" s="1464"/>
      <c r="X237" s="1464"/>
      <c r="Y237" s="1464"/>
      <c r="AA237" s="1464"/>
      <c r="AC237" s="1464"/>
      <c r="AD237" s="1464"/>
      <c r="AE237" s="1464"/>
      <c r="AF237" s="1464"/>
      <c r="AG237" s="1464"/>
      <c r="AH237" s="1465"/>
      <c r="AI237" s="1465"/>
      <c r="AJ237" s="1464"/>
      <c r="AK237" s="1464"/>
      <c r="AL237" s="1464"/>
      <c r="AM237" s="1464"/>
      <c r="AN237" s="1464"/>
      <c r="AO237" s="1464"/>
      <c r="AP237" s="1464"/>
      <c r="AQ237" s="1464"/>
      <c r="AR237" s="1464"/>
      <c r="AS237" s="1464"/>
      <c r="AT237" s="1464"/>
      <c r="AU237" s="1464"/>
      <c r="AV237" s="1464"/>
      <c r="AW237" s="1464"/>
      <c r="AX237" s="1464"/>
      <c r="AY237" s="1464"/>
      <c r="AZ237" s="1464"/>
      <c r="BA237" s="1464"/>
      <c r="BB237" s="1464"/>
      <c r="BC237" s="1464"/>
      <c r="BD237" s="1464"/>
      <c r="BE237" s="1464"/>
      <c r="BF237" s="1464"/>
      <c r="BG237" s="1464"/>
      <c r="BH237" s="1464"/>
      <c r="BI237" s="1464"/>
      <c r="BJ237" s="1464"/>
      <c r="BK237" s="1464"/>
      <c r="BL237" s="1464"/>
      <c r="BM237" s="1464"/>
      <c r="BN237" s="1464"/>
      <c r="BO237" s="1464"/>
      <c r="BP237" s="1464"/>
      <c r="BQ237" s="1464"/>
      <c r="BR237" s="1464"/>
      <c r="BS237" s="1464"/>
      <c r="BT237" s="1464"/>
      <c r="BU237" s="1464"/>
      <c r="BV237" s="1464"/>
      <c r="BW237" s="1464"/>
      <c r="BX237" s="1464"/>
      <c r="BY237" s="1464"/>
      <c r="BZ237" s="1464"/>
      <c r="CA237" s="1464"/>
      <c r="CB237" s="1464"/>
      <c r="CC237" s="1464"/>
      <c r="CD237" s="1464"/>
      <c r="CE237" s="1464"/>
      <c r="CF237" s="1464"/>
      <c r="CG237" s="1464"/>
      <c r="CH237" s="1464"/>
      <c r="CI237" s="1464"/>
      <c r="CJ237" s="1464"/>
      <c r="CK237" s="1464"/>
      <c r="CL237" s="1464"/>
      <c r="CM237" s="1464"/>
      <c r="CN237" s="1464"/>
      <c r="CO237" s="1464"/>
      <c r="CP237" s="1464"/>
      <c r="CQ237" s="1464"/>
      <c r="CR237" s="1464"/>
      <c r="CS237" s="1464"/>
      <c r="CT237" s="1464"/>
      <c r="CU237" s="1464"/>
      <c r="CV237" s="1464"/>
      <c r="CW237" s="1464"/>
      <c r="CX237" s="1464"/>
      <c r="CY237" s="1464"/>
      <c r="CZ237" s="1464"/>
      <c r="DA237" s="1464"/>
      <c r="DB237" s="1464"/>
      <c r="DC237" s="1464"/>
      <c r="DD237" s="1464"/>
      <c r="DE237" s="1464"/>
      <c r="DF237" s="1464"/>
      <c r="DG237" s="1464"/>
      <c r="DH237" s="1464"/>
      <c r="DI237" s="1464"/>
      <c r="DJ237" s="1464"/>
      <c r="DK237" s="1464"/>
      <c r="DL237" s="1464"/>
      <c r="DM237" s="1464"/>
      <c r="DN237" s="1464"/>
      <c r="DO237" s="1464"/>
      <c r="DP237" s="1464"/>
      <c r="DQ237" s="1464"/>
      <c r="DR237" s="1464"/>
      <c r="DS237" s="1464"/>
      <c r="DT237" s="1464"/>
      <c r="DU237" s="1464"/>
      <c r="DV237" s="1464"/>
      <c r="DW237" s="1464"/>
      <c r="DX237" s="1464"/>
      <c r="DY237" s="1464"/>
      <c r="DZ237" s="1464"/>
      <c r="EA237" s="1464"/>
      <c r="EB237" s="1464"/>
      <c r="EC237" s="1464"/>
      <c r="ED237" s="1464"/>
      <c r="EE237" s="1464"/>
      <c r="EF237" s="1464"/>
      <c r="EG237" s="1464"/>
      <c r="EH237" s="1464"/>
      <c r="EI237" s="1464"/>
      <c r="EJ237" s="1464"/>
      <c r="EK237" s="1464"/>
      <c r="EL237" s="1464"/>
      <c r="EM237" s="1464"/>
      <c r="EN237" s="1464"/>
      <c r="EO237" s="1464"/>
      <c r="EP237" s="1464"/>
      <c r="EQ237" s="1464"/>
      <c r="ER237" s="1464"/>
      <c r="ES237" s="1464"/>
      <c r="ET237" s="1464"/>
      <c r="EU237" s="1464"/>
      <c r="EV237" s="1464"/>
      <c r="EW237" s="1464"/>
      <c r="EX237" s="1464"/>
      <c r="EY237" s="1464"/>
      <c r="EZ237" s="1464"/>
      <c r="FA237" s="1464"/>
      <c r="FB237" s="1464"/>
      <c r="FC237" s="1464"/>
      <c r="FD237" s="1464"/>
      <c r="FE237" s="1464"/>
      <c r="FF237" s="1464"/>
    </row>
    <row r="239" spans="6:162" s="1466" customFormat="1" ht="15.75" customHeight="1">
      <c r="F239" s="1464"/>
      <c r="G239" s="1464"/>
      <c r="H239" s="1464"/>
      <c r="I239" s="1464"/>
      <c r="J239" s="1464"/>
      <c r="K239" s="1464"/>
      <c r="L239" s="1464"/>
      <c r="M239" s="1464"/>
      <c r="N239" s="1464"/>
      <c r="O239" s="1464"/>
      <c r="P239" s="1464"/>
      <c r="Q239" s="1464"/>
      <c r="R239" s="1464"/>
      <c r="S239" s="1464"/>
      <c r="T239" s="1464"/>
      <c r="U239" s="1464"/>
      <c r="V239" s="1464"/>
      <c r="W239" s="1464"/>
      <c r="X239" s="1464"/>
      <c r="Y239" s="1464"/>
      <c r="AA239" s="1464"/>
      <c r="AC239" s="1464"/>
      <c r="AD239" s="1464"/>
      <c r="AE239" s="1464"/>
      <c r="AF239" s="1464"/>
      <c r="AG239" s="1464"/>
      <c r="AH239" s="1465"/>
      <c r="AI239" s="1465"/>
      <c r="AJ239" s="1464"/>
      <c r="AK239" s="1464"/>
      <c r="AL239" s="1464"/>
      <c r="AM239" s="1464"/>
      <c r="AN239" s="1464"/>
      <c r="AO239" s="1464"/>
      <c r="AP239" s="1464"/>
      <c r="AQ239" s="1464"/>
      <c r="AR239" s="1464"/>
      <c r="AS239" s="1464"/>
      <c r="AT239" s="1464"/>
      <c r="AU239" s="1464"/>
      <c r="AV239" s="1464"/>
      <c r="AW239" s="1464"/>
      <c r="AX239" s="1464"/>
      <c r="AY239" s="1464"/>
      <c r="AZ239" s="1464"/>
      <c r="BA239" s="1464"/>
      <c r="BB239" s="1464"/>
      <c r="BC239" s="1464"/>
      <c r="BD239" s="1464"/>
      <c r="BE239" s="1464"/>
      <c r="BF239" s="1464"/>
      <c r="BG239" s="1464"/>
      <c r="BH239" s="1464"/>
      <c r="BI239" s="1464"/>
      <c r="BJ239" s="1464"/>
      <c r="BK239" s="1464"/>
      <c r="BL239" s="1464"/>
      <c r="BM239" s="1464"/>
      <c r="BN239" s="1464"/>
      <c r="BO239" s="1464"/>
      <c r="BP239" s="1464"/>
      <c r="BQ239" s="1464"/>
      <c r="BR239" s="1464"/>
      <c r="BS239" s="1464"/>
      <c r="BT239" s="1464"/>
      <c r="BU239" s="1464"/>
      <c r="BV239" s="1464"/>
      <c r="BW239" s="1464"/>
      <c r="BX239" s="1464"/>
      <c r="BY239" s="1464"/>
      <c r="BZ239" s="1464"/>
      <c r="CA239" s="1464"/>
      <c r="CB239" s="1464"/>
      <c r="CC239" s="1464"/>
      <c r="CD239" s="1464"/>
      <c r="CE239" s="1464"/>
      <c r="CF239" s="1464"/>
      <c r="CG239" s="1464"/>
      <c r="CH239" s="1464"/>
      <c r="CI239" s="1464"/>
      <c r="CJ239" s="1464"/>
      <c r="CK239" s="1464"/>
      <c r="CL239" s="1464"/>
      <c r="CM239" s="1464"/>
      <c r="CN239" s="1464"/>
      <c r="CO239" s="1464"/>
      <c r="CP239" s="1464"/>
      <c r="CQ239" s="1464"/>
      <c r="CR239" s="1464"/>
      <c r="CS239" s="1464"/>
      <c r="CT239" s="1464"/>
      <c r="CU239" s="1464"/>
      <c r="CV239" s="1464"/>
      <c r="CW239" s="1464"/>
      <c r="CX239" s="1464"/>
      <c r="CY239" s="1464"/>
      <c r="CZ239" s="1464"/>
      <c r="DA239" s="1464"/>
      <c r="DB239" s="1464"/>
      <c r="DC239" s="1464"/>
      <c r="DD239" s="1464"/>
      <c r="DE239" s="1464"/>
      <c r="DF239" s="1464"/>
      <c r="DG239" s="1464"/>
      <c r="DH239" s="1464"/>
      <c r="DI239" s="1464"/>
      <c r="DJ239" s="1464"/>
      <c r="DK239" s="1464"/>
      <c r="DL239" s="1464"/>
      <c r="DM239" s="1464"/>
      <c r="DN239" s="1464"/>
      <c r="DO239" s="1464"/>
      <c r="DP239" s="1464"/>
      <c r="DQ239" s="1464"/>
      <c r="DR239" s="1464"/>
      <c r="DS239" s="1464"/>
      <c r="DT239" s="1464"/>
      <c r="DU239" s="1464"/>
      <c r="DV239" s="1464"/>
      <c r="DW239" s="1464"/>
      <c r="DX239" s="1464"/>
      <c r="DY239" s="1464"/>
      <c r="DZ239" s="1464"/>
      <c r="EA239" s="1464"/>
      <c r="EB239" s="1464"/>
      <c r="EC239" s="1464"/>
      <c r="ED239" s="1464"/>
      <c r="EE239" s="1464"/>
      <c r="EF239" s="1464"/>
      <c r="EG239" s="1464"/>
      <c r="EH239" s="1464"/>
      <c r="EI239" s="1464"/>
      <c r="EJ239" s="1464"/>
      <c r="EK239" s="1464"/>
      <c r="EL239" s="1464"/>
      <c r="EM239" s="1464"/>
      <c r="EN239" s="1464"/>
      <c r="EO239" s="1464"/>
      <c r="EP239" s="1464"/>
      <c r="EQ239" s="1464"/>
      <c r="ER239" s="1464"/>
      <c r="ES239" s="1464"/>
      <c r="ET239" s="1464"/>
      <c r="EU239" s="1464"/>
      <c r="EV239" s="1464"/>
      <c r="EW239" s="1464"/>
      <c r="EX239" s="1464"/>
      <c r="EY239" s="1464"/>
      <c r="EZ239" s="1464"/>
      <c r="FA239" s="1464"/>
      <c r="FB239" s="1464"/>
      <c r="FC239" s="1464"/>
      <c r="FD239" s="1464"/>
      <c r="FE239" s="1464"/>
      <c r="FF239" s="1464"/>
    </row>
    <row r="241" spans="6:162" s="1466" customFormat="1" ht="15.75" customHeight="1">
      <c r="F241" s="1464"/>
      <c r="G241" s="1464"/>
      <c r="H241" s="1464"/>
      <c r="I241" s="1464"/>
      <c r="J241" s="1464"/>
      <c r="K241" s="1464"/>
      <c r="L241" s="1464"/>
      <c r="M241" s="1464"/>
      <c r="N241" s="1464"/>
      <c r="O241" s="1464"/>
      <c r="P241" s="1464"/>
      <c r="Q241" s="1464"/>
      <c r="R241" s="1464"/>
      <c r="S241" s="1464"/>
      <c r="T241" s="1464"/>
      <c r="U241" s="1464"/>
      <c r="V241" s="1464"/>
      <c r="W241" s="1464"/>
      <c r="X241" s="1464"/>
      <c r="Y241" s="1464"/>
      <c r="AA241" s="1464"/>
      <c r="AC241" s="1464"/>
      <c r="AD241" s="1464"/>
      <c r="AE241" s="1464"/>
      <c r="AF241" s="1464"/>
      <c r="AG241" s="1464"/>
      <c r="AH241" s="1465"/>
      <c r="AI241" s="1465"/>
      <c r="AJ241" s="1464"/>
      <c r="AK241" s="1464"/>
      <c r="AL241" s="1464"/>
      <c r="AM241" s="1464"/>
      <c r="AN241" s="1464"/>
      <c r="AO241" s="1464"/>
      <c r="AP241" s="1464"/>
      <c r="AQ241" s="1464"/>
      <c r="AR241" s="1464"/>
      <c r="AS241" s="1464"/>
      <c r="AT241" s="1464"/>
      <c r="AU241" s="1464"/>
      <c r="AV241" s="1464"/>
      <c r="AW241" s="1464"/>
      <c r="AX241" s="1464"/>
      <c r="AY241" s="1464"/>
      <c r="AZ241" s="1464"/>
      <c r="BA241" s="1464"/>
      <c r="BB241" s="1464"/>
      <c r="BC241" s="1464"/>
      <c r="BD241" s="1464"/>
      <c r="BE241" s="1464"/>
      <c r="BF241" s="1464"/>
      <c r="BG241" s="1464"/>
      <c r="BH241" s="1464"/>
      <c r="BI241" s="1464"/>
      <c r="BJ241" s="1464"/>
      <c r="BK241" s="1464"/>
      <c r="BL241" s="1464"/>
      <c r="BM241" s="1464"/>
      <c r="BN241" s="1464"/>
      <c r="BO241" s="1464"/>
      <c r="BP241" s="1464"/>
      <c r="BQ241" s="1464"/>
      <c r="BR241" s="1464"/>
      <c r="BS241" s="1464"/>
      <c r="BT241" s="1464"/>
      <c r="BU241" s="1464"/>
      <c r="BV241" s="1464"/>
      <c r="BW241" s="1464"/>
      <c r="BX241" s="1464"/>
      <c r="BY241" s="1464"/>
      <c r="BZ241" s="1464"/>
      <c r="CA241" s="1464"/>
      <c r="CB241" s="1464"/>
      <c r="CC241" s="1464"/>
      <c r="CD241" s="1464"/>
      <c r="CE241" s="1464"/>
      <c r="CF241" s="1464"/>
      <c r="CG241" s="1464"/>
      <c r="CH241" s="1464"/>
      <c r="CI241" s="1464"/>
      <c r="CJ241" s="1464"/>
      <c r="CK241" s="1464"/>
      <c r="CL241" s="1464"/>
      <c r="CM241" s="1464"/>
      <c r="CN241" s="1464"/>
      <c r="CO241" s="1464"/>
      <c r="CP241" s="1464"/>
      <c r="CQ241" s="1464"/>
      <c r="CR241" s="1464"/>
      <c r="CS241" s="1464"/>
      <c r="CT241" s="1464"/>
      <c r="CU241" s="1464"/>
      <c r="CV241" s="1464"/>
      <c r="CW241" s="1464"/>
      <c r="CX241" s="1464"/>
      <c r="CY241" s="1464"/>
      <c r="CZ241" s="1464"/>
      <c r="DA241" s="1464"/>
      <c r="DB241" s="1464"/>
      <c r="DC241" s="1464"/>
      <c r="DD241" s="1464"/>
      <c r="DE241" s="1464"/>
      <c r="DF241" s="1464"/>
      <c r="DG241" s="1464"/>
      <c r="DH241" s="1464"/>
      <c r="DI241" s="1464"/>
      <c r="DJ241" s="1464"/>
      <c r="DK241" s="1464"/>
      <c r="DL241" s="1464"/>
      <c r="DM241" s="1464"/>
      <c r="DN241" s="1464"/>
      <c r="DO241" s="1464"/>
      <c r="DP241" s="1464"/>
      <c r="DQ241" s="1464"/>
      <c r="DR241" s="1464"/>
      <c r="DS241" s="1464"/>
      <c r="DT241" s="1464"/>
      <c r="DU241" s="1464"/>
      <c r="DV241" s="1464"/>
      <c r="DW241" s="1464"/>
      <c r="DX241" s="1464"/>
      <c r="DY241" s="1464"/>
      <c r="DZ241" s="1464"/>
      <c r="EA241" s="1464"/>
      <c r="EB241" s="1464"/>
      <c r="EC241" s="1464"/>
      <c r="ED241" s="1464"/>
      <c r="EE241" s="1464"/>
      <c r="EF241" s="1464"/>
      <c r="EG241" s="1464"/>
      <c r="EH241" s="1464"/>
      <c r="EI241" s="1464"/>
      <c r="EJ241" s="1464"/>
      <c r="EK241" s="1464"/>
      <c r="EL241" s="1464"/>
      <c r="EM241" s="1464"/>
      <c r="EN241" s="1464"/>
      <c r="EO241" s="1464"/>
      <c r="EP241" s="1464"/>
      <c r="EQ241" s="1464"/>
      <c r="ER241" s="1464"/>
      <c r="ES241" s="1464"/>
      <c r="ET241" s="1464"/>
      <c r="EU241" s="1464"/>
      <c r="EV241" s="1464"/>
      <c r="EW241" s="1464"/>
      <c r="EX241" s="1464"/>
      <c r="EY241" s="1464"/>
      <c r="EZ241" s="1464"/>
      <c r="FA241" s="1464"/>
      <c r="FB241" s="1464"/>
      <c r="FC241" s="1464"/>
      <c r="FD241" s="1464"/>
      <c r="FE241" s="1464"/>
      <c r="FF241" s="1464"/>
    </row>
    <row r="243" spans="6:162" s="1466" customFormat="1" ht="15.75" customHeight="1">
      <c r="F243" s="1464"/>
      <c r="G243" s="1464"/>
      <c r="H243" s="1464"/>
      <c r="I243" s="1464"/>
      <c r="J243" s="1464"/>
      <c r="K243" s="1464"/>
      <c r="L243" s="1464"/>
      <c r="M243" s="1464"/>
      <c r="N243" s="1464"/>
      <c r="O243" s="1464"/>
      <c r="P243" s="1464"/>
      <c r="Q243" s="1464"/>
      <c r="R243" s="1464"/>
      <c r="S243" s="1464"/>
      <c r="T243" s="1464"/>
      <c r="U243" s="1464"/>
      <c r="V243" s="1464"/>
      <c r="W243" s="1464"/>
      <c r="X243" s="1464"/>
      <c r="Y243" s="1464"/>
      <c r="AA243" s="1464"/>
      <c r="AC243" s="1464"/>
      <c r="AD243" s="1464"/>
      <c r="AE243" s="1464"/>
      <c r="AF243" s="1464"/>
      <c r="AG243" s="1464"/>
      <c r="AH243" s="1465"/>
      <c r="AI243" s="1465"/>
      <c r="AJ243" s="1464"/>
      <c r="AK243" s="1464"/>
      <c r="AL243" s="1464"/>
      <c r="AM243" s="1464"/>
      <c r="AN243" s="1464"/>
      <c r="AO243" s="1464"/>
      <c r="AP243" s="1464"/>
      <c r="AQ243" s="1464"/>
      <c r="AR243" s="1464"/>
      <c r="AS243" s="1464"/>
      <c r="AT243" s="1464"/>
      <c r="AU243" s="1464"/>
      <c r="AV243" s="1464"/>
      <c r="AW243" s="1464"/>
      <c r="AX243" s="1464"/>
      <c r="AY243" s="1464"/>
      <c r="AZ243" s="1464"/>
      <c r="BA243" s="1464"/>
      <c r="BB243" s="1464"/>
      <c r="BC243" s="1464"/>
      <c r="BD243" s="1464"/>
      <c r="BE243" s="1464"/>
      <c r="BF243" s="1464"/>
      <c r="BG243" s="1464"/>
      <c r="BH243" s="1464"/>
      <c r="BI243" s="1464"/>
      <c r="BJ243" s="1464"/>
      <c r="BK243" s="1464"/>
      <c r="BL243" s="1464"/>
      <c r="BM243" s="1464"/>
      <c r="BN243" s="1464"/>
      <c r="BO243" s="1464"/>
      <c r="BP243" s="1464"/>
      <c r="BQ243" s="1464"/>
      <c r="BR243" s="1464"/>
      <c r="BS243" s="1464"/>
      <c r="BT243" s="1464"/>
      <c r="BU243" s="1464"/>
      <c r="BV243" s="1464"/>
      <c r="BW243" s="1464"/>
      <c r="BX243" s="1464"/>
      <c r="BY243" s="1464"/>
      <c r="BZ243" s="1464"/>
      <c r="CA243" s="1464"/>
      <c r="CB243" s="1464"/>
      <c r="CC243" s="1464"/>
      <c r="CD243" s="1464"/>
      <c r="CE243" s="1464"/>
      <c r="CF243" s="1464"/>
      <c r="CG243" s="1464"/>
      <c r="CH243" s="1464"/>
      <c r="CI243" s="1464"/>
      <c r="CJ243" s="1464"/>
      <c r="CK243" s="1464"/>
      <c r="CL243" s="1464"/>
      <c r="CM243" s="1464"/>
      <c r="CN243" s="1464"/>
      <c r="CO243" s="1464"/>
      <c r="CP243" s="1464"/>
      <c r="CQ243" s="1464"/>
      <c r="CR243" s="1464"/>
      <c r="CS243" s="1464"/>
      <c r="CT243" s="1464"/>
      <c r="CU243" s="1464"/>
      <c r="CV243" s="1464"/>
      <c r="CW243" s="1464"/>
      <c r="CX243" s="1464"/>
      <c r="CY243" s="1464"/>
      <c r="CZ243" s="1464"/>
      <c r="DA243" s="1464"/>
      <c r="DB243" s="1464"/>
      <c r="DC243" s="1464"/>
      <c r="DD243" s="1464"/>
      <c r="DE243" s="1464"/>
      <c r="DF243" s="1464"/>
      <c r="DG243" s="1464"/>
      <c r="DH243" s="1464"/>
      <c r="DI243" s="1464"/>
      <c r="DJ243" s="1464"/>
      <c r="DK243" s="1464"/>
      <c r="DL243" s="1464"/>
      <c r="DM243" s="1464"/>
      <c r="DN243" s="1464"/>
      <c r="DO243" s="1464"/>
      <c r="DP243" s="1464"/>
      <c r="DQ243" s="1464"/>
      <c r="DR243" s="1464"/>
      <c r="DS243" s="1464"/>
      <c r="DT243" s="1464"/>
      <c r="DU243" s="1464"/>
      <c r="DV243" s="1464"/>
      <c r="DW243" s="1464"/>
      <c r="DX243" s="1464"/>
      <c r="DY243" s="1464"/>
      <c r="DZ243" s="1464"/>
      <c r="EA243" s="1464"/>
      <c r="EB243" s="1464"/>
      <c r="EC243" s="1464"/>
      <c r="ED243" s="1464"/>
      <c r="EE243" s="1464"/>
      <c r="EF243" s="1464"/>
      <c r="EG243" s="1464"/>
      <c r="EH243" s="1464"/>
      <c r="EI243" s="1464"/>
      <c r="EJ243" s="1464"/>
      <c r="EK243" s="1464"/>
      <c r="EL243" s="1464"/>
      <c r="EM243" s="1464"/>
      <c r="EN243" s="1464"/>
      <c r="EO243" s="1464"/>
      <c r="EP243" s="1464"/>
      <c r="EQ243" s="1464"/>
      <c r="ER243" s="1464"/>
      <c r="ES243" s="1464"/>
      <c r="ET243" s="1464"/>
      <c r="EU243" s="1464"/>
      <c r="EV243" s="1464"/>
      <c r="EW243" s="1464"/>
      <c r="EX243" s="1464"/>
      <c r="EY243" s="1464"/>
      <c r="EZ243" s="1464"/>
      <c r="FA243" s="1464"/>
      <c r="FB243" s="1464"/>
      <c r="FC243" s="1464"/>
      <c r="FD243" s="1464"/>
      <c r="FE243" s="1464"/>
      <c r="FF243" s="1464"/>
    </row>
    <row r="245" spans="6:162" s="1466" customFormat="1" ht="15.75" customHeight="1">
      <c r="F245" s="1464"/>
      <c r="G245" s="1464"/>
      <c r="H245" s="1464"/>
      <c r="I245" s="1464"/>
      <c r="J245" s="1464"/>
      <c r="K245" s="1464"/>
      <c r="L245" s="1464"/>
      <c r="M245" s="1464"/>
      <c r="N245" s="1464"/>
      <c r="O245" s="1464"/>
      <c r="P245" s="1464"/>
      <c r="Q245" s="1464"/>
      <c r="R245" s="1464"/>
      <c r="S245" s="1464"/>
      <c r="T245" s="1464"/>
      <c r="U245" s="1464"/>
      <c r="V245" s="1464"/>
      <c r="W245" s="1464"/>
      <c r="X245" s="1464"/>
      <c r="Y245" s="1464"/>
      <c r="AA245" s="1464"/>
      <c r="AC245" s="1464"/>
      <c r="AD245" s="1464"/>
      <c r="AE245" s="1464"/>
      <c r="AF245" s="1464"/>
      <c r="AG245" s="1464"/>
      <c r="AH245" s="1465"/>
      <c r="AI245" s="1465"/>
      <c r="AJ245" s="1464"/>
      <c r="AK245" s="1464"/>
      <c r="AL245" s="1464"/>
      <c r="AM245" s="1464"/>
      <c r="AN245" s="1464"/>
      <c r="AO245" s="1464"/>
      <c r="AP245" s="1464"/>
      <c r="AQ245" s="1464"/>
      <c r="AR245" s="1464"/>
      <c r="AS245" s="1464"/>
      <c r="AT245" s="1464"/>
      <c r="AU245" s="1464"/>
      <c r="AV245" s="1464"/>
      <c r="AW245" s="1464"/>
      <c r="AX245" s="1464"/>
      <c r="AY245" s="1464"/>
      <c r="AZ245" s="1464"/>
      <c r="BA245" s="1464"/>
      <c r="BB245" s="1464"/>
      <c r="BC245" s="1464"/>
      <c r="BD245" s="1464"/>
      <c r="BE245" s="1464"/>
      <c r="BF245" s="1464"/>
      <c r="BG245" s="1464"/>
      <c r="BH245" s="1464"/>
      <c r="BI245" s="1464"/>
      <c r="BJ245" s="1464"/>
      <c r="BK245" s="1464"/>
      <c r="BL245" s="1464"/>
      <c r="BM245" s="1464"/>
      <c r="BN245" s="1464"/>
      <c r="BO245" s="1464"/>
      <c r="BP245" s="1464"/>
      <c r="BQ245" s="1464"/>
      <c r="BR245" s="1464"/>
      <c r="BS245" s="1464"/>
      <c r="BT245" s="1464"/>
      <c r="BU245" s="1464"/>
      <c r="BV245" s="1464"/>
      <c r="BW245" s="1464"/>
      <c r="BX245" s="1464"/>
      <c r="BY245" s="1464"/>
      <c r="BZ245" s="1464"/>
      <c r="CA245" s="1464"/>
      <c r="CB245" s="1464"/>
      <c r="CC245" s="1464"/>
      <c r="CD245" s="1464"/>
      <c r="CE245" s="1464"/>
      <c r="CF245" s="1464"/>
      <c r="CG245" s="1464"/>
      <c r="CH245" s="1464"/>
      <c r="CI245" s="1464"/>
      <c r="CJ245" s="1464"/>
      <c r="CK245" s="1464"/>
      <c r="CL245" s="1464"/>
      <c r="CM245" s="1464"/>
      <c r="CN245" s="1464"/>
      <c r="CO245" s="1464"/>
      <c r="CP245" s="1464"/>
      <c r="CQ245" s="1464"/>
      <c r="CR245" s="1464"/>
      <c r="CS245" s="1464"/>
      <c r="CT245" s="1464"/>
      <c r="CU245" s="1464"/>
      <c r="CV245" s="1464"/>
      <c r="CW245" s="1464"/>
      <c r="CX245" s="1464"/>
      <c r="CY245" s="1464"/>
      <c r="CZ245" s="1464"/>
      <c r="DA245" s="1464"/>
      <c r="DB245" s="1464"/>
      <c r="DC245" s="1464"/>
      <c r="DD245" s="1464"/>
      <c r="DE245" s="1464"/>
      <c r="DF245" s="1464"/>
      <c r="DG245" s="1464"/>
      <c r="DH245" s="1464"/>
      <c r="DI245" s="1464"/>
      <c r="DJ245" s="1464"/>
      <c r="DK245" s="1464"/>
      <c r="DL245" s="1464"/>
      <c r="DM245" s="1464"/>
      <c r="DN245" s="1464"/>
      <c r="DO245" s="1464"/>
      <c r="DP245" s="1464"/>
      <c r="DQ245" s="1464"/>
      <c r="DR245" s="1464"/>
      <c r="DS245" s="1464"/>
      <c r="DT245" s="1464"/>
      <c r="DU245" s="1464"/>
      <c r="DV245" s="1464"/>
      <c r="DW245" s="1464"/>
      <c r="DX245" s="1464"/>
      <c r="DY245" s="1464"/>
      <c r="DZ245" s="1464"/>
      <c r="EA245" s="1464"/>
      <c r="EB245" s="1464"/>
      <c r="EC245" s="1464"/>
      <c r="ED245" s="1464"/>
      <c r="EE245" s="1464"/>
      <c r="EF245" s="1464"/>
      <c r="EG245" s="1464"/>
      <c r="EH245" s="1464"/>
      <c r="EI245" s="1464"/>
      <c r="EJ245" s="1464"/>
      <c r="EK245" s="1464"/>
      <c r="EL245" s="1464"/>
      <c r="EM245" s="1464"/>
      <c r="EN245" s="1464"/>
      <c r="EO245" s="1464"/>
      <c r="EP245" s="1464"/>
      <c r="EQ245" s="1464"/>
      <c r="ER245" s="1464"/>
      <c r="ES245" s="1464"/>
      <c r="ET245" s="1464"/>
      <c r="EU245" s="1464"/>
      <c r="EV245" s="1464"/>
      <c r="EW245" s="1464"/>
      <c r="EX245" s="1464"/>
      <c r="EY245" s="1464"/>
      <c r="EZ245" s="1464"/>
      <c r="FA245" s="1464"/>
      <c r="FB245" s="1464"/>
      <c r="FC245" s="1464"/>
      <c r="FD245" s="1464"/>
      <c r="FE245" s="1464"/>
      <c r="FF245" s="1464"/>
    </row>
    <row r="247" spans="6:162" s="1466" customFormat="1" ht="15.75" customHeight="1">
      <c r="F247" s="1464"/>
      <c r="G247" s="1464"/>
      <c r="H247" s="1464"/>
      <c r="I247" s="1464"/>
      <c r="J247" s="1464"/>
      <c r="K247" s="1464"/>
      <c r="L247" s="1464"/>
      <c r="M247" s="1464"/>
      <c r="N247" s="1464"/>
      <c r="O247" s="1464"/>
      <c r="P247" s="1464"/>
      <c r="Q247" s="1464"/>
      <c r="R247" s="1464"/>
      <c r="S247" s="1464"/>
      <c r="T247" s="1464"/>
      <c r="U247" s="1464"/>
      <c r="V247" s="1464"/>
      <c r="W247" s="1464"/>
      <c r="X247" s="1464"/>
      <c r="Y247" s="1464"/>
      <c r="AA247" s="1464"/>
      <c r="AC247" s="1464"/>
      <c r="AD247" s="1464"/>
      <c r="AE247" s="1464"/>
      <c r="AF247" s="1464"/>
      <c r="AG247" s="1464"/>
      <c r="AH247" s="1465"/>
      <c r="AI247" s="1465"/>
      <c r="AJ247" s="1464"/>
      <c r="AK247" s="1464"/>
      <c r="AL247" s="1464"/>
      <c r="AM247" s="1464"/>
      <c r="AN247" s="1464"/>
      <c r="AO247" s="1464"/>
      <c r="AP247" s="1464"/>
      <c r="AQ247" s="1464"/>
      <c r="AR247" s="1464"/>
      <c r="AS247" s="1464"/>
      <c r="AT247" s="1464"/>
      <c r="AU247" s="1464"/>
      <c r="AV247" s="1464"/>
      <c r="AW247" s="1464"/>
      <c r="AX247" s="1464"/>
      <c r="AY247" s="1464"/>
      <c r="AZ247" s="1464"/>
      <c r="BA247" s="1464"/>
      <c r="BB247" s="1464"/>
      <c r="BC247" s="1464"/>
      <c r="BD247" s="1464"/>
      <c r="BE247" s="1464"/>
      <c r="BF247" s="1464"/>
      <c r="BG247" s="1464"/>
      <c r="BH247" s="1464"/>
      <c r="BI247" s="1464"/>
      <c r="BJ247" s="1464"/>
      <c r="BK247" s="1464"/>
      <c r="BL247" s="1464"/>
      <c r="BM247" s="1464"/>
      <c r="BN247" s="1464"/>
      <c r="BO247" s="1464"/>
      <c r="BP247" s="1464"/>
      <c r="BQ247" s="1464"/>
      <c r="BR247" s="1464"/>
      <c r="BS247" s="1464"/>
      <c r="BT247" s="1464"/>
      <c r="BU247" s="1464"/>
      <c r="BV247" s="1464"/>
      <c r="BW247" s="1464"/>
      <c r="BX247" s="1464"/>
      <c r="BY247" s="1464"/>
      <c r="BZ247" s="1464"/>
      <c r="CA247" s="1464"/>
      <c r="CB247" s="1464"/>
      <c r="CC247" s="1464"/>
      <c r="CD247" s="1464"/>
      <c r="CE247" s="1464"/>
      <c r="CF247" s="1464"/>
      <c r="CG247" s="1464"/>
      <c r="CH247" s="1464"/>
      <c r="CI247" s="1464"/>
      <c r="CJ247" s="1464"/>
      <c r="CK247" s="1464"/>
      <c r="CL247" s="1464"/>
      <c r="CM247" s="1464"/>
      <c r="CN247" s="1464"/>
      <c r="CO247" s="1464"/>
      <c r="CP247" s="1464"/>
      <c r="CQ247" s="1464"/>
      <c r="CR247" s="1464"/>
      <c r="CS247" s="1464"/>
      <c r="CT247" s="1464"/>
      <c r="CU247" s="1464"/>
      <c r="CV247" s="1464"/>
      <c r="CW247" s="1464"/>
      <c r="CX247" s="1464"/>
      <c r="CY247" s="1464"/>
      <c r="CZ247" s="1464"/>
      <c r="DA247" s="1464"/>
      <c r="DB247" s="1464"/>
      <c r="DC247" s="1464"/>
      <c r="DD247" s="1464"/>
      <c r="DE247" s="1464"/>
      <c r="DF247" s="1464"/>
      <c r="DG247" s="1464"/>
      <c r="DH247" s="1464"/>
      <c r="DI247" s="1464"/>
      <c r="DJ247" s="1464"/>
      <c r="DK247" s="1464"/>
      <c r="DL247" s="1464"/>
      <c r="DM247" s="1464"/>
      <c r="DN247" s="1464"/>
      <c r="DO247" s="1464"/>
      <c r="DP247" s="1464"/>
      <c r="DQ247" s="1464"/>
      <c r="DR247" s="1464"/>
      <c r="DS247" s="1464"/>
      <c r="DT247" s="1464"/>
      <c r="DU247" s="1464"/>
      <c r="DV247" s="1464"/>
      <c r="DW247" s="1464"/>
      <c r="DX247" s="1464"/>
      <c r="DY247" s="1464"/>
      <c r="DZ247" s="1464"/>
      <c r="EA247" s="1464"/>
      <c r="EB247" s="1464"/>
      <c r="EC247" s="1464"/>
      <c r="ED247" s="1464"/>
      <c r="EE247" s="1464"/>
      <c r="EF247" s="1464"/>
      <c r="EG247" s="1464"/>
      <c r="EH247" s="1464"/>
      <c r="EI247" s="1464"/>
      <c r="EJ247" s="1464"/>
      <c r="EK247" s="1464"/>
      <c r="EL247" s="1464"/>
      <c r="EM247" s="1464"/>
      <c r="EN247" s="1464"/>
      <c r="EO247" s="1464"/>
      <c r="EP247" s="1464"/>
      <c r="EQ247" s="1464"/>
      <c r="ER247" s="1464"/>
      <c r="ES247" s="1464"/>
      <c r="ET247" s="1464"/>
      <c r="EU247" s="1464"/>
      <c r="EV247" s="1464"/>
      <c r="EW247" s="1464"/>
      <c r="EX247" s="1464"/>
      <c r="EY247" s="1464"/>
      <c r="EZ247" s="1464"/>
      <c r="FA247" s="1464"/>
      <c r="FB247" s="1464"/>
      <c r="FC247" s="1464"/>
      <c r="FD247" s="1464"/>
      <c r="FE247" s="1464"/>
      <c r="FF247" s="1464"/>
    </row>
    <row r="249" spans="6:162" s="1466" customFormat="1" ht="15.75" customHeight="1">
      <c r="F249" s="1464"/>
      <c r="G249" s="1464"/>
      <c r="H249" s="1464"/>
      <c r="I249" s="1464"/>
      <c r="J249" s="1464"/>
      <c r="K249" s="1464"/>
      <c r="L249" s="1464"/>
      <c r="M249" s="1464"/>
      <c r="N249" s="1464"/>
      <c r="O249" s="1464"/>
      <c r="P249" s="1464"/>
      <c r="Q249" s="1464"/>
      <c r="R249" s="1464"/>
      <c r="S249" s="1464"/>
      <c r="T249" s="1464"/>
      <c r="U249" s="1464"/>
      <c r="V249" s="1464"/>
      <c r="W249" s="1464"/>
      <c r="X249" s="1464"/>
      <c r="Y249" s="1464"/>
      <c r="AA249" s="1464"/>
      <c r="AC249" s="1464"/>
      <c r="AD249" s="1464"/>
      <c r="AE249" s="1464"/>
      <c r="AF249" s="1464"/>
      <c r="AG249" s="1464"/>
      <c r="AH249" s="1465"/>
      <c r="AI249" s="1465"/>
      <c r="AJ249" s="1464"/>
      <c r="AK249" s="1464"/>
      <c r="AL249" s="1464"/>
      <c r="AM249" s="1464"/>
      <c r="AN249" s="1464"/>
      <c r="AO249" s="1464"/>
      <c r="AP249" s="1464"/>
      <c r="AQ249" s="1464"/>
      <c r="AR249" s="1464"/>
      <c r="AS249" s="1464"/>
      <c r="AT249" s="1464"/>
      <c r="AU249" s="1464"/>
      <c r="AV249" s="1464"/>
      <c r="AW249" s="1464"/>
      <c r="AX249" s="1464"/>
      <c r="AY249" s="1464"/>
      <c r="AZ249" s="1464"/>
      <c r="BA249" s="1464"/>
      <c r="BB249" s="1464"/>
      <c r="BC249" s="1464"/>
      <c r="BD249" s="1464"/>
      <c r="BE249" s="1464"/>
      <c r="BF249" s="1464"/>
      <c r="BG249" s="1464"/>
      <c r="BH249" s="1464"/>
      <c r="BI249" s="1464"/>
      <c r="BJ249" s="1464"/>
      <c r="BK249" s="1464"/>
      <c r="BL249" s="1464"/>
      <c r="BM249" s="1464"/>
      <c r="BN249" s="1464"/>
      <c r="BO249" s="1464"/>
      <c r="BP249" s="1464"/>
      <c r="BQ249" s="1464"/>
      <c r="BR249" s="1464"/>
      <c r="BS249" s="1464"/>
      <c r="BT249" s="1464"/>
      <c r="BU249" s="1464"/>
      <c r="BV249" s="1464"/>
      <c r="BW249" s="1464"/>
      <c r="BX249" s="1464"/>
      <c r="BY249" s="1464"/>
      <c r="BZ249" s="1464"/>
      <c r="CA249" s="1464"/>
      <c r="CB249" s="1464"/>
      <c r="CC249" s="1464"/>
      <c r="CD249" s="1464"/>
      <c r="CE249" s="1464"/>
      <c r="CF249" s="1464"/>
      <c r="CG249" s="1464"/>
      <c r="CH249" s="1464"/>
      <c r="CI249" s="1464"/>
      <c r="CJ249" s="1464"/>
      <c r="CK249" s="1464"/>
      <c r="CL249" s="1464"/>
      <c r="CM249" s="1464"/>
      <c r="CN249" s="1464"/>
      <c r="CO249" s="1464"/>
      <c r="CP249" s="1464"/>
      <c r="CQ249" s="1464"/>
      <c r="CR249" s="1464"/>
      <c r="CS249" s="1464"/>
      <c r="CT249" s="1464"/>
      <c r="CU249" s="1464"/>
      <c r="CV249" s="1464"/>
      <c r="CW249" s="1464"/>
      <c r="CX249" s="1464"/>
      <c r="CY249" s="1464"/>
      <c r="CZ249" s="1464"/>
      <c r="DA249" s="1464"/>
      <c r="DB249" s="1464"/>
      <c r="DC249" s="1464"/>
      <c r="DD249" s="1464"/>
      <c r="DE249" s="1464"/>
      <c r="DF249" s="1464"/>
      <c r="DG249" s="1464"/>
      <c r="DH249" s="1464"/>
      <c r="DI249" s="1464"/>
      <c r="DJ249" s="1464"/>
      <c r="DK249" s="1464"/>
      <c r="DL249" s="1464"/>
      <c r="DM249" s="1464"/>
      <c r="DN249" s="1464"/>
      <c r="DO249" s="1464"/>
      <c r="DP249" s="1464"/>
      <c r="DQ249" s="1464"/>
      <c r="DR249" s="1464"/>
      <c r="DS249" s="1464"/>
      <c r="DT249" s="1464"/>
      <c r="DU249" s="1464"/>
      <c r="DV249" s="1464"/>
      <c r="DW249" s="1464"/>
      <c r="DX249" s="1464"/>
      <c r="DY249" s="1464"/>
      <c r="DZ249" s="1464"/>
      <c r="EA249" s="1464"/>
      <c r="EB249" s="1464"/>
      <c r="EC249" s="1464"/>
      <c r="ED249" s="1464"/>
      <c r="EE249" s="1464"/>
      <c r="EF249" s="1464"/>
      <c r="EG249" s="1464"/>
      <c r="EH249" s="1464"/>
      <c r="EI249" s="1464"/>
      <c r="EJ249" s="1464"/>
      <c r="EK249" s="1464"/>
      <c r="EL249" s="1464"/>
      <c r="EM249" s="1464"/>
      <c r="EN249" s="1464"/>
      <c r="EO249" s="1464"/>
      <c r="EP249" s="1464"/>
      <c r="EQ249" s="1464"/>
      <c r="ER249" s="1464"/>
      <c r="ES249" s="1464"/>
      <c r="ET249" s="1464"/>
      <c r="EU249" s="1464"/>
      <c r="EV249" s="1464"/>
      <c r="EW249" s="1464"/>
      <c r="EX249" s="1464"/>
      <c r="EY249" s="1464"/>
      <c r="EZ249" s="1464"/>
      <c r="FA249" s="1464"/>
      <c r="FB249" s="1464"/>
      <c r="FC249" s="1464"/>
      <c r="FD249" s="1464"/>
      <c r="FE249" s="1464"/>
      <c r="FF249" s="1464"/>
    </row>
    <row r="251" spans="6:162" s="1466" customFormat="1" ht="15.75" customHeight="1">
      <c r="F251" s="1464"/>
      <c r="G251" s="1464"/>
      <c r="H251" s="1464"/>
      <c r="I251" s="1464"/>
      <c r="J251" s="1464"/>
      <c r="K251" s="1464"/>
      <c r="L251" s="1464"/>
      <c r="M251" s="1464"/>
      <c r="N251" s="1464"/>
      <c r="O251" s="1464"/>
      <c r="P251" s="1464"/>
      <c r="Q251" s="1464"/>
      <c r="R251" s="1464"/>
      <c r="S251" s="1464"/>
      <c r="T251" s="1464"/>
      <c r="U251" s="1464"/>
      <c r="V251" s="1464"/>
      <c r="W251" s="1464"/>
      <c r="X251" s="1464"/>
      <c r="Y251" s="1464"/>
      <c r="AA251" s="1464"/>
      <c r="AC251" s="1464"/>
      <c r="AD251" s="1464"/>
      <c r="AE251" s="1464"/>
      <c r="AF251" s="1464"/>
      <c r="AG251" s="1464"/>
      <c r="AH251" s="1465"/>
      <c r="AI251" s="1465"/>
      <c r="AJ251" s="1464"/>
      <c r="AK251" s="1464"/>
      <c r="AL251" s="1464"/>
      <c r="AM251" s="1464"/>
      <c r="AN251" s="1464"/>
      <c r="AO251" s="1464"/>
      <c r="AP251" s="1464"/>
      <c r="AQ251" s="1464"/>
      <c r="AR251" s="1464"/>
      <c r="AS251" s="1464"/>
      <c r="AT251" s="1464"/>
      <c r="AU251" s="1464"/>
      <c r="AV251" s="1464"/>
      <c r="AW251" s="1464"/>
      <c r="AX251" s="1464"/>
      <c r="AY251" s="1464"/>
      <c r="AZ251" s="1464"/>
      <c r="BA251" s="1464"/>
      <c r="BB251" s="1464"/>
      <c r="BC251" s="1464"/>
      <c r="BD251" s="1464"/>
      <c r="BE251" s="1464"/>
      <c r="BF251" s="1464"/>
      <c r="BG251" s="1464"/>
      <c r="BH251" s="1464"/>
      <c r="BI251" s="1464"/>
      <c r="BJ251" s="1464"/>
      <c r="BK251" s="1464"/>
      <c r="BL251" s="1464"/>
      <c r="BM251" s="1464"/>
      <c r="BN251" s="1464"/>
      <c r="BO251" s="1464"/>
      <c r="BP251" s="1464"/>
      <c r="BQ251" s="1464"/>
      <c r="BR251" s="1464"/>
      <c r="BS251" s="1464"/>
      <c r="BT251" s="1464"/>
      <c r="BU251" s="1464"/>
      <c r="BV251" s="1464"/>
      <c r="BW251" s="1464"/>
      <c r="BX251" s="1464"/>
      <c r="BY251" s="1464"/>
      <c r="BZ251" s="1464"/>
      <c r="CA251" s="1464"/>
      <c r="CB251" s="1464"/>
      <c r="CC251" s="1464"/>
      <c r="CD251" s="1464"/>
      <c r="CE251" s="1464"/>
      <c r="CF251" s="1464"/>
      <c r="CG251" s="1464"/>
      <c r="CH251" s="1464"/>
      <c r="CI251" s="1464"/>
      <c r="CJ251" s="1464"/>
      <c r="CK251" s="1464"/>
      <c r="CL251" s="1464"/>
      <c r="CM251" s="1464"/>
      <c r="CN251" s="1464"/>
      <c r="CO251" s="1464"/>
      <c r="CP251" s="1464"/>
      <c r="CQ251" s="1464"/>
      <c r="CR251" s="1464"/>
      <c r="CS251" s="1464"/>
      <c r="CT251" s="1464"/>
      <c r="CU251" s="1464"/>
      <c r="CV251" s="1464"/>
      <c r="CW251" s="1464"/>
      <c r="CX251" s="1464"/>
      <c r="CY251" s="1464"/>
      <c r="CZ251" s="1464"/>
      <c r="DA251" s="1464"/>
      <c r="DB251" s="1464"/>
      <c r="DC251" s="1464"/>
      <c r="DD251" s="1464"/>
      <c r="DE251" s="1464"/>
      <c r="DF251" s="1464"/>
      <c r="DG251" s="1464"/>
      <c r="DH251" s="1464"/>
      <c r="DI251" s="1464"/>
      <c r="DJ251" s="1464"/>
      <c r="DK251" s="1464"/>
      <c r="DL251" s="1464"/>
      <c r="DM251" s="1464"/>
      <c r="DN251" s="1464"/>
      <c r="DO251" s="1464"/>
      <c r="DP251" s="1464"/>
      <c r="DQ251" s="1464"/>
      <c r="DR251" s="1464"/>
      <c r="DS251" s="1464"/>
      <c r="DT251" s="1464"/>
      <c r="DU251" s="1464"/>
      <c r="DV251" s="1464"/>
      <c r="DW251" s="1464"/>
      <c r="DX251" s="1464"/>
      <c r="DY251" s="1464"/>
      <c r="DZ251" s="1464"/>
      <c r="EA251" s="1464"/>
      <c r="EB251" s="1464"/>
      <c r="EC251" s="1464"/>
      <c r="ED251" s="1464"/>
      <c r="EE251" s="1464"/>
      <c r="EF251" s="1464"/>
      <c r="EG251" s="1464"/>
      <c r="EH251" s="1464"/>
      <c r="EI251" s="1464"/>
      <c r="EJ251" s="1464"/>
      <c r="EK251" s="1464"/>
      <c r="EL251" s="1464"/>
      <c r="EM251" s="1464"/>
      <c r="EN251" s="1464"/>
      <c r="EO251" s="1464"/>
      <c r="EP251" s="1464"/>
      <c r="EQ251" s="1464"/>
      <c r="ER251" s="1464"/>
      <c r="ES251" s="1464"/>
      <c r="ET251" s="1464"/>
      <c r="EU251" s="1464"/>
      <c r="EV251" s="1464"/>
      <c r="EW251" s="1464"/>
      <c r="EX251" s="1464"/>
      <c r="EY251" s="1464"/>
      <c r="EZ251" s="1464"/>
      <c r="FA251" s="1464"/>
      <c r="FB251" s="1464"/>
      <c r="FC251" s="1464"/>
      <c r="FD251" s="1464"/>
      <c r="FE251" s="1464"/>
      <c r="FF251" s="1464"/>
    </row>
    <row r="253" spans="6:162" s="1466" customFormat="1" ht="15.75" customHeight="1">
      <c r="F253" s="1464"/>
      <c r="G253" s="1464"/>
      <c r="H253" s="1464"/>
      <c r="I253" s="1464"/>
      <c r="J253" s="1464"/>
      <c r="K253" s="1464"/>
      <c r="L253" s="1464"/>
      <c r="M253" s="1464"/>
      <c r="N253" s="1464"/>
      <c r="O253" s="1464"/>
      <c r="P253" s="1464"/>
      <c r="Q253" s="1464"/>
      <c r="R253" s="1464"/>
      <c r="S253" s="1464"/>
      <c r="T253" s="1464"/>
      <c r="U253" s="1464"/>
      <c r="V253" s="1464"/>
      <c r="W253" s="1464"/>
      <c r="X253" s="1464"/>
      <c r="Y253" s="1464"/>
      <c r="AA253" s="1464"/>
      <c r="AC253" s="1464"/>
      <c r="AD253" s="1464"/>
      <c r="AE253" s="1464"/>
      <c r="AF253" s="1464"/>
      <c r="AG253" s="1464"/>
      <c r="AH253" s="1465"/>
      <c r="AI253" s="1465"/>
      <c r="AJ253" s="1464"/>
      <c r="AK253" s="1464"/>
      <c r="AL253" s="1464"/>
      <c r="AM253" s="1464"/>
      <c r="AN253" s="1464"/>
      <c r="AO253" s="1464"/>
      <c r="AP253" s="1464"/>
      <c r="AQ253" s="1464"/>
      <c r="AR253" s="1464"/>
      <c r="AS253" s="1464"/>
      <c r="AT253" s="1464"/>
      <c r="AU253" s="1464"/>
      <c r="AV253" s="1464"/>
      <c r="AW253" s="1464"/>
      <c r="AX253" s="1464"/>
      <c r="AY253" s="1464"/>
      <c r="AZ253" s="1464"/>
      <c r="BA253" s="1464"/>
      <c r="BB253" s="1464"/>
      <c r="BC253" s="1464"/>
      <c r="BD253" s="1464"/>
      <c r="BE253" s="1464"/>
      <c r="BF253" s="1464"/>
      <c r="BG253" s="1464"/>
      <c r="BH253" s="1464"/>
      <c r="BI253" s="1464"/>
      <c r="BJ253" s="1464"/>
      <c r="BK253" s="1464"/>
      <c r="BL253" s="1464"/>
      <c r="BM253" s="1464"/>
      <c r="BN253" s="1464"/>
      <c r="BO253" s="1464"/>
      <c r="BP253" s="1464"/>
      <c r="BQ253" s="1464"/>
      <c r="BR253" s="1464"/>
      <c r="BS253" s="1464"/>
      <c r="BT253" s="1464"/>
      <c r="BU253" s="1464"/>
      <c r="BV253" s="1464"/>
      <c r="BW253" s="1464"/>
      <c r="BX253" s="1464"/>
      <c r="BY253" s="1464"/>
      <c r="BZ253" s="1464"/>
      <c r="CA253" s="1464"/>
      <c r="CB253" s="1464"/>
      <c r="CC253" s="1464"/>
      <c r="CD253" s="1464"/>
      <c r="CE253" s="1464"/>
      <c r="CF253" s="1464"/>
      <c r="CG253" s="1464"/>
      <c r="CH253" s="1464"/>
      <c r="CI253" s="1464"/>
      <c r="CJ253" s="1464"/>
      <c r="CK253" s="1464"/>
      <c r="CL253" s="1464"/>
      <c r="CM253" s="1464"/>
      <c r="CN253" s="1464"/>
      <c r="CO253" s="1464"/>
      <c r="CP253" s="1464"/>
      <c r="CQ253" s="1464"/>
      <c r="CR253" s="1464"/>
      <c r="CS253" s="1464"/>
      <c r="CT253" s="1464"/>
      <c r="CU253" s="1464"/>
      <c r="CV253" s="1464"/>
      <c r="CW253" s="1464"/>
      <c r="CX253" s="1464"/>
      <c r="CY253" s="1464"/>
      <c r="CZ253" s="1464"/>
      <c r="DA253" s="1464"/>
      <c r="DB253" s="1464"/>
      <c r="DC253" s="1464"/>
      <c r="DD253" s="1464"/>
      <c r="DE253" s="1464"/>
      <c r="DF253" s="1464"/>
      <c r="DG253" s="1464"/>
      <c r="DH253" s="1464"/>
      <c r="DI253" s="1464"/>
      <c r="DJ253" s="1464"/>
      <c r="DK253" s="1464"/>
      <c r="DL253" s="1464"/>
      <c r="DM253" s="1464"/>
      <c r="DN253" s="1464"/>
      <c r="DO253" s="1464"/>
      <c r="DP253" s="1464"/>
      <c r="DQ253" s="1464"/>
      <c r="DR253" s="1464"/>
      <c r="DS253" s="1464"/>
      <c r="DT253" s="1464"/>
      <c r="DU253" s="1464"/>
      <c r="DV253" s="1464"/>
      <c r="DW253" s="1464"/>
      <c r="DX253" s="1464"/>
      <c r="DY253" s="1464"/>
      <c r="DZ253" s="1464"/>
      <c r="EA253" s="1464"/>
      <c r="EB253" s="1464"/>
      <c r="EC253" s="1464"/>
      <c r="ED253" s="1464"/>
      <c r="EE253" s="1464"/>
      <c r="EF253" s="1464"/>
      <c r="EG253" s="1464"/>
      <c r="EH253" s="1464"/>
      <c r="EI253" s="1464"/>
      <c r="EJ253" s="1464"/>
      <c r="EK253" s="1464"/>
      <c r="EL253" s="1464"/>
      <c r="EM253" s="1464"/>
      <c r="EN253" s="1464"/>
      <c r="EO253" s="1464"/>
      <c r="EP253" s="1464"/>
      <c r="EQ253" s="1464"/>
      <c r="ER253" s="1464"/>
      <c r="ES253" s="1464"/>
      <c r="ET253" s="1464"/>
      <c r="EU253" s="1464"/>
      <c r="EV253" s="1464"/>
      <c r="EW253" s="1464"/>
      <c r="EX253" s="1464"/>
      <c r="EY253" s="1464"/>
      <c r="EZ253" s="1464"/>
      <c r="FA253" s="1464"/>
      <c r="FB253" s="1464"/>
      <c r="FC253" s="1464"/>
      <c r="FD253" s="1464"/>
      <c r="FE253" s="1464"/>
      <c r="FF253" s="1464"/>
    </row>
    <row r="255" spans="6:162" s="1466" customFormat="1" ht="15.75" customHeight="1">
      <c r="F255" s="1464"/>
      <c r="G255" s="1464"/>
      <c r="H255" s="1464"/>
      <c r="I255" s="1464"/>
      <c r="J255" s="1464"/>
      <c r="K255" s="1464"/>
      <c r="L255" s="1464"/>
      <c r="M255" s="1464"/>
      <c r="N255" s="1464"/>
      <c r="O255" s="1464"/>
      <c r="P255" s="1464"/>
      <c r="Q255" s="1464"/>
      <c r="R255" s="1464"/>
      <c r="S255" s="1464"/>
      <c r="T255" s="1464"/>
      <c r="U255" s="1464"/>
      <c r="V255" s="1464"/>
      <c r="W255" s="1464"/>
      <c r="X255" s="1464"/>
      <c r="Y255" s="1464"/>
      <c r="AA255" s="1464"/>
      <c r="AC255" s="1464"/>
      <c r="AD255" s="1464"/>
      <c r="AE255" s="1464"/>
      <c r="AF255" s="1464"/>
      <c r="AG255" s="1464"/>
      <c r="AH255" s="1465"/>
      <c r="AI255" s="1465"/>
      <c r="AJ255" s="1464"/>
      <c r="AK255" s="1464"/>
      <c r="AL255" s="1464"/>
      <c r="AM255" s="1464"/>
      <c r="AN255" s="1464"/>
      <c r="AO255" s="1464"/>
      <c r="AP255" s="1464"/>
      <c r="AQ255" s="1464"/>
      <c r="AR255" s="1464"/>
      <c r="AS255" s="1464"/>
      <c r="AT255" s="1464"/>
      <c r="AU255" s="1464"/>
      <c r="AV255" s="1464"/>
      <c r="AW255" s="1464"/>
      <c r="AX255" s="1464"/>
      <c r="AY255" s="1464"/>
      <c r="AZ255" s="1464"/>
      <c r="BA255" s="1464"/>
      <c r="BB255" s="1464"/>
      <c r="BC255" s="1464"/>
      <c r="BD255" s="1464"/>
      <c r="BE255" s="1464"/>
      <c r="BF255" s="1464"/>
      <c r="BG255" s="1464"/>
      <c r="BH255" s="1464"/>
      <c r="BI255" s="1464"/>
      <c r="BJ255" s="1464"/>
      <c r="BK255" s="1464"/>
      <c r="BL255" s="1464"/>
      <c r="BM255" s="1464"/>
      <c r="BN255" s="1464"/>
      <c r="BO255" s="1464"/>
      <c r="BP255" s="1464"/>
      <c r="BQ255" s="1464"/>
      <c r="BR255" s="1464"/>
      <c r="BS255" s="1464"/>
      <c r="BT255" s="1464"/>
      <c r="BU255" s="1464"/>
      <c r="BV255" s="1464"/>
      <c r="BW255" s="1464"/>
      <c r="BX255" s="1464"/>
      <c r="BY255" s="1464"/>
      <c r="BZ255" s="1464"/>
      <c r="CA255" s="1464"/>
      <c r="CB255" s="1464"/>
      <c r="CC255" s="1464"/>
      <c r="CD255" s="1464"/>
      <c r="CE255" s="1464"/>
      <c r="CF255" s="1464"/>
      <c r="CG255" s="1464"/>
      <c r="CH255" s="1464"/>
      <c r="CI255" s="1464"/>
      <c r="CJ255" s="1464"/>
      <c r="CK255" s="1464"/>
      <c r="CL255" s="1464"/>
      <c r="CM255" s="1464"/>
      <c r="CN255" s="1464"/>
      <c r="CO255" s="1464"/>
      <c r="CP255" s="1464"/>
      <c r="CQ255" s="1464"/>
      <c r="CR255" s="1464"/>
      <c r="CS255" s="1464"/>
      <c r="CT255" s="1464"/>
      <c r="CU255" s="1464"/>
      <c r="CV255" s="1464"/>
      <c r="CW255" s="1464"/>
      <c r="CX255" s="1464"/>
      <c r="CY255" s="1464"/>
      <c r="CZ255" s="1464"/>
      <c r="DA255" s="1464"/>
      <c r="DB255" s="1464"/>
      <c r="DC255" s="1464"/>
      <c r="DD255" s="1464"/>
      <c r="DE255" s="1464"/>
      <c r="DF255" s="1464"/>
      <c r="DG255" s="1464"/>
      <c r="DH255" s="1464"/>
      <c r="DI255" s="1464"/>
      <c r="DJ255" s="1464"/>
      <c r="DK255" s="1464"/>
      <c r="DL255" s="1464"/>
      <c r="DM255" s="1464"/>
      <c r="DN255" s="1464"/>
      <c r="DO255" s="1464"/>
      <c r="DP255" s="1464"/>
      <c r="DQ255" s="1464"/>
      <c r="DR255" s="1464"/>
      <c r="DS255" s="1464"/>
      <c r="DT255" s="1464"/>
      <c r="DU255" s="1464"/>
      <c r="DV255" s="1464"/>
      <c r="DW255" s="1464"/>
      <c r="DX255" s="1464"/>
      <c r="DY255" s="1464"/>
      <c r="DZ255" s="1464"/>
      <c r="EA255" s="1464"/>
      <c r="EB255" s="1464"/>
      <c r="EC255" s="1464"/>
      <c r="ED255" s="1464"/>
      <c r="EE255" s="1464"/>
      <c r="EF255" s="1464"/>
      <c r="EG255" s="1464"/>
      <c r="EH255" s="1464"/>
      <c r="EI255" s="1464"/>
      <c r="EJ255" s="1464"/>
      <c r="EK255" s="1464"/>
      <c r="EL255" s="1464"/>
      <c r="EM255" s="1464"/>
      <c r="EN255" s="1464"/>
      <c r="EO255" s="1464"/>
      <c r="EP255" s="1464"/>
      <c r="EQ255" s="1464"/>
      <c r="ER255" s="1464"/>
      <c r="ES255" s="1464"/>
      <c r="ET255" s="1464"/>
      <c r="EU255" s="1464"/>
      <c r="EV255" s="1464"/>
      <c r="EW255" s="1464"/>
      <c r="EX255" s="1464"/>
      <c r="EY255" s="1464"/>
      <c r="EZ255" s="1464"/>
      <c r="FA255" s="1464"/>
      <c r="FB255" s="1464"/>
      <c r="FC255" s="1464"/>
      <c r="FD255" s="1464"/>
      <c r="FE255" s="1464"/>
      <c r="FF255" s="1464"/>
    </row>
    <row r="257" spans="6:162" s="1466" customFormat="1" ht="15.75" customHeight="1">
      <c r="F257" s="1464"/>
      <c r="G257" s="1464"/>
      <c r="H257" s="1464"/>
      <c r="I257" s="1464"/>
      <c r="J257" s="1464"/>
      <c r="K257" s="1464"/>
      <c r="L257" s="1464"/>
      <c r="M257" s="1464"/>
      <c r="N257" s="1464"/>
      <c r="O257" s="1464"/>
      <c r="P257" s="1464"/>
      <c r="Q257" s="1464"/>
      <c r="R257" s="1464"/>
      <c r="S257" s="1464"/>
      <c r="T257" s="1464"/>
      <c r="U257" s="1464"/>
      <c r="V257" s="1464"/>
      <c r="W257" s="1464"/>
      <c r="X257" s="1464"/>
      <c r="Y257" s="1464"/>
      <c r="AA257" s="1464"/>
      <c r="AC257" s="1464"/>
      <c r="AD257" s="1464"/>
      <c r="AE257" s="1464"/>
      <c r="AF257" s="1464"/>
      <c r="AG257" s="1464"/>
      <c r="AH257" s="1465"/>
      <c r="AI257" s="1465"/>
      <c r="AJ257" s="1464"/>
      <c r="AK257" s="1464"/>
      <c r="AL257" s="1464"/>
      <c r="AM257" s="1464"/>
      <c r="AN257" s="1464"/>
      <c r="AO257" s="1464"/>
      <c r="AP257" s="1464"/>
      <c r="AQ257" s="1464"/>
      <c r="AR257" s="1464"/>
      <c r="AS257" s="1464"/>
      <c r="AT257" s="1464"/>
      <c r="AU257" s="1464"/>
      <c r="AV257" s="1464"/>
      <c r="AW257" s="1464"/>
      <c r="AX257" s="1464"/>
      <c r="AY257" s="1464"/>
      <c r="AZ257" s="1464"/>
      <c r="BA257" s="1464"/>
      <c r="BB257" s="1464"/>
      <c r="BC257" s="1464"/>
      <c r="BD257" s="1464"/>
      <c r="BE257" s="1464"/>
      <c r="BF257" s="1464"/>
      <c r="BG257" s="1464"/>
      <c r="BH257" s="1464"/>
      <c r="BI257" s="1464"/>
      <c r="BJ257" s="1464"/>
      <c r="BK257" s="1464"/>
      <c r="BL257" s="1464"/>
      <c r="BM257" s="1464"/>
      <c r="BN257" s="1464"/>
      <c r="BO257" s="1464"/>
      <c r="BP257" s="1464"/>
      <c r="BQ257" s="1464"/>
      <c r="BR257" s="1464"/>
      <c r="BS257" s="1464"/>
      <c r="BT257" s="1464"/>
      <c r="BU257" s="1464"/>
      <c r="BV257" s="1464"/>
      <c r="BW257" s="1464"/>
      <c r="BX257" s="1464"/>
      <c r="BY257" s="1464"/>
      <c r="BZ257" s="1464"/>
      <c r="CA257" s="1464"/>
      <c r="CB257" s="1464"/>
      <c r="CC257" s="1464"/>
      <c r="CD257" s="1464"/>
      <c r="CE257" s="1464"/>
      <c r="CF257" s="1464"/>
      <c r="CG257" s="1464"/>
      <c r="CH257" s="1464"/>
      <c r="CI257" s="1464"/>
      <c r="CJ257" s="1464"/>
      <c r="CK257" s="1464"/>
      <c r="CL257" s="1464"/>
      <c r="CM257" s="1464"/>
      <c r="CN257" s="1464"/>
      <c r="CO257" s="1464"/>
      <c r="CP257" s="1464"/>
      <c r="CQ257" s="1464"/>
      <c r="CR257" s="1464"/>
      <c r="CS257" s="1464"/>
      <c r="CT257" s="1464"/>
      <c r="CU257" s="1464"/>
      <c r="CV257" s="1464"/>
      <c r="CW257" s="1464"/>
      <c r="CX257" s="1464"/>
      <c r="CY257" s="1464"/>
      <c r="CZ257" s="1464"/>
      <c r="DA257" s="1464"/>
      <c r="DB257" s="1464"/>
      <c r="DC257" s="1464"/>
      <c r="DD257" s="1464"/>
      <c r="DE257" s="1464"/>
      <c r="DF257" s="1464"/>
      <c r="DG257" s="1464"/>
      <c r="DH257" s="1464"/>
      <c r="DI257" s="1464"/>
      <c r="DJ257" s="1464"/>
      <c r="DK257" s="1464"/>
      <c r="DL257" s="1464"/>
      <c r="DM257" s="1464"/>
      <c r="DN257" s="1464"/>
      <c r="DO257" s="1464"/>
      <c r="DP257" s="1464"/>
      <c r="DQ257" s="1464"/>
      <c r="DR257" s="1464"/>
      <c r="DS257" s="1464"/>
      <c r="DT257" s="1464"/>
      <c r="DU257" s="1464"/>
      <c r="DV257" s="1464"/>
      <c r="DW257" s="1464"/>
      <c r="DX257" s="1464"/>
      <c r="DY257" s="1464"/>
      <c r="DZ257" s="1464"/>
      <c r="EA257" s="1464"/>
      <c r="EB257" s="1464"/>
      <c r="EC257" s="1464"/>
      <c r="ED257" s="1464"/>
      <c r="EE257" s="1464"/>
      <c r="EF257" s="1464"/>
      <c r="EG257" s="1464"/>
      <c r="EH257" s="1464"/>
      <c r="EI257" s="1464"/>
      <c r="EJ257" s="1464"/>
      <c r="EK257" s="1464"/>
      <c r="EL257" s="1464"/>
      <c r="EM257" s="1464"/>
      <c r="EN257" s="1464"/>
      <c r="EO257" s="1464"/>
      <c r="EP257" s="1464"/>
      <c r="EQ257" s="1464"/>
      <c r="ER257" s="1464"/>
      <c r="ES257" s="1464"/>
      <c r="ET257" s="1464"/>
      <c r="EU257" s="1464"/>
      <c r="EV257" s="1464"/>
      <c r="EW257" s="1464"/>
      <c r="EX257" s="1464"/>
      <c r="EY257" s="1464"/>
      <c r="EZ257" s="1464"/>
      <c r="FA257" s="1464"/>
      <c r="FB257" s="1464"/>
      <c r="FC257" s="1464"/>
      <c r="FD257" s="1464"/>
      <c r="FE257" s="1464"/>
      <c r="FF257" s="1464"/>
    </row>
    <row r="259" spans="6:162" s="1466" customFormat="1" ht="15.75" customHeight="1">
      <c r="F259" s="1464"/>
      <c r="G259" s="1464"/>
      <c r="H259" s="1464"/>
      <c r="I259" s="1464"/>
      <c r="J259" s="1464"/>
      <c r="K259" s="1464"/>
      <c r="L259" s="1464"/>
      <c r="M259" s="1464"/>
      <c r="N259" s="1464"/>
      <c r="O259" s="1464"/>
      <c r="P259" s="1464"/>
      <c r="Q259" s="1464"/>
      <c r="R259" s="1464"/>
      <c r="S259" s="1464"/>
      <c r="T259" s="1464"/>
      <c r="U259" s="1464"/>
      <c r="V259" s="1464"/>
      <c r="W259" s="1464"/>
      <c r="X259" s="1464"/>
      <c r="Y259" s="1464"/>
      <c r="AA259" s="1464"/>
      <c r="AC259" s="1464"/>
      <c r="AD259" s="1464"/>
      <c r="AE259" s="1464"/>
      <c r="AF259" s="1464"/>
      <c r="AG259" s="1464"/>
      <c r="AH259" s="1465"/>
      <c r="AI259" s="1465"/>
      <c r="AJ259" s="1464"/>
      <c r="AK259" s="1464"/>
      <c r="AL259" s="1464"/>
      <c r="AM259" s="1464"/>
      <c r="AN259" s="1464"/>
      <c r="AO259" s="1464"/>
      <c r="AP259" s="1464"/>
      <c r="AQ259" s="1464"/>
      <c r="AR259" s="1464"/>
      <c r="AS259" s="1464"/>
      <c r="AT259" s="1464"/>
      <c r="AU259" s="1464"/>
      <c r="AV259" s="1464"/>
      <c r="AW259" s="1464"/>
      <c r="AX259" s="1464"/>
      <c r="AY259" s="1464"/>
      <c r="AZ259" s="1464"/>
      <c r="BA259" s="1464"/>
      <c r="BB259" s="1464"/>
      <c r="BC259" s="1464"/>
      <c r="BD259" s="1464"/>
      <c r="BE259" s="1464"/>
      <c r="BF259" s="1464"/>
      <c r="BG259" s="1464"/>
      <c r="BH259" s="1464"/>
      <c r="BI259" s="1464"/>
      <c r="BJ259" s="1464"/>
      <c r="BK259" s="1464"/>
      <c r="BL259" s="1464"/>
      <c r="BM259" s="1464"/>
      <c r="BN259" s="1464"/>
      <c r="BO259" s="1464"/>
      <c r="BP259" s="1464"/>
      <c r="BQ259" s="1464"/>
      <c r="BR259" s="1464"/>
      <c r="BS259" s="1464"/>
      <c r="BT259" s="1464"/>
      <c r="BU259" s="1464"/>
      <c r="BV259" s="1464"/>
      <c r="BW259" s="1464"/>
      <c r="BX259" s="1464"/>
      <c r="BY259" s="1464"/>
      <c r="BZ259" s="1464"/>
      <c r="CA259" s="1464"/>
      <c r="CB259" s="1464"/>
      <c r="CC259" s="1464"/>
      <c r="CD259" s="1464"/>
      <c r="CE259" s="1464"/>
      <c r="CF259" s="1464"/>
      <c r="CG259" s="1464"/>
      <c r="CH259" s="1464"/>
      <c r="CI259" s="1464"/>
      <c r="CJ259" s="1464"/>
      <c r="CK259" s="1464"/>
      <c r="CL259" s="1464"/>
      <c r="CM259" s="1464"/>
      <c r="CN259" s="1464"/>
      <c r="CO259" s="1464"/>
      <c r="CP259" s="1464"/>
      <c r="CQ259" s="1464"/>
      <c r="CR259" s="1464"/>
      <c r="CS259" s="1464"/>
      <c r="CT259" s="1464"/>
      <c r="CU259" s="1464"/>
      <c r="CV259" s="1464"/>
      <c r="CW259" s="1464"/>
      <c r="CX259" s="1464"/>
      <c r="CY259" s="1464"/>
      <c r="CZ259" s="1464"/>
      <c r="DA259" s="1464"/>
      <c r="DB259" s="1464"/>
      <c r="DC259" s="1464"/>
      <c r="DD259" s="1464"/>
      <c r="DE259" s="1464"/>
      <c r="DF259" s="1464"/>
      <c r="DG259" s="1464"/>
      <c r="DH259" s="1464"/>
      <c r="DI259" s="1464"/>
      <c r="DJ259" s="1464"/>
      <c r="DK259" s="1464"/>
      <c r="DL259" s="1464"/>
      <c r="DM259" s="1464"/>
      <c r="DN259" s="1464"/>
      <c r="DO259" s="1464"/>
      <c r="DP259" s="1464"/>
      <c r="DQ259" s="1464"/>
      <c r="DR259" s="1464"/>
      <c r="DS259" s="1464"/>
      <c r="DT259" s="1464"/>
      <c r="DU259" s="1464"/>
      <c r="DV259" s="1464"/>
      <c r="DW259" s="1464"/>
      <c r="DX259" s="1464"/>
      <c r="DY259" s="1464"/>
      <c r="DZ259" s="1464"/>
      <c r="EA259" s="1464"/>
      <c r="EB259" s="1464"/>
      <c r="EC259" s="1464"/>
      <c r="ED259" s="1464"/>
      <c r="EE259" s="1464"/>
      <c r="EF259" s="1464"/>
      <c r="EG259" s="1464"/>
      <c r="EH259" s="1464"/>
      <c r="EI259" s="1464"/>
      <c r="EJ259" s="1464"/>
      <c r="EK259" s="1464"/>
      <c r="EL259" s="1464"/>
      <c r="EM259" s="1464"/>
      <c r="EN259" s="1464"/>
      <c r="EO259" s="1464"/>
      <c r="EP259" s="1464"/>
      <c r="EQ259" s="1464"/>
      <c r="ER259" s="1464"/>
      <c r="ES259" s="1464"/>
      <c r="ET259" s="1464"/>
      <c r="EU259" s="1464"/>
      <c r="EV259" s="1464"/>
      <c r="EW259" s="1464"/>
      <c r="EX259" s="1464"/>
      <c r="EY259" s="1464"/>
      <c r="EZ259" s="1464"/>
      <c r="FA259" s="1464"/>
      <c r="FB259" s="1464"/>
      <c r="FC259" s="1464"/>
      <c r="FD259" s="1464"/>
      <c r="FE259" s="1464"/>
      <c r="FF259" s="1464"/>
    </row>
    <row r="261" spans="6:162" s="1466" customFormat="1" ht="15.75" customHeight="1">
      <c r="F261" s="1464"/>
      <c r="G261" s="1464"/>
      <c r="H261" s="1464"/>
      <c r="I261" s="1464"/>
      <c r="J261" s="1464"/>
      <c r="K261" s="1464"/>
      <c r="L261" s="1464"/>
      <c r="M261" s="1464"/>
      <c r="N261" s="1464"/>
      <c r="O261" s="1464"/>
      <c r="P261" s="1464"/>
      <c r="Q261" s="1464"/>
      <c r="R261" s="1464"/>
      <c r="S261" s="1464"/>
      <c r="T261" s="1464"/>
      <c r="U261" s="1464"/>
      <c r="V261" s="1464"/>
      <c r="W261" s="1464"/>
      <c r="X261" s="1464"/>
      <c r="Y261" s="1464"/>
      <c r="AA261" s="1464"/>
      <c r="AC261" s="1464"/>
      <c r="AD261" s="1464"/>
      <c r="AE261" s="1464"/>
      <c r="AF261" s="1464"/>
      <c r="AG261" s="1464"/>
      <c r="AH261" s="1465"/>
      <c r="AI261" s="1465"/>
      <c r="AJ261" s="1464"/>
      <c r="AK261" s="1464"/>
      <c r="AL261" s="1464"/>
      <c r="AM261" s="1464"/>
      <c r="AN261" s="1464"/>
      <c r="AO261" s="1464"/>
      <c r="AP261" s="1464"/>
      <c r="AQ261" s="1464"/>
      <c r="AR261" s="1464"/>
      <c r="AS261" s="1464"/>
      <c r="AT261" s="1464"/>
      <c r="AU261" s="1464"/>
      <c r="AV261" s="1464"/>
      <c r="AW261" s="1464"/>
      <c r="AX261" s="1464"/>
      <c r="AY261" s="1464"/>
      <c r="AZ261" s="1464"/>
      <c r="BA261" s="1464"/>
      <c r="BB261" s="1464"/>
      <c r="BC261" s="1464"/>
      <c r="BD261" s="1464"/>
      <c r="BE261" s="1464"/>
      <c r="BF261" s="1464"/>
      <c r="BG261" s="1464"/>
      <c r="BH261" s="1464"/>
      <c r="BI261" s="1464"/>
      <c r="BJ261" s="1464"/>
      <c r="BK261" s="1464"/>
      <c r="BL261" s="1464"/>
      <c r="BM261" s="1464"/>
      <c r="BN261" s="1464"/>
      <c r="BO261" s="1464"/>
      <c r="BP261" s="1464"/>
      <c r="BQ261" s="1464"/>
      <c r="BR261" s="1464"/>
      <c r="BS261" s="1464"/>
      <c r="BT261" s="1464"/>
      <c r="BU261" s="1464"/>
      <c r="BV261" s="1464"/>
      <c r="BW261" s="1464"/>
      <c r="BX261" s="1464"/>
      <c r="BY261" s="1464"/>
      <c r="BZ261" s="1464"/>
      <c r="CA261" s="1464"/>
      <c r="CB261" s="1464"/>
      <c r="CC261" s="1464"/>
      <c r="CD261" s="1464"/>
      <c r="CE261" s="1464"/>
      <c r="CF261" s="1464"/>
      <c r="CG261" s="1464"/>
      <c r="CH261" s="1464"/>
      <c r="CI261" s="1464"/>
      <c r="CJ261" s="1464"/>
      <c r="CK261" s="1464"/>
      <c r="CL261" s="1464"/>
      <c r="CM261" s="1464"/>
      <c r="CN261" s="1464"/>
      <c r="CO261" s="1464"/>
      <c r="CP261" s="1464"/>
      <c r="CQ261" s="1464"/>
      <c r="CR261" s="1464"/>
      <c r="CS261" s="1464"/>
      <c r="CT261" s="1464"/>
      <c r="CU261" s="1464"/>
      <c r="CV261" s="1464"/>
      <c r="CW261" s="1464"/>
      <c r="CX261" s="1464"/>
      <c r="CY261" s="1464"/>
      <c r="CZ261" s="1464"/>
      <c r="DA261" s="1464"/>
      <c r="DB261" s="1464"/>
      <c r="DC261" s="1464"/>
      <c r="DD261" s="1464"/>
      <c r="DE261" s="1464"/>
      <c r="DF261" s="1464"/>
      <c r="DG261" s="1464"/>
      <c r="DH261" s="1464"/>
      <c r="DI261" s="1464"/>
      <c r="DJ261" s="1464"/>
      <c r="DK261" s="1464"/>
      <c r="DL261" s="1464"/>
      <c r="DM261" s="1464"/>
      <c r="DN261" s="1464"/>
      <c r="DO261" s="1464"/>
      <c r="DP261" s="1464"/>
      <c r="DQ261" s="1464"/>
      <c r="DR261" s="1464"/>
      <c r="DS261" s="1464"/>
      <c r="DT261" s="1464"/>
      <c r="DU261" s="1464"/>
      <c r="DV261" s="1464"/>
      <c r="DW261" s="1464"/>
      <c r="DX261" s="1464"/>
      <c r="DY261" s="1464"/>
      <c r="DZ261" s="1464"/>
      <c r="EA261" s="1464"/>
      <c r="EB261" s="1464"/>
      <c r="EC261" s="1464"/>
      <c r="ED261" s="1464"/>
      <c r="EE261" s="1464"/>
      <c r="EF261" s="1464"/>
      <c r="EG261" s="1464"/>
      <c r="EH261" s="1464"/>
      <c r="EI261" s="1464"/>
      <c r="EJ261" s="1464"/>
      <c r="EK261" s="1464"/>
      <c r="EL261" s="1464"/>
      <c r="EM261" s="1464"/>
      <c r="EN261" s="1464"/>
      <c r="EO261" s="1464"/>
      <c r="EP261" s="1464"/>
      <c r="EQ261" s="1464"/>
      <c r="ER261" s="1464"/>
      <c r="ES261" s="1464"/>
      <c r="ET261" s="1464"/>
      <c r="EU261" s="1464"/>
      <c r="EV261" s="1464"/>
      <c r="EW261" s="1464"/>
      <c r="EX261" s="1464"/>
      <c r="EY261" s="1464"/>
      <c r="EZ261" s="1464"/>
      <c r="FA261" s="1464"/>
      <c r="FB261" s="1464"/>
      <c r="FC261" s="1464"/>
      <c r="FD261" s="1464"/>
      <c r="FE261" s="1464"/>
      <c r="FF261" s="1464"/>
    </row>
    <row r="263" spans="6:162" s="1466" customFormat="1" ht="15.75" customHeight="1">
      <c r="F263" s="1464"/>
      <c r="G263" s="1464"/>
      <c r="H263" s="1464"/>
      <c r="I263" s="1464"/>
      <c r="J263" s="1464"/>
      <c r="K263" s="1464"/>
      <c r="L263" s="1464"/>
      <c r="M263" s="1464"/>
      <c r="N263" s="1464"/>
      <c r="O263" s="1464"/>
      <c r="P263" s="1464"/>
      <c r="Q263" s="1464"/>
      <c r="R263" s="1464"/>
      <c r="S263" s="1464"/>
      <c r="T263" s="1464"/>
      <c r="U263" s="1464"/>
      <c r="V263" s="1464"/>
      <c r="W263" s="1464"/>
      <c r="X263" s="1464"/>
      <c r="Y263" s="1464"/>
      <c r="AA263" s="1464"/>
      <c r="AC263" s="1464"/>
      <c r="AD263" s="1464"/>
      <c r="AE263" s="1464"/>
      <c r="AF263" s="1464"/>
      <c r="AG263" s="1464"/>
      <c r="AH263" s="1465"/>
      <c r="AI263" s="1465"/>
      <c r="AJ263" s="1464"/>
      <c r="AK263" s="1464"/>
      <c r="AL263" s="1464"/>
      <c r="AM263" s="1464"/>
      <c r="AN263" s="1464"/>
      <c r="AO263" s="1464"/>
      <c r="AP263" s="1464"/>
      <c r="AQ263" s="1464"/>
      <c r="AR263" s="1464"/>
      <c r="AS263" s="1464"/>
      <c r="AT263" s="1464"/>
      <c r="AU263" s="1464"/>
      <c r="AV263" s="1464"/>
      <c r="AW263" s="1464"/>
      <c r="AX263" s="1464"/>
      <c r="AY263" s="1464"/>
      <c r="AZ263" s="1464"/>
      <c r="BA263" s="1464"/>
      <c r="BB263" s="1464"/>
      <c r="BC263" s="1464"/>
      <c r="BD263" s="1464"/>
      <c r="BE263" s="1464"/>
      <c r="BF263" s="1464"/>
      <c r="BG263" s="1464"/>
      <c r="BH263" s="1464"/>
      <c r="BI263" s="1464"/>
      <c r="BJ263" s="1464"/>
      <c r="BK263" s="1464"/>
      <c r="BL263" s="1464"/>
      <c r="BM263" s="1464"/>
      <c r="BN263" s="1464"/>
      <c r="BO263" s="1464"/>
      <c r="BP263" s="1464"/>
      <c r="BQ263" s="1464"/>
      <c r="BR263" s="1464"/>
      <c r="BS263" s="1464"/>
      <c r="BT263" s="1464"/>
      <c r="BU263" s="1464"/>
      <c r="BV263" s="1464"/>
      <c r="BW263" s="1464"/>
      <c r="BX263" s="1464"/>
      <c r="BY263" s="1464"/>
      <c r="BZ263" s="1464"/>
      <c r="CA263" s="1464"/>
      <c r="CB263" s="1464"/>
      <c r="CC263" s="1464"/>
      <c r="CD263" s="1464"/>
      <c r="CE263" s="1464"/>
      <c r="CF263" s="1464"/>
      <c r="CG263" s="1464"/>
      <c r="CH263" s="1464"/>
      <c r="CI263" s="1464"/>
      <c r="CJ263" s="1464"/>
      <c r="CK263" s="1464"/>
      <c r="CL263" s="1464"/>
      <c r="CM263" s="1464"/>
      <c r="CN263" s="1464"/>
      <c r="CO263" s="1464"/>
      <c r="CP263" s="1464"/>
      <c r="CQ263" s="1464"/>
      <c r="CR263" s="1464"/>
      <c r="CS263" s="1464"/>
      <c r="CT263" s="1464"/>
      <c r="CU263" s="1464"/>
      <c r="CV263" s="1464"/>
      <c r="CW263" s="1464"/>
      <c r="CX263" s="1464"/>
      <c r="CY263" s="1464"/>
      <c r="CZ263" s="1464"/>
      <c r="DA263" s="1464"/>
      <c r="DB263" s="1464"/>
      <c r="DC263" s="1464"/>
      <c r="DD263" s="1464"/>
      <c r="DE263" s="1464"/>
      <c r="DF263" s="1464"/>
      <c r="DG263" s="1464"/>
      <c r="DH263" s="1464"/>
      <c r="DI263" s="1464"/>
      <c r="DJ263" s="1464"/>
      <c r="DK263" s="1464"/>
      <c r="DL263" s="1464"/>
      <c r="DM263" s="1464"/>
      <c r="DN263" s="1464"/>
      <c r="DO263" s="1464"/>
      <c r="DP263" s="1464"/>
      <c r="DQ263" s="1464"/>
      <c r="DR263" s="1464"/>
      <c r="DS263" s="1464"/>
      <c r="DT263" s="1464"/>
      <c r="DU263" s="1464"/>
      <c r="DV263" s="1464"/>
      <c r="DW263" s="1464"/>
      <c r="DX263" s="1464"/>
      <c r="DY263" s="1464"/>
      <c r="DZ263" s="1464"/>
      <c r="EA263" s="1464"/>
      <c r="EB263" s="1464"/>
      <c r="EC263" s="1464"/>
      <c r="ED263" s="1464"/>
      <c r="EE263" s="1464"/>
      <c r="EF263" s="1464"/>
      <c r="EG263" s="1464"/>
      <c r="EH263" s="1464"/>
      <c r="EI263" s="1464"/>
      <c r="EJ263" s="1464"/>
      <c r="EK263" s="1464"/>
      <c r="EL263" s="1464"/>
      <c r="EM263" s="1464"/>
      <c r="EN263" s="1464"/>
      <c r="EO263" s="1464"/>
      <c r="EP263" s="1464"/>
      <c r="EQ263" s="1464"/>
      <c r="ER263" s="1464"/>
      <c r="ES263" s="1464"/>
      <c r="ET263" s="1464"/>
      <c r="EU263" s="1464"/>
      <c r="EV263" s="1464"/>
      <c r="EW263" s="1464"/>
      <c r="EX263" s="1464"/>
      <c r="EY263" s="1464"/>
      <c r="EZ263" s="1464"/>
      <c r="FA263" s="1464"/>
      <c r="FB263" s="1464"/>
      <c r="FC263" s="1464"/>
      <c r="FD263" s="1464"/>
      <c r="FE263" s="1464"/>
      <c r="FF263" s="1464"/>
    </row>
    <row r="265" spans="6:162" s="1466" customFormat="1" ht="15.75" customHeight="1">
      <c r="F265" s="1464"/>
      <c r="G265" s="1464"/>
      <c r="H265" s="1464"/>
      <c r="I265" s="1464"/>
      <c r="J265" s="1464"/>
      <c r="K265" s="1464"/>
      <c r="L265" s="1464"/>
      <c r="M265" s="1464"/>
      <c r="N265" s="1464"/>
      <c r="O265" s="1464"/>
      <c r="P265" s="1464"/>
      <c r="Q265" s="1464"/>
      <c r="R265" s="1464"/>
      <c r="S265" s="1464"/>
      <c r="T265" s="1464"/>
      <c r="U265" s="1464"/>
      <c r="V265" s="1464"/>
      <c r="W265" s="1464"/>
      <c r="X265" s="1464"/>
      <c r="Y265" s="1464"/>
      <c r="AA265" s="1464"/>
      <c r="AC265" s="1464"/>
      <c r="AD265" s="1464"/>
      <c r="AE265" s="1464"/>
      <c r="AF265" s="1464"/>
      <c r="AG265" s="1464"/>
      <c r="AH265" s="1465"/>
      <c r="AI265" s="1465"/>
      <c r="AJ265" s="1464"/>
      <c r="AK265" s="1464"/>
      <c r="AL265" s="1464"/>
      <c r="AM265" s="1464"/>
      <c r="AN265" s="1464"/>
      <c r="AO265" s="1464"/>
      <c r="AP265" s="1464"/>
      <c r="AQ265" s="1464"/>
      <c r="AR265" s="1464"/>
      <c r="AS265" s="1464"/>
      <c r="AT265" s="1464"/>
      <c r="AU265" s="1464"/>
      <c r="AV265" s="1464"/>
      <c r="AW265" s="1464"/>
      <c r="AX265" s="1464"/>
      <c r="AY265" s="1464"/>
      <c r="AZ265" s="1464"/>
      <c r="BA265" s="1464"/>
      <c r="BB265" s="1464"/>
      <c r="BC265" s="1464"/>
      <c r="BD265" s="1464"/>
      <c r="BE265" s="1464"/>
      <c r="BF265" s="1464"/>
      <c r="BG265" s="1464"/>
      <c r="BH265" s="1464"/>
      <c r="BI265" s="1464"/>
      <c r="BJ265" s="1464"/>
      <c r="BK265" s="1464"/>
      <c r="BL265" s="1464"/>
      <c r="BM265" s="1464"/>
      <c r="BN265" s="1464"/>
      <c r="BO265" s="1464"/>
      <c r="BP265" s="1464"/>
      <c r="BQ265" s="1464"/>
      <c r="BR265" s="1464"/>
      <c r="BS265" s="1464"/>
      <c r="BT265" s="1464"/>
      <c r="BU265" s="1464"/>
      <c r="BV265" s="1464"/>
      <c r="BW265" s="1464"/>
      <c r="BX265" s="1464"/>
      <c r="BY265" s="1464"/>
      <c r="BZ265" s="1464"/>
      <c r="CA265" s="1464"/>
      <c r="CB265" s="1464"/>
      <c r="CC265" s="1464"/>
      <c r="CD265" s="1464"/>
      <c r="CE265" s="1464"/>
      <c r="CF265" s="1464"/>
      <c r="CG265" s="1464"/>
      <c r="CH265" s="1464"/>
      <c r="CI265" s="1464"/>
      <c r="CJ265" s="1464"/>
      <c r="CK265" s="1464"/>
      <c r="CL265" s="1464"/>
      <c r="CM265" s="1464"/>
      <c r="CN265" s="1464"/>
      <c r="CO265" s="1464"/>
      <c r="CP265" s="1464"/>
      <c r="CQ265" s="1464"/>
      <c r="CR265" s="1464"/>
      <c r="CS265" s="1464"/>
      <c r="CT265" s="1464"/>
      <c r="CU265" s="1464"/>
      <c r="CV265" s="1464"/>
      <c r="CW265" s="1464"/>
      <c r="CX265" s="1464"/>
      <c r="CY265" s="1464"/>
      <c r="CZ265" s="1464"/>
      <c r="DA265" s="1464"/>
      <c r="DB265" s="1464"/>
      <c r="DC265" s="1464"/>
      <c r="DD265" s="1464"/>
      <c r="DE265" s="1464"/>
      <c r="DF265" s="1464"/>
      <c r="DG265" s="1464"/>
      <c r="DH265" s="1464"/>
      <c r="DI265" s="1464"/>
      <c r="DJ265" s="1464"/>
      <c r="DK265" s="1464"/>
      <c r="DL265" s="1464"/>
      <c r="DM265" s="1464"/>
      <c r="DN265" s="1464"/>
      <c r="DO265" s="1464"/>
      <c r="DP265" s="1464"/>
      <c r="DQ265" s="1464"/>
      <c r="DR265" s="1464"/>
      <c r="DS265" s="1464"/>
      <c r="DT265" s="1464"/>
      <c r="DU265" s="1464"/>
      <c r="DV265" s="1464"/>
      <c r="DW265" s="1464"/>
      <c r="DX265" s="1464"/>
      <c r="DY265" s="1464"/>
      <c r="DZ265" s="1464"/>
      <c r="EA265" s="1464"/>
      <c r="EB265" s="1464"/>
      <c r="EC265" s="1464"/>
      <c r="ED265" s="1464"/>
      <c r="EE265" s="1464"/>
      <c r="EF265" s="1464"/>
      <c r="EG265" s="1464"/>
      <c r="EH265" s="1464"/>
      <c r="EI265" s="1464"/>
      <c r="EJ265" s="1464"/>
      <c r="EK265" s="1464"/>
      <c r="EL265" s="1464"/>
      <c r="EM265" s="1464"/>
      <c r="EN265" s="1464"/>
      <c r="EO265" s="1464"/>
      <c r="EP265" s="1464"/>
      <c r="EQ265" s="1464"/>
      <c r="ER265" s="1464"/>
      <c r="ES265" s="1464"/>
      <c r="ET265" s="1464"/>
      <c r="EU265" s="1464"/>
      <c r="EV265" s="1464"/>
      <c r="EW265" s="1464"/>
      <c r="EX265" s="1464"/>
      <c r="EY265" s="1464"/>
      <c r="EZ265" s="1464"/>
      <c r="FA265" s="1464"/>
      <c r="FB265" s="1464"/>
      <c r="FC265" s="1464"/>
      <c r="FD265" s="1464"/>
      <c r="FE265" s="1464"/>
      <c r="FF265" s="1464"/>
    </row>
    <row r="267" spans="6:162" s="1466" customFormat="1" ht="15.75" customHeight="1">
      <c r="F267" s="1464"/>
      <c r="G267" s="1464"/>
      <c r="H267" s="1464"/>
      <c r="I267" s="1464"/>
      <c r="J267" s="1464"/>
      <c r="K267" s="1464"/>
      <c r="L267" s="1464"/>
      <c r="M267" s="1464"/>
      <c r="N267" s="1464"/>
      <c r="O267" s="1464"/>
      <c r="P267" s="1464"/>
      <c r="Q267" s="1464"/>
      <c r="R267" s="1464"/>
      <c r="S267" s="1464"/>
      <c r="T267" s="1464"/>
      <c r="U267" s="1464"/>
      <c r="V267" s="1464"/>
      <c r="W267" s="1464"/>
      <c r="X267" s="1464"/>
      <c r="Y267" s="1464"/>
      <c r="AA267" s="1464"/>
      <c r="AC267" s="1464"/>
      <c r="AD267" s="1464"/>
      <c r="AE267" s="1464"/>
      <c r="AF267" s="1464"/>
      <c r="AG267" s="1464"/>
      <c r="AH267" s="1465"/>
      <c r="AI267" s="1465"/>
      <c r="AJ267" s="1464"/>
      <c r="AK267" s="1464"/>
      <c r="AL267" s="1464"/>
      <c r="AM267" s="1464"/>
      <c r="AN267" s="1464"/>
      <c r="AO267" s="1464"/>
      <c r="AP267" s="1464"/>
      <c r="AQ267" s="1464"/>
      <c r="AR267" s="1464"/>
      <c r="AS267" s="1464"/>
      <c r="AT267" s="1464"/>
      <c r="AU267" s="1464"/>
      <c r="AV267" s="1464"/>
      <c r="AW267" s="1464"/>
      <c r="AX267" s="1464"/>
      <c r="AY267" s="1464"/>
      <c r="AZ267" s="1464"/>
      <c r="BA267" s="1464"/>
      <c r="BB267" s="1464"/>
      <c r="BC267" s="1464"/>
      <c r="BD267" s="1464"/>
      <c r="BE267" s="1464"/>
      <c r="BF267" s="1464"/>
      <c r="BG267" s="1464"/>
      <c r="BH267" s="1464"/>
      <c r="BI267" s="1464"/>
      <c r="BJ267" s="1464"/>
      <c r="BK267" s="1464"/>
      <c r="BL267" s="1464"/>
      <c r="BM267" s="1464"/>
      <c r="BN267" s="1464"/>
      <c r="BO267" s="1464"/>
      <c r="BP267" s="1464"/>
      <c r="BQ267" s="1464"/>
      <c r="BR267" s="1464"/>
      <c r="BS267" s="1464"/>
      <c r="BT267" s="1464"/>
      <c r="BU267" s="1464"/>
      <c r="BV267" s="1464"/>
      <c r="BW267" s="1464"/>
      <c r="BX267" s="1464"/>
      <c r="BY267" s="1464"/>
      <c r="BZ267" s="1464"/>
      <c r="CA267" s="1464"/>
      <c r="CB267" s="1464"/>
      <c r="CC267" s="1464"/>
      <c r="CD267" s="1464"/>
      <c r="CE267" s="1464"/>
      <c r="CF267" s="1464"/>
      <c r="CG267" s="1464"/>
      <c r="CH267" s="1464"/>
      <c r="CI267" s="1464"/>
      <c r="CJ267" s="1464"/>
      <c r="CK267" s="1464"/>
      <c r="CL267" s="1464"/>
      <c r="CM267" s="1464"/>
      <c r="CN267" s="1464"/>
      <c r="CO267" s="1464"/>
      <c r="CP267" s="1464"/>
      <c r="CQ267" s="1464"/>
      <c r="CR267" s="1464"/>
      <c r="CS267" s="1464"/>
      <c r="CT267" s="1464"/>
      <c r="CU267" s="1464"/>
      <c r="CV267" s="1464"/>
      <c r="CW267" s="1464"/>
      <c r="CX267" s="1464"/>
      <c r="CY267" s="1464"/>
      <c r="CZ267" s="1464"/>
      <c r="DA267" s="1464"/>
      <c r="DB267" s="1464"/>
      <c r="DC267" s="1464"/>
      <c r="DD267" s="1464"/>
      <c r="DE267" s="1464"/>
      <c r="DF267" s="1464"/>
      <c r="DG267" s="1464"/>
      <c r="DH267" s="1464"/>
      <c r="DI267" s="1464"/>
      <c r="DJ267" s="1464"/>
      <c r="DK267" s="1464"/>
      <c r="DL267" s="1464"/>
      <c r="DM267" s="1464"/>
      <c r="DN267" s="1464"/>
      <c r="DO267" s="1464"/>
      <c r="DP267" s="1464"/>
      <c r="DQ267" s="1464"/>
      <c r="DR267" s="1464"/>
      <c r="DS267" s="1464"/>
      <c r="DT267" s="1464"/>
      <c r="DU267" s="1464"/>
      <c r="DV267" s="1464"/>
      <c r="DW267" s="1464"/>
      <c r="DX267" s="1464"/>
      <c r="DY267" s="1464"/>
      <c r="DZ267" s="1464"/>
      <c r="EA267" s="1464"/>
      <c r="EB267" s="1464"/>
      <c r="EC267" s="1464"/>
      <c r="ED267" s="1464"/>
      <c r="EE267" s="1464"/>
      <c r="EF267" s="1464"/>
      <c r="EG267" s="1464"/>
      <c r="EH267" s="1464"/>
      <c r="EI267" s="1464"/>
      <c r="EJ267" s="1464"/>
      <c r="EK267" s="1464"/>
      <c r="EL267" s="1464"/>
      <c r="EM267" s="1464"/>
      <c r="EN267" s="1464"/>
      <c r="EO267" s="1464"/>
      <c r="EP267" s="1464"/>
      <c r="EQ267" s="1464"/>
      <c r="ER267" s="1464"/>
      <c r="ES267" s="1464"/>
      <c r="ET267" s="1464"/>
      <c r="EU267" s="1464"/>
      <c r="EV267" s="1464"/>
      <c r="EW267" s="1464"/>
      <c r="EX267" s="1464"/>
      <c r="EY267" s="1464"/>
      <c r="EZ267" s="1464"/>
      <c r="FA267" s="1464"/>
      <c r="FB267" s="1464"/>
      <c r="FC267" s="1464"/>
      <c r="FD267" s="1464"/>
      <c r="FE267" s="1464"/>
      <c r="FF267" s="1464"/>
    </row>
    <row r="269" spans="6:162" s="1466" customFormat="1" ht="15.75" customHeight="1">
      <c r="F269" s="1464"/>
      <c r="G269" s="1464"/>
      <c r="H269" s="1464"/>
      <c r="I269" s="1464"/>
      <c r="J269" s="1464"/>
      <c r="K269" s="1464"/>
      <c r="L269" s="1464"/>
      <c r="M269" s="1464"/>
      <c r="N269" s="1464"/>
      <c r="O269" s="1464"/>
      <c r="P269" s="1464"/>
      <c r="Q269" s="1464"/>
      <c r="R269" s="1464"/>
      <c r="S269" s="1464"/>
      <c r="T269" s="1464"/>
      <c r="U269" s="1464"/>
      <c r="V269" s="1464"/>
      <c r="W269" s="1464"/>
      <c r="X269" s="1464"/>
      <c r="Y269" s="1464"/>
      <c r="AA269" s="1464"/>
      <c r="AC269" s="1464"/>
      <c r="AD269" s="1464"/>
      <c r="AE269" s="1464"/>
      <c r="AF269" s="1464"/>
      <c r="AG269" s="1464"/>
      <c r="AH269" s="1465"/>
      <c r="AI269" s="1465"/>
      <c r="AJ269" s="1464"/>
      <c r="AK269" s="1464"/>
      <c r="AL269" s="1464"/>
      <c r="AM269" s="1464"/>
      <c r="AN269" s="1464"/>
      <c r="AO269" s="1464"/>
      <c r="AP269" s="1464"/>
      <c r="AQ269" s="1464"/>
      <c r="AR269" s="1464"/>
      <c r="AS269" s="1464"/>
      <c r="AT269" s="1464"/>
      <c r="AU269" s="1464"/>
      <c r="AV269" s="1464"/>
      <c r="AW269" s="1464"/>
      <c r="AX269" s="1464"/>
      <c r="AY269" s="1464"/>
      <c r="AZ269" s="1464"/>
      <c r="BA269" s="1464"/>
      <c r="BB269" s="1464"/>
      <c r="BC269" s="1464"/>
      <c r="BD269" s="1464"/>
      <c r="BE269" s="1464"/>
      <c r="BF269" s="1464"/>
      <c r="BG269" s="1464"/>
      <c r="BH269" s="1464"/>
      <c r="BI269" s="1464"/>
      <c r="BJ269" s="1464"/>
      <c r="BK269" s="1464"/>
      <c r="BL269" s="1464"/>
      <c r="BM269" s="1464"/>
      <c r="BN269" s="1464"/>
      <c r="BO269" s="1464"/>
      <c r="BP269" s="1464"/>
      <c r="BQ269" s="1464"/>
      <c r="BR269" s="1464"/>
      <c r="BS269" s="1464"/>
      <c r="BT269" s="1464"/>
      <c r="BU269" s="1464"/>
      <c r="BV269" s="1464"/>
      <c r="BW269" s="1464"/>
      <c r="BX269" s="1464"/>
      <c r="BY269" s="1464"/>
      <c r="BZ269" s="1464"/>
      <c r="CA269" s="1464"/>
      <c r="CB269" s="1464"/>
      <c r="CC269" s="1464"/>
      <c r="CD269" s="1464"/>
      <c r="CE269" s="1464"/>
      <c r="CF269" s="1464"/>
      <c r="CG269" s="1464"/>
      <c r="CH269" s="1464"/>
      <c r="CI269" s="1464"/>
      <c r="CJ269" s="1464"/>
      <c r="CK269" s="1464"/>
      <c r="CL269" s="1464"/>
      <c r="CM269" s="1464"/>
      <c r="CN269" s="1464"/>
      <c r="CO269" s="1464"/>
      <c r="CP269" s="1464"/>
      <c r="CQ269" s="1464"/>
      <c r="CR269" s="1464"/>
      <c r="CS269" s="1464"/>
      <c r="CT269" s="1464"/>
      <c r="CU269" s="1464"/>
      <c r="CV269" s="1464"/>
      <c r="CW269" s="1464"/>
      <c r="CX269" s="1464"/>
      <c r="CY269" s="1464"/>
      <c r="CZ269" s="1464"/>
      <c r="DA269" s="1464"/>
      <c r="DB269" s="1464"/>
      <c r="DC269" s="1464"/>
      <c r="DD269" s="1464"/>
      <c r="DE269" s="1464"/>
      <c r="DF269" s="1464"/>
      <c r="DG269" s="1464"/>
      <c r="DH269" s="1464"/>
      <c r="DI269" s="1464"/>
      <c r="DJ269" s="1464"/>
      <c r="DK269" s="1464"/>
      <c r="DL269" s="1464"/>
      <c r="DM269" s="1464"/>
      <c r="DN269" s="1464"/>
      <c r="DO269" s="1464"/>
      <c r="DP269" s="1464"/>
      <c r="DQ269" s="1464"/>
      <c r="DR269" s="1464"/>
      <c r="DS269" s="1464"/>
      <c r="DT269" s="1464"/>
      <c r="DU269" s="1464"/>
      <c r="DV269" s="1464"/>
      <c r="DW269" s="1464"/>
      <c r="DX269" s="1464"/>
      <c r="DY269" s="1464"/>
      <c r="DZ269" s="1464"/>
      <c r="EA269" s="1464"/>
      <c r="EB269" s="1464"/>
      <c r="EC269" s="1464"/>
      <c r="ED269" s="1464"/>
      <c r="EE269" s="1464"/>
      <c r="EF269" s="1464"/>
      <c r="EG269" s="1464"/>
      <c r="EH269" s="1464"/>
      <c r="EI269" s="1464"/>
      <c r="EJ269" s="1464"/>
      <c r="EK269" s="1464"/>
      <c r="EL269" s="1464"/>
      <c r="EM269" s="1464"/>
      <c r="EN269" s="1464"/>
      <c r="EO269" s="1464"/>
      <c r="EP269" s="1464"/>
      <c r="EQ269" s="1464"/>
      <c r="ER269" s="1464"/>
      <c r="ES269" s="1464"/>
      <c r="ET269" s="1464"/>
      <c r="EU269" s="1464"/>
      <c r="EV269" s="1464"/>
      <c r="EW269" s="1464"/>
      <c r="EX269" s="1464"/>
      <c r="EY269" s="1464"/>
      <c r="EZ269" s="1464"/>
      <c r="FA269" s="1464"/>
      <c r="FB269" s="1464"/>
      <c r="FC269" s="1464"/>
      <c r="FD269" s="1464"/>
      <c r="FE269" s="1464"/>
      <c r="FF269" s="1464"/>
    </row>
    <row r="271" spans="6:162" s="1466" customFormat="1" ht="15.75" customHeight="1">
      <c r="F271" s="1464"/>
      <c r="G271" s="1464"/>
      <c r="H271" s="1464"/>
      <c r="I271" s="1464"/>
      <c r="J271" s="1464"/>
      <c r="K271" s="1464"/>
      <c r="L271" s="1464"/>
      <c r="M271" s="1464"/>
      <c r="N271" s="1464"/>
      <c r="O271" s="1464"/>
      <c r="P271" s="1464"/>
      <c r="Q271" s="1464"/>
      <c r="R271" s="1464"/>
      <c r="S271" s="1464"/>
      <c r="T271" s="1464"/>
      <c r="U271" s="1464"/>
      <c r="V271" s="1464"/>
      <c r="W271" s="1464"/>
      <c r="X271" s="1464"/>
      <c r="Y271" s="1464"/>
      <c r="AA271" s="1464"/>
      <c r="AC271" s="1464"/>
      <c r="AD271" s="1464"/>
      <c r="AE271" s="1464"/>
      <c r="AF271" s="1464"/>
      <c r="AG271" s="1464"/>
      <c r="AH271" s="1465"/>
      <c r="AI271" s="1465"/>
      <c r="AJ271" s="1464"/>
      <c r="AK271" s="1464"/>
      <c r="AL271" s="1464"/>
      <c r="AM271" s="1464"/>
      <c r="AN271" s="1464"/>
      <c r="AO271" s="1464"/>
      <c r="AP271" s="1464"/>
      <c r="AQ271" s="1464"/>
      <c r="AR271" s="1464"/>
      <c r="AS271" s="1464"/>
      <c r="AT271" s="1464"/>
      <c r="AU271" s="1464"/>
      <c r="AV271" s="1464"/>
      <c r="AW271" s="1464"/>
      <c r="AX271" s="1464"/>
      <c r="AY271" s="1464"/>
      <c r="AZ271" s="1464"/>
      <c r="BA271" s="1464"/>
      <c r="BB271" s="1464"/>
      <c r="BC271" s="1464"/>
      <c r="BD271" s="1464"/>
      <c r="BE271" s="1464"/>
      <c r="BF271" s="1464"/>
      <c r="BG271" s="1464"/>
      <c r="BH271" s="1464"/>
      <c r="BI271" s="1464"/>
      <c r="BJ271" s="1464"/>
      <c r="BK271" s="1464"/>
      <c r="BL271" s="1464"/>
      <c r="BM271" s="1464"/>
      <c r="BN271" s="1464"/>
      <c r="BO271" s="1464"/>
      <c r="BP271" s="1464"/>
      <c r="BQ271" s="1464"/>
      <c r="BR271" s="1464"/>
      <c r="BS271" s="1464"/>
      <c r="BT271" s="1464"/>
      <c r="BU271" s="1464"/>
      <c r="BV271" s="1464"/>
      <c r="BW271" s="1464"/>
      <c r="BX271" s="1464"/>
      <c r="BY271" s="1464"/>
      <c r="BZ271" s="1464"/>
      <c r="CA271" s="1464"/>
      <c r="CB271" s="1464"/>
      <c r="CC271" s="1464"/>
      <c r="CD271" s="1464"/>
      <c r="CE271" s="1464"/>
      <c r="CF271" s="1464"/>
      <c r="CG271" s="1464"/>
      <c r="CH271" s="1464"/>
      <c r="CI271" s="1464"/>
      <c r="CJ271" s="1464"/>
      <c r="CK271" s="1464"/>
      <c r="CL271" s="1464"/>
      <c r="CM271" s="1464"/>
      <c r="CN271" s="1464"/>
      <c r="CO271" s="1464"/>
      <c r="CP271" s="1464"/>
      <c r="CQ271" s="1464"/>
      <c r="CR271" s="1464"/>
      <c r="CS271" s="1464"/>
      <c r="CT271" s="1464"/>
      <c r="CU271" s="1464"/>
      <c r="CV271" s="1464"/>
      <c r="CW271" s="1464"/>
      <c r="CX271" s="1464"/>
      <c r="CY271" s="1464"/>
      <c r="CZ271" s="1464"/>
      <c r="DA271" s="1464"/>
      <c r="DB271" s="1464"/>
      <c r="DC271" s="1464"/>
      <c r="DD271" s="1464"/>
      <c r="DE271" s="1464"/>
      <c r="DF271" s="1464"/>
      <c r="DG271" s="1464"/>
      <c r="DH271" s="1464"/>
      <c r="DI271" s="1464"/>
      <c r="DJ271" s="1464"/>
      <c r="DK271" s="1464"/>
      <c r="DL271" s="1464"/>
      <c r="DM271" s="1464"/>
      <c r="DN271" s="1464"/>
      <c r="DO271" s="1464"/>
      <c r="DP271" s="1464"/>
      <c r="DQ271" s="1464"/>
      <c r="DR271" s="1464"/>
      <c r="DS271" s="1464"/>
      <c r="DT271" s="1464"/>
      <c r="DU271" s="1464"/>
      <c r="DV271" s="1464"/>
      <c r="DW271" s="1464"/>
      <c r="DX271" s="1464"/>
      <c r="DY271" s="1464"/>
      <c r="DZ271" s="1464"/>
      <c r="EA271" s="1464"/>
      <c r="EB271" s="1464"/>
      <c r="EC271" s="1464"/>
      <c r="ED271" s="1464"/>
      <c r="EE271" s="1464"/>
      <c r="EF271" s="1464"/>
      <c r="EG271" s="1464"/>
      <c r="EH271" s="1464"/>
      <c r="EI271" s="1464"/>
      <c r="EJ271" s="1464"/>
      <c r="EK271" s="1464"/>
      <c r="EL271" s="1464"/>
      <c r="EM271" s="1464"/>
      <c r="EN271" s="1464"/>
      <c r="EO271" s="1464"/>
      <c r="EP271" s="1464"/>
      <c r="EQ271" s="1464"/>
      <c r="ER271" s="1464"/>
      <c r="ES271" s="1464"/>
      <c r="ET271" s="1464"/>
      <c r="EU271" s="1464"/>
      <c r="EV271" s="1464"/>
      <c r="EW271" s="1464"/>
      <c r="EX271" s="1464"/>
      <c r="EY271" s="1464"/>
      <c r="EZ271" s="1464"/>
      <c r="FA271" s="1464"/>
      <c r="FB271" s="1464"/>
      <c r="FC271" s="1464"/>
      <c r="FD271" s="1464"/>
      <c r="FE271" s="1464"/>
      <c r="FF271" s="1464"/>
    </row>
    <row r="273" spans="6:162" s="1466" customFormat="1" ht="15.75" customHeight="1">
      <c r="F273" s="1464"/>
      <c r="G273" s="1464"/>
      <c r="H273" s="1464"/>
      <c r="I273" s="1464"/>
      <c r="J273" s="1464"/>
      <c r="K273" s="1464"/>
      <c r="L273" s="1464"/>
      <c r="M273" s="1464"/>
      <c r="N273" s="1464"/>
      <c r="O273" s="1464"/>
      <c r="P273" s="1464"/>
      <c r="Q273" s="1464"/>
      <c r="R273" s="1464"/>
      <c r="S273" s="1464"/>
      <c r="T273" s="1464"/>
      <c r="U273" s="1464"/>
      <c r="V273" s="1464"/>
      <c r="W273" s="1464"/>
      <c r="X273" s="1464"/>
      <c r="Y273" s="1464"/>
      <c r="AA273" s="1464"/>
      <c r="AC273" s="1464"/>
      <c r="AD273" s="1464"/>
      <c r="AE273" s="1464"/>
      <c r="AF273" s="1464"/>
      <c r="AG273" s="1464"/>
      <c r="AH273" s="1465"/>
      <c r="AI273" s="1465"/>
      <c r="AJ273" s="1464"/>
      <c r="AK273" s="1464"/>
      <c r="AL273" s="1464"/>
      <c r="AM273" s="1464"/>
      <c r="AN273" s="1464"/>
      <c r="AO273" s="1464"/>
      <c r="AP273" s="1464"/>
      <c r="AQ273" s="1464"/>
      <c r="AR273" s="1464"/>
      <c r="AS273" s="1464"/>
      <c r="AT273" s="1464"/>
      <c r="AU273" s="1464"/>
      <c r="AV273" s="1464"/>
      <c r="AW273" s="1464"/>
      <c r="AX273" s="1464"/>
      <c r="AY273" s="1464"/>
      <c r="AZ273" s="1464"/>
      <c r="BA273" s="1464"/>
      <c r="BB273" s="1464"/>
      <c r="BC273" s="1464"/>
      <c r="BD273" s="1464"/>
      <c r="BE273" s="1464"/>
      <c r="BF273" s="1464"/>
      <c r="BG273" s="1464"/>
      <c r="BH273" s="1464"/>
      <c r="BI273" s="1464"/>
      <c r="BJ273" s="1464"/>
      <c r="BK273" s="1464"/>
      <c r="BL273" s="1464"/>
      <c r="BM273" s="1464"/>
      <c r="BN273" s="1464"/>
      <c r="BO273" s="1464"/>
      <c r="BP273" s="1464"/>
      <c r="BQ273" s="1464"/>
      <c r="BR273" s="1464"/>
      <c r="BS273" s="1464"/>
      <c r="BT273" s="1464"/>
      <c r="BU273" s="1464"/>
      <c r="BV273" s="1464"/>
      <c r="BW273" s="1464"/>
      <c r="BX273" s="1464"/>
      <c r="BY273" s="1464"/>
      <c r="BZ273" s="1464"/>
      <c r="CA273" s="1464"/>
      <c r="CB273" s="1464"/>
      <c r="CC273" s="1464"/>
      <c r="CD273" s="1464"/>
      <c r="CE273" s="1464"/>
      <c r="CF273" s="1464"/>
      <c r="CG273" s="1464"/>
      <c r="CH273" s="1464"/>
      <c r="CI273" s="1464"/>
      <c r="CJ273" s="1464"/>
      <c r="CK273" s="1464"/>
      <c r="CL273" s="1464"/>
      <c r="CM273" s="1464"/>
      <c r="CN273" s="1464"/>
      <c r="CO273" s="1464"/>
      <c r="CP273" s="1464"/>
      <c r="CQ273" s="1464"/>
      <c r="CR273" s="1464"/>
      <c r="CS273" s="1464"/>
      <c r="CT273" s="1464"/>
      <c r="CU273" s="1464"/>
      <c r="CV273" s="1464"/>
      <c r="CW273" s="1464"/>
      <c r="CX273" s="1464"/>
      <c r="CY273" s="1464"/>
      <c r="CZ273" s="1464"/>
      <c r="DA273" s="1464"/>
      <c r="DB273" s="1464"/>
      <c r="DC273" s="1464"/>
      <c r="DD273" s="1464"/>
      <c r="DE273" s="1464"/>
      <c r="DF273" s="1464"/>
      <c r="DG273" s="1464"/>
      <c r="DH273" s="1464"/>
      <c r="DI273" s="1464"/>
      <c r="DJ273" s="1464"/>
      <c r="DK273" s="1464"/>
      <c r="DL273" s="1464"/>
      <c r="DM273" s="1464"/>
      <c r="DN273" s="1464"/>
      <c r="DO273" s="1464"/>
      <c r="DP273" s="1464"/>
      <c r="DQ273" s="1464"/>
      <c r="DR273" s="1464"/>
      <c r="DS273" s="1464"/>
      <c r="DT273" s="1464"/>
      <c r="DU273" s="1464"/>
      <c r="DV273" s="1464"/>
      <c r="DW273" s="1464"/>
      <c r="DX273" s="1464"/>
      <c r="DY273" s="1464"/>
      <c r="DZ273" s="1464"/>
      <c r="EA273" s="1464"/>
      <c r="EB273" s="1464"/>
      <c r="EC273" s="1464"/>
      <c r="ED273" s="1464"/>
      <c r="EE273" s="1464"/>
      <c r="EF273" s="1464"/>
      <c r="EG273" s="1464"/>
      <c r="EH273" s="1464"/>
      <c r="EI273" s="1464"/>
      <c r="EJ273" s="1464"/>
      <c r="EK273" s="1464"/>
      <c r="EL273" s="1464"/>
      <c r="EM273" s="1464"/>
      <c r="EN273" s="1464"/>
      <c r="EO273" s="1464"/>
      <c r="EP273" s="1464"/>
      <c r="EQ273" s="1464"/>
      <c r="ER273" s="1464"/>
      <c r="ES273" s="1464"/>
      <c r="ET273" s="1464"/>
      <c r="EU273" s="1464"/>
      <c r="EV273" s="1464"/>
      <c r="EW273" s="1464"/>
      <c r="EX273" s="1464"/>
      <c r="EY273" s="1464"/>
      <c r="EZ273" s="1464"/>
      <c r="FA273" s="1464"/>
      <c r="FB273" s="1464"/>
      <c r="FC273" s="1464"/>
      <c r="FD273" s="1464"/>
      <c r="FE273" s="1464"/>
      <c r="FF273" s="1464"/>
    </row>
    <row r="275" spans="6:162" s="1466" customFormat="1" ht="15.75" customHeight="1">
      <c r="F275" s="1464"/>
      <c r="G275" s="1464"/>
      <c r="H275" s="1464"/>
      <c r="I275" s="1464"/>
      <c r="J275" s="1464"/>
      <c r="K275" s="1464"/>
      <c r="L275" s="1464"/>
      <c r="M275" s="1464"/>
      <c r="N275" s="1464"/>
      <c r="O275" s="1464"/>
      <c r="P275" s="1464"/>
      <c r="Q275" s="1464"/>
      <c r="R275" s="1464"/>
      <c r="S275" s="1464"/>
      <c r="T275" s="1464"/>
      <c r="U275" s="1464"/>
      <c r="V275" s="1464"/>
      <c r="W275" s="1464"/>
      <c r="X275" s="1464"/>
      <c r="Y275" s="1464"/>
      <c r="AA275" s="1464"/>
      <c r="AC275" s="1464"/>
      <c r="AD275" s="1464"/>
      <c r="AE275" s="1464"/>
      <c r="AF275" s="1464"/>
      <c r="AG275" s="1464"/>
      <c r="AH275" s="1465"/>
      <c r="AI275" s="1465"/>
      <c r="AJ275" s="1464"/>
      <c r="AK275" s="1464"/>
      <c r="AL275" s="1464"/>
      <c r="AM275" s="1464"/>
      <c r="AN275" s="1464"/>
      <c r="AO275" s="1464"/>
      <c r="AP275" s="1464"/>
      <c r="AQ275" s="1464"/>
      <c r="AR275" s="1464"/>
      <c r="AS275" s="1464"/>
      <c r="AT275" s="1464"/>
      <c r="AU275" s="1464"/>
      <c r="AV275" s="1464"/>
      <c r="AW275" s="1464"/>
      <c r="AX275" s="1464"/>
      <c r="AY275" s="1464"/>
      <c r="AZ275" s="1464"/>
      <c r="BA275" s="1464"/>
      <c r="BB275" s="1464"/>
      <c r="BC275" s="1464"/>
      <c r="BD275" s="1464"/>
      <c r="BE275" s="1464"/>
      <c r="BF275" s="1464"/>
      <c r="BG275" s="1464"/>
      <c r="BH275" s="1464"/>
      <c r="BI275" s="1464"/>
      <c r="BJ275" s="1464"/>
      <c r="BK275" s="1464"/>
      <c r="BL275" s="1464"/>
      <c r="BM275" s="1464"/>
      <c r="BN275" s="1464"/>
      <c r="BO275" s="1464"/>
      <c r="BP275" s="1464"/>
      <c r="BQ275" s="1464"/>
      <c r="BR275" s="1464"/>
      <c r="BS275" s="1464"/>
      <c r="BT275" s="1464"/>
      <c r="BU275" s="1464"/>
      <c r="BV275" s="1464"/>
      <c r="BW275" s="1464"/>
      <c r="BX275" s="1464"/>
      <c r="BY275" s="1464"/>
      <c r="BZ275" s="1464"/>
      <c r="CA275" s="1464"/>
      <c r="CB275" s="1464"/>
      <c r="CC275" s="1464"/>
      <c r="CD275" s="1464"/>
      <c r="CE275" s="1464"/>
      <c r="CF275" s="1464"/>
      <c r="CG275" s="1464"/>
      <c r="CH275" s="1464"/>
      <c r="CI275" s="1464"/>
      <c r="CJ275" s="1464"/>
      <c r="CK275" s="1464"/>
      <c r="CL275" s="1464"/>
      <c r="CM275" s="1464"/>
      <c r="CN275" s="1464"/>
      <c r="CO275" s="1464"/>
      <c r="CP275" s="1464"/>
      <c r="CQ275" s="1464"/>
      <c r="CR275" s="1464"/>
      <c r="CS275" s="1464"/>
      <c r="CT275" s="1464"/>
      <c r="CU275" s="1464"/>
      <c r="CV275" s="1464"/>
      <c r="CW275" s="1464"/>
      <c r="CX275" s="1464"/>
      <c r="CY275" s="1464"/>
      <c r="CZ275" s="1464"/>
      <c r="DA275" s="1464"/>
      <c r="DB275" s="1464"/>
      <c r="DC275" s="1464"/>
      <c r="DD275" s="1464"/>
      <c r="DE275" s="1464"/>
      <c r="DF275" s="1464"/>
      <c r="DG275" s="1464"/>
      <c r="DH275" s="1464"/>
      <c r="DI275" s="1464"/>
      <c r="DJ275" s="1464"/>
      <c r="DK275" s="1464"/>
      <c r="DL275" s="1464"/>
      <c r="DM275" s="1464"/>
      <c r="DN275" s="1464"/>
      <c r="DO275" s="1464"/>
      <c r="DP275" s="1464"/>
      <c r="DQ275" s="1464"/>
      <c r="DR275" s="1464"/>
      <c r="DS275" s="1464"/>
      <c r="DT275" s="1464"/>
      <c r="DU275" s="1464"/>
      <c r="DV275" s="1464"/>
      <c r="DW275" s="1464"/>
      <c r="DX275" s="1464"/>
      <c r="DY275" s="1464"/>
      <c r="DZ275" s="1464"/>
      <c r="EA275" s="1464"/>
      <c r="EB275" s="1464"/>
      <c r="EC275" s="1464"/>
      <c r="ED275" s="1464"/>
      <c r="EE275" s="1464"/>
      <c r="EF275" s="1464"/>
      <c r="EG275" s="1464"/>
      <c r="EH275" s="1464"/>
      <c r="EI275" s="1464"/>
      <c r="EJ275" s="1464"/>
      <c r="EK275" s="1464"/>
      <c r="EL275" s="1464"/>
      <c r="EM275" s="1464"/>
      <c r="EN275" s="1464"/>
      <c r="EO275" s="1464"/>
      <c r="EP275" s="1464"/>
      <c r="EQ275" s="1464"/>
      <c r="ER275" s="1464"/>
      <c r="ES275" s="1464"/>
      <c r="ET275" s="1464"/>
      <c r="EU275" s="1464"/>
      <c r="EV275" s="1464"/>
      <c r="EW275" s="1464"/>
      <c r="EX275" s="1464"/>
      <c r="EY275" s="1464"/>
      <c r="EZ275" s="1464"/>
      <c r="FA275" s="1464"/>
      <c r="FB275" s="1464"/>
      <c r="FC275" s="1464"/>
      <c r="FD275" s="1464"/>
      <c r="FE275" s="1464"/>
      <c r="FF275" s="1464"/>
    </row>
    <row r="277" spans="6:162" s="1466" customFormat="1" ht="15.75" customHeight="1">
      <c r="F277" s="1464"/>
      <c r="G277" s="1464"/>
      <c r="H277" s="1464"/>
      <c r="I277" s="1464"/>
      <c r="J277" s="1464"/>
      <c r="K277" s="1464"/>
      <c r="L277" s="1464"/>
      <c r="M277" s="1464"/>
      <c r="N277" s="1464"/>
      <c r="O277" s="1464"/>
      <c r="P277" s="1464"/>
      <c r="Q277" s="1464"/>
      <c r="R277" s="1464"/>
      <c r="S277" s="1464"/>
      <c r="T277" s="1464"/>
      <c r="U277" s="1464"/>
      <c r="V277" s="1464"/>
      <c r="W277" s="1464"/>
      <c r="X277" s="1464"/>
      <c r="Y277" s="1464"/>
      <c r="AA277" s="1464"/>
      <c r="AC277" s="1464"/>
      <c r="AD277" s="1464"/>
      <c r="AE277" s="1464"/>
      <c r="AF277" s="1464"/>
      <c r="AG277" s="1464"/>
      <c r="AH277" s="1465"/>
      <c r="AI277" s="1465"/>
      <c r="AJ277" s="1464"/>
      <c r="AK277" s="1464"/>
      <c r="AL277" s="1464"/>
      <c r="AM277" s="1464"/>
      <c r="AN277" s="1464"/>
      <c r="AO277" s="1464"/>
      <c r="AP277" s="1464"/>
      <c r="AQ277" s="1464"/>
      <c r="AR277" s="1464"/>
      <c r="AS277" s="1464"/>
      <c r="AT277" s="1464"/>
      <c r="AU277" s="1464"/>
      <c r="AV277" s="1464"/>
      <c r="AW277" s="1464"/>
      <c r="AX277" s="1464"/>
      <c r="AY277" s="1464"/>
      <c r="AZ277" s="1464"/>
      <c r="BA277" s="1464"/>
      <c r="BB277" s="1464"/>
      <c r="BC277" s="1464"/>
      <c r="BD277" s="1464"/>
      <c r="BE277" s="1464"/>
      <c r="BF277" s="1464"/>
      <c r="BG277" s="1464"/>
      <c r="BH277" s="1464"/>
      <c r="BI277" s="1464"/>
      <c r="BJ277" s="1464"/>
      <c r="BK277" s="1464"/>
      <c r="BL277" s="1464"/>
      <c r="BM277" s="1464"/>
      <c r="BN277" s="1464"/>
      <c r="BO277" s="1464"/>
      <c r="BP277" s="1464"/>
      <c r="BQ277" s="1464"/>
      <c r="BR277" s="1464"/>
      <c r="BS277" s="1464"/>
      <c r="BT277" s="1464"/>
      <c r="BU277" s="1464"/>
      <c r="BV277" s="1464"/>
      <c r="BW277" s="1464"/>
      <c r="BX277" s="1464"/>
      <c r="BY277" s="1464"/>
      <c r="BZ277" s="1464"/>
      <c r="CA277" s="1464"/>
      <c r="CB277" s="1464"/>
      <c r="CC277" s="1464"/>
      <c r="CD277" s="1464"/>
      <c r="CE277" s="1464"/>
      <c r="CF277" s="1464"/>
      <c r="CG277" s="1464"/>
      <c r="CH277" s="1464"/>
      <c r="CI277" s="1464"/>
      <c r="CJ277" s="1464"/>
      <c r="CK277" s="1464"/>
      <c r="CL277" s="1464"/>
      <c r="CM277" s="1464"/>
      <c r="CN277" s="1464"/>
      <c r="CO277" s="1464"/>
      <c r="CP277" s="1464"/>
      <c r="CQ277" s="1464"/>
      <c r="CR277" s="1464"/>
      <c r="CS277" s="1464"/>
      <c r="CT277" s="1464"/>
      <c r="CU277" s="1464"/>
      <c r="CV277" s="1464"/>
      <c r="CW277" s="1464"/>
      <c r="CX277" s="1464"/>
      <c r="CY277" s="1464"/>
      <c r="CZ277" s="1464"/>
      <c r="DA277" s="1464"/>
      <c r="DB277" s="1464"/>
      <c r="DC277" s="1464"/>
      <c r="DD277" s="1464"/>
      <c r="DE277" s="1464"/>
      <c r="DF277" s="1464"/>
      <c r="DG277" s="1464"/>
      <c r="DH277" s="1464"/>
      <c r="DI277" s="1464"/>
      <c r="DJ277" s="1464"/>
      <c r="DK277" s="1464"/>
      <c r="DL277" s="1464"/>
      <c r="DM277" s="1464"/>
      <c r="DN277" s="1464"/>
      <c r="DO277" s="1464"/>
      <c r="DP277" s="1464"/>
      <c r="DQ277" s="1464"/>
      <c r="DR277" s="1464"/>
      <c r="DS277" s="1464"/>
      <c r="DT277" s="1464"/>
      <c r="DU277" s="1464"/>
      <c r="DV277" s="1464"/>
      <c r="DW277" s="1464"/>
      <c r="DX277" s="1464"/>
      <c r="DY277" s="1464"/>
      <c r="DZ277" s="1464"/>
      <c r="EA277" s="1464"/>
      <c r="EB277" s="1464"/>
      <c r="EC277" s="1464"/>
      <c r="ED277" s="1464"/>
      <c r="EE277" s="1464"/>
      <c r="EF277" s="1464"/>
      <c r="EG277" s="1464"/>
      <c r="EH277" s="1464"/>
      <c r="EI277" s="1464"/>
      <c r="EJ277" s="1464"/>
      <c r="EK277" s="1464"/>
      <c r="EL277" s="1464"/>
      <c r="EM277" s="1464"/>
      <c r="EN277" s="1464"/>
      <c r="EO277" s="1464"/>
      <c r="EP277" s="1464"/>
      <c r="EQ277" s="1464"/>
      <c r="ER277" s="1464"/>
      <c r="ES277" s="1464"/>
      <c r="ET277" s="1464"/>
      <c r="EU277" s="1464"/>
      <c r="EV277" s="1464"/>
      <c r="EW277" s="1464"/>
      <c r="EX277" s="1464"/>
      <c r="EY277" s="1464"/>
      <c r="EZ277" s="1464"/>
      <c r="FA277" s="1464"/>
      <c r="FB277" s="1464"/>
      <c r="FC277" s="1464"/>
      <c r="FD277" s="1464"/>
      <c r="FE277" s="1464"/>
      <c r="FF277" s="1464"/>
    </row>
    <row r="279" spans="6:162" s="1466" customFormat="1" ht="15.75" customHeight="1">
      <c r="F279" s="1464"/>
      <c r="G279" s="1464"/>
      <c r="H279" s="1464"/>
      <c r="I279" s="1464"/>
      <c r="J279" s="1464"/>
      <c r="K279" s="1464"/>
      <c r="L279" s="1464"/>
      <c r="M279" s="1464"/>
      <c r="N279" s="1464"/>
      <c r="O279" s="1464"/>
      <c r="P279" s="1464"/>
      <c r="Q279" s="1464"/>
      <c r="R279" s="1464"/>
      <c r="S279" s="1464"/>
      <c r="T279" s="1464"/>
      <c r="U279" s="1464"/>
      <c r="V279" s="1464"/>
      <c r="W279" s="1464"/>
      <c r="X279" s="1464"/>
      <c r="Y279" s="1464"/>
      <c r="AA279" s="1464"/>
      <c r="AC279" s="1464"/>
      <c r="AD279" s="1464"/>
      <c r="AE279" s="1464"/>
      <c r="AF279" s="1464"/>
      <c r="AG279" s="1464"/>
      <c r="AH279" s="1465"/>
      <c r="AI279" s="1465"/>
      <c r="AJ279" s="1464"/>
      <c r="AK279" s="1464"/>
      <c r="AL279" s="1464"/>
      <c r="AM279" s="1464"/>
      <c r="AN279" s="1464"/>
      <c r="AO279" s="1464"/>
      <c r="AP279" s="1464"/>
      <c r="AQ279" s="1464"/>
      <c r="AR279" s="1464"/>
      <c r="AS279" s="1464"/>
      <c r="AT279" s="1464"/>
      <c r="AU279" s="1464"/>
      <c r="AV279" s="1464"/>
      <c r="AW279" s="1464"/>
      <c r="AX279" s="1464"/>
      <c r="AY279" s="1464"/>
      <c r="AZ279" s="1464"/>
      <c r="BA279" s="1464"/>
      <c r="BB279" s="1464"/>
      <c r="BC279" s="1464"/>
      <c r="BD279" s="1464"/>
      <c r="BE279" s="1464"/>
      <c r="BF279" s="1464"/>
      <c r="BG279" s="1464"/>
      <c r="BH279" s="1464"/>
      <c r="BI279" s="1464"/>
      <c r="BJ279" s="1464"/>
      <c r="BK279" s="1464"/>
      <c r="BL279" s="1464"/>
      <c r="BM279" s="1464"/>
      <c r="BN279" s="1464"/>
      <c r="BO279" s="1464"/>
      <c r="BP279" s="1464"/>
      <c r="BQ279" s="1464"/>
      <c r="BR279" s="1464"/>
      <c r="BS279" s="1464"/>
      <c r="BT279" s="1464"/>
      <c r="BU279" s="1464"/>
      <c r="BV279" s="1464"/>
      <c r="BW279" s="1464"/>
      <c r="BX279" s="1464"/>
      <c r="BY279" s="1464"/>
      <c r="BZ279" s="1464"/>
      <c r="CA279" s="1464"/>
      <c r="CB279" s="1464"/>
      <c r="CC279" s="1464"/>
      <c r="CD279" s="1464"/>
      <c r="CE279" s="1464"/>
      <c r="CF279" s="1464"/>
      <c r="CG279" s="1464"/>
      <c r="CH279" s="1464"/>
      <c r="CI279" s="1464"/>
      <c r="CJ279" s="1464"/>
      <c r="CK279" s="1464"/>
      <c r="CL279" s="1464"/>
      <c r="CM279" s="1464"/>
      <c r="CN279" s="1464"/>
      <c r="CO279" s="1464"/>
      <c r="CP279" s="1464"/>
      <c r="CQ279" s="1464"/>
      <c r="CR279" s="1464"/>
      <c r="CS279" s="1464"/>
      <c r="CT279" s="1464"/>
      <c r="CU279" s="1464"/>
      <c r="CV279" s="1464"/>
      <c r="CW279" s="1464"/>
      <c r="CX279" s="1464"/>
      <c r="CY279" s="1464"/>
      <c r="CZ279" s="1464"/>
      <c r="DA279" s="1464"/>
      <c r="DB279" s="1464"/>
      <c r="DC279" s="1464"/>
      <c r="DD279" s="1464"/>
      <c r="DE279" s="1464"/>
      <c r="DF279" s="1464"/>
      <c r="DG279" s="1464"/>
      <c r="DH279" s="1464"/>
      <c r="DI279" s="1464"/>
      <c r="DJ279" s="1464"/>
      <c r="DK279" s="1464"/>
      <c r="DL279" s="1464"/>
      <c r="DM279" s="1464"/>
      <c r="DN279" s="1464"/>
      <c r="DO279" s="1464"/>
      <c r="DP279" s="1464"/>
      <c r="DQ279" s="1464"/>
      <c r="DR279" s="1464"/>
      <c r="DS279" s="1464"/>
      <c r="DT279" s="1464"/>
      <c r="DU279" s="1464"/>
      <c r="DV279" s="1464"/>
      <c r="DW279" s="1464"/>
      <c r="DX279" s="1464"/>
      <c r="DY279" s="1464"/>
      <c r="DZ279" s="1464"/>
      <c r="EA279" s="1464"/>
      <c r="EB279" s="1464"/>
      <c r="EC279" s="1464"/>
      <c r="ED279" s="1464"/>
      <c r="EE279" s="1464"/>
      <c r="EF279" s="1464"/>
      <c r="EG279" s="1464"/>
      <c r="EH279" s="1464"/>
      <c r="EI279" s="1464"/>
      <c r="EJ279" s="1464"/>
      <c r="EK279" s="1464"/>
      <c r="EL279" s="1464"/>
      <c r="EM279" s="1464"/>
      <c r="EN279" s="1464"/>
      <c r="EO279" s="1464"/>
      <c r="EP279" s="1464"/>
      <c r="EQ279" s="1464"/>
      <c r="ER279" s="1464"/>
      <c r="ES279" s="1464"/>
      <c r="ET279" s="1464"/>
      <c r="EU279" s="1464"/>
      <c r="EV279" s="1464"/>
      <c r="EW279" s="1464"/>
      <c r="EX279" s="1464"/>
      <c r="EY279" s="1464"/>
      <c r="EZ279" s="1464"/>
      <c r="FA279" s="1464"/>
      <c r="FB279" s="1464"/>
      <c r="FC279" s="1464"/>
      <c r="FD279" s="1464"/>
      <c r="FE279" s="1464"/>
      <c r="FF279" s="1464"/>
    </row>
    <row r="281" spans="6:162" s="1466" customFormat="1" ht="15.75" customHeight="1">
      <c r="F281" s="1464"/>
      <c r="G281" s="1464"/>
      <c r="H281" s="1464"/>
      <c r="I281" s="1464"/>
      <c r="J281" s="1464"/>
      <c r="K281" s="1464"/>
      <c r="L281" s="1464"/>
      <c r="M281" s="1464"/>
      <c r="N281" s="1464"/>
      <c r="O281" s="1464"/>
      <c r="P281" s="1464"/>
      <c r="Q281" s="1464"/>
      <c r="R281" s="1464"/>
      <c r="S281" s="1464"/>
      <c r="T281" s="1464"/>
      <c r="U281" s="1464"/>
      <c r="V281" s="1464"/>
      <c r="W281" s="1464"/>
      <c r="X281" s="1464"/>
      <c r="Y281" s="1464"/>
      <c r="AA281" s="1464"/>
      <c r="AC281" s="1464"/>
      <c r="AD281" s="1464"/>
      <c r="AE281" s="1464"/>
      <c r="AF281" s="1464"/>
      <c r="AG281" s="1464"/>
      <c r="AH281" s="1465"/>
      <c r="AI281" s="1465"/>
      <c r="AJ281" s="1464"/>
      <c r="AK281" s="1464"/>
      <c r="AL281" s="1464"/>
      <c r="AM281" s="1464"/>
      <c r="AN281" s="1464"/>
      <c r="AO281" s="1464"/>
      <c r="AP281" s="1464"/>
      <c r="AQ281" s="1464"/>
      <c r="AR281" s="1464"/>
      <c r="AS281" s="1464"/>
      <c r="AT281" s="1464"/>
      <c r="AU281" s="1464"/>
      <c r="AV281" s="1464"/>
      <c r="AW281" s="1464"/>
      <c r="AX281" s="1464"/>
      <c r="AY281" s="1464"/>
      <c r="AZ281" s="1464"/>
      <c r="BA281" s="1464"/>
      <c r="BB281" s="1464"/>
      <c r="BC281" s="1464"/>
      <c r="BD281" s="1464"/>
      <c r="BE281" s="1464"/>
      <c r="BF281" s="1464"/>
      <c r="BG281" s="1464"/>
      <c r="BH281" s="1464"/>
      <c r="BI281" s="1464"/>
      <c r="BJ281" s="1464"/>
      <c r="BK281" s="1464"/>
      <c r="BL281" s="1464"/>
      <c r="BM281" s="1464"/>
      <c r="BN281" s="1464"/>
      <c r="BO281" s="1464"/>
      <c r="BP281" s="1464"/>
      <c r="BQ281" s="1464"/>
      <c r="BR281" s="1464"/>
      <c r="BS281" s="1464"/>
      <c r="BT281" s="1464"/>
      <c r="BU281" s="1464"/>
      <c r="BV281" s="1464"/>
      <c r="BW281" s="1464"/>
      <c r="BX281" s="1464"/>
      <c r="BY281" s="1464"/>
      <c r="BZ281" s="1464"/>
      <c r="CA281" s="1464"/>
      <c r="CB281" s="1464"/>
      <c r="CC281" s="1464"/>
      <c r="CD281" s="1464"/>
      <c r="CE281" s="1464"/>
      <c r="CF281" s="1464"/>
      <c r="CG281" s="1464"/>
      <c r="CH281" s="1464"/>
      <c r="CI281" s="1464"/>
      <c r="CJ281" s="1464"/>
      <c r="CK281" s="1464"/>
      <c r="CL281" s="1464"/>
      <c r="CM281" s="1464"/>
      <c r="CN281" s="1464"/>
      <c r="CO281" s="1464"/>
      <c r="CP281" s="1464"/>
      <c r="CQ281" s="1464"/>
      <c r="CR281" s="1464"/>
      <c r="CS281" s="1464"/>
      <c r="CT281" s="1464"/>
      <c r="CU281" s="1464"/>
      <c r="CV281" s="1464"/>
      <c r="CW281" s="1464"/>
      <c r="CX281" s="1464"/>
      <c r="CY281" s="1464"/>
      <c r="CZ281" s="1464"/>
      <c r="DA281" s="1464"/>
      <c r="DB281" s="1464"/>
      <c r="DC281" s="1464"/>
      <c r="DD281" s="1464"/>
      <c r="DE281" s="1464"/>
      <c r="DF281" s="1464"/>
      <c r="DG281" s="1464"/>
      <c r="DH281" s="1464"/>
      <c r="DI281" s="1464"/>
      <c r="DJ281" s="1464"/>
      <c r="DK281" s="1464"/>
      <c r="DL281" s="1464"/>
      <c r="DM281" s="1464"/>
      <c r="DN281" s="1464"/>
      <c r="DO281" s="1464"/>
      <c r="DP281" s="1464"/>
      <c r="DQ281" s="1464"/>
      <c r="DR281" s="1464"/>
      <c r="DS281" s="1464"/>
      <c r="DT281" s="1464"/>
      <c r="DU281" s="1464"/>
      <c r="DV281" s="1464"/>
      <c r="DW281" s="1464"/>
      <c r="DX281" s="1464"/>
      <c r="DY281" s="1464"/>
      <c r="DZ281" s="1464"/>
      <c r="EA281" s="1464"/>
      <c r="EB281" s="1464"/>
      <c r="EC281" s="1464"/>
      <c r="ED281" s="1464"/>
      <c r="EE281" s="1464"/>
      <c r="EF281" s="1464"/>
      <c r="EG281" s="1464"/>
      <c r="EH281" s="1464"/>
      <c r="EI281" s="1464"/>
      <c r="EJ281" s="1464"/>
      <c r="EK281" s="1464"/>
      <c r="EL281" s="1464"/>
      <c r="EM281" s="1464"/>
      <c r="EN281" s="1464"/>
      <c r="EO281" s="1464"/>
      <c r="EP281" s="1464"/>
      <c r="EQ281" s="1464"/>
      <c r="ER281" s="1464"/>
      <c r="ES281" s="1464"/>
      <c r="ET281" s="1464"/>
      <c r="EU281" s="1464"/>
      <c r="EV281" s="1464"/>
      <c r="EW281" s="1464"/>
      <c r="EX281" s="1464"/>
      <c r="EY281" s="1464"/>
      <c r="EZ281" s="1464"/>
      <c r="FA281" s="1464"/>
      <c r="FB281" s="1464"/>
      <c r="FC281" s="1464"/>
      <c r="FD281" s="1464"/>
      <c r="FE281" s="1464"/>
      <c r="FF281" s="1464"/>
    </row>
    <row r="283" spans="6:162" s="1466" customFormat="1" ht="15.75" customHeight="1">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AA283" s="1464"/>
      <c r="AC283" s="1464"/>
      <c r="AD283" s="1464"/>
      <c r="AE283" s="1464"/>
      <c r="AF283" s="1464"/>
      <c r="AG283" s="1464"/>
      <c r="AH283" s="1465"/>
      <c r="AI283" s="1465"/>
      <c r="AJ283" s="1464"/>
      <c r="AK283" s="1464"/>
      <c r="AL283" s="1464"/>
      <c r="AM283" s="1464"/>
      <c r="AN283" s="1464"/>
      <c r="AO283" s="1464"/>
      <c r="AP283" s="1464"/>
      <c r="AQ283" s="1464"/>
      <c r="AR283" s="1464"/>
      <c r="AS283" s="1464"/>
      <c r="AT283" s="1464"/>
      <c r="AU283" s="1464"/>
      <c r="AV283" s="1464"/>
      <c r="AW283" s="1464"/>
      <c r="AX283" s="1464"/>
      <c r="AY283" s="1464"/>
      <c r="AZ283" s="1464"/>
      <c r="BA283" s="1464"/>
      <c r="BB283" s="1464"/>
      <c r="BC283" s="1464"/>
      <c r="BD283" s="1464"/>
      <c r="BE283" s="1464"/>
      <c r="BF283" s="1464"/>
      <c r="BG283" s="1464"/>
      <c r="BH283" s="1464"/>
      <c r="BI283" s="1464"/>
      <c r="BJ283" s="1464"/>
      <c r="BK283" s="1464"/>
      <c r="BL283" s="1464"/>
      <c r="BM283" s="1464"/>
      <c r="BN283" s="1464"/>
      <c r="BO283" s="1464"/>
      <c r="BP283" s="1464"/>
      <c r="BQ283" s="1464"/>
      <c r="BR283" s="1464"/>
      <c r="BS283" s="1464"/>
      <c r="BT283" s="1464"/>
      <c r="BU283" s="1464"/>
      <c r="BV283" s="1464"/>
      <c r="BW283" s="1464"/>
      <c r="BX283" s="1464"/>
      <c r="BY283" s="1464"/>
      <c r="BZ283" s="1464"/>
      <c r="CA283" s="1464"/>
      <c r="CB283" s="1464"/>
      <c r="CC283" s="1464"/>
      <c r="CD283" s="1464"/>
      <c r="CE283" s="1464"/>
      <c r="CF283" s="1464"/>
      <c r="CG283" s="1464"/>
      <c r="CH283" s="1464"/>
      <c r="CI283" s="1464"/>
      <c r="CJ283" s="1464"/>
      <c r="CK283" s="1464"/>
      <c r="CL283" s="1464"/>
      <c r="CM283" s="1464"/>
      <c r="CN283" s="1464"/>
      <c r="CO283" s="1464"/>
      <c r="CP283" s="1464"/>
      <c r="CQ283" s="1464"/>
      <c r="CR283" s="1464"/>
      <c r="CS283" s="1464"/>
      <c r="CT283" s="1464"/>
      <c r="CU283" s="1464"/>
      <c r="CV283" s="1464"/>
      <c r="CW283" s="1464"/>
      <c r="CX283" s="1464"/>
      <c r="CY283" s="1464"/>
      <c r="CZ283" s="1464"/>
      <c r="DA283" s="1464"/>
      <c r="DB283" s="1464"/>
      <c r="DC283" s="1464"/>
      <c r="DD283" s="1464"/>
      <c r="DE283" s="1464"/>
      <c r="DF283" s="1464"/>
      <c r="DG283" s="1464"/>
      <c r="DH283" s="1464"/>
      <c r="DI283" s="1464"/>
      <c r="DJ283" s="1464"/>
      <c r="DK283" s="1464"/>
      <c r="DL283" s="1464"/>
      <c r="DM283" s="1464"/>
      <c r="DN283" s="1464"/>
      <c r="DO283" s="1464"/>
      <c r="DP283" s="1464"/>
      <c r="DQ283" s="1464"/>
      <c r="DR283" s="1464"/>
      <c r="DS283" s="1464"/>
      <c r="DT283" s="1464"/>
      <c r="DU283" s="1464"/>
      <c r="DV283" s="1464"/>
      <c r="DW283" s="1464"/>
      <c r="DX283" s="1464"/>
      <c r="DY283" s="1464"/>
      <c r="DZ283" s="1464"/>
      <c r="EA283" s="1464"/>
      <c r="EB283" s="1464"/>
      <c r="EC283" s="1464"/>
      <c r="ED283" s="1464"/>
      <c r="EE283" s="1464"/>
      <c r="EF283" s="1464"/>
      <c r="EG283" s="1464"/>
      <c r="EH283" s="1464"/>
      <c r="EI283" s="1464"/>
      <c r="EJ283" s="1464"/>
      <c r="EK283" s="1464"/>
      <c r="EL283" s="1464"/>
      <c r="EM283" s="1464"/>
      <c r="EN283" s="1464"/>
      <c r="EO283" s="1464"/>
      <c r="EP283" s="1464"/>
      <c r="EQ283" s="1464"/>
      <c r="ER283" s="1464"/>
      <c r="ES283" s="1464"/>
      <c r="ET283" s="1464"/>
      <c r="EU283" s="1464"/>
      <c r="EV283" s="1464"/>
      <c r="EW283" s="1464"/>
      <c r="EX283" s="1464"/>
      <c r="EY283" s="1464"/>
      <c r="EZ283" s="1464"/>
      <c r="FA283" s="1464"/>
      <c r="FB283" s="1464"/>
      <c r="FC283" s="1464"/>
      <c r="FD283" s="1464"/>
      <c r="FE283" s="1464"/>
      <c r="FF283" s="1464"/>
    </row>
    <row r="285" spans="6:162" s="1466" customFormat="1" ht="15.75" customHeight="1">
      <c r="F285" s="1464"/>
      <c r="G285" s="1464"/>
      <c r="H285" s="1464"/>
      <c r="I285" s="1464"/>
      <c r="J285" s="1464"/>
      <c r="K285" s="1464"/>
      <c r="L285" s="1464"/>
      <c r="M285" s="1464"/>
      <c r="N285" s="1464"/>
      <c r="O285" s="1464"/>
      <c r="P285" s="1464"/>
      <c r="Q285" s="1464"/>
      <c r="R285" s="1464"/>
      <c r="S285" s="1464"/>
      <c r="T285" s="1464"/>
      <c r="U285" s="1464"/>
      <c r="V285" s="1464"/>
      <c r="W285" s="1464"/>
      <c r="X285" s="1464"/>
      <c r="Y285" s="1464"/>
      <c r="AA285" s="1464"/>
      <c r="AC285" s="1464"/>
      <c r="AD285" s="1464"/>
      <c r="AE285" s="1464"/>
      <c r="AF285" s="1464"/>
      <c r="AG285" s="1464"/>
      <c r="AH285" s="1465"/>
      <c r="AI285" s="1465"/>
      <c r="AJ285" s="1464"/>
      <c r="AK285" s="1464"/>
      <c r="AL285" s="1464"/>
      <c r="AM285" s="1464"/>
      <c r="AN285" s="1464"/>
      <c r="AO285" s="1464"/>
      <c r="AP285" s="1464"/>
      <c r="AQ285" s="1464"/>
      <c r="AR285" s="1464"/>
      <c r="AS285" s="1464"/>
      <c r="AT285" s="1464"/>
      <c r="AU285" s="1464"/>
      <c r="AV285" s="1464"/>
      <c r="AW285" s="1464"/>
      <c r="AX285" s="1464"/>
      <c r="AY285" s="1464"/>
      <c r="AZ285" s="1464"/>
      <c r="BA285" s="1464"/>
      <c r="BB285" s="1464"/>
      <c r="BC285" s="1464"/>
      <c r="BD285" s="1464"/>
      <c r="BE285" s="1464"/>
      <c r="BF285" s="1464"/>
      <c r="BG285" s="1464"/>
      <c r="BH285" s="1464"/>
      <c r="BI285" s="1464"/>
      <c r="BJ285" s="1464"/>
      <c r="BK285" s="1464"/>
      <c r="BL285" s="1464"/>
      <c r="BM285" s="1464"/>
      <c r="BN285" s="1464"/>
      <c r="BO285" s="1464"/>
      <c r="BP285" s="1464"/>
      <c r="BQ285" s="1464"/>
      <c r="BR285" s="1464"/>
      <c r="BS285" s="1464"/>
      <c r="BT285" s="1464"/>
      <c r="BU285" s="1464"/>
      <c r="BV285" s="1464"/>
      <c r="BW285" s="1464"/>
      <c r="BX285" s="1464"/>
      <c r="BY285" s="1464"/>
      <c r="BZ285" s="1464"/>
      <c r="CA285" s="1464"/>
      <c r="CB285" s="1464"/>
      <c r="CC285" s="1464"/>
      <c r="CD285" s="1464"/>
      <c r="CE285" s="1464"/>
      <c r="CF285" s="1464"/>
      <c r="CG285" s="1464"/>
      <c r="CH285" s="1464"/>
      <c r="CI285" s="1464"/>
      <c r="CJ285" s="1464"/>
      <c r="CK285" s="1464"/>
      <c r="CL285" s="1464"/>
      <c r="CM285" s="1464"/>
      <c r="CN285" s="1464"/>
      <c r="CO285" s="1464"/>
      <c r="CP285" s="1464"/>
      <c r="CQ285" s="1464"/>
      <c r="CR285" s="1464"/>
      <c r="CS285" s="1464"/>
      <c r="CT285" s="1464"/>
      <c r="CU285" s="1464"/>
      <c r="CV285" s="1464"/>
      <c r="CW285" s="1464"/>
      <c r="CX285" s="1464"/>
      <c r="CY285" s="1464"/>
      <c r="CZ285" s="1464"/>
      <c r="DA285" s="1464"/>
      <c r="DB285" s="1464"/>
      <c r="DC285" s="1464"/>
      <c r="DD285" s="1464"/>
      <c r="DE285" s="1464"/>
      <c r="DF285" s="1464"/>
      <c r="DG285" s="1464"/>
      <c r="DH285" s="1464"/>
      <c r="DI285" s="1464"/>
      <c r="DJ285" s="1464"/>
      <c r="DK285" s="1464"/>
      <c r="DL285" s="1464"/>
      <c r="DM285" s="1464"/>
      <c r="DN285" s="1464"/>
      <c r="DO285" s="1464"/>
      <c r="DP285" s="1464"/>
      <c r="DQ285" s="1464"/>
      <c r="DR285" s="1464"/>
      <c r="DS285" s="1464"/>
      <c r="DT285" s="1464"/>
      <c r="DU285" s="1464"/>
      <c r="DV285" s="1464"/>
      <c r="DW285" s="1464"/>
      <c r="DX285" s="1464"/>
      <c r="DY285" s="1464"/>
      <c r="DZ285" s="1464"/>
      <c r="EA285" s="1464"/>
      <c r="EB285" s="1464"/>
      <c r="EC285" s="1464"/>
      <c r="ED285" s="1464"/>
      <c r="EE285" s="1464"/>
      <c r="EF285" s="1464"/>
      <c r="EG285" s="1464"/>
      <c r="EH285" s="1464"/>
      <c r="EI285" s="1464"/>
      <c r="EJ285" s="1464"/>
      <c r="EK285" s="1464"/>
      <c r="EL285" s="1464"/>
      <c r="EM285" s="1464"/>
      <c r="EN285" s="1464"/>
      <c r="EO285" s="1464"/>
      <c r="EP285" s="1464"/>
      <c r="EQ285" s="1464"/>
      <c r="ER285" s="1464"/>
      <c r="ES285" s="1464"/>
      <c r="ET285" s="1464"/>
      <c r="EU285" s="1464"/>
      <c r="EV285" s="1464"/>
      <c r="EW285" s="1464"/>
      <c r="EX285" s="1464"/>
      <c r="EY285" s="1464"/>
      <c r="EZ285" s="1464"/>
      <c r="FA285" s="1464"/>
      <c r="FB285" s="1464"/>
      <c r="FC285" s="1464"/>
      <c r="FD285" s="1464"/>
      <c r="FE285" s="1464"/>
      <c r="FF285" s="1464"/>
    </row>
    <row r="287" spans="6:162" s="1466" customFormat="1" ht="15.75" customHeight="1">
      <c r="F287" s="1464"/>
      <c r="G287" s="1464"/>
      <c r="H287" s="1464"/>
      <c r="I287" s="1464"/>
      <c r="J287" s="1464"/>
      <c r="K287" s="1464"/>
      <c r="L287" s="1464"/>
      <c r="M287" s="1464"/>
      <c r="N287" s="1464"/>
      <c r="O287" s="1464"/>
      <c r="P287" s="1464"/>
      <c r="Q287" s="1464"/>
      <c r="R287" s="1464"/>
      <c r="S287" s="1464"/>
      <c r="T287" s="1464"/>
      <c r="U287" s="1464"/>
      <c r="V287" s="1464"/>
      <c r="W287" s="1464"/>
      <c r="X287" s="1464"/>
      <c r="Y287" s="1464"/>
      <c r="AA287" s="1464"/>
      <c r="AC287" s="1464"/>
      <c r="AD287" s="1464"/>
      <c r="AE287" s="1464"/>
      <c r="AF287" s="1464"/>
      <c r="AG287" s="1464"/>
      <c r="AH287" s="1465"/>
      <c r="AI287" s="1465"/>
      <c r="AJ287" s="1464"/>
      <c r="AK287" s="1464"/>
      <c r="AL287" s="1464"/>
      <c r="AM287" s="1464"/>
      <c r="AN287" s="1464"/>
      <c r="AO287" s="1464"/>
      <c r="AP287" s="1464"/>
      <c r="AQ287" s="1464"/>
      <c r="AR287" s="1464"/>
      <c r="AS287" s="1464"/>
      <c r="AT287" s="1464"/>
      <c r="AU287" s="1464"/>
      <c r="AV287" s="1464"/>
      <c r="AW287" s="1464"/>
      <c r="AX287" s="1464"/>
      <c r="AY287" s="1464"/>
      <c r="AZ287" s="1464"/>
      <c r="BA287" s="1464"/>
      <c r="BB287" s="1464"/>
      <c r="BC287" s="1464"/>
      <c r="BD287" s="1464"/>
      <c r="BE287" s="1464"/>
      <c r="BF287" s="1464"/>
      <c r="BG287" s="1464"/>
      <c r="BH287" s="1464"/>
      <c r="BI287" s="1464"/>
      <c r="BJ287" s="1464"/>
      <c r="BK287" s="1464"/>
      <c r="BL287" s="1464"/>
      <c r="BM287" s="1464"/>
      <c r="BN287" s="1464"/>
      <c r="BO287" s="1464"/>
      <c r="BP287" s="1464"/>
      <c r="BQ287" s="1464"/>
      <c r="BR287" s="1464"/>
      <c r="BS287" s="1464"/>
      <c r="BT287" s="1464"/>
      <c r="BU287" s="1464"/>
      <c r="BV287" s="1464"/>
      <c r="BW287" s="1464"/>
      <c r="BX287" s="1464"/>
      <c r="BY287" s="1464"/>
      <c r="BZ287" s="1464"/>
      <c r="CA287" s="1464"/>
      <c r="CB287" s="1464"/>
      <c r="CC287" s="1464"/>
      <c r="CD287" s="1464"/>
      <c r="CE287" s="1464"/>
      <c r="CF287" s="1464"/>
      <c r="CG287" s="1464"/>
      <c r="CH287" s="1464"/>
      <c r="CI287" s="1464"/>
      <c r="CJ287" s="1464"/>
      <c r="CK287" s="1464"/>
      <c r="CL287" s="1464"/>
      <c r="CM287" s="1464"/>
      <c r="CN287" s="1464"/>
      <c r="CO287" s="1464"/>
      <c r="CP287" s="1464"/>
      <c r="CQ287" s="1464"/>
      <c r="CR287" s="1464"/>
      <c r="CS287" s="1464"/>
      <c r="CT287" s="1464"/>
      <c r="CU287" s="1464"/>
      <c r="CV287" s="1464"/>
      <c r="CW287" s="1464"/>
      <c r="CX287" s="1464"/>
      <c r="CY287" s="1464"/>
      <c r="CZ287" s="1464"/>
      <c r="DA287" s="1464"/>
      <c r="DB287" s="1464"/>
      <c r="DC287" s="1464"/>
      <c r="DD287" s="1464"/>
      <c r="DE287" s="1464"/>
      <c r="DF287" s="1464"/>
      <c r="DG287" s="1464"/>
      <c r="DH287" s="1464"/>
      <c r="DI287" s="1464"/>
      <c r="DJ287" s="1464"/>
      <c r="DK287" s="1464"/>
      <c r="DL287" s="1464"/>
      <c r="DM287" s="1464"/>
      <c r="DN287" s="1464"/>
      <c r="DO287" s="1464"/>
      <c r="DP287" s="1464"/>
      <c r="DQ287" s="1464"/>
      <c r="DR287" s="1464"/>
      <c r="DS287" s="1464"/>
      <c r="DT287" s="1464"/>
      <c r="DU287" s="1464"/>
      <c r="DV287" s="1464"/>
      <c r="DW287" s="1464"/>
      <c r="DX287" s="1464"/>
      <c r="DY287" s="1464"/>
      <c r="DZ287" s="1464"/>
      <c r="EA287" s="1464"/>
      <c r="EB287" s="1464"/>
      <c r="EC287" s="1464"/>
      <c r="ED287" s="1464"/>
      <c r="EE287" s="1464"/>
      <c r="EF287" s="1464"/>
      <c r="EG287" s="1464"/>
      <c r="EH287" s="1464"/>
      <c r="EI287" s="1464"/>
      <c r="EJ287" s="1464"/>
      <c r="EK287" s="1464"/>
      <c r="EL287" s="1464"/>
      <c r="EM287" s="1464"/>
      <c r="EN287" s="1464"/>
      <c r="EO287" s="1464"/>
      <c r="EP287" s="1464"/>
      <c r="EQ287" s="1464"/>
      <c r="ER287" s="1464"/>
      <c r="ES287" s="1464"/>
      <c r="ET287" s="1464"/>
      <c r="EU287" s="1464"/>
      <c r="EV287" s="1464"/>
      <c r="EW287" s="1464"/>
      <c r="EX287" s="1464"/>
      <c r="EY287" s="1464"/>
      <c r="EZ287" s="1464"/>
      <c r="FA287" s="1464"/>
      <c r="FB287" s="1464"/>
      <c r="FC287" s="1464"/>
      <c r="FD287" s="1464"/>
      <c r="FE287" s="1464"/>
      <c r="FF287" s="1464"/>
    </row>
    <row r="289" spans="6:162" s="1466" customFormat="1" ht="15.75" customHeight="1">
      <c r="F289" s="1464"/>
      <c r="G289" s="1464"/>
      <c r="H289" s="1464"/>
      <c r="I289" s="1464"/>
      <c r="J289" s="1464"/>
      <c r="K289" s="1464"/>
      <c r="L289" s="1464"/>
      <c r="M289" s="1464"/>
      <c r="N289" s="1464"/>
      <c r="O289" s="1464"/>
      <c r="P289" s="1464"/>
      <c r="Q289" s="1464"/>
      <c r="R289" s="1464"/>
      <c r="S289" s="1464"/>
      <c r="T289" s="1464"/>
      <c r="U289" s="1464"/>
      <c r="V289" s="1464"/>
      <c r="W289" s="1464"/>
      <c r="X289" s="1464"/>
      <c r="Y289" s="1464"/>
      <c r="AA289" s="1464"/>
      <c r="AC289" s="1464"/>
      <c r="AD289" s="1464"/>
      <c r="AE289" s="1464"/>
      <c r="AF289" s="1464"/>
      <c r="AG289" s="1464"/>
      <c r="AH289" s="1465"/>
      <c r="AI289" s="1465"/>
      <c r="AJ289" s="1464"/>
      <c r="AK289" s="1464"/>
      <c r="AL289" s="1464"/>
      <c r="AM289" s="1464"/>
      <c r="AN289" s="1464"/>
      <c r="AO289" s="1464"/>
      <c r="AP289" s="1464"/>
      <c r="AQ289" s="1464"/>
      <c r="AR289" s="1464"/>
      <c r="AS289" s="1464"/>
      <c r="AT289" s="1464"/>
      <c r="AU289" s="1464"/>
      <c r="AV289" s="1464"/>
      <c r="AW289" s="1464"/>
      <c r="AX289" s="1464"/>
      <c r="AY289" s="1464"/>
      <c r="AZ289" s="1464"/>
      <c r="BA289" s="1464"/>
      <c r="BB289" s="1464"/>
      <c r="BC289" s="1464"/>
      <c r="BD289" s="1464"/>
      <c r="BE289" s="1464"/>
      <c r="BF289" s="1464"/>
      <c r="BG289" s="1464"/>
      <c r="BH289" s="1464"/>
      <c r="BI289" s="1464"/>
      <c r="BJ289" s="1464"/>
      <c r="BK289" s="1464"/>
      <c r="BL289" s="1464"/>
      <c r="BM289" s="1464"/>
      <c r="BN289" s="1464"/>
      <c r="BO289" s="1464"/>
      <c r="BP289" s="1464"/>
      <c r="BQ289" s="1464"/>
      <c r="BR289" s="1464"/>
      <c r="BS289" s="1464"/>
      <c r="BT289" s="1464"/>
      <c r="BU289" s="1464"/>
      <c r="BV289" s="1464"/>
      <c r="BW289" s="1464"/>
      <c r="BX289" s="1464"/>
      <c r="BY289" s="1464"/>
      <c r="BZ289" s="1464"/>
      <c r="CA289" s="1464"/>
      <c r="CB289" s="1464"/>
      <c r="CC289" s="1464"/>
      <c r="CD289" s="1464"/>
      <c r="CE289" s="1464"/>
      <c r="CF289" s="1464"/>
      <c r="CG289" s="1464"/>
      <c r="CH289" s="1464"/>
      <c r="CI289" s="1464"/>
      <c r="CJ289" s="1464"/>
      <c r="CK289" s="1464"/>
      <c r="CL289" s="1464"/>
      <c r="CM289" s="1464"/>
      <c r="CN289" s="1464"/>
      <c r="CO289" s="1464"/>
      <c r="CP289" s="1464"/>
      <c r="CQ289" s="1464"/>
      <c r="CR289" s="1464"/>
      <c r="CS289" s="1464"/>
      <c r="CT289" s="1464"/>
      <c r="CU289" s="1464"/>
      <c r="CV289" s="1464"/>
      <c r="CW289" s="1464"/>
      <c r="CX289" s="1464"/>
      <c r="CY289" s="1464"/>
      <c r="CZ289" s="1464"/>
      <c r="DA289" s="1464"/>
      <c r="DB289" s="1464"/>
      <c r="DC289" s="1464"/>
      <c r="DD289" s="1464"/>
      <c r="DE289" s="1464"/>
      <c r="DF289" s="1464"/>
      <c r="DG289" s="1464"/>
      <c r="DH289" s="1464"/>
      <c r="DI289" s="1464"/>
      <c r="DJ289" s="1464"/>
      <c r="DK289" s="1464"/>
      <c r="DL289" s="1464"/>
      <c r="DM289" s="1464"/>
      <c r="DN289" s="1464"/>
      <c r="DO289" s="1464"/>
      <c r="DP289" s="1464"/>
      <c r="DQ289" s="1464"/>
      <c r="DR289" s="1464"/>
      <c r="DS289" s="1464"/>
      <c r="DT289" s="1464"/>
      <c r="DU289" s="1464"/>
      <c r="DV289" s="1464"/>
      <c r="DW289" s="1464"/>
      <c r="DX289" s="1464"/>
      <c r="DY289" s="1464"/>
      <c r="DZ289" s="1464"/>
      <c r="EA289" s="1464"/>
      <c r="EB289" s="1464"/>
      <c r="EC289" s="1464"/>
      <c r="ED289" s="1464"/>
      <c r="EE289" s="1464"/>
      <c r="EF289" s="1464"/>
      <c r="EG289" s="1464"/>
      <c r="EH289" s="1464"/>
      <c r="EI289" s="1464"/>
      <c r="EJ289" s="1464"/>
      <c r="EK289" s="1464"/>
      <c r="EL289" s="1464"/>
      <c r="EM289" s="1464"/>
      <c r="EN289" s="1464"/>
      <c r="EO289" s="1464"/>
      <c r="EP289" s="1464"/>
      <c r="EQ289" s="1464"/>
      <c r="ER289" s="1464"/>
      <c r="ES289" s="1464"/>
      <c r="ET289" s="1464"/>
      <c r="EU289" s="1464"/>
      <c r="EV289" s="1464"/>
      <c r="EW289" s="1464"/>
      <c r="EX289" s="1464"/>
      <c r="EY289" s="1464"/>
      <c r="EZ289" s="1464"/>
      <c r="FA289" s="1464"/>
      <c r="FB289" s="1464"/>
      <c r="FC289" s="1464"/>
      <c r="FD289" s="1464"/>
      <c r="FE289" s="1464"/>
      <c r="FF289" s="1464"/>
    </row>
    <row r="291" spans="6:162" s="1466" customFormat="1" ht="15.75" customHeight="1">
      <c r="F291" s="1464"/>
      <c r="G291" s="1464"/>
      <c r="H291" s="1464"/>
      <c r="I291" s="1464"/>
      <c r="J291" s="1464"/>
      <c r="K291" s="1464"/>
      <c r="L291" s="1464"/>
      <c r="M291" s="1464"/>
      <c r="N291" s="1464"/>
      <c r="O291" s="1464"/>
      <c r="P291" s="1464"/>
      <c r="Q291" s="1464"/>
      <c r="R291" s="1464"/>
      <c r="S291" s="1464"/>
      <c r="T291" s="1464"/>
      <c r="U291" s="1464"/>
      <c r="V291" s="1464"/>
      <c r="W291" s="1464"/>
      <c r="X291" s="1464"/>
      <c r="Y291" s="1464"/>
      <c r="AA291" s="1464"/>
      <c r="AC291" s="1464"/>
      <c r="AD291" s="1464"/>
      <c r="AE291" s="1464"/>
      <c r="AF291" s="1464"/>
      <c r="AG291" s="1464"/>
      <c r="AH291" s="1465"/>
      <c r="AI291" s="1465"/>
      <c r="AJ291" s="1464"/>
      <c r="AK291" s="1464"/>
      <c r="AL291" s="1464"/>
      <c r="AM291" s="1464"/>
      <c r="AN291" s="1464"/>
      <c r="AO291" s="1464"/>
      <c r="AP291" s="1464"/>
      <c r="AQ291" s="1464"/>
      <c r="AR291" s="1464"/>
      <c r="AS291" s="1464"/>
      <c r="AT291" s="1464"/>
      <c r="AU291" s="1464"/>
      <c r="AV291" s="1464"/>
      <c r="AW291" s="1464"/>
      <c r="AX291" s="1464"/>
      <c r="AY291" s="1464"/>
      <c r="AZ291" s="1464"/>
      <c r="BA291" s="1464"/>
      <c r="BB291" s="1464"/>
      <c r="BC291" s="1464"/>
      <c r="BD291" s="1464"/>
      <c r="BE291" s="1464"/>
      <c r="BF291" s="1464"/>
      <c r="BG291" s="1464"/>
      <c r="BH291" s="1464"/>
      <c r="BI291" s="1464"/>
      <c r="BJ291" s="1464"/>
      <c r="BK291" s="1464"/>
      <c r="BL291" s="1464"/>
      <c r="BM291" s="1464"/>
      <c r="BN291" s="1464"/>
      <c r="BO291" s="1464"/>
      <c r="BP291" s="1464"/>
      <c r="BQ291" s="1464"/>
      <c r="BR291" s="1464"/>
      <c r="BS291" s="1464"/>
      <c r="BT291" s="1464"/>
      <c r="BU291" s="1464"/>
      <c r="BV291" s="1464"/>
      <c r="BW291" s="1464"/>
      <c r="BX291" s="1464"/>
      <c r="BY291" s="1464"/>
      <c r="BZ291" s="1464"/>
      <c r="CA291" s="1464"/>
      <c r="CB291" s="1464"/>
      <c r="CC291" s="1464"/>
      <c r="CD291" s="1464"/>
      <c r="CE291" s="1464"/>
      <c r="CF291" s="1464"/>
      <c r="CG291" s="1464"/>
      <c r="CH291" s="1464"/>
      <c r="CI291" s="1464"/>
      <c r="CJ291" s="1464"/>
      <c r="CK291" s="1464"/>
      <c r="CL291" s="1464"/>
      <c r="CM291" s="1464"/>
      <c r="CN291" s="1464"/>
      <c r="CO291" s="1464"/>
      <c r="CP291" s="1464"/>
      <c r="CQ291" s="1464"/>
      <c r="CR291" s="1464"/>
      <c r="CS291" s="1464"/>
      <c r="CT291" s="1464"/>
      <c r="CU291" s="1464"/>
      <c r="CV291" s="1464"/>
      <c r="CW291" s="1464"/>
      <c r="CX291" s="1464"/>
      <c r="CY291" s="1464"/>
      <c r="CZ291" s="1464"/>
      <c r="DA291" s="1464"/>
      <c r="DB291" s="1464"/>
      <c r="DC291" s="1464"/>
      <c r="DD291" s="1464"/>
      <c r="DE291" s="1464"/>
      <c r="DF291" s="1464"/>
      <c r="DG291" s="1464"/>
      <c r="DH291" s="1464"/>
      <c r="DI291" s="1464"/>
      <c r="DJ291" s="1464"/>
      <c r="DK291" s="1464"/>
      <c r="DL291" s="1464"/>
      <c r="DM291" s="1464"/>
      <c r="DN291" s="1464"/>
      <c r="DO291" s="1464"/>
      <c r="DP291" s="1464"/>
      <c r="DQ291" s="1464"/>
      <c r="DR291" s="1464"/>
      <c r="DS291" s="1464"/>
      <c r="DT291" s="1464"/>
      <c r="DU291" s="1464"/>
      <c r="DV291" s="1464"/>
      <c r="DW291" s="1464"/>
      <c r="DX291" s="1464"/>
      <c r="DY291" s="1464"/>
      <c r="DZ291" s="1464"/>
      <c r="EA291" s="1464"/>
      <c r="EB291" s="1464"/>
      <c r="EC291" s="1464"/>
      <c r="ED291" s="1464"/>
      <c r="EE291" s="1464"/>
      <c r="EF291" s="1464"/>
      <c r="EG291" s="1464"/>
      <c r="EH291" s="1464"/>
      <c r="EI291" s="1464"/>
      <c r="EJ291" s="1464"/>
      <c r="EK291" s="1464"/>
      <c r="EL291" s="1464"/>
      <c r="EM291" s="1464"/>
      <c r="EN291" s="1464"/>
      <c r="EO291" s="1464"/>
      <c r="EP291" s="1464"/>
      <c r="EQ291" s="1464"/>
      <c r="ER291" s="1464"/>
      <c r="ES291" s="1464"/>
      <c r="ET291" s="1464"/>
      <c r="EU291" s="1464"/>
      <c r="EV291" s="1464"/>
      <c r="EW291" s="1464"/>
      <c r="EX291" s="1464"/>
      <c r="EY291" s="1464"/>
      <c r="EZ291" s="1464"/>
      <c r="FA291" s="1464"/>
      <c r="FB291" s="1464"/>
      <c r="FC291" s="1464"/>
      <c r="FD291" s="1464"/>
      <c r="FE291" s="1464"/>
      <c r="FF291" s="1464"/>
    </row>
    <row r="293" spans="6:162" s="1466" customFormat="1" ht="15.75" customHeight="1">
      <c r="F293" s="1464"/>
      <c r="G293" s="1464"/>
      <c r="H293" s="1464"/>
      <c r="I293" s="1464"/>
      <c r="J293" s="1464"/>
      <c r="K293" s="1464"/>
      <c r="L293" s="1464"/>
      <c r="M293" s="1464"/>
      <c r="N293" s="1464"/>
      <c r="O293" s="1464"/>
      <c r="P293" s="1464"/>
      <c r="Q293" s="1464"/>
      <c r="R293" s="1464"/>
      <c r="S293" s="1464"/>
      <c r="T293" s="1464"/>
      <c r="U293" s="1464"/>
      <c r="V293" s="1464"/>
      <c r="W293" s="1464"/>
      <c r="X293" s="1464"/>
      <c r="Y293" s="1464"/>
      <c r="AA293" s="1464"/>
      <c r="AC293" s="1464"/>
      <c r="AD293" s="1464"/>
      <c r="AE293" s="1464"/>
      <c r="AF293" s="1464"/>
      <c r="AG293" s="1464"/>
      <c r="AH293" s="1465"/>
      <c r="AI293" s="1465"/>
      <c r="AJ293" s="1464"/>
      <c r="AK293" s="1464"/>
      <c r="AL293" s="1464"/>
      <c r="AM293" s="1464"/>
      <c r="AN293" s="1464"/>
      <c r="AO293" s="1464"/>
      <c r="AP293" s="1464"/>
      <c r="AQ293" s="1464"/>
      <c r="AR293" s="1464"/>
      <c r="AS293" s="1464"/>
      <c r="AT293" s="1464"/>
      <c r="AU293" s="1464"/>
      <c r="AV293" s="1464"/>
      <c r="AW293" s="1464"/>
      <c r="AX293" s="1464"/>
      <c r="AY293" s="1464"/>
      <c r="AZ293" s="1464"/>
      <c r="BA293" s="1464"/>
      <c r="BB293" s="1464"/>
      <c r="BC293" s="1464"/>
      <c r="BD293" s="1464"/>
      <c r="BE293" s="1464"/>
      <c r="BF293" s="1464"/>
      <c r="BG293" s="1464"/>
      <c r="BH293" s="1464"/>
      <c r="BI293" s="1464"/>
      <c r="BJ293" s="1464"/>
      <c r="BK293" s="1464"/>
      <c r="BL293" s="1464"/>
      <c r="BM293" s="1464"/>
      <c r="BN293" s="1464"/>
      <c r="BO293" s="1464"/>
      <c r="BP293" s="1464"/>
      <c r="BQ293" s="1464"/>
      <c r="BR293" s="1464"/>
      <c r="BS293" s="1464"/>
      <c r="BT293" s="1464"/>
      <c r="BU293" s="1464"/>
      <c r="BV293" s="1464"/>
      <c r="BW293" s="1464"/>
      <c r="BX293" s="1464"/>
      <c r="BY293" s="1464"/>
      <c r="BZ293" s="1464"/>
      <c r="CA293" s="1464"/>
      <c r="CB293" s="1464"/>
      <c r="CC293" s="1464"/>
      <c r="CD293" s="1464"/>
      <c r="CE293" s="1464"/>
      <c r="CF293" s="1464"/>
      <c r="CG293" s="1464"/>
      <c r="CH293" s="1464"/>
      <c r="CI293" s="1464"/>
      <c r="CJ293" s="1464"/>
      <c r="CK293" s="1464"/>
      <c r="CL293" s="1464"/>
      <c r="CM293" s="1464"/>
      <c r="CN293" s="1464"/>
      <c r="CO293" s="1464"/>
      <c r="CP293" s="1464"/>
      <c r="CQ293" s="1464"/>
      <c r="CR293" s="1464"/>
      <c r="CS293" s="1464"/>
      <c r="CT293" s="1464"/>
      <c r="CU293" s="1464"/>
      <c r="CV293" s="1464"/>
      <c r="CW293" s="1464"/>
      <c r="CX293" s="1464"/>
      <c r="CY293" s="1464"/>
      <c r="CZ293" s="1464"/>
      <c r="DA293" s="1464"/>
      <c r="DB293" s="1464"/>
      <c r="DC293" s="1464"/>
      <c r="DD293" s="1464"/>
      <c r="DE293" s="1464"/>
      <c r="DF293" s="1464"/>
      <c r="DG293" s="1464"/>
      <c r="DH293" s="1464"/>
      <c r="DI293" s="1464"/>
      <c r="DJ293" s="1464"/>
      <c r="DK293" s="1464"/>
      <c r="DL293" s="1464"/>
      <c r="DM293" s="1464"/>
      <c r="DN293" s="1464"/>
      <c r="DO293" s="1464"/>
      <c r="DP293" s="1464"/>
      <c r="DQ293" s="1464"/>
      <c r="DR293" s="1464"/>
      <c r="DS293" s="1464"/>
      <c r="DT293" s="1464"/>
      <c r="DU293" s="1464"/>
      <c r="DV293" s="1464"/>
      <c r="DW293" s="1464"/>
      <c r="DX293" s="1464"/>
      <c r="DY293" s="1464"/>
      <c r="DZ293" s="1464"/>
      <c r="EA293" s="1464"/>
      <c r="EB293" s="1464"/>
      <c r="EC293" s="1464"/>
      <c r="ED293" s="1464"/>
      <c r="EE293" s="1464"/>
      <c r="EF293" s="1464"/>
      <c r="EG293" s="1464"/>
      <c r="EH293" s="1464"/>
      <c r="EI293" s="1464"/>
      <c r="EJ293" s="1464"/>
      <c r="EK293" s="1464"/>
      <c r="EL293" s="1464"/>
      <c r="EM293" s="1464"/>
      <c r="EN293" s="1464"/>
      <c r="EO293" s="1464"/>
      <c r="EP293" s="1464"/>
      <c r="EQ293" s="1464"/>
      <c r="ER293" s="1464"/>
      <c r="ES293" s="1464"/>
      <c r="ET293" s="1464"/>
      <c r="EU293" s="1464"/>
      <c r="EV293" s="1464"/>
      <c r="EW293" s="1464"/>
      <c r="EX293" s="1464"/>
      <c r="EY293" s="1464"/>
      <c r="EZ293" s="1464"/>
      <c r="FA293" s="1464"/>
      <c r="FB293" s="1464"/>
      <c r="FC293" s="1464"/>
      <c r="FD293" s="1464"/>
      <c r="FE293" s="1464"/>
      <c r="FF293" s="1464"/>
    </row>
    <row r="295" spans="6:162" s="1466" customFormat="1" ht="15.75" customHeight="1">
      <c r="F295" s="1464"/>
      <c r="G295" s="1464"/>
      <c r="H295" s="1464"/>
      <c r="I295" s="1464"/>
      <c r="J295" s="1464"/>
      <c r="K295" s="1464"/>
      <c r="L295" s="1464"/>
      <c r="M295" s="1464"/>
      <c r="N295" s="1464"/>
      <c r="O295" s="1464"/>
      <c r="P295" s="1464"/>
      <c r="Q295" s="1464"/>
      <c r="R295" s="1464"/>
      <c r="S295" s="1464"/>
      <c r="T295" s="1464"/>
      <c r="U295" s="1464"/>
      <c r="V295" s="1464"/>
      <c r="W295" s="1464"/>
      <c r="X295" s="1464"/>
      <c r="Y295" s="1464"/>
      <c r="AA295" s="1464"/>
      <c r="AC295" s="1464"/>
      <c r="AD295" s="1464"/>
      <c r="AE295" s="1464"/>
      <c r="AF295" s="1464"/>
      <c r="AG295" s="1464"/>
      <c r="AH295" s="1465"/>
      <c r="AI295" s="1465"/>
      <c r="AJ295" s="1464"/>
      <c r="AK295" s="1464"/>
      <c r="AL295" s="1464"/>
      <c r="AM295" s="1464"/>
      <c r="AN295" s="1464"/>
      <c r="AO295" s="1464"/>
      <c r="AP295" s="1464"/>
      <c r="AQ295" s="1464"/>
      <c r="AR295" s="1464"/>
      <c r="AS295" s="1464"/>
      <c r="AT295" s="1464"/>
      <c r="AU295" s="1464"/>
      <c r="AV295" s="1464"/>
      <c r="AW295" s="1464"/>
      <c r="AX295" s="1464"/>
      <c r="AY295" s="1464"/>
      <c r="AZ295" s="1464"/>
      <c r="BA295" s="1464"/>
      <c r="BB295" s="1464"/>
      <c r="BC295" s="1464"/>
      <c r="BD295" s="1464"/>
      <c r="BE295" s="1464"/>
      <c r="BF295" s="1464"/>
      <c r="BG295" s="1464"/>
      <c r="BH295" s="1464"/>
      <c r="BI295" s="1464"/>
      <c r="BJ295" s="1464"/>
      <c r="BK295" s="1464"/>
      <c r="BL295" s="1464"/>
      <c r="BM295" s="1464"/>
      <c r="BN295" s="1464"/>
      <c r="BO295" s="1464"/>
      <c r="BP295" s="1464"/>
      <c r="BQ295" s="1464"/>
      <c r="BR295" s="1464"/>
      <c r="BS295" s="1464"/>
      <c r="BT295" s="1464"/>
      <c r="BU295" s="1464"/>
      <c r="BV295" s="1464"/>
      <c r="BW295" s="1464"/>
      <c r="BX295" s="1464"/>
      <c r="BY295" s="1464"/>
      <c r="BZ295" s="1464"/>
      <c r="CA295" s="1464"/>
      <c r="CB295" s="1464"/>
      <c r="CC295" s="1464"/>
      <c r="CD295" s="1464"/>
      <c r="CE295" s="1464"/>
      <c r="CF295" s="1464"/>
      <c r="CG295" s="1464"/>
      <c r="CH295" s="1464"/>
      <c r="CI295" s="1464"/>
      <c r="CJ295" s="1464"/>
      <c r="CK295" s="1464"/>
      <c r="CL295" s="1464"/>
      <c r="CM295" s="1464"/>
      <c r="CN295" s="1464"/>
      <c r="CO295" s="1464"/>
      <c r="CP295" s="1464"/>
      <c r="CQ295" s="1464"/>
      <c r="CR295" s="1464"/>
      <c r="CS295" s="1464"/>
      <c r="CT295" s="1464"/>
      <c r="CU295" s="1464"/>
      <c r="CV295" s="1464"/>
      <c r="CW295" s="1464"/>
      <c r="CX295" s="1464"/>
      <c r="CY295" s="1464"/>
      <c r="CZ295" s="1464"/>
      <c r="DA295" s="1464"/>
      <c r="DB295" s="1464"/>
      <c r="DC295" s="1464"/>
      <c r="DD295" s="1464"/>
      <c r="DE295" s="1464"/>
      <c r="DF295" s="1464"/>
      <c r="DG295" s="1464"/>
      <c r="DH295" s="1464"/>
      <c r="DI295" s="1464"/>
      <c r="DJ295" s="1464"/>
      <c r="DK295" s="1464"/>
      <c r="DL295" s="1464"/>
      <c r="DM295" s="1464"/>
      <c r="DN295" s="1464"/>
      <c r="DO295" s="1464"/>
      <c r="DP295" s="1464"/>
      <c r="DQ295" s="1464"/>
      <c r="DR295" s="1464"/>
      <c r="DS295" s="1464"/>
      <c r="DT295" s="1464"/>
      <c r="DU295" s="1464"/>
      <c r="DV295" s="1464"/>
      <c r="DW295" s="1464"/>
      <c r="DX295" s="1464"/>
      <c r="DY295" s="1464"/>
      <c r="DZ295" s="1464"/>
      <c r="EA295" s="1464"/>
      <c r="EB295" s="1464"/>
      <c r="EC295" s="1464"/>
      <c r="ED295" s="1464"/>
      <c r="EE295" s="1464"/>
      <c r="EF295" s="1464"/>
      <c r="EG295" s="1464"/>
      <c r="EH295" s="1464"/>
      <c r="EI295" s="1464"/>
      <c r="EJ295" s="1464"/>
      <c r="EK295" s="1464"/>
      <c r="EL295" s="1464"/>
      <c r="EM295" s="1464"/>
      <c r="EN295" s="1464"/>
      <c r="EO295" s="1464"/>
      <c r="EP295" s="1464"/>
      <c r="EQ295" s="1464"/>
      <c r="ER295" s="1464"/>
      <c r="ES295" s="1464"/>
      <c r="ET295" s="1464"/>
      <c r="EU295" s="1464"/>
      <c r="EV295" s="1464"/>
      <c r="EW295" s="1464"/>
      <c r="EX295" s="1464"/>
      <c r="EY295" s="1464"/>
      <c r="EZ295" s="1464"/>
      <c r="FA295" s="1464"/>
      <c r="FB295" s="1464"/>
      <c r="FC295" s="1464"/>
      <c r="FD295" s="1464"/>
      <c r="FE295" s="1464"/>
      <c r="FF295" s="1464"/>
    </row>
    <row r="297" spans="6:162" s="1466" customFormat="1" ht="15.75" customHeight="1">
      <c r="F297" s="1464"/>
      <c r="G297" s="1464"/>
      <c r="H297" s="1464"/>
      <c r="I297" s="1464"/>
      <c r="J297" s="1464"/>
      <c r="K297" s="1464"/>
      <c r="L297" s="1464"/>
      <c r="M297" s="1464"/>
      <c r="N297" s="1464"/>
      <c r="O297" s="1464"/>
      <c r="P297" s="1464"/>
      <c r="Q297" s="1464"/>
      <c r="R297" s="1464"/>
      <c r="S297" s="1464"/>
      <c r="T297" s="1464"/>
      <c r="U297" s="1464"/>
      <c r="V297" s="1464"/>
      <c r="W297" s="1464"/>
      <c r="X297" s="1464"/>
      <c r="Y297" s="1464"/>
      <c r="AA297" s="1464"/>
      <c r="AC297" s="1464"/>
      <c r="AD297" s="1464"/>
      <c r="AE297" s="1464"/>
      <c r="AF297" s="1464"/>
      <c r="AG297" s="1464"/>
      <c r="AH297" s="1465"/>
      <c r="AI297" s="1465"/>
      <c r="AJ297" s="1464"/>
      <c r="AK297" s="1464"/>
      <c r="AL297" s="1464"/>
      <c r="AM297" s="1464"/>
      <c r="AN297" s="1464"/>
      <c r="AO297" s="1464"/>
      <c r="AP297" s="1464"/>
      <c r="AQ297" s="1464"/>
      <c r="AR297" s="1464"/>
      <c r="AS297" s="1464"/>
      <c r="AT297" s="1464"/>
      <c r="AU297" s="1464"/>
      <c r="AV297" s="1464"/>
      <c r="AW297" s="1464"/>
      <c r="AX297" s="1464"/>
      <c r="AY297" s="1464"/>
      <c r="AZ297" s="1464"/>
      <c r="BA297" s="1464"/>
      <c r="BB297" s="1464"/>
      <c r="BC297" s="1464"/>
      <c r="BD297" s="1464"/>
      <c r="BE297" s="1464"/>
      <c r="BF297" s="1464"/>
      <c r="BG297" s="1464"/>
      <c r="BH297" s="1464"/>
      <c r="BI297" s="1464"/>
      <c r="BJ297" s="1464"/>
      <c r="BK297" s="1464"/>
      <c r="BL297" s="1464"/>
      <c r="BM297" s="1464"/>
      <c r="BN297" s="1464"/>
      <c r="BO297" s="1464"/>
      <c r="BP297" s="1464"/>
      <c r="BQ297" s="1464"/>
      <c r="BR297" s="1464"/>
      <c r="BS297" s="1464"/>
      <c r="BT297" s="1464"/>
      <c r="BU297" s="1464"/>
      <c r="BV297" s="1464"/>
      <c r="BW297" s="1464"/>
      <c r="BX297" s="1464"/>
      <c r="BY297" s="1464"/>
      <c r="BZ297" s="1464"/>
      <c r="CA297" s="1464"/>
      <c r="CB297" s="1464"/>
      <c r="CC297" s="1464"/>
      <c r="CD297" s="1464"/>
      <c r="CE297" s="1464"/>
      <c r="CF297" s="1464"/>
      <c r="CG297" s="1464"/>
      <c r="CH297" s="1464"/>
      <c r="CI297" s="1464"/>
      <c r="CJ297" s="1464"/>
      <c r="CK297" s="1464"/>
      <c r="CL297" s="1464"/>
      <c r="CM297" s="1464"/>
      <c r="CN297" s="1464"/>
      <c r="CO297" s="1464"/>
      <c r="CP297" s="1464"/>
      <c r="CQ297" s="1464"/>
      <c r="CR297" s="1464"/>
      <c r="CS297" s="1464"/>
      <c r="CT297" s="1464"/>
      <c r="CU297" s="1464"/>
      <c r="CV297" s="1464"/>
      <c r="CW297" s="1464"/>
      <c r="CX297" s="1464"/>
      <c r="CY297" s="1464"/>
      <c r="CZ297" s="1464"/>
      <c r="DA297" s="1464"/>
      <c r="DB297" s="1464"/>
      <c r="DC297" s="1464"/>
      <c r="DD297" s="1464"/>
      <c r="DE297" s="1464"/>
      <c r="DF297" s="1464"/>
      <c r="DG297" s="1464"/>
      <c r="DH297" s="1464"/>
      <c r="DI297" s="1464"/>
      <c r="DJ297" s="1464"/>
      <c r="DK297" s="1464"/>
      <c r="DL297" s="1464"/>
      <c r="DM297" s="1464"/>
      <c r="DN297" s="1464"/>
      <c r="DO297" s="1464"/>
      <c r="DP297" s="1464"/>
      <c r="DQ297" s="1464"/>
      <c r="DR297" s="1464"/>
      <c r="DS297" s="1464"/>
      <c r="DT297" s="1464"/>
      <c r="DU297" s="1464"/>
      <c r="DV297" s="1464"/>
      <c r="DW297" s="1464"/>
      <c r="DX297" s="1464"/>
      <c r="DY297" s="1464"/>
      <c r="DZ297" s="1464"/>
      <c r="EA297" s="1464"/>
      <c r="EB297" s="1464"/>
      <c r="EC297" s="1464"/>
      <c r="ED297" s="1464"/>
      <c r="EE297" s="1464"/>
      <c r="EF297" s="1464"/>
      <c r="EG297" s="1464"/>
      <c r="EH297" s="1464"/>
      <c r="EI297" s="1464"/>
      <c r="EJ297" s="1464"/>
      <c r="EK297" s="1464"/>
      <c r="EL297" s="1464"/>
      <c r="EM297" s="1464"/>
      <c r="EN297" s="1464"/>
      <c r="EO297" s="1464"/>
      <c r="EP297" s="1464"/>
      <c r="EQ297" s="1464"/>
      <c r="ER297" s="1464"/>
      <c r="ES297" s="1464"/>
      <c r="ET297" s="1464"/>
      <c r="EU297" s="1464"/>
      <c r="EV297" s="1464"/>
      <c r="EW297" s="1464"/>
      <c r="EX297" s="1464"/>
      <c r="EY297" s="1464"/>
      <c r="EZ297" s="1464"/>
      <c r="FA297" s="1464"/>
      <c r="FB297" s="1464"/>
      <c r="FC297" s="1464"/>
      <c r="FD297" s="1464"/>
      <c r="FE297" s="1464"/>
      <c r="FF297" s="1464"/>
    </row>
    <row r="299" spans="6:162" s="1466" customFormat="1" ht="15.75" customHeight="1">
      <c r="F299" s="1464"/>
      <c r="G299" s="1464"/>
      <c r="H299" s="1464"/>
      <c r="I299" s="1464"/>
      <c r="J299" s="1464"/>
      <c r="K299" s="1464"/>
      <c r="L299" s="1464"/>
      <c r="M299" s="1464"/>
      <c r="N299" s="1464"/>
      <c r="O299" s="1464"/>
      <c r="P299" s="1464"/>
      <c r="Q299" s="1464"/>
      <c r="R299" s="1464"/>
      <c r="S299" s="1464"/>
      <c r="T299" s="1464"/>
      <c r="U299" s="1464"/>
      <c r="V299" s="1464"/>
      <c r="W299" s="1464"/>
      <c r="X299" s="1464"/>
      <c r="Y299" s="1464"/>
      <c r="AA299" s="1464"/>
      <c r="AC299" s="1464"/>
      <c r="AD299" s="1464"/>
      <c r="AE299" s="1464"/>
      <c r="AF299" s="1464"/>
      <c r="AG299" s="1464"/>
      <c r="AH299" s="1465"/>
      <c r="AI299" s="1465"/>
      <c r="AJ299" s="1464"/>
      <c r="AK299" s="1464"/>
      <c r="AL299" s="1464"/>
      <c r="AM299" s="1464"/>
      <c r="AN299" s="1464"/>
      <c r="AO299" s="1464"/>
      <c r="AP299" s="1464"/>
      <c r="AQ299" s="1464"/>
      <c r="AR299" s="1464"/>
      <c r="AS299" s="1464"/>
      <c r="AT299" s="1464"/>
      <c r="AU299" s="1464"/>
      <c r="AV299" s="1464"/>
      <c r="AW299" s="1464"/>
      <c r="AX299" s="1464"/>
      <c r="AY299" s="1464"/>
      <c r="AZ299" s="1464"/>
      <c r="BA299" s="1464"/>
      <c r="BB299" s="1464"/>
      <c r="BC299" s="1464"/>
      <c r="BD299" s="1464"/>
      <c r="BE299" s="1464"/>
      <c r="BF299" s="1464"/>
      <c r="BG299" s="1464"/>
      <c r="BH299" s="1464"/>
      <c r="BI299" s="1464"/>
      <c r="BJ299" s="1464"/>
      <c r="BK299" s="1464"/>
      <c r="BL299" s="1464"/>
      <c r="BM299" s="1464"/>
      <c r="BN299" s="1464"/>
      <c r="BO299" s="1464"/>
      <c r="BP299" s="1464"/>
      <c r="BQ299" s="1464"/>
      <c r="BR299" s="1464"/>
      <c r="BS299" s="1464"/>
      <c r="BT299" s="1464"/>
      <c r="BU299" s="1464"/>
      <c r="BV299" s="1464"/>
      <c r="BW299" s="1464"/>
      <c r="BX299" s="1464"/>
      <c r="BY299" s="1464"/>
      <c r="BZ299" s="1464"/>
      <c r="CA299" s="1464"/>
      <c r="CB299" s="1464"/>
      <c r="CC299" s="1464"/>
      <c r="CD299" s="1464"/>
      <c r="CE299" s="1464"/>
      <c r="CF299" s="1464"/>
      <c r="CG299" s="1464"/>
      <c r="CH299" s="1464"/>
      <c r="CI299" s="1464"/>
      <c r="CJ299" s="1464"/>
      <c r="CK299" s="1464"/>
      <c r="CL299" s="1464"/>
      <c r="CM299" s="1464"/>
      <c r="CN299" s="1464"/>
      <c r="CO299" s="1464"/>
      <c r="CP299" s="1464"/>
      <c r="CQ299" s="1464"/>
      <c r="CR299" s="1464"/>
      <c r="CS299" s="1464"/>
      <c r="CT299" s="1464"/>
      <c r="CU299" s="1464"/>
      <c r="CV299" s="1464"/>
      <c r="CW299" s="1464"/>
      <c r="CX299" s="1464"/>
      <c r="CY299" s="1464"/>
      <c r="CZ299" s="1464"/>
      <c r="DA299" s="1464"/>
      <c r="DB299" s="1464"/>
      <c r="DC299" s="1464"/>
      <c r="DD299" s="1464"/>
      <c r="DE299" s="1464"/>
      <c r="DF299" s="1464"/>
      <c r="DG299" s="1464"/>
      <c r="DH299" s="1464"/>
      <c r="DI299" s="1464"/>
      <c r="DJ299" s="1464"/>
      <c r="DK299" s="1464"/>
      <c r="DL299" s="1464"/>
      <c r="DM299" s="1464"/>
      <c r="DN299" s="1464"/>
      <c r="DO299" s="1464"/>
      <c r="DP299" s="1464"/>
      <c r="DQ299" s="1464"/>
      <c r="DR299" s="1464"/>
      <c r="DS299" s="1464"/>
      <c r="DT299" s="1464"/>
      <c r="DU299" s="1464"/>
      <c r="DV299" s="1464"/>
      <c r="DW299" s="1464"/>
      <c r="DX299" s="1464"/>
      <c r="DY299" s="1464"/>
      <c r="DZ299" s="1464"/>
      <c r="EA299" s="1464"/>
      <c r="EB299" s="1464"/>
      <c r="EC299" s="1464"/>
      <c r="ED299" s="1464"/>
      <c r="EE299" s="1464"/>
      <c r="EF299" s="1464"/>
      <c r="EG299" s="1464"/>
      <c r="EH299" s="1464"/>
      <c r="EI299" s="1464"/>
      <c r="EJ299" s="1464"/>
      <c r="EK299" s="1464"/>
      <c r="EL299" s="1464"/>
      <c r="EM299" s="1464"/>
      <c r="EN299" s="1464"/>
      <c r="EO299" s="1464"/>
      <c r="EP299" s="1464"/>
      <c r="EQ299" s="1464"/>
      <c r="ER299" s="1464"/>
      <c r="ES299" s="1464"/>
      <c r="ET299" s="1464"/>
      <c r="EU299" s="1464"/>
      <c r="EV299" s="1464"/>
      <c r="EW299" s="1464"/>
      <c r="EX299" s="1464"/>
      <c r="EY299" s="1464"/>
      <c r="EZ299" s="1464"/>
      <c r="FA299" s="1464"/>
      <c r="FB299" s="1464"/>
      <c r="FC299" s="1464"/>
      <c r="FD299" s="1464"/>
      <c r="FE299" s="1464"/>
      <c r="FF299" s="1464"/>
    </row>
    <row r="301" spans="6:162" s="1466" customFormat="1" ht="15.75" customHeight="1">
      <c r="F301" s="1464"/>
      <c r="G301" s="1464"/>
      <c r="H301" s="1464"/>
      <c r="I301" s="1464"/>
      <c r="J301" s="1464"/>
      <c r="K301" s="1464"/>
      <c r="L301" s="1464"/>
      <c r="M301" s="1464"/>
      <c r="N301" s="1464"/>
      <c r="O301" s="1464"/>
      <c r="P301" s="1464"/>
      <c r="Q301" s="1464"/>
      <c r="R301" s="1464"/>
      <c r="S301" s="1464"/>
      <c r="T301" s="1464"/>
      <c r="U301" s="1464"/>
      <c r="V301" s="1464"/>
      <c r="W301" s="1464"/>
      <c r="X301" s="1464"/>
      <c r="Y301" s="1464"/>
      <c r="AA301" s="1464"/>
      <c r="AC301" s="1464"/>
      <c r="AD301" s="1464"/>
      <c r="AE301" s="1464"/>
      <c r="AF301" s="1464"/>
      <c r="AG301" s="1464"/>
      <c r="AH301" s="1465"/>
      <c r="AI301" s="1465"/>
      <c r="AJ301" s="1464"/>
      <c r="AK301" s="1464"/>
      <c r="AL301" s="1464"/>
      <c r="AM301" s="1464"/>
      <c r="AN301" s="1464"/>
      <c r="AO301" s="1464"/>
      <c r="AP301" s="1464"/>
      <c r="AQ301" s="1464"/>
      <c r="AR301" s="1464"/>
      <c r="AS301" s="1464"/>
      <c r="AT301" s="1464"/>
      <c r="AU301" s="1464"/>
      <c r="AV301" s="1464"/>
      <c r="AW301" s="1464"/>
      <c r="AX301" s="1464"/>
      <c r="AY301" s="1464"/>
      <c r="AZ301" s="1464"/>
      <c r="BA301" s="1464"/>
      <c r="BB301" s="1464"/>
      <c r="BC301" s="1464"/>
      <c r="BD301" s="1464"/>
      <c r="BE301" s="1464"/>
      <c r="BF301" s="1464"/>
      <c r="BG301" s="1464"/>
      <c r="BH301" s="1464"/>
      <c r="BI301" s="1464"/>
      <c r="BJ301" s="1464"/>
      <c r="BK301" s="1464"/>
      <c r="BL301" s="1464"/>
      <c r="BM301" s="1464"/>
      <c r="BN301" s="1464"/>
      <c r="BO301" s="1464"/>
      <c r="BP301" s="1464"/>
      <c r="BQ301" s="1464"/>
      <c r="BR301" s="1464"/>
      <c r="BS301" s="1464"/>
      <c r="BT301" s="1464"/>
      <c r="BU301" s="1464"/>
      <c r="BV301" s="1464"/>
      <c r="BW301" s="1464"/>
      <c r="BX301" s="1464"/>
      <c r="BY301" s="1464"/>
      <c r="BZ301" s="1464"/>
      <c r="CA301" s="1464"/>
      <c r="CB301" s="1464"/>
      <c r="CC301" s="1464"/>
      <c r="CD301" s="1464"/>
      <c r="CE301" s="1464"/>
      <c r="CF301" s="1464"/>
      <c r="CG301" s="1464"/>
      <c r="CH301" s="1464"/>
      <c r="CI301" s="1464"/>
      <c r="CJ301" s="1464"/>
      <c r="CK301" s="1464"/>
      <c r="CL301" s="1464"/>
      <c r="CM301" s="1464"/>
      <c r="CN301" s="1464"/>
      <c r="CO301" s="1464"/>
      <c r="CP301" s="1464"/>
      <c r="CQ301" s="1464"/>
      <c r="CR301" s="1464"/>
      <c r="CS301" s="1464"/>
      <c r="CT301" s="1464"/>
      <c r="CU301" s="1464"/>
      <c r="CV301" s="1464"/>
      <c r="CW301" s="1464"/>
      <c r="CX301" s="1464"/>
      <c r="CY301" s="1464"/>
      <c r="CZ301" s="1464"/>
      <c r="DA301" s="1464"/>
      <c r="DB301" s="1464"/>
      <c r="DC301" s="1464"/>
      <c r="DD301" s="1464"/>
      <c r="DE301" s="1464"/>
      <c r="DF301" s="1464"/>
      <c r="DG301" s="1464"/>
      <c r="DH301" s="1464"/>
      <c r="DI301" s="1464"/>
      <c r="DJ301" s="1464"/>
      <c r="DK301" s="1464"/>
      <c r="DL301" s="1464"/>
      <c r="DM301" s="1464"/>
      <c r="DN301" s="1464"/>
      <c r="DO301" s="1464"/>
      <c r="DP301" s="1464"/>
      <c r="DQ301" s="1464"/>
      <c r="DR301" s="1464"/>
      <c r="DS301" s="1464"/>
      <c r="DT301" s="1464"/>
      <c r="DU301" s="1464"/>
      <c r="DV301" s="1464"/>
      <c r="DW301" s="1464"/>
      <c r="DX301" s="1464"/>
      <c r="DY301" s="1464"/>
      <c r="DZ301" s="1464"/>
      <c r="EA301" s="1464"/>
      <c r="EB301" s="1464"/>
      <c r="EC301" s="1464"/>
      <c r="ED301" s="1464"/>
      <c r="EE301" s="1464"/>
      <c r="EF301" s="1464"/>
      <c r="EG301" s="1464"/>
      <c r="EH301" s="1464"/>
      <c r="EI301" s="1464"/>
      <c r="EJ301" s="1464"/>
      <c r="EK301" s="1464"/>
      <c r="EL301" s="1464"/>
      <c r="EM301" s="1464"/>
      <c r="EN301" s="1464"/>
      <c r="EO301" s="1464"/>
      <c r="EP301" s="1464"/>
      <c r="EQ301" s="1464"/>
      <c r="ER301" s="1464"/>
      <c r="ES301" s="1464"/>
      <c r="ET301" s="1464"/>
      <c r="EU301" s="1464"/>
      <c r="EV301" s="1464"/>
      <c r="EW301" s="1464"/>
      <c r="EX301" s="1464"/>
      <c r="EY301" s="1464"/>
      <c r="EZ301" s="1464"/>
      <c r="FA301" s="1464"/>
      <c r="FB301" s="1464"/>
      <c r="FC301" s="1464"/>
      <c r="FD301" s="1464"/>
      <c r="FE301" s="1464"/>
      <c r="FF301" s="1464"/>
    </row>
    <row r="303" spans="6:162" s="1466" customFormat="1" ht="15.75" customHeight="1">
      <c r="F303" s="1464"/>
      <c r="G303" s="1464"/>
      <c r="H303" s="1464"/>
      <c r="I303" s="1464"/>
      <c r="J303" s="1464"/>
      <c r="K303" s="1464"/>
      <c r="L303" s="1464"/>
      <c r="M303" s="1464"/>
      <c r="N303" s="1464"/>
      <c r="O303" s="1464"/>
      <c r="P303" s="1464"/>
      <c r="Q303" s="1464"/>
      <c r="R303" s="1464"/>
      <c r="S303" s="1464"/>
      <c r="T303" s="1464"/>
      <c r="U303" s="1464"/>
      <c r="V303" s="1464"/>
      <c r="W303" s="1464"/>
      <c r="X303" s="1464"/>
      <c r="Y303" s="1464"/>
      <c r="AA303" s="1464"/>
      <c r="AC303" s="1464"/>
      <c r="AD303" s="1464"/>
      <c r="AE303" s="1464"/>
      <c r="AF303" s="1464"/>
      <c r="AG303" s="1464"/>
      <c r="AH303" s="1465"/>
      <c r="AI303" s="1465"/>
      <c r="AJ303" s="1464"/>
      <c r="AK303" s="1464"/>
      <c r="AL303" s="1464"/>
      <c r="AM303" s="1464"/>
      <c r="AN303" s="1464"/>
      <c r="AO303" s="1464"/>
      <c r="AP303" s="1464"/>
      <c r="AQ303" s="1464"/>
      <c r="AR303" s="1464"/>
      <c r="AS303" s="1464"/>
      <c r="AT303" s="1464"/>
      <c r="AU303" s="1464"/>
      <c r="AV303" s="1464"/>
      <c r="AW303" s="1464"/>
      <c r="AX303" s="1464"/>
      <c r="AY303" s="1464"/>
      <c r="AZ303" s="1464"/>
      <c r="BA303" s="1464"/>
      <c r="BB303" s="1464"/>
      <c r="BC303" s="1464"/>
      <c r="BD303" s="1464"/>
      <c r="BE303" s="1464"/>
      <c r="BF303" s="1464"/>
      <c r="BG303" s="1464"/>
      <c r="BH303" s="1464"/>
      <c r="BI303" s="1464"/>
      <c r="BJ303" s="1464"/>
      <c r="BK303" s="1464"/>
      <c r="BL303" s="1464"/>
      <c r="BM303" s="1464"/>
      <c r="BN303" s="1464"/>
      <c r="BO303" s="1464"/>
      <c r="BP303" s="1464"/>
      <c r="BQ303" s="1464"/>
      <c r="BR303" s="1464"/>
      <c r="BS303" s="1464"/>
      <c r="BT303" s="1464"/>
      <c r="BU303" s="1464"/>
      <c r="BV303" s="1464"/>
      <c r="BW303" s="1464"/>
      <c r="BX303" s="1464"/>
      <c r="BY303" s="1464"/>
      <c r="BZ303" s="1464"/>
      <c r="CA303" s="1464"/>
      <c r="CB303" s="1464"/>
      <c r="CC303" s="1464"/>
      <c r="CD303" s="1464"/>
      <c r="CE303" s="1464"/>
      <c r="CF303" s="1464"/>
      <c r="CG303" s="1464"/>
      <c r="CH303" s="1464"/>
      <c r="CI303" s="1464"/>
      <c r="CJ303" s="1464"/>
      <c r="CK303" s="1464"/>
      <c r="CL303" s="1464"/>
      <c r="CM303" s="1464"/>
      <c r="CN303" s="1464"/>
      <c r="CO303" s="1464"/>
      <c r="CP303" s="1464"/>
      <c r="CQ303" s="1464"/>
      <c r="CR303" s="1464"/>
      <c r="CS303" s="1464"/>
      <c r="CT303" s="1464"/>
      <c r="CU303" s="1464"/>
      <c r="CV303" s="1464"/>
      <c r="CW303" s="1464"/>
      <c r="CX303" s="1464"/>
      <c r="CY303" s="1464"/>
      <c r="CZ303" s="1464"/>
      <c r="DA303" s="1464"/>
      <c r="DB303" s="1464"/>
      <c r="DC303" s="1464"/>
      <c r="DD303" s="1464"/>
      <c r="DE303" s="1464"/>
      <c r="DF303" s="1464"/>
      <c r="DG303" s="1464"/>
      <c r="DH303" s="1464"/>
      <c r="DI303" s="1464"/>
      <c r="DJ303" s="1464"/>
      <c r="DK303" s="1464"/>
      <c r="DL303" s="1464"/>
      <c r="DM303" s="1464"/>
      <c r="DN303" s="1464"/>
      <c r="DO303" s="1464"/>
      <c r="DP303" s="1464"/>
      <c r="DQ303" s="1464"/>
      <c r="DR303" s="1464"/>
      <c r="DS303" s="1464"/>
      <c r="DT303" s="1464"/>
      <c r="DU303" s="1464"/>
      <c r="DV303" s="1464"/>
      <c r="DW303" s="1464"/>
      <c r="DX303" s="1464"/>
      <c r="DY303" s="1464"/>
      <c r="DZ303" s="1464"/>
      <c r="EA303" s="1464"/>
      <c r="EB303" s="1464"/>
      <c r="EC303" s="1464"/>
      <c r="ED303" s="1464"/>
      <c r="EE303" s="1464"/>
      <c r="EF303" s="1464"/>
      <c r="EG303" s="1464"/>
      <c r="EH303" s="1464"/>
      <c r="EI303" s="1464"/>
      <c r="EJ303" s="1464"/>
      <c r="EK303" s="1464"/>
      <c r="EL303" s="1464"/>
      <c r="EM303" s="1464"/>
      <c r="EN303" s="1464"/>
      <c r="EO303" s="1464"/>
      <c r="EP303" s="1464"/>
      <c r="EQ303" s="1464"/>
      <c r="ER303" s="1464"/>
      <c r="ES303" s="1464"/>
      <c r="ET303" s="1464"/>
      <c r="EU303" s="1464"/>
      <c r="EV303" s="1464"/>
      <c r="EW303" s="1464"/>
      <c r="EX303" s="1464"/>
      <c r="EY303" s="1464"/>
      <c r="EZ303" s="1464"/>
      <c r="FA303" s="1464"/>
      <c r="FB303" s="1464"/>
      <c r="FC303" s="1464"/>
      <c r="FD303" s="1464"/>
      <c r="FE303" s="1464"/>
      <c r="FF303" s="1464"/>
    </row>
    <row r="305" spans="6:162" s="1466" customFormat="1" ht="15.75" customHeight="1">
      <c r="F305" s="1464"/>
      <c r="G305" s="1464"/>
      <c r="H305" s="1464"/>
      <c r="I305" s="1464"/>
      <c r="J305" s="1464"/>
      <c r="K305" s="1464"/>
      <c r="L305" s="1464"/>
      <c r="M305" s="1464"/>
      <c r="N305" s="1464"/>
      <c r="O305" s="1464"/>
      <c r="P305" s="1464"/>
      <c r="Q305" s="1464"/>
      <c r="R305" s="1464"/>
      <c r="S305" s="1464"/>
      <c r="T305" s="1464"/>
      <c r="U305" s="1464"/>
      <c r="V305" s="1464"/>
      <c r="W305" s="1464"/>
      <c r="X305" s="1464"/>
      <c r="Y305" s="1464"/>
      <c r="AA305" s="1464"/>
      <c r="AC305" s="1464"/>
      <c r="AD305" s="1464"/>
      <c r="AE305" s="1464"/>
      <c r="AF305" s="1464"/>
      <c r="AG305" s="1464"/>
      <c r="AH305" s="1465"/>
      <c r="AI305" s="1465"/>
      <c r="AJ305" s="1464"/>
      <c r="AK305" s="1464"/>
      <c r="AL305" s="1464"/>
      <c r="AM305" s="1464"/>
      <c r="AN305" s="1464"/>
      <c r="AO305" s="1464"/>
      <c r="AP305" s="1464"/>
      <c r="AQ305" s="1464"/>
      <c r="AR305" s="1464"/>
      <c r="AS305" s="1464"/>
      <c r="AT305" s="1464"/>
      <c r="AU305" s="1464"/>
      <c r="AV305" s="1464"/>
      <c r="AW305" s="1464"/>
      <c r="AX305" s="1464"/>
      <c r="AY305" s="1464"/>
      <c r="AZ305" s="1464"/>
      <c r="BA305" s="1464"/>
      <c r="BB305" s="1464"/>
      <c r="BC305" s="1464"/>
      <c r="BD305" s="1464"/>
      <c r="BE305" s="1464"/>
      <c r="BF305" s="1464"/>
      <c r="BG305" s="1464"/>
      <c r="BH305" s="1464"/>
      <c r="BI305" s="1464"/>
      <c r="BJ305" s="1464"/>
      <c r="BK305" s="1464"/>
      <c r="BL305" s="1464"/>
      <c r="BM305" s="1464"/>
      <c r="BN305" s="1464"/>
      <c r="BO305" s="1464"/>
      <c r="BP305" s="1464"/>
      <c r="BQ305" s="1464"/>
      <c r="BR305" s="1464"/>
      <c r="BS305" s="1464"/>
      <c r="BT305" s="1464"/>
      <c r="BU305" s="1464"/>
      <c r="BV305" s="1464"/>
      <c r="BW305" s="1464"/>
      <c r="BX305" s="1464"/>
      <c r="BY305" s="1464"/>
      <c r="BZ305" s="1464"/>
      <c r="CA305" s="1464"/>
      <c r="CB305" s="1464"/>
      <c r="CC305" s="1464"/>
      <c r="CD305" s="1464"/>
      <c r="CE305" s="1464"/>
      <c r="CF305" s="1464"/>
      <c r="CG305" s="1464"/>
      <c r="CH305" s="1464"/>
      <c r="CI305" s="1464"/>
      <c r="CJ305" s="1464"/>
      <c r="CK305" s="1464"/>
      <c r="CL305" s="1464"/>
      <c r="CM305" s="1464"/>
      <c r="CN305" s="1464"/>
      <c r="CO305" s="1464"/>
      <c r="CP305" s="1464"/>
      <c r="CQ305" s="1464"/>
      <c r="CR305" s="1464"/>
      <c r="CS305" s="1464"/>
      <c r="CT305" s="1464"/>
      <c r="CU305" s="1464"/>
      <c r="CV305" s="1464"/>
      <c r="CW305" s="1464"/>
      <c r="CX305" s="1464"/>
      <c r="CY305" s="1464"/>
      <c r="CZ305" s="1464"/>
      <c r="DA305" s="1464"/>
      <c r="DB305" s="1464"/>
      <c r="DC305" s="1464"/>
      <c r="DD305" s="1464"/>
      <c r="DE305" s="1464"/>
      <c r="DF305" s="1464"/>
      <c r="DG305" s="1464"/>
      <c r="DH305" s="1464"/>
      <c r="DI305" s="1464"/>
      <c r="DJ305" s="1464"/>
      <c r="DK305" s="1464"/>
      <c r="DL305" s="1464"/>
      <c r="DM305" s="1464"/>
      <c r="DN305" s="1464"/>
      <c r="DO305" s="1464"/>
      <c r="DP305" s="1464"/>
      <c r="DQ305" s="1464"/>
      <c r="DR305" s="1464"/>
      <c r="DS305" s="1464"/>
      <c r="DT305" s="1464"/>
      <c r="DU305" s="1464"/>
      <c r="DV305" s="1464"/>
      <c r="DW305" s="1464"/>
      <c r="DX305" s="1464"/>
      <c r="DY305" s="1464"/>
      <c r="DZ305" s="1464"/>
      <c r="EA305" s="1464"/>
      <c r="EB305" s="1464"/>
      <c r="EC305" s="1464"/>
      <c r="ED305" s="1464"/>
      <c r="EE305" s="1464"/>
      <c r="EF305" s="1464"/>
      <c r="EG305" s="1464"/>
      <c r="EH305" s="1464"/>
      <c r="EI305" s="1464"/>
      <c r="EJ305" s="1464"/>
      <c r="EK305" s="1464"/>
      <c r="EL305" s="1464"/>
      <c r="EM305" s="1464"/>
      <c r="EN305" s="1464"/>
      <c r="EO305" s="1464"/>
      <c r="EP305" s="1464"/>
      <c r="EQ305" s="1464"/>
      <c r="ER305" s="1464"/>
      <c r="ES305" s="1464"/>
      <c r="ET305" s="1464"/>
      <c r="EU305" s="1464"/>
      <c r="EV305" s="1464"/>
      <c r="EW305" s="1464"/>
      <c r="EX305" s="1464"/>
      <c r="EY305" s="1464"/>
      <c r="EZ305" s="1464"/>
      <c r="FA305" s="1464"/>
      <c r="FB305" s="1464"/>
      <c r="FC305" s="1464"/>
      <c r="FD305" s="1464"/>
      <c r="FE305" s="1464"/>
      <c r="FF305" s="1464"/>
    </row>
    <row r="307" spans="6:162" s="1466" customFormat="1" ht="15.75" customHeight="1">
      <c r="F307" s="1464"/>
      <c r="G307" s="1464"/>
      <c r="H307" s="1464"/>
      <c r="I307" s="1464"/>
      <c r="J307" s="1464"/>
      <c r="K307" s="1464"/>
      <c r="L307" s="1464"/>
      <c r="M307" s="1464"/>
      <c r="N307" s="1464"/>
      <c r="O307" s="1464"/>
      <c r="P307" s="1464"/>
      <c r="Q307" s="1464"/>
      <c r="R307" s="1464"/>
      <c r="S307" s="1464"/>
      <c r="T307" s="1464"/>
      <c r="U307" s="1464"/>
      <c r="V307" s="1464"/>
      <c r="W307" s="1464"/>
      <c r="X307" s="1464"/>
      <c r="Y307" s="1464"/>
      <c r="AA307" s="1464"/>
      <c r="AC307" s="1464"/>
      <c r="AD307" s="1464"/>
      <c r="AE307" s="1464"/>
      <c r="AF307" s="1464"/>
      <c r="AG307" s="1464"/>
      <c r="AH307" s="1465"/>
      <c r="AI307" s="1465"/>
      <c r="AJ307" s="1464"/>
      <c r="AK307" s="1464"/>
      <c r="AL307" s="1464"/>
      <c r="AM307" s="1464"/>
      <c r="AN307" s="1464"/>
      <c r="AO307" s="1464"/>
      <c r="AP307" s="1464"/>
      <c r="AQ307" s="1464"/>
      <c r="AR307" s="1464"/>
      <c r="AS307" s="1464"/>
      <c r="AT307" s="1464"/>
      <c r="AU307" s="1464"/>
      <c r="AV307" s="1464"/>
      <c r="AW307" s="1464"/>
      <c r="AX307" s="1464"/>
      <c r="AY307" s="1464"/>
      <c r="AZ307" s="1464"/>
      <c r="BA307" s="1464"/>
      <c r="BB307" s="1464"/>
      <c r="BC307" s="1464"/>
      <c r="BD307" s="1464"/>
      <c r="BE307" s="1464"/>
      <c r="BF307" s="1464"/>
      <c r="BG307" s="1464"/>
      <c r="BH307" s="1464"/>
      <c r="BI307" s="1464"/>
      <c r="BJ307" s="1464"/>
      <c r="BK307" s="1464"/>
      <c r="BL307" s="1464"/>
      <c r="BM307" s="1464"/>
      <c r="BN307" s="1464"/>
      <c r="BO307" s="1464"/>
      <c r="BP307" s="1464"/>
      <c r="BQ307" s="1464"/>
      <c r="BR307" s="1464"/>
      <c r="BS307" s="1464"/>
      <c r="BT307" s="1464"/>
      <c r="BU307" s="1464"/>
      <c r="BV307" s="1464"/>
      <c r="BW307" s="1464"/>
      <c r="BX307" s="1464"/>
      <c r="BY307" s="1464"/>
      <c r="BZ307" s="1464"/>
      <c r="CA307" s="1464"/>
      <c r="CB307" s="1464"/>
      <c r="CC307" s="1464"/>
      <c r="CD307" s="1464"/>
      <c r="CE307" s="1464"/>
      <c r="CF307" s="1464"/>
      <c r="CG307" s="1464"/>
      <c r="CH307" s="1464"/>
      <c r="CI307" s="1464"/>
      <c r="CJ307" s="1464"/>
      <c r="CK307" s="1464"/>
      <c r="CL307" s="1464"/>
      <c r="CM307" s="1464"/>
      <c r="CN307" s="1464"/>
      <c r="CO307" s="1464"/>
      <c r="CP307" s="1464"/>
      <c r="CQ307" s="1464"/>
      <c r="CR307" s="1464"/>
      <c r="CS307" s="1464"/>
      <c r="CT307" s="1464"/>
      <c r="CU307" s="1464"/>
      <c r="CV307" s="1464"/>
      <c r="CW307" s="1464"/>
      <c r="CX307" s="1464"/>
      <c r="CY307" s="1464"/>
      <c r="CZ307" s="1464"/>
      <c r="DA307" s="1464"/>
      <c r="DB307" s="1464"/>
      <c r="DC307" s="1464"/>
      <c r="DD307" s="1464"/>
      <c r="DE307" s="1464"/>
      <c r="DF307" s="1464"/>
      <c r="DG307" s="1464"/>
      <c r="DH307" s="1464"/>
      <c r="DI307" s="1464"/>
      <c r="DJ307" s="1464"/>
      <c r="DK307" s="1464"/>
      <c r="DL307" s="1464"/>
      <c r="DM307" s="1464"/>
      <c r="DN307" s="1464"/>
      <c r="DO307" s="1464"/>
      <c r="DP307" s="1464"/>
      <c r="DQ307" s="1464"/>
      <c r="DR307" s="1464"/>
      <c r="DS307" s="1464"/>
      <c r="DT307" s="1464"/>
      <c r="DU307" s="1464"/>
      <c r="DV307" s="1464"/>
      <c r="DW307" s="1464"/>
      <c r="DX307" s="1464"/>
      <c r="DY307" s="1464"/>
      <c r="DZ307" s="1464"/>
      <c r="EA307" s="1464"/>
      <c r="EB307" s="1464"/>
      <c r="EC307" s="1464"/>
      <c r="ED307" s="1464"/>
      <c r="EE307" s="1464"/>
      <c r="EF307" s="1464"/>
      <c r="EG307" s="1464"/>
      <c r="EH307" s="1464"/>
      <c r="EI307" s="1464"/>
      <c r="EJ307" s="1464"/>
      <c r="EK307" s="1464"/>
      <c r="EL307" s="1464"/>
      <c r="EM307" s="1464"/>
      <c r="EN307" s="1464"/>
      <c r="EO307" s="1464"/>
      <c r="EP307" s="1464"/>
      <c r="EQ307" s="1464"/>
      <c r="ER307" s="1464"/>
      <c r="ES307" s="1464"/>
      <c r="ET307" s="1464"/>
      <c r="EU307" s="1464"/>
      <c r="EV307" s="1464"/>
      <c r="EW307" s="1464"/>
      <c r="EX307" s="1464"/>
      <c r="EY307" s="1464"/>
      <c r="EZ307" s="1464"/>
      <c r="FA307" s="1464"/>
      <c r="FB307" s="1464"/>
      <c r="FC307" s="1464"/>
      <c r="FD307" s="1464"/>
      <c r="FE307" s="1464"/>
      <c r="FF307" s="1464"/>
    </row>
    <row r="309" spans="6:162" s="1466" customFormat="1" ht="15.75" customHeight="1">
      <c r="F309" s="1464"/>
      <c r="G309" s="1464"/>
      <c r="H309" s="1464"/>
      <c r="I309" s="1464"/>
      <c r="J309" s="1464"/>
      <c r="K309" s="1464"/>
      <c r="L309" s="1464"/>
      <c r="M309" s="1464"/>
      <c r="N309" s="1464"/>
      <c r="O309" s="1464"/>
      <c r="P309" s="1464"/>
      <c r="Q309" s="1464"/>
      <c r="R309" s="1464"/>
      <c r="S309" s="1464"/>
      <c r="T309" s="1464"/>
      <c r="U309" s="1464"/>
      <c r="V309" s="1464"/>
      <c r="W309" s="1464"/>
      <c r="X309" s="1464"/>
      <c r="Y309" s="1464"/>
      <c r="AA309" s="1464"/>
      <c r="AC309" s="1464"/>
      <c r="AD309" s="1464"/>
      <c r="AE309" s="1464"/>
      <c r="AF309" s="1464"/>
      <c r="AG309" s="1464"/>
      <c r="AH309" s="1465"/>
      <c r="AI309" s="1465"/>
      <c r="AJ309" s="1464"/>
      <c r="AK309" s="1464"/>
      <c r="AL309" s="1464"/>
      <c r="AM309" s="1464"/>
      <c r="AN309" s="1464"/>
      <c r="AO309" s="1464"/>
      <c r="AP309" s="1464"/>
      <c r="AQ309" s="1464"/>
      <c r="AR309" s="1464"/>
      <c r="AS309" s="1464"/>
      <c r="AT309" s="1464"/>
      <c r="AU309" s="1464"/>
      <c r="AV309" s="1464"/>
      <c r="AW309" s="1464"/>
      <c r="AX309" s="1464"/>
      <c r="AY309" s="1464"/>
      <c r="AZ309" s="1464"/>
      <c r="BA309" s="1464"/>
      <c r="BB309" s="1464"/>
      <c r="BC309" s="1464"/>
      <c r="BD309" s="1464"/>
      <c r="BE309" s="1464"/>
      <c r="BF309" s="1464"/>
      <c r="BG309" s="1464"/>
      <c r="BH309" s="1464"/>
      <c r="BI309" s="1464"/>
      <c r="BJ309" s="1464"/>
      <c r="BK309" s="1464"/>
      <c r="BL309" s="1464"/>
      <c r="BM309" s="1464"/>
      <c r="BN309" s="1464"/>
      <c r="BO309" s="1464"/>
      <c r="BP309" s="1464"/>
      <c r="BQ309" s="1464"/>
      <c r="BR309" s="1464"/>
      <c r="BS309" s="1464"/>
      <c r="BT309" s="1464"/>
      <c r="BU309" s="1464"/>
      <c r="BV309" s="1464"/>
      <c r="BW309" s="1464"/>
      <c r="BX309" s="1464"/>
      <c r="BY309" s="1464"/>
      <c r="BZ309" s="1464"/>
      <c r="CA309" s="1464"/>
      <c r="CB309" s="1464"/>
      <c r="CC309" s="1464"/>
      <c r="CD309" s="1464"/>
      <c r="CE309" s="1464"/>
      <c r="CF309" s="1464"/>
      <c r="CG309" s="1464"/>
      <c r="CH309" s="1464"/>
      <c r="CI309" s="1464"/>
      <c r="CJ309" s="1464"/>
      <c r="CK309" s="1464"/>
      <c r="CL309" s="1464"/>
      <c r="CM309" s="1464"/>
      <c r="CN309" s="1464"/>
      <c r="CO309" s="1464"/>
      <c r="CP309" s="1464"/>
      <c r="CQ309" s="1464"/>
      <c r="CR309" s="1464"/>
      <c r="CS309" s="1464"/>
      <c r="CT309" s="1464"/>
      <c r="CU309" s="1464"/>
      <c r="CV309" s="1464"/>
      <c r="CW309" s="1464"/>
      <c r="CX309" s="1464"/>
      <c r="CY309" s="1464"/>
      <c r="CZ309" s="1464"/>
      <c r="DA309" s="1464"/>
      <c r="DB309" s="1464"/>
      <c r="DC309" s="1464"/>
      <c r="DD309" s="1464"/>
      <c r="DE309" s="1464"/>
      <c r="DF309" s="1464"/>
      <c r="DG309" s="1464"/>
      <c r="DH309" s="1464"/>
      <c r="DI309" s="1464"/>
      <c r="DJ309" s="1464"/>
      <c r="DK309" s="1464"/>
      <c r="DL309" s="1464"/>
      <c r="DM309" s="1464"/>
      <c r="DN309" s="1464"/>
      <c r="DO309" s="1464"/>
      <c r="DP309" s="1464"/>
      <c r="DQ309" s="1464"/>
      <c r="DR309" s="1464"/>
      <c r="DS309" s="1464"/>
      <c r="DT309" s="1464"/>
      <c r="DU309" s="1464"/>
      <c r="DV309" s="1464"/>
      <c r="DW309" s="1464"/>
      <c r="DX309" s="1464"/>
      <c r="DY309" s="1464"/>
      <c r="DZ309" s="1464"/>
      <c r="EA309" s="1464"/>
      <c r="EB309" s="1464"/>
      <c r="EC309" s="1464"/>
      <c r="ED309" s="1464"/>
      <c r="EE309" s="1464"/>
      <c r="EF309" s="1464"/>
      <c r="EG309" s="1464"/>
      <c r="EH309" s="1464"/>
      <c r="EI309" s="1464"/>
      <c r="EJ309" s="1464"/>
      <c r="EK309" s="1464"/>
      <c r="EL309" s="1464"/>
      <c r="EM309" s="1464"/>
      <c r="EN309" s="1464"/>
      <c r="EO309" s="1464"/>
      <c r="EP309" s="1464"/>
      <c r="EQ309" s="1464"/>
      <c r="ER309" s="1464"/>
      <c r="ES309" s="1464"/>
      <c r="ET309" s="1464"/>
      <c r="EU309" s="1464"/>
      <c r="EV309" s="1464"/>
      <c r="EW309" s="1464"/>
      <c r="EX309" s="1464"/>
      <c r="EY309" s="1464"/>
      <c r="EZ309" s="1464"/>
      <c r="FA309" s="1464"/>
      <c r="FB309" s="1464"/>
      <c r="FC309" s="1464"/>
      <c r="FD309" s="1464"/>
      <c r="FE309" s="1464"/>
      <c r="FF309" s="1464"/>
    </row>
    <row r="311" spans="6:162" s="1466" customFormat="1" ht="15.75" customHeight="1">
      <c r="F311" s="1464"/>
      <c r="G311" s="1464"/>
      <c r="H311" s="1464"/>
      <c r="I311" s="1464"/>
      <c r="J311" s="1464"/>
      <c r="K311" s="1464"/>
      <c r="L311" s="1464"/>
      <c r="M311" s="1464"/>
      <c r="N311" s="1464"/>
      <c r="O311" s="1464"/>
      <c r="P311" s="1464"/>
      <c r="Q311" s="1464"/>
      <c r="R311" s="1464"/>
      <c r="S311" s="1464"/>
      <c r="T311" s="1464"/>
      <c r="U311" s="1464"/>
      <c r="V311" s="1464"/>
      <c r="W311" s="1464"/>
      <c r="X311" s="1464"/>
      <c r="Y311" s="1464"/>
      <c r="AA311" s="1464"/>
      <c r="AC311" s="1464"/>
      <c r="AD311" s="1464"/>
      <c r="AE311" s="1464"/>
      <c r="AF311" s="1464"/>
      <c r="AG311" s="1464"/>
      <c r="AH311" s="1465"/>
      <c r="AI311" s="1465"/>
      <c r="AJ311" s="1464"/>
      <c r="AK311" s="1464"/>
      <c r="AL311" s="1464"/>
      <c r="AM311" s="1464"/>
      <c r="AN311" s="1464"/>
      <c r="AO311" s="1464"/>
      <c r="AP311" s="1464"/>
      <c r="AQ311" s="1464"/>
      <c r="AR311" s="1464"/>
      <c r="AS311" s="1464"/>
      <c r="AT311" s="1464"/>
      <c r="AU311" s="1464"/>
      <c r="AV311" s="1464"/>
      <c r="AW311" s="1464"/>
      <c r="AX311" s="1464"/>
      <c r="AY311" s="1464"/>
      <c r="AZ311" s="1464"/>
      <c r="BA311" s="1464"/>
      <c r="BB311" s="1464"/>
      <c r="BC311" s="1464"/>
      <c r="BD311" s="1464"/>
      <c r="BE311" s="1464"/>
      <c r="BF311" s="1464"/>
      <c r="BG311" s="1464"/>
      <c r="BH311" s="1464"/>
      <c r="BI311" s="1464"/>
      <c r="BJ311" s="1464"/>
      <c r="BK311" s="1464"/>
      <c r="BL311" s="1464"/>
      <c r="BM311" s="1464"/>
      <c r="BN311" s="1464"/>
      <c r="BO311" s="1464"/>
      <c r="BP311" s="1464"/>
      <c r="BQ311" s="1464"/>
      <c r="BR311" s="1464"/>
      <c r="BS311" s="1464"/>
      <c r="BT311" s="1464"/>
      <c r="BU311" s="1464"/>
      <c r="BV311" s="1464"/>
      <c r="BW311" s="1464"/>
      <c r="BX311" s="1464"/>
      <c r="BY311" s="1464"/>
      <c r="BZ311" s="1464"/>
      <c r="CA311" s="1464"/>
      <c r="CB311" s="1464"/>
      <c r="CC311" s="1464"/>
      <c r="CD311" s="1464"/>
      <c r="CE311" s="1464"/>
      <c r="CF311" s="1464"/>
      <c r="CG311" s="1464"/>
      <c r="CH311" s="1464"/>
      <c r="CI311" s="1464"/>
      <c r="CJ311" s="1464"/>
      <c r="CK311" s="1464"/>
      <c r="CL311" s="1464"/>
      <c r="CM311" s="1464"/>
      <c r="CN311" s="1464"/>
      <c r="CO311" s="1464"/>
      <c r="CP311" s="1464"/>
      <c r="CQ311" s="1464"/>
      <c r="CR311" s="1464"/>
      <c r="CS311" s="1464"/>
      <c r="CT311" s="1464"/>
      <c r="CU311" s="1464"/>
      <c r="CV311" s="1464"/>
      <c r="CW311" s="1464"/>
      <c r="CX311" s="1464"/>
      <c r="CY311" s="1464"/>
      <c r="CZ311" s="1464"/>
      <c r="DA311" s="1464"/>
      <c r="DB311" s="1464"/>
      <c r="DC311" s="1464"/>
      <c r="DD311" s="1464"/>
      <c r="DE311" s="1464"/>
      <c r="DF311" s="1464"/>
      <c r="DG311" s="1464"/>
      <c r="DH311" s="1464"/>
      <c r="DI311" s="1464"/>
      <c r="DJ311" s="1464"/>
      <c r="DK311" s="1464"/>
      <c r="DL311" s="1464"/>
      <c r="DM311" s="1464"/>
      <c r="DN311" s="1464"/>
      <c r="DO311" s="1464"/>
      <c r="DP311" s="1464"/>
      <c r="DQ311" s="1464"/>
      <c r="DR311" s="1464"/>
      <c r="DS311" s="1464"/>
      <c r="DT311" s="1464"/>
      <c r="DU311" s="1464"/>
      <c r="DV311" s="1464"/>
      <c r="DW311" s="1464"/>
      <c r="DX311" s="1464"/>
      <c r="DY311" s="1464"/>
      <c r="DZ311" s="1464"/>
      <c r="EA311" s="1464"/>
      <c r="EB311" s="1464"/>
      <c r="EC311" s="1464"/>
      <c r="ED311" s="1464"/>
      <c r="EE311" s="1464"/>
      <c r="EF311" s="1464"/>
      <c r="EG311" s="1464"/>
      <c r="EH311" s="1464"/>
      <c r="EI311" s="1464"/>
      <c r="EJ311" s="1464"/>
      <c r="EK311" s="1464"/>
      <c r="EL311" s="1464"/>
      <c r="EM311" s="1464"/>
      <c r="EN311" s="1464"/>
      <c r="EO311" s="1464"/>
      <c r="EP311" s="1464"/>
      <c r="EQ311" s="1464"/>
      <c r="ER311" s="1464"/>
      <c r="ES311" s="1464"/>
      <c r="ET311" s="1464"/>
      <c r="EU311" s="1464"/>
      <c r="EV311" s="1464"/>
      <c r="EW311" s="1464"/>
      <c r="EX311" s="1464"/>
      <c r="EY311" s="1464"/>
      <c r="EZ311" s="1464"/>
      <c r="FA311" s="1464"/>
      <c r="FB311" s="1464"/>
      <c r="FC311" s="1464"/>
      <c r="FD311" s="1464"/>
      <c r="FE311" s="1464"/>
      <c r="FF311" s="1464"/>
    </row>
    <row r="313" spans="6:162" s="1466" customFormat="1" ht="15.75" customHeight="1">
      <c r="F313" s="1464"/>
      <c r="G313" s="1464"/>
      <c r="H313" s="1464"/>
      <c r="I313" s="1464"/>
      <c r="J313" s="1464"/>
      <c r="K313" s="1464"/>
      <c r="L313" s="1464"/>
      <c r="M313" s="1464"/>
      <c r="N313" s="1464"/>
      <c r="O313" s="1464"/>
      <c r="P313" s="1464"/>
      <c r="Q313" s="1464"/>
      <c r="R313" s="1464"/>
      <c r="S313" s="1464"/>
      <c r="T313" s="1464"/>
      <c r="U313" s="1464"/>
      <c r="V313" s="1464"/>
      <c r="W313" s="1464"/>
      <c r="X313" s="1464"/>
      <c r="Y313" s="1464"/>
      <c r="AA313" s="1464"/>
      <c r="AC313" s="1464"/>
      <c r="AD313" s="1464"/>
      <c r="AE313" s="1464"/>
      <c r="AF313" s="1464"/>
      <c r="AG313" s="1464"/>
      <c r="AH313" s="1465"/>
      <c r="AI313" s="1465"/>
      <c r="AJ313" s="1464"/>
      <c r="AK313" s="1464"/>
      <c r="AL313" s="1464"/>
      <c r="AM313" s="1464"/>
      <c r="AN313" s="1464"/>
      <c r="AO313" s="1464"/>
      <c r="AP313" s="1464"/>
      <c r="AQ313" s="1464"/>
      <c r="AR313" s="1464"/>
      <c r="AS313" s="1464"/>
      <c r="AT313" s="1464"/>
      <c r="AU313" s="1464"/>
      <c r="AV313" s="1464"/>
      <c r="AW313" s="1464"/>
      <c r="AX313" s="1464"/>
      <c r="AY313" s="1464"/>
      <c r="AZ313" s="1464"/>
      <c r="BA313" s="1464"/>
      <c r="BB313" s="1464"/>
      <c r="BC313" s="1464"/>
      <c r="BD313" s="1464"/>
      <c r="BE313" s="1464"/>
      <c r="BF313" s="1464"/>
      <c r="BG313" s="1464"/>
      <c r="BH313" s="1464"/>
      <c r="BI313" s="1464"/>
      <c r="BJ313" s="1464"/>
      <c r="BK313" s="1464"/>
      <c r="BL313" s="1464"/>
      <c r="BM313" s="1464"/>
      <c r="BN313" s="1464"/>
      <c r="BO313" s="1464"/>
      <c r="BP313" s="1464"/>
      <c r="BQ313" s="1464"/>
      <c r="BR313" s="1464"/>
      <c r="BS313" s="1464"/>
      <c r="BT313" s="1464"/>
      <c r="BU313" s="1464"/>
      <c r="BV313" s="1464"/>
      <c r="BW313" s="1464"/>
      <c r="BX313" s="1464"/>
      <c r="BY313" s="1464"/>
      <c r="BZ313" s="1464"/>
      <c r="CA313" s="1464"/>
      <c r="CB313" s="1464"/>
      <c r="CC313" s="1464"/>
      <c r="CD313" s="1464"/>
      <c r="CE313" s="1464"/>
      <c r="CF313" s="1464"/>
      <c r="CG313" s="1464"/>
      <c r="CH313" s="1464"/>
      <c r="CI313" s="1464"/>
      <c r="CJ313" s="1464"/>
      <c r="CK313" s="1464"/>
      <c r="CL313" s="1464"/>
      <c r="CM313" s="1464"/>
      <c r="CN313" s="1464"/>
      <c r="CO313" s="1464"/>
      <c r="CP313" s="1464"/>
      <c r="CQ313" s="1464"/>
      <c r="CR313" s="1464"/>
      <c r="CS313" s="1464"/>
      <c r="CT313" s="1464"/>
      <c r="CU313" s="1464"/>
      <c r="CV313" s="1464"/>
      <c r="CW313" s="1464"/>
      <c r="CX313" s="1464"/>
      <c r="CY313" s="1464"/>
      <c r="CZ313" s="1464"/>
      <c r="DA313" s="1464"/>
      <c r="DB313" s="1464"/>
      <c r="DC313" s="1464"/>
      <c r="DD313" s="1464"/>
      <c r="DE313" s="1464"/>
      <c r="DF313" s="1464"/>
      <c r="DG313" s="1464"/>
      <c r="DH313" s="1464"/>
      <c r="DI313" s="1464"/>
      <c r="DJ313" s="1464"/>
      <c r="DK313" s="1464"/>
      <c r="DL313" s="1464"/>
      <c r="DM313" s="1464"/>
      <c r="DN313" s="1464"/>
      <c r="DO313" s="1464"/>
      <c r="DP313" s="1464"/>
      <c r="DQ313" s="1464"/>
      <c r="DR313" s="1464"/>
      <c r="DS313" s="1464"/>
      <c r="DT313" s="1464"/>
      <c r="DU313" s="1464"/>
      <c r="DV313" s="1464"/>
      <c r="DW313" s="1464"/>
      <c r="DX313" s="1464"/>
      <c r="DY313" s="1464"/>
      <c r="DZ313" s="1464"/>
      <c r="EA313" s="1464"/>
      <c r="EB313" s="1464"/>
      <c r="EC313" s="1464"/>
      <c r="ED313" s="1464"/>
      <c r="EE313" s="1464"/>
      <c r="EF313" s="1464"/>
      <c r="EG313" s="1464"/>
      <c r="EH313" s="1464"/>
      <c r="EI313" s="1464"/>
      <c r="EJ313" s="1464"/>
      <c r="EK313" s="1464"/>
      <c r="EL313" s="1464"/>
      <c r="EM313" s="1464"/>
      <c r="EN313" s="1464"/>
      <c r="EO313" s="1464"/>
      <c r="EP313" s="1464"/>
      <c r="EQ313" s="1464"/>
      <c r="ER313" s="1464"/>
      <c r="ES313" s="1464"/>
      <c r="ET313" s="1464"/>
      <c r="EU313" s="1464"/>
      <c r="EV313" s="1464"/>
      <c r="EW313" s="1464"/>
      <c r="EX313" s="1464"/>
      <c r="EY313" s="1464"/>
      <c r="EZ313" s="1464"/>
      <c r="FA313" s="1464"/>
      <c r="FB313" s="1464"/>
      <c r="FC313" s="1464"/>
      <c r="FD313" s="1464"/>
      <c r="FE313" s="1464"/>
      <c r="FF313" s="1464"/>
    </row>
    <row r="315" spans="6:162" s="1466" customFormat="1" ht="15.75" customHeight="1">
      <c r="F315" s="1464"/>
      <c r="G315" s="1464"/>
      <c r="H315" s="1464"/>
      <c r="I315" s="1464"/>
      <c r="J315" s="1464"/>
      <c r="K315" s="1464"/>
      <c r="L315" s="1464"/>
      <c r="M315" s="1464"/>
      <c r="N315" s="1464"/>
      <c r="O315" s="1464"/>
      <c r="P315" s="1464"/>
      <c r="Q315" s="1464"/>
      <c r="R315" s="1464"/>
      <c r="S315" s="1464"/>
      <c r="T315" s="1464"/>
      <c r="U315" s="1464"/>
      <c r="V315" s="1464"/>
      <c r="W315" s="1464"/>
      <c r="X315" s="1464"/>
      <c r="Y315" s="1464"/>
      <c r="AA315" s="1464"/>
      <c r="AC315" s="1464"/>
      <c r="AD315" s="1464"/>
      <c r="AE315" s="1464"/>
      <c r="AF315" s="1464"/>
      <c r="AG315" s="1464"/>
      <c r="AH315" s="1465"/>
      <c r="AI315" s="1465"/>
      <c r="AJ315" s="1464"/>
      <c r="AK315" s="1464"/>
      <c r="AL315" s="1464"/>
      <c r="AM315" s="1464"/>
      <c r="AN315" s="1464"/>
      <c r="AO315" s="1464"/>
      <c r="AP315" s="1464"/>
      <c r="AQ315" s="1464"/>
      <c r="AR315" s="1464"/>
      <c r="AS315" s="1464"/>
      <c r="AT315" s="1464"/>
      <c r="AU315" s="1464"/>
      <c r="AV315" s="1464"/>
      <c r="AW315" s="1464"/>
      <c r="AX315" s="1464"/>
      <c r="AY315" s="1464"/>
      <c r="AZ315" s="1464"/>
      <c r="BA315" s="1464"/>
      <c r="BB315" s="1464"/>
      <c r="BC315" s="1464"/>
      <c r="BD315" s="1464"/>
      <c r="BE315" s="1464"/>
      <c r="BF315" s="1464"/>
      <c r="BG315" s="1464"/>
      <c r="BH315" s="1464"/>
      <c r="BI315" s="1464"/>
      <c r="BJ315" s="1464"/>
      <c r="BK315" s="1464"/>
      <c r="BL315" s="1464"/>
      <c r="BM315" s="1464"/>
      <c r="BN315" s="1464"/>
      <c r="BO315" s="1464"/>
      <c r="BP315" s="1464"/>
      <c r="BQ315" s="1464"/>
      <c r="BR315" s="1464"/>
      <c r="BS315" s="1464"/>
      <c r="BT315" s="1464"/>
      <c r="BU315" s="1464"/>
      <c r="BV315" s="1464"/>
      <c r="BW315" s="1464"/>
      <c r="BX315" s="1464"/>
      <c r="BY315" s="1464"/>
      <c r="BZ315" s="1464"/>
      <c r="CA315" s="1464"/>
      <c r="CB315" s="1464"/>
      <c r="CC315" s="1464"/>
      <c r="CD315" s="1464"/>
      <c r="CE315" s="1464"/>
      <c r="CF315" s="1464"/>
      <c r="CG315" s="1464"/>
      <c r="CH315" s="1464"/>
      <c r="CI315" s="1464"/>
      <c r="CJ315" s="1464"/>
      <c r="CK315" s="1464"/>
      <c r="CL315" s="1464"/>
      <c r="CM315" s="1464"/>
      <c r="CN315" s="1464"/>
      <c r="CO315" s="1464"/>
      <c r="CP315" s="1464"/>
      <c r="CQ315" s="1464"/>
      <c r="CR315" s="1464"/>
      <c r="CS315" s="1464"/>
      <c r="CT315" s="1464"/>
      <c r="CU315" s="1464"/>
      <c r="CV315" s="1464"/>
      <c r="CW315" s="1464"/>
      <c r="CX315" s="1464"/>
      <c r="CY315" s="1464"/>
      <c r="CZ315" s="1464"/>
      <c r="DA315" s="1464"/>
      <c r="DB315" s="1464"/>
      <c r="DC315" s="1464"/>
      <c r="DD315" s="1464"/>
      <c r="DE315" s="1464"/>
      <c r="DF315" s="1464"/>
      <c r="DG315" s="1464"/>
      <c r="DH315" s="1464"/>
      <c r="DI315" s="1464"/>
      <c r="DJ315" s="1464"/>
      <c r="DK315" s="1464"/>
      <c r="DL315" s="1464"/>
      <c r="DM315" s="1464"/>
      <c r="DN315" s="1464"/>
      <c r="DO315" s="1464"/>
      <c r="DP315" s="1464"/>
      <c r="DQ315" s="1464"/>
      <c r="DR315" s="1464"/>
      <c r="DS315" s="1464"/>
      <c r="DT315" s="1464"/>
      <c r="DU315" s="1464"/>
      <c r="DV315" s="1464"/>
      <c r="DW315" s="1464"/>
      <c r="DX315" s="1464"/>
      <c r="DY315" s="1464"/>
      <c r="DZ315" s="1464"/>
      <c r="EA315" s="1464"/>
      <c r="EB315" s="1464"/>
      <c r="EC315" s="1464"/>
      <c r="ED315" s="1464"/>
      <c r="EE315" s="1464"/>
      <c r="EF315" s="1464"/>
      <c r="EG315" s="1464"/>
      <c r="EH315" s="1464"/>
      <c r="EI315" s="1464"/>
      <c r="EJ315" s="1464"/>
      <c r="EK315" s="1464"/>
      <c r="EL315" s="1464"/>
      <c r="EM315" s="1464"/>
      <c r="EN315" s="1464"/>
      <c r="EO315" s="1464"/>
      <c r="EP315" s="1464"/>
      <c r="EQ315" s="1464"/>
      <c r="ER315" s="1464"/>
      <c r="ES315" s="1464"/>
      <c r="ET315" s="1464"/>
      <c r="EU315" s="1464"/>
      <c r="EV315" s="1464"/>
      <c r="EW315" s="1464"/>
      <c r="EX315" s="1464"/>
      <c r="EY315" s="1464"/>
      <c r="EZ315" s="1464"/>
      <c r="FA315" s="1464"/>
      <c r="FB315" s="1464"/>
      <c r="FC315" s="1464"/>
      <c r="FD315" s="1464"/>
      <c r="FE315" s="1464"/>
      <c r="FF315" s="1464"/>
    </row>
    <row r="317" spans="6:162" s="1466" customFormat="1" ht="15.75" customHeight="1">
      <c r="F317" s="1464"/>
      <c r="G317" s="1464"/>
      <c r="H317" s="1464"/>
      <c r="I317" s="1464"/>
      <c r="J317" s="1464"/>
      <c r="K317" s="1464"/>
      <c r="L317" s="1464"/>
      <c r="M317" s="1464"/>
      <c r="N317" s="1464"/>
      <c r="O317" s="1464"/>
      <c r="P317" s="1464"/>
      <c r="Q317" s="1464"/>
      <c r="R317" s="1464"/>
      <c r="S317" s="1464"/>
      <c r="T317" s="1464"/>
      <c r="U317" s="1464"/>
      <c r="V317" s="1464"/>
      <c r="W317" s="1464"/>
      <c r="X317" s="1464"/>
      <c r="Y317" s="1464"/>
      <c r="AA317" s="1464"/>
      <c r="AC317" s="1464"/>
      <c r="AD317" s="1464"/>
      <c r="AE317" s="1464"/>
      <c r="AF317" s="1464"/>
      <c r="AG317" s="1464"/>
      <c r="AH317" s="1465"/>
      <c r="AI317" s="1465"/>
      <c r="AJ317" s="1464"/>
      <c r="AK317" s="1464"/>
      <c r="AL317" s="1464"/>
      <c r="AM317" s="1464"/>
      <c r="AN317" s="1464"/>
      <c r="AO317" s="1464"/>
      <c r="AP317" s="1464"/>
      <c r="AQ317" s="1464"/>
      <c r="AR317" s="1464"/>
      <c r="AS317" s="1464"/>
      <c r="AT317" s="1464"/>
      <c r="AU317" s="1464"/>
      <c r="AV317" s="1464"/>
      <c r="AW317" s="1464"/>
      <c r="AX317" s="1464"/>
      <c r="AY317" s="1464"/>
      <c r="AZ317" s="1464"/>
      <c r="BA317" s="1464"/>
      <c r="BB317" s="1464"/>
      <c r="BC317" s="1464"/>
      <c r="BD317" s="1464"/>
      <c r="BE317" s="1464"/>
      <c r="BF317" s="1464"/>
      <c r="BG317" s="1464"/>
      <c r="BH317" s="1464"/>
      <c r="BI317" s="1464"/>
      <c r="BJ317" s="1464"/>
      <c r="BK317" s="1464"/>
      <c r="BL317" s="1464"/>
      <c r="BM317" s="1464"/>
      <c r="BN317" s="1464"/>
      <c r="BO317" s="1464"/>
      <c r="BP317" s="1464"/>
      <c r="BQ317" s="1464"/>
      <c r="BR317" s="1464"/>
      <c r="BS317" s="1464"/>
      <c r="BT317" s="1464"/>
      <c r="BU317" s="1464"/>
      <c r="BV317" s="1464"/>
      <c r="BW317" s="1464"/>
      <c r="BX317" s="1464"/>
      <c r="BY317" s="1464"/>
      <c r="BZ317" s="1464"/>
      <c r="CA317" s="1464"/>
      <c r="CB317" s="1464"/>
      <c r="CC317" s="1464"/>
      <c r="CD317" s="1464"/>
      <c r="CE317" s="1464"/>
      <c r="CF317" s="1464"/>
      <c r="CG317" s="1464"/>
      <c r="CH317" s="1464"/>
      <c r="CI317" s="1464"/>
      <c r="CJ317" s="1464"/>
      <c r="CK317" s="1464"/>
      <c r="CL317" s="1464"/>
      <c r="CM317" s="1464"/>
      <c r="CN317" s="1464"/>
      <c r="CO317" s="1464"/>
      <c r="CP317" s="1464"/>
      <c r="CQ317" s="1464"/>
      <c r="CR317" s="1464"/>
      <c r="CS317" s="1464"/>
      <c r="CT317" s="1464"/>
      <c r="CU317" s="1464"/>
      <c r="CV317" s="1464"/>
      <c r="CW317" s="1464"/>
      <c r="CX317" s="1464"/>
      <c r="CY317" s="1464"/>
      <c r="CZ317" s="1464"/>
      <c r="DA317" s="1464"/>
      <c r="DB317" s="1464"/>
      <c r="DC317" s="1464"/>
      <c r="DD317" s="1464"/>
      <c r="DE317" s="1464"/>
      <c r="DF317" s="1464"/>
      <c r="DG317" s="1464"/>
      <c r="DH317" s="1464"/>
      <c r="DI317" s="1464"/>
      <c r="DJ317" s="1464"/>
      <c r="DK317" s="1464"/>
      <c r="DL317" s="1464"/>
      <c r="DM317" s="1464"/>
      <c r="DN317" s="1464"/>
      <c r="DO317" s="1464"/>
      <c r="DP317" s="1464"/>
      <c r="DQ317" s="1464"/>
      <c r="DR317" s="1464"/>
      <c r="DS317" s="1464"/>
      <c r="DT317" s="1464"/>
      <c r="DU317" s="1464"/>
      <c r="DV317" s="1464"/>
      <c r="DW317" s="1464"/>
      <c r="DX317" s="1464"/>
      <c r="DY317" s="1464"/>
      <c r="DZ317" s="1464"/>
      <c r="EA317" s="1464"/>
      <c r="EB317" s="1464"/>
      <c r="EC317" s="1464"/>
      <c r="ED317" s="1464"/>
      <c r="EE317" s="1464"/>
      <c r="EF317" s="1464"/>
      <c r="EG317" s="1464"/>
      <c r="EH317" s="1464"/>
      <c r="EI317" s="1464"/>
      <c r="EJ317" s="1464"/>
      <c r="EK317" s="1464"/>
      <c r="EL317" s="1464"/>
      <c r="EM317" s="1464"/>
      <c r="EN317" s="1464"/>
      <c r="EO317" s="1464"/>
      <c r="EP317" s="1464"/>
      <c r="EQ317" s="1464"/>
      <c r="ER317" s="1464"/>
      <c r="ES317" s="1464"/>
      <c r="ET317" s="1464"/>
      <c r="EU317" s="1464"/>
      <c r="EV317" s="1464"/>
      <c r="EW317" s="1464"/>
      <c r="EX317" s="1464"/>
      <c r="EY317" s="1464"/>
      <c r="EZ317" s="1464"/>
      <c r="FA317" s="1464"/>
      <c r="FB317" s="1464"/>
      <c r="FC317" s="1464"/>
      <c r="FD317" s="1464"/>
      <c r="FE317" s="1464"/>
      <c r="FF317" s="1464"/>
    </row>
    <row r="319" spans="6:162" s="1466" customFormat="1" ht="15.75" customHeight="1">
      <c r="F319" s="1464"/>
      <c r="G319" s="1464"/>
      <c r="H319" s="1464"/>
      <c r="I319" s="1464"/>
      <c r="J319" s="1464"/>
      <c r="K319" s="1464"/>
      <c r="L319" s="1464"/>
      <c r="M319" s="1464"/>
      <c r="N319" s="1464"/>
      <c r="O319" s="1464"/>
      <c r="P319" s="1464"/>
      <c r="Q319" s="1464"/>
      <c r="R319" s="1464"/>
      <c r="S319" s="1464"/>
      <c r="T319" s="1464"/>
      <c r="U319" s="1464"/>
      <c r="V319" s="1464"/>
      <c r="W319" s="1464"/>
      <c r="X319" s="1464"/>
      <c r="Y319" s="1464"/>
      <c r="AA319" s="1464"/>
      <c r="AC319" s="1464"/>
      <c r="AD319" s="1464"/>
      <c r="AE319" s="1464"/>
      <c r="AF319" s="1464"/>
      <c r="AG319" s="1464"/>
      <c r="AH319" s="1465"/>
      <c r="AI319" s="1465"/>
      <c r="AJ319" s="1464"/>
      <c r="AK319" s="1464"/>
      <c r="AL319" s="1464"/>
      <c r="AM319" s="1464"/>
      <c r="AN319" s="1464"/>
      <c r="AO319" s="1464"/>
      <c r="AP319" s="1464"/>
      <c r="AQ319" s="1464"/>
      <c r="AR319" s="1464"/>
      <c r="AS319" s="1464"/>
      <c r="AT319" s="1464"/>
      <c r="AU319" s="1464"/>
      <c r="AV319" s="1464"/>
      <c r="AW319" s="1464"/>
      <c r="AX319" s="1464"/>
      <c r="AY319" s="1464"/>
      <c r="AZ319" s="1464"/>
      <c r="BA319" s="1464"/>
      <c r="BB319" s="1464"/>
      <c r="BC319" s="1464"/>
      <c r="BD319" s="1464"/>
      <c r="BE319" s="1464"/>
      <c r="BF319" s="1464"/>
      <c r="BG319" s="1464"/>
      <c r="BH319" s="1464"/>
      <c r="BI319" s="1464"/>
      <c r="BJ319" s="1464"/>
      <c r="BK319" s="1464"/>
      <c r="BL319" s="1464"/>
      <c r="BM319" s="1464"/>
      <c r="BN319" s="1464"/>
      <c r="BO319" s="1464"/>
      <c r="BP319" s="1464"/>
      <c r="BQ319" s="1464"/>
      <c r="BR319" s="1464"/>
      <c r="BS319" s="1464"/>
      <c r="BT319" s="1464"/>
      <c r="BU319" s="1464"/>
      <c r="BV319" s="1464"/>
      <c r="BW319" s="1464"/>
      <c r="BX319" s="1464"/>
      <c r="BY319" s="1464"/>
      <c r="BZ319" s="1464"/>
      <c r="CA319" s="1464"/>
      <c r="CB319" s="1464"/>
      <c r="CC319" s="1464"/>
      <c r="CD319" s="1464"/>
      <c r="CE319" s="1464"/>
      <c r="CF319" s="1464"/>
      <c r="CG319" s="1464"/>
      <c r="CH319" s="1464"/>
      <c r="CI319" s="1464"/>
      <c r="CJ319" s="1464"/>
      <c r="CK319" s="1464"/>
      <c r="CL319" s="1464"/>
      <c r="CM319" s="1464"/>
      <c r="CN319" s="1464"/>
      <c r="CO319" s="1464"/>
      <c r="CP319" s="1464"/>
      <c r="CQ319" s="1464"/>
      <c r="CR319" s="1464"/>
      <c r="CS319" s="1464"/>
      <c r="CT319" s="1464"/>
      <c r="CU319" s="1464"/>
      <c r="CV319" s="1464"/>
      <c r="CW319" s="1464"/>
      <c r="CX319" s="1464"/>
      <c r="CY319" s="1464"/>
      <c r="CZ319" s="1464"/>
      <c r="DA319" s="1464"/>
      <c r="DB319" s="1464"/>
      <c r="DC319" s="1464"/>
      <c r="DD319" s="1464"/>
      <c r="DE319" s="1464"/>
      <c r="DF319" s="1464"/>
      <c r="DG319" s="1464"/>
      <c r="DH319" s="1464"/>
      <c r="DI319" s="1464"/>
      <c r="DJ319" s="1464"/>
      <c r="DK319" s="1464"/>
      <c r="DL319" s="1464"/>
      <c r="DM319" s="1464"/>
      <c r="DN319" s="1464"/>
      <c r="DO319" s="1464"/>
      <c r="DP319" s="1464"/>
      <c r="DQ319" s="1464"/>
      <c r="DR319" s="1464"/>
      <c r="DS319" s="1464"/>
      <c r="DT319" s="1464"/>
      <c r="DU319" s="1464"/>
      <c r="DV319" s="1464"/>
      <c r="DW319" s="1464"/>
      <c r="DX319" s="1464"/>
      <c r="DY319" s="1464"/>
      <c r="DZ319" s="1464"/>
      <c r="EA319" s="1464"/>
      <c r="EB319" s="1464"/>
      <c r="EC319" s="1464"/>
      <c r="ED319" s="1464"/>
      <c r="EE319" s="1464"/>
      <c r="EF319" s="1464"/>
      <c r="EG319" s="1464"/>
      <c r="EH319" s="1464"/>
      <c r="EI319" s="1464"/>
      <c r="EJ319" s="1464"/>
      <c r="EK319" s="1464"/>
      <c r="EL319" s="1464"/>
      <c r="EM319" s="1464"/>
      <c r="EN319" s="1464"/>
      <c r="EO319" s="1464"/>
      <c r="EP319" s="1464"/>
      <c r="EQ319" s="1464"/>
      <c r="ER319" s="1464"/>
      <c r="ES319" s="1464"/>
      <c r="ET319" s="1464"/>
      <c r="EU319" s="1464"/>
      <c r="EV319" s="1464"/>
      <c r="EW319" s="1464"/>
      <c r="EX319" s="1464"/>
      <c r="EY319" s="1464"/>
      <c r="EZ319" s="1464"/>
      <c r="FA319" s="1464"/>
      <c r="FB319" s="1464"/>
      <c r="FC319" s="1464"/>
      <c r="FD319" s="1464"/>
      <c r="FE319" s="1464"/>
      <c r="FF319" s="1464"/>
    </row>
    <row r="321" spans="6:162" s="1466" customFormat="1" ht="15.75" customHeight="1">
      <c r="F321" s="1464"/>
      <c r="G321" s="1464"/>
      <c r="H321" s="1464"/>
      <c r="I321" s="1464"/>
      <c r="J321" s="1464"/>
      <c r="K321" s="1464"/>
      <c r="L321" s="1464"/>
      <c r="M321" s="1464"/>
      <c r="N321" s="1464"/>
      <c r="O321" s="1464"/>
      <c r="P321" s="1464"/>
      <c r="Q321" s="1464"/>
      <c r="R321" s="1464"/>
      <c r="S321" s="1464"/>
      <c r="T321" s="1464"/>
      <c r="U321" s="1464"/>
      <c r="V321" s="1464"/>
      <c r="W321" s="1464"/>
      <c r="X321" s="1464"/>
      <c r="Y321" s="1464"/>
      <c r="AA321" s="1464"/>
      <c r="AC321" s="1464"/>
      <c r="AD321" s="1464"/>
      <c r="AE321" s="1464"/>
      <c r="AF321" s="1464"/>
      <c r="AG321" s="1464"/>
      <c r="AH321" s="1465"/>
      <c r="AI321" s="1465"/>
      <c r="AJ321" s="1464"/>
      <c r="AK321" s="1464"/>
      <c r="AL321" s="1464"/>
      <c r="AM321" s="1464"/>
      <c r="AN321" s="1464"/>
      <c r="AO321" s="1464"/>
      <c r="AP321" s="1464"/>
      <c r="AQ321" s="1464"/>
      <c r="AR321" s="1464"/>
      <c r="AS321" s="1464"/>
      <c r="AT321" s="1464"/>
      <c r="AU321" s="1464"/>
      <c r="AV321" s="1464"/>
      <c r="AW321" s="1464"/>
      <c r="AX321" s="1464"/>
      <c r="AY321" s="1464"/>
      <c r="AZ321" s="1464"/>
      <c r="BA321" s="1464"/>
      <c r="BB321" s="1464"/>
      <c r="BC321" s="1464"/>
      <c r="BD321" s="1464"/>
      <c r="BE321" s="1464"/>
      <c r="BF321" s="1464"/>
      <c r="BG321" s="1464"/>
      <c r="BH321" s="1464"/>
      <c r="BI321" s="1464"/>
      <c r="BJ321" s="1464"/>
      <c r="BK321" s="1464"/>
      <c r="BL321" s="1464"/>
      <c r="BM321" s="1464"/>
      <c r="BN321" s="1464"/>
      <c r="BO321" s="1464"/>
      <c r="BP321" s="1464"/>
      <c r="BQ321" s="1464"/>
      <c r="BR321" s="1464"/>
      <c r="BS321" s="1464"/>
      <c r="BT321" s="1464"/>
      <c r="BU321" s="1464"/>
      <c r="BV321" s="1464"/>
      <c r="BW321" s="1464"/>
      <c r="BX321" s="1464"/>
      <c r="BY321" s="1464"/>
      <c r="BZ321" s="1464"/>
      <c r="CA321" s="1464"/>
      <c r="CB321" s="1464"/>
      <c r="CC321" s="1464"/>
      <c r="CD321" s="1464"/>
      <c r="CE321" s="1464"/>
      <c r="CF321" s="1464"/>
      <c r="CG321" s="1464"/>
      <c r="CH321" s="1464"/>
      <c r="CI321" s="1464"/>
      <c r="CJ321" s="1464"/>
      <c r="CK321" s="1464"/>
      <c r="CL321" s="1464"/>
      <c r="CM321" s="1464"/>
      <c r="CN321" s="1464"/>
      <c r="CO321" s="1464"/>
      <c r="CP321" s="1464"/>
      <c r="CQ321" s="1464"/>
      <c r="CR321" s="1464"/>
      <c r="CS321" s="1464"/>
      <c r="CT321" s="1464"/>
      <c r="CU321" s="1464"/>
      <c r="CV321" s="1464"/>
      <c r="CW321" s="1464"/>
      <c r="CX321" s="1464"/>
      <c r="CY321" s="1464"/>
      <c r="CZ321" s="1464"/>
      <c r="DA321" s="1464"/>
      <c r="DB321" s="1464"/>
      <c r="DC321" s="1464"/>
      <c r="DD321" s="1464"/>
      <c r="DE321" s="1464"/>
      <c r="DF321" s="1464"/>
      <c r="DG321" s="1464"/>
      <c r="DH321" s="1464"/>
      <c r="DI321" s="1464"/>
      <c r="DJ321" s="1464"/>
      <c r="DK321" s="1464"/>
      <c r="DL321" s="1464"/>
      <c r="DM321" s="1464"/>
      <c r="DN321" s="1464"/>
      <c r="DO321" s="1464"/>
      <c r="DP321" s="1464"/>
      <c r="DQ321" s="1464"/>
      <c r="DR321" s="1464"/>
      <c r="DS321" s="1464"/>
      <c r="DT321" s="1464"/>
      <c r="DU321" s="1464"/>
      <c r="DV321" s="1464"/>
      <c r="DW321" s="1464"/>
      <c r="DX321" s="1464"/>
      <c r="DY321" s="1464"/>
      <c r="DZ321" s="1464"/>
      <c r="EA321" s="1464"/>
      <c r="EB321" s="1464"/>
      <c r="EC321" s="1464"/>
      <c r="ED321" s="1464"/>
      <c r="EE321" s="1464"/>
      <c r="EF321" s="1464"/>
      <c r="EG321" s="1464"/>
      <c r="EH321" s="1464"/>
      <c r="EI321" s="1464"/>
      <c r="EJ321" s="1464"/>
      <c r="EK321" s="1464"/>
      <c r="EL321" s="1464"/>
      <c r="EM321" s="1464"/>
      <c r="EN321" s="1464"/>
      <c r="EO321" s="1464"/>
      <c r="EP321" s="1464"/>
      <c r="EQ321" s="1464"/>
      <c r="ER321" s="1464"/>
      <c r="ES321" s="1464"/>
      <c r="ET321" s="1464"/>
      <c r="EU321" s="1464"/>
      <c r="EV321" s="1464"/>
      <c r="EW321" s="1464"/>
      <c r="EX321" s="1464"/>
      <c r="EY321" s="1464"/>
      <c r="EZ321" s="1464"/>
      <c r="FA321" s="1464"/>
      <c r="FB321" s="1464"/>
      <c r="FC321" s="1464"/>
      <c r="FD321" s="1464"/>
      <c r="FE321" s="1464"/>
      <c r="FF321" s="1464"/>
    </row>
    <row r="323" spans="6:162" s="1466" customFormat="1" ht="15.75" customHeight="1">
      <c r="F323" s="1464"/>
      <c r="G323" s="1464"/>
      <c r="H323" s="1464"/>
      <c r="I323" s="1464"/>
      <c r="J323" s="1464"/>
      <c r="K323" s="1464"/>
      <c r="L323" s="1464"/>
      <c r="M323" s="1464"/>
      <c r="N323" s="1464"/>
      <c r="O323" s="1464"/>
      <c r="P323" s="1464"/>
      <c r="Q323" s="1464"/>
      <c r="R323" s="1464"/>
      <c r="S323" s="1464"/>
      <c r="T323" s="1464"/>
      <c r="U323" s="1464"/>
      <c r="V323" s="1464"/>
      <c r="W323" s="1464"/>
      <c r="X323" s="1464"/>
      <c r="Y323" s="1464"/>
      <c r="AA323" s="1464"/>
      <c r="AC323" s="1464"/>
      <c r="AD323" s="1464"/>
      <c r="AE323" s="1464"/>
      <c r="AF323" s="1464"/>
      <c r="AG323" s="1464"/>
      <c r="AH323" s="1465"/>
      <c r="AI323" s="1465"/>
      <c r="AJ323" s="1464"/>
      <c r="AK323" s="1464"/>
      <c r="AL323" s="1464"/>
      <c r="AM323" s="1464"/>
      <c r="AN323" s="1464"/>
      <c r="AO323" s="1464"/>
      <c r="AP323" s="1464"/>
      <c r="AQ323" s="1464"/>
      <c r="AR323" s="1464"/>
      <c r="AS323" s="1464"/>
      <c r="AT323" s="1464"/>
      <c r="AU323" s="1464"/>
      <c r="AV323" s="1464"/>
      <c r="AW323" s="1464"/>
      <c r="AX323" s="1464"/>
      <c r="AY323" s="1464"/>
      <c r="AZ323" s="1464"/>
      <c r="BA323" s="1464"/>
      <c r="BB323" s="1464"/>
      <c r="BC323" s="1464"/>
      <c r="BD323" s="1464"/>
      <c r="BE323" s="1464"/>
      <c r="BF323" s="1464"/>
      <c r="BG323" s="1464"/>
      <c r="BH323" s="1464"/>
      <c r="BI323" s="1464"/>
      <c r="BJ323" s="1464"/>
      <c r="BK323" s="1464"/>
      <c r="BL323" s="1464"/>
      <c r="BM323" s="1464"/>
      <c r="BN323" s="1464"/>
      <c r="BO323" s="1464"/>
      <c r="BP323" s="1464"/>
      <c r="BQ323" s="1464"/>
      <c r="BR323" s="1464"/>
      <c r="BS323" s="1464"/>
      <c r="BT323" s="1464"/>
      <c r="BU323" s="1464"/>
      <c r="BV323" s="1464"/>
      <c r="BW323" s="1464"/>
      <c r="BX323" s="1464"/>
      <c r="BY323" s="1464"/>
      <c r="BZ323" s="1464"/>
      <c r="CA323" s="1464"/>
      <c r="CB323" s="1464"/>
      <c r="CC323" s="1464"/>
      <c r="CD323" s="1464"/>
      <c r="CE323" s="1464"/>
      <c r="CF323" s="1464"/>
      <c r="CG323" s="1464"/>
      <c r="CH323" s="1464"/>
      <c r="CI323" s="1464"/>
      <c r="CJ323" s="1464"/>
      <c r="CK323" s="1464"/>
      <c r="CL323" s="1464"/>
      <c r="CM323" s="1464"/>
      <c r="CN323" s="1464"/>
      <c r="CO323" s="1464"/>
      <c r="CP323" s="1464"/>
      <c r="CQ323" s="1464"/>
      <c r="CR323" s="1464"/>
      <c r="CS323" s="1464"/>
      <c r="CT323" s="1464"/>
      <c r="CU323" s="1464"/>
      <c r="CV323" s="1464"/>
      <c r="CW323" s="1464"/>
      <c r="CX323" s="1464"/>
      <c r="CY323" s="1464"/>
      <c r="CZ323" s="1464"/>
      <c r="DA323" s="1464"/>
      <c r="DB323" s="1464"/>
      <c r="DC323" s="1464"/>
      <c r="DD323" s="1464"/>
      <c r="DE323" s="1464"/>
      <c r="DF323" s="1464"/>
      <c r="DG323" s="1464"/>
      <c r="DH323" s="1464"/>
      <c r="DI323" s="1464"/>
      <c r="DJ323" s="1464"/>
      <c r="DK323" s="1464"/>
      <c r="DL323" s="1464"/>
      <c r="DM323" s="1464"/>
      <c r="DN323" s="1464"/>
      <c r="DO323" s="1464"/>
      <c r="DP323" s="1464"/>
      <c r="DQ323" s="1464"/>
      <c r="DR323" s="1464"/>
      <c r="DS323" s="1464"/>
      <c r="DT323" s="1464"/>
      <c r="DU323" s="1464"/>
      <c r="DV323" s="1464"/>
      <c r="DW323" s="1464"/>
      <c r="DX323" s="1464"/>
      <c r="DY323" s="1464"/>
      <c r="DZ323" s="1464"/>
      <c r="EA323" s="1464"/>
      <c r="EB323" s="1464"/>
      <c r="EC323" s="1464"/>
      <c r="ED323" s="1464"/>
      <c r="EE323" s="1464"/>
      <c r="EF323" s="1464"/>
      <c r="EG323" s="1464"/>
      <c r="EH323" s="1464"/>
      <c r="EI323" s="1464"/>
      <c r="EJ323" s="1464"/>
      <c r="EK323" s="1464"/>
      <c r="EL323" s="1464"/>
      <c r="EM323" s="1464"/>
      <c r="EN323" s="1464"/>
      <c r="EO323" s="1464"/>
      <c r="EP323" s="1464"/>
      <c r="EQ323" s="1464"/>
      <c r="ER323" s="1464"/>
      <c r="ES323" s="1464"/>
      <c r="ET323" s="1464"/>
      <c r="EU323" s="1464"/>
      <c r="EV323" s="1464"/>
      <c r="EW323" s="1464"/>
      <c r="EX323" s="1464"/>
      <c r="EY323" s="1464"/>
      <c r="EZ323" s="1464"/>
      <c r="FA323" s="1464"/>
      <c r="FB323" s="1464"/>
      <c r="FC323" s="1464"/>
      <c r="FD323" s="1464"/>
      <c r="FE323" s="1464"/>
      <c r="FF323" s="1464"/>
    </row>
    <row r="325" spans="6:162" s="1466" customFormat="1" ht="15.75" customHeight="1">
      <c r="F325" s="1464"/>
      <c r="G325" s="1464"/>
      <c r="H325" s="1464"/>
      <c r="I325" s="1464"/>
      <c r="J325" s="1464"/>
      <c r="K325" s="1464"/>
      <c r="L325" s="1464"/>
      <c r="M325" s="1464"/>
      <c r="N325" s="1464"/>
      <c r="O325" s="1464"/>
      <c r="P325" s="1464"/>
      <c r="Q325" s="1464"/>
      <c r="R325" s="1464"/>
      <c r="S325" s="1464"/>
      <c r="T325" s="1464"/>
      <c r="U325" s="1464"/>
      <c r="V325" s="1464"/>
      <c r="W325" s="1464"/>
      <c r="X325" s="1464"/>
      <c r="Y325" s="1464"/>
      <c r="AA325" s="1464"/>
      <c r="AC325" s="1464"/>
      <c r="AD325" s="1464"/>
      <c r="AE325" s="1464"/>
      <c r="AF325" s="1464"/>
      <c r="AG325" s="1464"/>
      <c r="AH325" s="1465"/>
      <c r="AI325" s="1465"/>
      <c r="AJ325" s="1464"/>
      <c r="AK325" s="1464"/>
      <c r="AL325" s="1464"/>
      <c r="AM325" s="1464"/>
      <c r="AN325" s="1464"/>
      <c r="AO325" s="1464"/>
      <c r="AP325" s="1464"/>
      <c r="AQ325" s="1464"/>
      <c r="AR325" s="1464"/>
      <c r="AS325" s="1464"/>
      <c r="AT325" s="1464"/>
      <c r="AU325" s="1464"/>
      <c r="AV325" s="1464"/>
      <c r="AW325" s="1464"/>
      <c r="AX325" s="1464"/>
      <c r="AY325" s="1464"/>
      <c r="AZ325" s="1464"/>
      <c r="BA325" s="1464"/>
      <c r="BB325" s="1464"/>
      <c r="BC325" s="1464"/>
      <c r="BD325" s="1464"/>
      <c r="BE325" s="1464"/>
      <c r="BF325" s="1464"/>
      <c r="BG325" s="1464"/>
      <c r="BH325" s="1464"/>
      <c r="BI325" s="1464"/>
      <c r="BJ325" s="1464"/>
      <c r="BK325" s="1464"/>
      <c r="BL325" s="1464"/>
      <c r="BM325" s="1464"/>
      <c r="BN325" s="1464"/>
      <c r="BO325" s="1464"/>
      <c r="BP325" s="1464"/>
      <c r="BQ325" s="1464"/>
      <c r="BR325" s="1464"/>
      <c r="BS325" s="1464"/>
      <c r="BT325" s="1464"/>
      <c r="BU325" s="1464"/>
      <c r="BV325" s="1464"/>
      <c r="BW325" s="1464"/>
      <c r="BX325" s="1464"/>
      <c r="BY325" s="1464"/>
      <c r="BZ325" s="1464"/>
      <c r="CA325" s="1464"/>
      <c r="CB325" s="1464"/>
      <c r="CC325" s="1464"/>
      <c r="CD325" s="1464"/>
      <c r="CE325" s="1464"/>
      <c r="CF325" s="1464"/>
      <c r="CG325" s="1464"/>
      <c r="CH325" s="1464"/>
      <c r="CI325" s="1464"/>
      <c r="CJ325" s="1464"/>
      <c r="CK325" s="1464"/>
      <c r="CL325" s="1464"/>
      <c r="CM325" s="1464"/>
      <c r="CN325" s="1464"/>
      <c r="CO325" s="1464"/>
      <c r="CP325" s="1464"/>
      <c r="CQ325" s="1464"/>
      <c r="CR325" s="1464"/>
      <c r="CS325" s="1464"/>
      <c r="CT325" s="1464"/>
      <c r="CU325" s="1464"/>
      <c r="CV325" s="1464"/>
      <c r="CW325" s="1464"/>
      <c r="CX325" s="1464"/>
      <c r="CY325" s="1464"/>
      <c r="CZ325" s="1464"/>
      <c r="DA325" s="1464"/>
      <c r="DB325" s="1464"/>
      <c r="DC325" s="1464"/>
      <c r="DD325" s="1464"/>
      <c r="DE325" s="1464"/>
      <c r="DF325" s="1464"/>
      <c r="DG325" s="1464"/>
      <c r="DH325" s="1464"/>
      <c r="DI325" s="1464"/>
      <c r="DJ325" s="1464"/>
      <c r="DK325" s="1464"/>
      <c r="DL325" s="1464"/>
      <c r="DM325" s="1464"/>
      <c r="DN325" s="1464"/>
      <c r="DO325" s="1464"/>
      <c r="DP325" s="1464"/>
      <c r="DQ325" s="1464"/>
      <c r="DR325" s="1464"/>
      <c r="DS325" s="1464"/>
      <c r="DT325" s="1464"/>
      <c r="DU325" s="1464"/>
      <c r="DV325" s="1464"/>
      <c r="DW325" s="1464"/>
      <c r="DX325" s="1464"/>
      <c r="DY325" s="1464"/>
      <c r="DZ325" s="1464"/>
      <c r="EA325" s="1464"/>
      <c r="EB325" s="1464"/>
      <c r="EC325" s="1464"/>
      <c r="ED325" s="1464"/>
      <c r="EE325" s="1464"/>
      <c r="EF325" s="1464"/>
      <c r="EG325" s="1464"/>
      <c r="EH325" s="1464"/>
      <c r="EI325" s="1464"/>
      <c r="EJ325" s="1464"/>
      <c r="EK325" s="1464"/>
      <c r="EL325" s="1464"/>
      <c r="EM325" s="1464"/>
      <c r="EN325" s="1464"/>
      <c r="EO325" s="1464"/>
      <c r="EP325" s="1464"/>
      <c r="EQ325" s="1464"/>
      <c r="ER325" s="1464"/>
      <c r="ES325" s="1464"/>
      <c r="ET325" s="1464"/>
      <c r="EU325" s="1464"/>
      <c r="EV325" s="1464"/>
      <c r="EW325" s="1464"/>
      <c r="EX325" s="1464"/>
      <c r="EY325" s="1464"/>
      <c r="EZ325" s="1464"/>
      <c r="FA325" s="1464"/>
      <c r="FB325" s="1464"/>
      <c r="FC325" s="1464"/>
      <c r="FD325" s="1464"/>
      <c r="FE325" s="1464"/>
      <c r="FF325" s="1464"/>
    </row>
    <row r="327" spans="6:162" s="1466" customFormat="1" ht="15.75" customHeight="1">
      <c r="F327" s="1464"/>
      <c r="G327" s="1464"/>
      <c r="H327" s="1464"/>
      <c r="I327" s="1464"/>
      <c r="J327" s="1464"/>
      <c r="K327" s="1464"/>
      <c r="L327" s="1464"/>
      <c r="M327" s="1464"/>
      <c r="N327" s="1464"/>
      <c r="O327" s="1464"/>
      <c r="P327" s="1464"/>
      <c r="Q327" s="1464"/>
      <c r="R327" s="1464"/>
      <c r="S327" s="1464"/>
      <c r="T327" s="1464"/>
      <c r="U327" s="1464"/>
      <c r="V327" s="1464"/>
      <c r="W327" s="1464"/>
      <c r="X327" s="1464"/>
      <c r="Y327" s="1464"/>
      <c r="AA327" s="1464"/>
      <c r="AC327" s="1464"/>
      <c r="AD327" s="1464"/>
      <c r="AE327" s="1464"/>
      <c r="AF327" s="1464"/>
      <c r="AG327" s="1464"/>
      <c r="AH327" s="1465"/>
      <c r="AI327" s="1465"/>
      <c r="AJ327" s="1464"/>
      <c r="AK327" s="1464"/>
      <c r="AL327" s="1464"/>
      <c r="AM327" s="1464"/>
      <c r="AN327" s="1464"/>
      <c r="AO327" s="1464"/>
      <c r="AP327" s="1464"/>
      <c r="AQ327" s="1464"/>
      <c r="AR327" s="1464"/>
      <c r="AS327" s="1464"/>
      <c r="AT327" s="1464"/>
      <c r="AU327" s="1464"/>
      <c r="AV327" s="1464"/>
      <c r="AW327" s="1464"/>
      <c r="AX327" s="1464"/>
      <c r="AY327" s="1464"/>
      <c r="AZ327" s="1464"/>
      <c r="BA327" s="1464"/>
      <c r="BB327" s="1464"/>
      <c r="BC327" s="1464"/>
      <c r="BD327" s="1464"/>
      <c r="BE327" s="1464"/>
      <c r="BF327" s="1464"/>
      <c r="BG327" s="1464"/>
      <c r="BH327" s="1464"/>
      <c r="BI327" s="1464"/>
      <c r="BJ327" s="1464"/>
      <c r="BK327" s="1464"/>
      <c r="BL327" s="1464"/>
      <c r="BM327" s="1464"/>
      <c r="BN327" s="1464"/>
      <c r="BO327" s="1464"/>
      <c r="BP327" s="1464"/>
      <c r="BQ327" s="1464"/>
      <c r="BR327" s="1464"/>
      <c r="BS327" s="1464"/>
      <c r="BT327" s="1464"/>
      <c r="BU327" s="1464"/>
      <c r="BV327" s="1464"/>
      <c r="BW327" s="1464"/>
      <c r="BX327" s="1464"/>
      <c r="BY327" s="1464"/>
      <c r="BZ327" s="1464"/>
      <c r="CA327" s="1464"/>
      <c r="CB327" s="1464"/>
      <c r="CC327" s="1464"/>
      <c r="CD327" s="1464"/>
      <c r="CE327" s="1464"/>
      <c r="CF327" s="1464"/>
      <c r="CG327" s="1464"/>
      <c r="CH327" s="1464"/>
      <c r="CI327" s="1464"/>
      <c r="CJ327" s="1464"/>
      <c r="CK327" s="1464"/>
      <c r="CL327" s="1464"/>
      <c r="CM327" s="1464"/>
      <c r="CN327" s="1464"/>
      <c r="CO327" s="1464"/>
      <c r="CP327" s="1464"/>
      <c r="CQ327" s="1464"/>
      <c r="CR327" s="1464"/>
      <c r="CS327" s="1464"/>
      <c r="CT327" s="1464"/>
      <c r="CU327" s="1464"/>
      <c r="CV327" s="1464"/>
      <c r="CW327" s="1464"/>
      <c r="CX327" s="1464"/>
      <c r="CY327" s="1464"/>
      <c r="CZ327" s="1464"/>
      <c r="DA327" s="1464"/>
      <c r="DB327" s="1464"/>
      <c r="DC327" s="1464"/>
      <c r="DD327" s="1464"/>
      <c r="DE327" s="1464"/>
      <c r="DF327" s="1464"/>
      <c r="DG327" s="1464"/>
      <c r="DH327" s="1464"/>
      <c r="DI327" s="1464"/>
      <c r="DJ327" s="1464"/>
      <c r="DK327" s="1464"/>
      <c r="DL327" s="1464"/>
      <c r="DM327" s="1464"/>
      <c r="DN327" s="1464"/>
      <c r="DO327" s="1464"/>
      <c r="DP327" s="1464"/>
      <c r="DQ327" s="1464"/>
      <c r="DR327" s="1464"/>
      <c r="DS327" s="1464"/>
      <c r="DT327" s="1464"/>
      <c r="DU327" s="1464"/>
      <c r="DV327" s="1464"/>
      <c r="DW327" s="1464"/>
      <c r="DX327" s="1464"/>
      <c r="DY327" s="1464"/>
      <c r="DZ327" s="1464"/>
      <c r="EA327" s="1464"/>
      <c r="EB327" s="1464"/>
      <c r="EC327" s="1464"/>
      <c r="ED327" s="1464"/>
      <c r="EE327" s="1464"/>
      <c r="EF327" s="1464"/>
      <c r="EG327" s="1464"/>
      <c r="EH327" s="1464"/>
      <c r="EI327" s="1464"/>
      <c r="EJ327" s="1464"/>
      <c r="EK327" s="1464"/>
      <c r="EL327" s="1464"/>
      <c r="EM327" s="1464"/>
      <c r="EN327" s="1464"/>
      <c r="EO327" s="1464"/>
      <c r="EP327" s="1464"/>
      <c r="EQ327" s="1464"/>
      <c r="ER327" s="1464"/>
      <c r="ES327" s="1464"/>
      <c r="ET327" s="1464"/>
      <c r="EU327" s="1464"/>
      <c r="EV327" s="1464"/>
      <c r="EW327" s="1464"/>
      <c r="EX327" s="1464"/>
      <c r="EY327" s="1464"/>
      <c r="EZ327" s="1464"/>
      <c r="FA327" s="1464"/>
      <c r="FB327" s="1464"/>
      <c r="FC327" s="1464"/>
      <c r="FD327" s="1464"/>
      <c r="FE327" s="1464"/>
      <c r="FF327" s="1464"/>
    </row>
    <row r="329" spans="6:162" s="1466" customFormat="1" ht="15.75" customHeight="1">
      <c r="F329" s="1464"/>
      <c r="G329" s="1464"/>
      <c r="H329" s="1464"/>
      <c r="I329" s="1464"/>
      <c r="J329" s="1464"/>
      <c r="K329" s="1464"/>
      <c r="L329" s="1464"/>
      <c r="M329" s="1464"/>
      <c r="N329" s="1464"/>
      <c r="O329" s="1464"/>
      <c r="P329" s="1464"/>
      <c r="Q329" s="1464"/>
      <c r="R329" s="1464"/>
      <c r="S329" s="1464"/>
      <c r="T329" s="1464"/>
      <c r="U329" s="1464"/>
      <c r="V329" s="1464"/>
      <c r="W329" s="1464"/>
      <c r="X329" s="1464"/>
      <c r="Y329" s="1464"/>
      <c r="AA329" s="1464"/>
      <c r="AC329" s="1464"/>
      <c r="AD329" s="1464"/>
      <c r="AE329" s="1464"/>
      <c r="AF329" s="1464"/>
      <c r="AG329" s="1464"/>
      <c r="AH329" s="1465"/>
      <c r="AI329" s="1465"/>
      <c r="AJ329" s="1464"/>
      <c r="AK329" s="1464"/>
      <c r="AL329" s="1464"/>
      <c r="AM329" s="1464"/>
      <c r="AN329" s="1464"/>
      <c r="AO329" s="1464"/>
      <c r="AP329" s="1464"/>
      <c r="AQ329" s="1464"/>
      <c r="AR329" s="1464"/>
      <c r="AS329" s="1464"/>
      <c r="AT329" s="1464"/>
      <c r="AU329" s="1464"/>
      <c r="AV329" s="1464"/>
      <c r="AW329" s="1464"/>
      <c r="AX329" s="1464"/>
      <c r="AY329" s="1464"/>
      <c r="AZ329" s="1464"/>
      <c r="BA329" s="1464"/>
      <c r="BB329" s="1464"/>
      <c r="BC329" s="1464"/>
      <c r="BD329" s="1464"/>
      <c r="BE329" s="1464"/>
      <c r="BF329" s="1464"/>
      <c r="BG329" s="1464"/>
      <c r="BH329" s="1464"/>
      <c r="BI329" s="1464"/>
      <c r="BJ329" s="1464"/>
      <c r="BK329" s="1464"/>
      <c r="BL329" s="1464"/>
      <c r="BM329" s="1464"/>
      <c r="BN329" s="1464"/>
      <c r="BO329" s="1464"/>
      <c r="BP329" s="1464"/>
      <c r="BQ329" s="1464"/>
      <c r="BR329" s="1464"/>
      <c r="BS329" s="1464"/>
      <c r="BT329" s="1464"/>
      <c r="BU329" s="1464"/>
      <c r="BV329" s="1464"/>
      <c r="BW329" s="1464"/>
      <c r="BX329" s="1464"/>
      <c r="BY329" s="1464"/>
      <c r="BZ329" s="1464"/>
      <c r="CA329" s="1464"/>
      <c r="CB329" s="1464"/>
      <c r="CC329" s="1464"/>
      <c r="CD329" s="1464"/>
      <c r="CE329" s="1464"/>
      <c r="CF329" s="1464"/>
      <c r="CG329" s="1464"/>
      <c r="CH329" s="1464"/>
      <c r="CI329" s="1464"/>
      <c r="CJ329" s="1464"/>
      <c r="CK329" s="1464"/>
      <c r="CL329" s="1464"/>
      <c r="CM329" s="1464"/>
      <c r="CN329" s="1464"/>
      <c r="CO329" s="1464"/>
      <c r="CP329" s="1464"/>
      <c r="CQ329" s="1464"/>
      <c r="CR329" s="1464"/>
      <c r="CS329" s="1464"/>
      <c r="CT329" s="1464"/>
      <c r="CU329" s="1464"/>
      <c r="CV329" s="1464"/>
      <c r="CW329" s="1464"/>
      <c r="CX329" s="1464"/>
      <c r="CY329" s="1464"/>
      <c r="CZ329" s="1464"/>
      <c r="DA329" s="1464"/>
      <c r="DB329" s="1464"/>
      <c r="DC329" s="1464"/>
      <c r="DD329" s="1464"/>
      <c r="DE329" s="1464"/>
      <c r="DF329" s="1464"/>
      <c r="DG329" s="1464"/>
      <c r="DH329" s="1464"/>
      <c r="DI329" s="1464"/>
      <c r="DJ329" s="1464"/>
      <c r="DK329" s="1464"/>
      <c r="DL329" s="1464"/>
      <c r="DM329" s="1464"/>
      <c r="DN329" s="1464"/>
      <c r="DO329" s="1464"/>
      <c r="DP329" s="1464"/>
      <c r="DQ329" s="1464"/>
      <c r="DR329" s="1464"/>
      <c r="DS329" s="1464"/>
      <c r="DT329" s="1464"/>
      <c r="DU329" s="1464"/>
      <c r="DV329" s="1464"/>
      <c r="DW329" s="1464"/>
      <c r="DX329" s="1464"/>
      <c r="DY329" s="1464"/>
      <c r="DZ329" s="1464"/>
      <c r="EA329" s="1464"/>
      <c r="EB329" s="1464"/>
      <c r="EC329" s="1464"/>
      <c r="ED329" s="1464"/>
      <c r="EE329" s="1464"/>
      <c r="EF329" s="1464"/>
      <c r="EG329" s="1464"/>
      <c r="EH329" s="1464"/>
      <c r="EI329" s="1464"/>
      <c r="EJ329" s="1464"/>
      <c r="EK329" s="1464"/>
      <c r="EL329" s="1464"/>
      <c r="EM329" s="1464"/>
      <c r="EN329" s="1464"/>
      <c r="EO329" s="1464"/>
      <c r="EP329" s="1464"/>
      <c r="EQ329" s="1464"/>
      <c r="ER329" s="1464"/>
      <c r="ES329" s="1464"/>
      <c r="ET329" s="1464"/>
      <c r="EU329" s="1464"/>
      <c r="EV329" s="1464"/>
      <c r="EW329" s="1464"/>
      <c r="EX329" s="1464"/>
      <c r="EY329" s="1464"/>
      <c r="EZ329" s="1464"/>
      <c r="FA329" s="1464"/>
      <c r="FB329" s="1464"/>
      <c r="FC329" s="1464"/>
      <c r="FD329" s="1464"/>
      <c r="FE329" s="1464"/>
      <c r="FF329" s="1464"/>
    </row>
    <row r="331" spans="6:162" s="1466" customFormat="1" ht="15.75" customHeight="1">
      <c r="F331" s="1464"/>
      <c r="G331" s="1464"/>
      <c r="H331" s="1464"/>
      <c r="I331" s="1464"/>
      <c r="J331" s="1464"/>
      <c r="K331" s="1464"/>
      <c r="L331" s="1464"/>
      <c r="M331" s="1464"/>
      <c r="N331" s="1464"/>
      <c r="O331" s="1464"/>
      <c r="P331" s="1464"/>
      <c r="Q331" s="1464"/>
      <c r="R331" s="1464"/>
      <c r="S331" s="1464"/>
      <c r="T331" s="1464"/>
      <c r="U331" s="1464"/>
      <c r="V331" s="1464"/>
      <c r="W331" s="1464"/>
      <c r="X331" s="1464"/>
      <c r="Y331" s="1464"/>
      <c r="AA331" s="1464"/>
      <c r="AC331" s="1464"/>
      <c r="AD331" s="1464"/>
      <c r="AE331" s="1464"/>
      <c r="AF331" s="1464"/>
      <c r="AG331" s="1464"/>
      <c r="AH331" s="1465"/>
      <c r="AI331" s="1465"/>
      <c r="AJ331" s="1464"/>
      <c r="AK331" s="1464"/>
      <c r="AL331" s="1464"/>
      <c r="AM331" s="1464"/>
      <c r="AN331" s="1464"/>
      <c r="AO331" s="1464"/>
      <c r="AP331" s="1464"/>
      <c r="AQ331" s="1464"/>
      <c r="AR331" s="1464"/>
      <c r="AS331" s="1464"/>
      <c r="AT331" s="1464"/>
      <c r="AU331" s="1464"/>
      <c r="AV331" s="1464"/>
      <c r="AW331" s="1464"/>
      <c r="AX331" s="1464"/>
      <c r="AY331" s="1464"/>
      <c r="AZ331" s="1464"/>
      <c r="BA331" s="1464"/>
      <c r="BB331" s="1464"/>
      <c r="BC331" s="1464"/>
      <c r="BD331" s="1464"/>
      <c r="BE331" s="1464"/>
      <c r="BF331" s="1464"/>
      <c r="BG331" s="1464"/>
      <c r="BH331" s="1464"/>
      <c r="BI331" s="1464"/>
      <c r="BJ331" s="1464"/>
      <c r="BK331" s="1464"/>
      <c r="BL331" s="1464"/>
      <c r="BM331" s="1464"/>
      <c r="BN331" s="1464"/>
      <c r="BO331" s="1464"/>
      <c r="BP331" s="1464"/>
      <c r="BQ331" s="1464"/>
      <c r="BR331" s="1464"/>
      <c r="BS331" s="1464"/>
      <c r="BT331" s="1464"/>
      <c r="BU331" s="1464"/>
      <c r="BV331" s="1464"/>
      <c r="BW331" s="1464"/>
      <c r="BX331" s="1464"/>
      <c r="BY331" s="1464"/>
      <c r="BZ331" s="1464"/>
      <c r="CA331" s="1464"/>
      <c r="CB331" s="1464"/>
      <c r="CC331" s="1464"/>
      <c r="CD331" s="1464"/>
      <c r="CE331" s="1464"/>
      <c r="CF331" s="1464"/>
      <c r="CG331" s="1464"/>
      <c r="CH331" s="1464"/>
      <c r="CI331" s="1464"/>
      <c r="CJ331" s="1464"/>
      <c r="CK331" s="1464"/>
      <c r="CL331" s="1464"/>
      <c r="CM331" s="1464"/>
      <c r="CN331" s="1464"/>
      <c r="CO331" s="1464"/>
      <c r="CP331" s="1464"/>
      <c r="CQ331" s="1464"/>
      <c r="CR331" s="1464"/>
      <c r="CS331" s="1464"/>
      <c r="CT331" s="1464"/>
      <c r="CU331" s="1464"/>
      <c r="CV331" s="1464"/>
      <c r="CW331" s="1464"/>
      <c r="CX331" s="1464"/>
      <c r="CY331" s="1464"/>
      <c r="CZ331" s="1464"/>
      <c r="DA331" s="1464"/>
      <c r="DB331" s="1464"/>
      <c r="DC331" s="1464"/>
      <c r="DD331" s="1464"/>
      <c r="DE331" s="1464"/>
      <c r="DF331" s="1464"/>
      <c r="DG331" s="1464"/>
      <c r="DH331" s="1464"/>
      <c r="DI331" s="1464"/>
      <c r="DJ331" s="1464"/>
      <c r="DK331" s="1464"/>
      <c r="DL331" s="1464"/>
      <c r="DM331" s="1464"/>
      <c r="DN331" s="1464"/>
      <c r="DO331" s="1464"/>
      <c r="DP331" s="1464"/>
      <c r="DQ331" s="1464"/>
      <c r="DR331" s="1464"/>
      <c r="DS331" s="1464"/>
      <c r="DT331" s="1464"/>
      <c r="DU331" s="1464"/>
      <c r="DV331" s="1464"/>
      <c r="DW331" s="1464"/>
      <c r="DX331" s="1464"/>
      <c r="DY331" s="1464"/>
      <c r="DZ331" s="1464"/>
      <c r="EA331" s="1464"/>
      <c r="EB331" s="1464"/>
      <c r="EC331" s="1464"/>
      <c r="ED331" s="1464"/>
      <c r="EE331" s="1464"/>
      <c r="EF331" s="1464"/>
      <c r="EG331" s="1464"/>
      <c r="EH331" s="1464"/>
      <c r="EI331" s="1464"/>
      <c r="EJ331" s="1464"/>
      <c r="EK331" s="1464"/>
      <c r="EL331" s="1464"/>
      <c r="EM331" s="1464"/>
      <c r="EN331" s="1464"/>
      <c r="EO331" s="1464"/>
      <c r="EP331" s="1464"/>
      <c r="EQ331" s="1464"/>
      <c r="ER331" s="1464"/>
      <c r="ES331" s="1464"/>
      <c r="ET331" s="1464"/>
      <c r="EU331" s="1464"/>
      <c r="EV331" s="1464"/>
      <c r="EW331" s="1464"/>
      <c r="EX331" s="1464"/>
      <c r="EY331" s="1464"/>
      <c r="EZ331" s="1464"/>
      <c r="FA331" s="1464"/>
      <c r="FB331" s="1464"/>
      <c r="FC331" s="1464"/>
      <c r="FD331" s="1464"/>
      <c r="FE331" s="1464"/>
      <c r="FF331" s="1464"/>
    </row>
    <row r="333" spans="6:162" s="1466" customFormat="1" ht="15.75" customHeight="1">
      <c r="F333" s="1464"/>
      <c r="G333" s="1464"/>
      <c r="H333" s="1464"/>
      <c r="I333" s="1464"/>
      <c r="J333" s="1464"/>
      <c r="K333" s="1464"/>
      <c r="L333" s="1464"/>
      <c r="M333" s="1464"/>
      <c r="N333" s="1464"/>
      <c r="O333" s="1464"/>
      <c r="P333" s="1464"/>
      <c r="Q333" s="1464"/>
      <c r="R333" s="1464"/>
      <c r="S333" s="1464"/>
      <c r="T333" s="1464"/>
      <c r="U333" s="1464"/>
      <c r="V333" s="1464"/>
      <c r="W333" s="1464"/>
      <c r="X333" s="1464"/>
      <c r="Y333" s="1464"/>
      <c r="AA333" s="1464"/>
      <c r="AC333" s="1464"/>
      <c r="AD333" s="1464"/>
      <c r="AE333" s="1464"/>
      <c r="AF333" s="1464"/>
      <c r="AG333" s="1464"/>
      <c r="AH333" s="1465"/>
      <c r="AI333" s="1465"/>
      <c r="AJ333" s="1464"/>
      <c r="AK333" s="1464"/>
      <c r="AL333" s="1464"/>
      <c r="AM333" s="1464"/>
      <c r="AN333" s="1464"/>
      <c r="AO333" s="1464"/>
      <c r="AP333" s="1464"/>
      <c r="AQ333" s="1464"/>
      <c r="AR333" s="1464"/>
      <c r="AS333" s="1464"/>
      <c r="AT333" s="1464"/>
      <c r="AU333" s="1464"/>
      <c r="AV333" s="1464"/>
      <c r="AW333" s="1464"/>
      <c r="AX333" s="1464"/>
      <c r="AY333" s="1464"/>
      <c r="AZ333" s="1464"/>
      <c r="BA333" s="1464"/>
      <c r="BB333" s="1464"/>
      <c r="BC333" s="1464"/>
      <c r="BD333" s="1464"/>
      <c r="BE333" s="1464"/>
      <c r="BF333" s="1464"/>
      <c r="BG333" s="1464"/>
      <c r="BH333" s="1464"/>
      <c r="BI333" s="1464"/>
      <c r="BJ333" s="1464"/>
      <c r="BK333" s="1464"/>
      <c r="BL333" s="1464"/>
      <c r="BM333" s="1464"/>
      <c r="BN333" s="1464"/>
      <c r="BO333" s="1464"/>
      <c r="BP333" s="1464"/>
      <c r="BQ333" s="1464"/>
      <c r="BR333" s="1464"/>
      <c r="BS333" s="1464"/>
      <c r="BT333" s="1464"/>
      <c r="BU333" s="1464"/>
      <c r="BV333" s="1464"/>
      <c r="BW333" s="1464"/>
      <c r="BX333" s="1464"/>
      <c r="BY333" s="1464"/>
      <c r="BZ333" s="1464"/>
      <c r="CA333" s="1464"/>
      <c r="CB333" s="1464"/>
      <c r="CC333" s="1464"/>
      <c r="CD333" s="1464"/>
      <c r="CE333" s="1464"/>
      <c r="CF333" s="1464"/>
      <c r="CG333" s="1464"/>
      <c r="CH333" s="1464"/>
      <c r="CI333" s="1464"/>
      <c r="CJ333" s="1464"/>
      <c r="CK333" s="1464"/>
      <c r="CL333" s="1464"/>
      <c r="CM333" s="1464"/>
      <c r="CN333" s="1464"/>
      <c r="CO333" s="1464"/>
      <c r="CP333" s="1464"/>
      <c r="CQ333" s="1464"/>
      <c r="CR333" s="1464"/>
      <c r="CS333" s="1464"/>
      <c r="CT333" s="1464"/>
      <c r="CU333" s="1464"/>
      <c r="CV333" s="1464"/>
      <c r="CW333" s="1464"/>
      <c r="CX333" s="1464"/>
      <c r="CY333" s="1464"/>
      <c r="CZ333" s="1464"/>
      <c r="DA333" s="1464"/>
      <c r="DB333" s="1464"/>
      <c r="DC333" s="1464"/>
      <c r="DD333" s="1464"/>
      <c r="DE333" s="1464"/>
      <c r="DF333" s="1464"/>
      <c r="DG333" s="1464"/>
      <c r="DH333" s="1464"/>
      <c r="DI333" s="1464"/>
      <c r="DJ333" s="1464"/>
      <c r="DK333" s="1464"/>
      <c r="DL333" s="1464"/>
      <c r="DM333" s="1464"/>
      <c r="DN333" s="1464"/>
      <c r="DO333" s="1464"/>
      <c r="DP333" s="1464"/>
      <c r="DQ333" s="1464"/>
      <c r="DR333" s="1464"/>
      <c r="DS333" s="1464"/>
      <c r="DT333" s="1464"/>
      <c r="DU333" s="1464"/>
      <c r="DV333" s="1464"/>
      <c r="DW333" s="1464"/>
      <c r="DX333" s="1464"/>
      <c r="DY333" s="1464"/>
      <c r="DZ333" s="1464"/>
      <c r="EA333" s="1464"/>
      <c r="EB333" s="1464"/>
      <c r="EC333" s="1464"/>
      <c r="ED333" s="1464"/>
      <c r="EE333" s="1464"/>
      <c r="EF333" s="1464"/>
      <c r="EG333" s="1464"/>
      <c r="EH333" s="1464"/>
      <c r="EI333" s="1464"/>
      <c r="EJ333" s="1464"/>
      <c r="EK333" s="1464"/>
      <c r="EL333" s="1464"/>
      <c r="EM333" s="1464"/>
      <c r="EN333" s="1464"/>
      <c r="EO333" s="1464"/>
      <c r="EP333" s="1464"/>
      <c r="EQ333" s="1464"/>
      <c r="ER333" s="1464"/>
      <c r="ES333" s="1464"/>
      <c r="ET333" s="1464"/>
      <c r="EU333" s="1464"/>
      <c r="EV333" s="1464"/>
      <c r="EW333" s="1464"/>
      <c r="EX333" s="1464"/>
      <c r="EY333" s="1464"/>
      <c r="EZ333" s="1464"/>
      <c r="FA333" s="1464"/>
      <c r="FB333" s="1464"/>
      <c r="FC333" s="1464"/>
      <c r="FD333" s="1464"/>
      <c r="FE333" s="1464"/>
      <c r="FF333" s="1464"/>
    </row>
    <row r="335" spans="6:162" s="1466" customFormat="1" ht="15.75" customHeight="1">
      <c r="F335" s="1464"/>
      <c r="G335" s="1464"/>
      <c r="H335" s="1464"/>
      <c r="I335" s="1464"/>
      <c r="J335" s="1464"/>
      <c r="K335" s="1464"/>
      <c r="L335" s="1464"/>
      <c r="M335" s="1464"/>
      <c r="N335" s="1464"/>
      <c r="O335" s="1464"/>
      <c r="P335" s="1464"/>
      <c r="Q335" s="1464"/>
      <c r="R335" s="1464"/>
      <c r="S335" s="1464"/>
      <c r="T335" s="1464"/>
      <c r="U335" s="1464"/>
      <c r="V335" s="1464"/>
      <c r="W335" s="1464"/>
      <c r="X335" s="1464"/>
      <c r="Y335" s="1464"/>
      <c r="AA335" s="1464"/>
      <c r="AC335" s="1464"/>
      <c r="AD335" s="1464"/>
      <c r="AE335" s="1464"/>
      <c r="AF335" s="1464"/>
      <c r="AG335" s="1464"/>
      <c r="AH335" s="1465"/>
      <c r="AI335" s="1465"/>
      <c r="AJ335" s="1464"/>
      <c r="AK335" s="1464"/>
      <c r="AL335" s="1464"/>
      <c r="AM335" s="1464"/>
      <c r="AN335" s="1464"/>
      <c r="AO335" s="1464"/>
      <c r="AP335" s="1464"/>
      <c r="AQ335" s="1464"/>
      <c r="AR335" s="1464"/>
      <c r="AS335" s="1464"/>
      <c r="AT335" s="1464"/>
      <c r="AU335" s="1464"/>
      <c r="AV335" s="1464"/>
      <c r="AW335" s="1464"/>
      <c r="AX335" s="1464"/>
      <c r="AY335" s="1464"/>
      <c r="AZ335" s="1464"/>
      <c r="BA335" s="1464"/>
      <c r="BB335" s="1464"/>
      <c r="BC335" s="1464"/>
      <c r="BD335" s="1464"/>
      <c r="BE335" s="1464"/>
      <c r="BF335" s="1464"/>
      <c r="BG335" s="1464"/>
      <c r="BH335" s="1464"/>
      <c r="BI335" s="1464"/>
      <c r="BJ335" s="1464"/>
      <c r="BK335" s="1464"/>
      <c r="BL335" s="1464"/>
      <c r="BM335" s="1464"/>
      <c r="BN335" s="1464"/>
      <c r="BO335" s="1464"/>
      <c r="BP335" s="1464"/>
      <c r="BQ335" s="1464"/>
      <c r="BR335" s="1464"/>
      <c r="BS335" s="1464"/>
      <c r="BT335" s="1464"/>
      <c r="BU335" s="1464"/>
      <c r="BV335" s="1464"/>
      <c r="BW335" s="1464"/>
      <c r="BX335" s="1464"/>
      <c r="BY335" s="1464"/>
      <c r="BZ335" s="1464"/>
      <c r="CA335" s="1464"/>
      <c r="CB335" s="1464"/>
      <c r="CC335" s="1464"/>
      <c r="CD335" s="1464"/>
      <c r="CE335" s="1464"/>
      <c r="CF335" s="1464"/>
      <c r="CG335" s="1464"/>
      <c r="CH335" s="1464"/>
      <c r="CI335" s="1464"/>
      <c r="CJ335" s="1464"/>
      <c r="CK335" s="1464"/>
      <c r="CL335" s="1464"/>
      <c r="CM335" s="1464"/>
      <c r="CN335" s="1464"/>
      <c r="CO335" s="1464"/>
      <c r="CP335" s="1464"/>
      <c r="CQ335" s="1464"/>
      <c r="CR335" s="1464"/>
      <c r="CS335" s="1464"/>
      <c r="CT335" s="1464"/>
      <c r="CU335" s="1464"/>
      <c r="CV335" s="1464"/>
      <c r="CW335" s="1464"/>
      <c r="CX335" s="1464"/>
      <c r="CY335" s="1464"/>
      <c r="CZ335" s="1464"/>
      <c r="DA335" s="1464"/>
      <c r="DB335" s="1464"/>
      <c r="DC335" s="1464"/>
      <c r="DD335" s="1464"/>
      <c r="DE335" s="1464"/>
      <c r="DF335" s="1464"/>
      <c r="DG335" s="1464"/>
      <c r="DH335" s="1464"/>
      <c r="DI335" s="1464"/>
      <c r="DJ335" s="1464"/>
      <c r="DK335" s="1464"/>
      <c r="DL335" s="1464"/>
      <c r="DM335" s="1464"/>
      <c r="DN335" s="1464"/>
      <c r="DO335" s="1464"/>
      <c r="DP335" s="1464"/>
      <c r="DQ335" s="1464"/>
      <c r="DR335" s="1464"/>
      <c r="DS335" s="1464"/>
      <c r="DT335" s="1464"/>
      <c r="DU335" s="1464"/>
      <c r="DV335" s="1464"/>
      <c r="DW335" s="1464"/>
      <c r="DX335" s="1464"/>
      <c r="DY335" s="1464"/>
      <c r="DZ335" s="1464"/>
      <c r="EA335" s="1464"/>
      <c r="EB335" s="1464"/>
      <c r="EC335" s="1464"/>
      <c r="ED335" s="1464"/>
      <c r="EE335" s="1464"/>
      <c r="EF335" s="1464"/>
      <c r="EG335" s="1464"/>
      <c r="EH335" s="1464"/>
      <c r="EI335" s="1464"/>
      <c r="EJ335" s="1464"/>
      <c r="EK335" s="1464"/>
      <c r="EL335" s="1464"/>
      <c r="EM335" s="1464"/>
      <c r="EN335" s="1464"/>
      <c r="EO335" s="1464"/>
      <c r="EP335" s="1464"/>
      <c r="EQ335" s="1464"/>
      <c r="ER335" s="1464"/>
      <c r="ES335" s="1464"/>
      <c r="ET335" s="1464"/>
      <c r="EU335" s="1464"/>
      <c r="EV335" s="1464"/>
      <c r="EW335" s="1464"/>
      <c r="EX335" s="1464"/>
      <c r="EY335" s="1464"/>
      <c r="EZ335" s="1464"/>
      <c r="FA335" s="1464"/>
      <c r="FB335" s="1464"/>
      <c r="FC335" s="1464"/>
      <c r="FD335" s="1464"/>
      <c r="FE335" s="1464"/>
      <c r="FF335" s="1464"/>
    </row>
    <row r="337" spans="6:162" s="1466" customFormat="1" ht="15.75" customHeight="1">
      <c r="F337" s="1464"/>
      <c r="G337" s="1464"/>
      <c r="H337" s="1464"/>
      <c r="I337" s="1464"/>
      <c r="J337" s="1464"/>
      <c r="K337" s="1464"/>
      <c r="L337" s="1464"/>
      <c r="M337" s="1464"/>
      <c r="N337" s="1464"/>
      <c r="O337" s="1464"/>
      <c r="P337" s="1464"/>
      <c r="Q337" s="1464"/>
      <c r="R337" s="1464"/>
      <c r="S337" s="1464"/>
      <c r="T337" s="1464"/>
      <c r="U337" s="1464"/>
      <c r="V337" s="1464"/>
      <c r="W337" s="1464"/>
      <c r="X337" s="1464"/>
      <c r="Y337" s="1464"/>
      <c r="AA337" s="1464"/>
      <c r="AC337" s="1464"/>
      <c r="AD337" s="1464"/>
      <c r="AE337" s="1464"/>
      <c r="AF337" s="1464"/>
      <c r="AG337" s="1464"/>
      <c r="AH337" s="1465"/>
      <c r="AI337" s="1465"/>
      <c r="AJ337" s="1464"/>
      <c r="AK337" s="1464"/>
      <c r="AL337" s="1464"/>
      <c r="AM337" s="1464"/>
      <c r="AN337" s="1464"/>
      <c r="AO337" s="1464"/>
      <c r="AP337" s="1464"/>
      <c r="AQ337" s="1464"/>
      <c r="AR337" s="1464"/>
      <c r="AS337" s="1464"/>
      <c r="AT337" s="1464"/>
      <c r="AU337" s="1464"/>
      <c r="AV337" s="1464"/>
      <c r="AW337" s="1464"/>
      <c r="AX337" s="1464"/>
      <c r="AY337" s="1464"/>
      <c r="AZ337" s="1464"/>
      <c r="BA337" s="1464"/>
      <c r="BB337" s="1464"/>
      <c r="BC337" s="1464"/>
      <c r="BD337" s="1464"/>
      <c r="BE337" s="1464"/>
      <c r="BF337" s="1464"/>
      <c r="BG337" s="1464"/>
      <c r="BH337" s="1464"/>
      <c r="BI337" s="1464"/>
      <c r="BJ337" s="1464"/>
      <c r="BK337" s="1464"/>
      <c r="BL337" s="1464"/>
      <c r="BM337" s="1464"/>
      <c r="BN337" s="1464"/>
      <c r="BO337" s="1464"/>
      <c r="BP337" s="1464"/>
      <c r="BQ337" s="1464"/>
      <c r="BR337" s="1464"/>
      <c r="BS337" s="1464"/>
      <c r="BT337" s="1464"/>
      <c r="BU337" s="1464"/>
      <c r="BV337" s="1464"/>
      <c r="BW337" s="1464"/>
      <c r="BX337" s="1464"/>
      <c r="BY337" s="1464"/>
      <c r="BZ337" s="1464"/>
      <c r="CA337" s="1464"/>
      <c r="CB337" s="1464"/>
      <c r="CC337" s="1464"/>
      <c r="CD337" s="1464"/>
      <c r="CE337" s="1464"/>
      <c r="CF337" s="1464"/>
      <c r="CG337" s="1464"/>
      <c r="CH337" s="1464"/>
      <c r="CI337" s="1464"/>
      <c r="CJ337" s="1464"/>
      <c r="CK337" s="1464"/>
      <c r="CL337" s="1464"/>
      <c r="CM337" s="1464"/>
      <c r="CN337" s="1464"/>
      <c r="CO337" s="1464"/>
      <c r="CP337" s="1464"/>
      <c r="CQ337" s="1464"/>
      <c r="CR337" s="1464"/>
      <c r="CS337" s="1464"/>
      <c r="CT337" s="1464"/>
      <c r="CU337" s="1464"/>
      <c r="CV337" s="1464"/>
      <c r="CW337" s="1464"/>
      <c r="CX337" s="1464"/>
      <c r="CY337" s="1464"/>
      <c r="CZ337" s="1464"/>
      <c r="DA337" s="1464"/>
      <c r="DB337" s="1464"/>
      <c r="DC337" s="1464"/>
      <c r="DD337" s="1464"/>
      <c r="DE337" s="1464"/>
      <c r="DF337" s="1464"/>
      <c r="DG337" s="1464"/>
      <c r="DH337" s="1464"/>
      <c r="DI337" s="1464"/>
      <c r="DJ337" s="1464"/>
      <c r="DK337" s="1464"/>
      <c r="DL337" s="1464"/>
      <c r="DM337" s="1464"/>
      <c r="DN337" s="1464"/>
      <c r="DO337" s="1464"/>
      <c r="DP337" s="1464"/>
      <c r="DQ337" s="1464"/>
      <c r="DR337" s="1464"/>
      <c r="DS337" s="1464"/>
      <c r="DT337" s="1464"/>
      <c r="DU337" s="1464"/>
      <c r="DV337" s="1464"/>
      <c r="DW337" s="1464"/>
      <c r="DX337" s="1464"/>
      <c r="DY337" s="1464"/>
      <c r="DZ337" s="1464"/>
      <c r="EA337" s="1464"/>
      <c r="EB337" s="1464"/>
      <c r="EC337" s="1464"/>
      <c r="ED337" s="1464"/>
      <c r="EE337" s="1464"/>
      <c r="EF337" s="1464"/>
      <c r="EG337" s="1464"/>
      <c r="EH337" s="1464"/>
      <c r="EI337" s="1464"/>
      <c r="EJ337" s="1464"/>
      <c r="EK337" s="1464"/>
      <c r="EL337" s="1464"/>
      <c r="EM337" s="1464"/>
      <c r="EN337" s="1464"/>
      <c r="EO337" s="1464"/>
      <c r="EP337" s="1464"/>
      <c r="EQ337" s="1464"/>
      <c r="ER337" s="1464"/>
      <c r="ES337" s="1464"/>
      <c r="ET337" s="1464"/>
      <c r="EU337" s="1464"/>
      <c r="EV337" s="1464"/>
      <c r="EW337" s="1464"/>
      <c r="EX337" s="1464"/>
      <c r="EY337" s="1464"/>
      <c r="EZ337" s="1464"/>
      <c r="FA337" s="1464"/>
      <c r="FB337" s="1464"/>
      <c r="FC337" s="1464"/>
      <c r="FD337" s="1464"/>
      <c r="FE337" s="1464"/>
      <c r="FF337" s="1464"/>
    </row>
    <row r="339" spans="6:162" s="1466" customFormat="1" ht="15.75" customHeight="1">
      <c r="F339" s="1464"/>
      <c r="G339" s="1464"/>
      <c r="H339" s="1464"/>
      <c r="I339" s="1464"/>
      <c r="J339" s="1464"/>
      <c r="K339" s="1464"/>
      <c r="L339" s="1464"/>
      <c r="M339" s="1464"/>
      <c r="N339" s="1464"/>
      <c r="O339" s="1464"/>
      <c r="P339" s="1464"/>
      <c r="Q339" s="1464"/>
      <c r="R339" s="1464"/>
      <c r="S339" s="1464"/>
      <c r="T339" s="1464"/>
      <c r="U339" s="1464"/>
      <c r="V339" s="1464"/>
      <c r="W339" s="1464"/>
      <c r="X339" s="1464"/>
      <c r="Y339" s="1464"/>
      <c r="AA339" s="1464"/>
      <c r="AC339" s="1464"/>
      <c r="AD339" s="1464"/>
      <c r="AE339" s="1464"/>
      <c r="AF339" s="1464"/>
      <c r="AG339" s="1464"/>
      <c r="AH339" s="1465"/>
      <c r="AI339" s="1465"/>
      <c r="AJ339" s="1464"/>
      <c r="AK339" s="1464"/>
      <c r="AL339" s="1464"/>
      <c r="AM339" s="1464"/>
      <c r="AN339" s="1464"/>
      <c r="AO339" s="1464"/>
      <c r="AP339" s="1464"/>
      <c r="AQ339" s="1464"/>
      <c r="AR339" s="1464"/>
      <c r="AS339" s="1464"/>
      <c r="AT339" s="1464"/>
      <c r="AU339" s="1464"/>
      <c r="AV339" s="1464"/>
      <c r="AW339" s="1464"/>
      <c r="AX339" s="1464"/>
      <c r="AY339" s="1464"/>
      <c r="AZ339" s="1464"/>
      <c r="BA339" s="1464"/>
      <c r="BB339" s="1464"/>
      <c r="BC339" s="1464"/>
      <c r="BD339" s="1464"/>
      <c r="BE339" s="1464"/>
      <c r="BF339" s="1464"/>
      <c r="BG339" s="1464"/>
      <c r="BH339" s="1464"/>
      <c r="BI339" s="1464"/>
      <c r="BJ339" s="1464"/>
      <c r="BK339" s="1464"/>
      <c r="BL339" s="1464"/>
      <c r="BM339" s="1464"/>
      <c r="BN339" s="1464"/>
      <c r="BO339" s="1464"/>
      <c r="BP339" s="1464"/>
      <c r="BQ339" s="1464"/>
      <c r="BR339" s="1464"/>
      <c r="BS339" s="1464"/>
      <c r="BT339" s="1464"/>
      <c r="BU339" s="1464"/>
      <c r="BV339" s="1464"/>
      <c r="BW339" s="1464"/>
      <c r="BX339" s="1464"/>
      <c r="BY339" s="1464"/>
      <c r="BZ339" s="1464"/>
      <c r="CA339" s="1464"/>
      <c r="CB339" s="1464"/>
      <c r="CC339" s="1464"/>
      <c r="CD339" s="1464"/>
      <c r="CE339" s="1464"/>
      <c r="CF339" s="1464"/>
      <c r="CG339" s="1464"/>
      <c r="CH339" s="1464"/>
      <c r="CI339" s="1464"/>
      <c r="CJ339" s="1464"/>
      <c r="CK339" s="1464"/>
      <c r="CL339" s="1464"/>
      <c r="CM339" s="1464"/>
      <c r="CN339" s="1464"/>
      <c r="CO339" s="1464"/>
      <c r="CP339" s="1464"/>
      <c r="CQ339" s="1464"/>
      <c r="CR339" s="1464"/>
      <c r="CS339" s="1464"/>
      <c r="CT339" s="1464"/>
      <c r="CU339" s="1464"/>
      <c r="CV339" s="1464"/>
      <c r="CW339" s="1464"/>
      <c r="CX339" s="1464"/>
      <c r="CY339" s="1464"/>
      <c r="CZ339" s="1464"/>
      <c r="DA339" s="1464"/>
      <c r="DB339" s="1464"/>
      <c r="DC339" s="1464"/>
      <c r="DD339" s="1464"/>
      <c r="DE339" s="1464"/>
      <c r="DF339" s="1464"/>
      <c r="DG339" s="1464"/>
      <c r="DH339" s="1464"/>
      <c r="DI339" s="1464"/>
      <c r="DJ339" s="1464"/>
      <c r="DK339" s="1464"/>
      <c r="DL339" s="1464"/>
      <c r="DM339" s="1464"/>
      <c r="DN339" s="1464"/>
      <c r="DO339" s="1464"/>
      <c r="DP339" s="1464"/>
      <c r="DQ339" s="1464"/>
      <c r="DR339" s="1464"/>
      <c r="DS339" s="1464"/>
      <c r="DT339" s="1464"/>
      <c r="DU339" s="1464"/>
      <c r="DV339" s="1464"/>
      <c r="DW339" s="1464"/>
      <c r="DX339" s="1464"/>
      <c r="DY339" s="1464"/>
      <c r="DZ339" s="1464"/>
      <c r="EA339" s="1464"/>
      <c r="EB339" s="1464"/>
      <c r="EC339" s="1464"/>
      <c r="ED339" s="1464"/>
      <c r="EE339" s="1464"/>
      <c r="EF339" s="1464"/>
      <c r="EG339" s="1464"/>
      <c r="EH339" s="1464"/>
      <c r="EI339" s="1464"/>
      <c r="EJ339" s="1464"/>
      <c r="EK339" s="1464"/>
      <c r="EL339" s="1464"/>
      <c r="EM339" s="1464"/>
      <c r="EN339" s="1464"/>
      <c r="EO339" s="1464"/>
      <c r="EP339" s="1464"/>
      <c r="EQ339" s="1464"/>
      <c r="ER339" s="1464"/>
      <c r="ES339" s="1464"/>
      <c r="ET339" s="1464"/>
      <c r="EU339" s="1464"/>
      <c r="EV339" s="1464"/>
      <c r="EW339" s="1464"/>
      <c r="EX339" s="1464"/>
      <c r="EY339" s="1464"/>
      <c r="EZ339" s="1464"/>
      <c r="FA339" s="1464"/>
      <c r="FB339" s="1464"/>
      <c r="FC339" s="1464"/>
      <c r="FD339" s="1464"/>
      <c r="FE339" s="1464"/>
      <c r="FF339" s="1464"/>
    </row>
    <row r="341" spans="6:162" s="1466" customFormat="1" ht="15.75" customHeight="1">
      <c r="F341" s="1464"/>
      <c r="G341" s="1464"/>
      <c r="H341" s="1464"/>
      <c r="I341" s="1464"/>
      <c r="J341" s="1464"/>
      <c r="K341" s="1464"/>
      <c r="L341" s="1464"/>
      <c r="M341" s="1464"/>
      <c r="N341" s="1464"/>
      <c r="O341" s="1464"/>
      <c r="P341" s="1464"/>
      <c r="Q341" s="1464"/>
      <c r="R341" s="1464"/>
      <c r="S341" s="1464"/>
      <c r="T341" s="1464"/>
      <c r="U341" s="1464"/>
      <c r="V341" s="1464"/>
      <c r="W341" s="1464"/>
      <c r="X341" s="1464"/>
      <c r="Y341" s="1464"/>
      <c r="AA341" s="1464"/>
      <c r="AC341" s="1464"/>
      <c r="AD341" s="1464"/>
      <c r="AE341" s="1464"/>
      <c r="AF341" s="1464"/>
      <c r="AG341" s="1464"/>
      <c r="AH341" s="1465"/>
      <c r="AI341" s="1465"/>
      <c r="AJ341" s="1464"/>
      <c r="AK341" s="1464"/>
      <c r="AL341" s="1464"/>
      <c r="AM341" s="1464"/>
      <c r="AN341" s="1464"/>
      <c r="AO341" s="1464"/>
      <c r="AP341" s="1464"/>
      <c r="AQ341" s="1464"/>
      <c r="AR341" s="1464"/>
      <c r="AS341" s="1464"/>
      <c r="AT341" s="1464"/>
      <c r="AU341" s="1464"/>
      <c r="AV341" s="1464"/>
      <c r="AW341" s="1464"/>
      <c r="AX341" s="1464"/>
      <c r="AY341" s="1464"/>
      <c r="AZ341" s="1464"/>
      <c r="BA341" s="1464"/>
      <c r="BB341" s="1464"/>
      <c r="BC341" s="1464"/>
      <c r="BD341" s="1464"/>
      <c r="BE341" s="1464"/>
      <c r="BF341" s="1464"/>
      <c r="BG341" s="1464"/>
      <c r="BH341" s="1464"/>
      <c r="BI341" s="1464"/>
      <c r="BJ341" s="1464"/>
      <c r="BK341" s="1464"/>
      <c r="BL341" s="1464"/>
      <c r="BM341" s="1464"/>
      <c r="BN341" s="1464"/>
      <c r="BO341" s="1464"/>
      <c r="BP341" s="1464"/>
      <c r="BQ341" s="1464"/>
      <c r="BR341" s="1464"/>
      <c r="BS341" s="1464"/>
      <c r="BT341" s="1464"/>
      <c r="BU341" s="1464"/>
      <c r="BV341" s="1464"/>
      <c r="BW341" s="1464"/>
      <c r="BX341" s="1464"/>
      <c r="BY341" s="1464"/>
      <c r="BZ341" s="1464"/>
      <c r="CA341" s="1464"/>
      <c r="CB341" s="1464"/>
      <c r="CC341" s="1464"/>
      <c r="CD341" s="1464"/>
      <c r="CE341" s="1464"/>
      <c r="CF341" s="1464"/>
      <c r="CG341" s="1464"/>
      <c r="CH341" s="1464"/>
      <c r="CI341" s="1464"/>
      <c r="CJ341" s="1464"/>
      <c r="CK341" s="1464"/>
      <c r="CL341" s="1464"/>
      <c r="CM341" s="1464"/>
      <c r="CN341" s="1464"/>
      <c r="CO341" s="1464"/>
      <c r="CP341" s="1464"/>
      <c r="CQ341" s="1464"/>
      <c r="CR341" s="1464"/>
      <c r="CS341" s="1464"/>
      <c r="CT341" s="1464"/>
      <c r="CU341" s="1464"/>
      <c r="CV341" s="1464"/>
      <c r="CW341" s="1464"/>
      <c r="CX341" s="1464"/>
      <c r="CY341" s="1464"/>
      <c r="CZ341" s="1464"/>
      <c r="DA341" s="1464"/>
      <c r="DB341" s="1464"/>
      <c r="DC341" s="1464"/>
      <c r="DD341" s="1464"/>
      <c r="DE341" s="1464"/>
      <c r="DF341" s="1464"/>
      <c r="DG341" s="1464"/>
      <c r="DH341" s="1464"/>
      <c r="DI341" s="1464"/>
      <c r="DJ341" s="1464"/>
      <c r="DK341" s="1464"/>
      <c r="DL341" s="1464"/>
      <c r="DM341" s="1464"/>
      <c r="DN341" s="1464"/>
      <c r="DO341" s="1464"/>
      <c r="DP341" s="1464"/>
      <c r="DQ341" s="1464"/>
      <c r="DR341" s="1464"/>
      <c r="DS341" s="1464"/>
      <c r="DT341" s="1464"/>
      <c r="DU341" s="1464"/>
      <c r="DV341" s="1464"/>
      <c r="DW341" s="1464"/>
      <c r="DX341" s="1464"/>
      <c r="DY341" s="1464"/>
      <c r="DZ341" s="1464"/>
      <c r="EA341" s="1464"/>
      <c r="EB341" s="1464"/>
      <c r="EC341" s="1464"/>
      <c r="ED341" s="1464"/>
      <c r="EE341" s="1464"/>
      <c r="EF341" s="1464"/>
      <c r="EG341" s="1464"/>
      <c r="EH341" s="1464"/>
      <c r="EI341" s="1464"/>
      <c r="EJ341" s="1464"/>
      <c r="EK341" s="1464"/>
      <c r="EL341" s="1464"/>
      <c r="EM341" s="1464"/>
      <c r="EN341" s="1464"/>
      <c r="EO341" s="1464"/>
      <c r="EP341" s="1464"/>
      <c r="EQ341" s="1464"/>
      <c r="ER341" s="1464"/>
      <c r="ES341" s="1464"/>
      <c r="ET341" s="1464"/>
      <c r="EU341" s="1464"/>
      <c r="EV341" s="1464"/>
      <c r="EW341" s="1464"/>
      <c r="EX341" s="1464"/>
      <c r="EY341" s="1464"/>
      <c r="EZ341" s="1464"/>
      <c r="FA341" s="1464"/>
      <c r="FB341" s="1464"/>
      <c r="FC341" s="1464"/>
      <c r="FD341" s="1464"/>
      <c r="FE341" s="1464"/>
      <c r="FF341" s="1464"/>
    </row>
    <row r="343" spans="6:162" s="1466" customFormat="1" ht="15.75" customHeight="1">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AA343" s="1464"/>
      <c r="AC343" s="1464"/>
      <c r="AD343" s="1464"/>
      <c r="AE343" s="1464"/>
      <c r="AF343" s="1464"/>
      <c r="AG343" s="1464"/>
      <c r="AH343" s="1465"/>
      <c r="AI343" s="1465"/>
      <c r="AJ343" s="1464"/>
      <c r="AK343" s="1464"/>
      <c r="AL343" s="1464"/>
      <c r="AM343" s="1464"/>
      <c r="AN343" s="1464"/>
      <c r="AO343" s="1464"/>
      <c r="AP343" s="1464"/>
      <c r="AQ343" s="1464"/>
      <c r="AR343" s="1464"/>
      <c r="AS343" s="1464"/>
      <c r="AT343" s="1464"/>
      <c r="AU343" s="1464"/>
      <c r="AV343" s="1464"/>
      <c r="AW343" s="1464"/>
      <c r="AX343" s="1464"/>
      <c r="AY343" s="1464"/>
      <c r="AZ343" s="1464"/>
      <c r="BA343" s="1464"/>
      <c r="BB343" s="1464"/>
      <c r="BC343" s="1464"/>
      <c r="BD343" s="1464"/>
      <c r="BE343" s="1464"/>
      <c r="BF343" s="1464"/>
      <c r="BG343" s="1464"/>
      <c r="BH343" s="1464"/>
      <c r="BI343" s="1464"/>
      <c r="BJ343" s="1464"/>
      <c r="BK343" s="1464"/>
      <c r="BL343" s="1464"/>
      <c r="BM343" s="1464"/>
      <c r="BN343" s="1464"/>
      <c r="BO343" s="1464"/>
      <c r="BP343" s="1464"/>
      <c r="BQ343" s="1464"/>
      <c r="BR343" s="1464"/>
      <c r="BS343" s="1464"/>
      <c r="BT343" s="1464"/>
      <c r="BU343" s="1464"/>
      <c r="BV343" s="1464"/>
      <c r="BW343" s="1464"/>
      <c r="BX343" s="1464"/>
      <c r="BY343" s="1464"/>
      <c r="BZ343" s="1464"/>
      <c r="CA343" s="1464"/>
      <c r="CB343" s="1464"/>
      <c r="CC343" s="1464"/>
      <c r="CD343" s="1464"/>
      <c r="CE343" s="1464"/>
      <c r="CF343" s="1464"/>
      <c r="CG343" s="1464"/>
      <c r="CH343" s="1464"/>
      <c r="CI343" s="1464"/>
      <c r="CJ343" s="1464"/>
      <c r="CK343" s="1464"/>
      <c r="CL343" s="1464"/>
      <c r="CM343" s="1464"/>
      <c r="CN343" s="1464"/>
      <c r="CO343" s="1464"/>
      <c r="CP343" s="1464"/>
      <c r="CQ343" s="1464"/>
      <c r="CR343" s="1464"/>
      <c r="CS343" s="1464"/>
      <c r="CT343" s="1464"/>
      <c r="CU343" s="1464"/>
      <c r="CV343" s="1464"/>
      <c r="CW343" s="1464"/>
      <c r="CX343" s="1464"/>
      <c r="CY343" s="1464"/>
      <c r="CZ343" s="1464"/>
      <c r="DA343" s="1464"/>
      <c r="DB343" s="1464"/>
      <c r="DC343" s="1464"/>
      <c r="DD343" s="1464"/>
      <c r="DE343" s="1464"/>
      <c r="DF343" s="1464"/>
      <c r="DG343" s="1464"/>
      <c r="DH343" s="1464"/>
      <c r="DI343" s="1464"/>
      <c r="DJ343" s="1464"/>
      <c r="DK343" s="1464"/>
      <c r="DL343" s="1464"/>
      <c r="DM343" s="1464"/>
      <c r="DN343" s="1464"/>
      <c r="DO343" s="1464"/>
      <c r="DP343" s="1464"/>
      <c r="DQ343" s="1464"/>
      <c r="DR343" s="1464"/>
      <c r="DS343" s="1464"/>
      <c r="DT343" s="1464"/>
      <c r="DU343" s="1464"/>
      <c r="DV343" s="1464"/>
      <c r="DW343" s="1464"/>
      <c r="DX343" s="1464"/>
      <c r="DY343" s="1464"/>
      <c r="DZ343" s="1464"/>
      <c r="EA343" s="1464"/>
      <c r="EB343" s="1464"/>
      <c r="EC343" s="1464"/>
      <c r="ED343" s="1464"/>
      <c r="EE343" s="1464"/>
      <c r="EF343" s="1464"/>
      <c r="EG343" s="1464"/>
      <c r="EH343" s="1464"/>
      <c r="EI343" s="1464"/>
      <c r="EJ343" s="1464"/>
      <c r="EK343" s="1464"/>
      <c r="EL343" s="1464"/>
      <c r="EM343" s="1464"/>
      <c r="EN343" s="1464"/>
      <c r="EO343" s="1464"/>
      <c r="EP343" s="1464"/>
      <c r="EQ343" s="1464"/>
      <c r="ER343" s="1464"/>
      <c r="ES343" s="1464"/>
      <c r="ET343" s="1464"/>
      <c r="EU343" s="1464"/>
      <c r="EV343" s="1464"/>
      <c r="EW343" s="1464"/>
      <c r="EX343" s="1464"/>
      <c r="EY343" s="1464"/>
      <c r="EZ343" s="1464"/>
      <c r="FA343" s="1464"/>
      <c r="FB343" s="1464"/>
      <c r="FC343" s="1464"/>
      <c r="FD343" s="1464"/>
      <c r="FE343" s="1464"/>
      <c r="FF343" s="1464"/>
    </row>
    <row r="345" spans="6:162" s="1466" customFormat="1" ht="15.75" customHeight="1">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AA345" s="1464"/>
      <c r="AC345" s="1464"/>
      <c r="AD345" s="1464"/>
      <c r="AE345" s="1464"/>
      <c r="AF345" s="1464"/>
      <c r="AG345" s="1464"/>
      <c r="AH345" s="1465"/>
      <c r="AI345" s="1465"/>
      <c r="AJ345" s="1464"/>
      <c r="AK345" s="1464"/>
      <c r="AL345" s="1464"/>
      <c r="AM345" s="1464"/>
      <c r="AN345" s="1464"/>
      <c r="AO345" s="1464"/>
      <c r="AP345" s="1464"/>
      <c r="AQ345" s="1464"/>
      <c r="AR345" s="1464"/>
      <c r="AS345" s="1464"/>
      <c r="AT345" s="1464"/>
      <c r="AU345" s="1464"/>
      <c r="AV345" s="1464"/>
      <c r="AW345" s="1464"/>
      <c r="AX345" s="1464"/>
      <c r="AY345" s="1464"/>
      <c r="AZ345" s="1464"/>
      <c r="BA345" s="1464"/>
      <c r="BB345" s="1464"/>
      <c r="BC345" s="1464"/>
      <c r="BD345" s="1464"/>
      <c r="BE345" s="1464"/>
      <c r="BF345" s="1464"/>
      <c r="BG345" s="1464"/>
      <c r="BH345" s="1464"/>
      <c r="BI345" s="1464"/>
      <c r="BJ345" s="1464"/>
      <c r="BK345" s="1464"/>
      <c r="BL345" s="1464"/>
      <c r="BM345" s="1464"/>
      <c r="BN345" s="1464"/>
      <c r="BO345" s="1464"/>
      <c r="BP345" s="1464"/>
      <c r="BQ345" s="1464"/>
      <c r="BR345" s="1464"/>
      <c r="BS345" s="1464"/>
      <c r="BT345" s="1464"/>
      <c r="BU345" s="1464"/>
      <c r="BV345" s="1464"/>
      <c r="BW345" s="1464"/>
      <c r="BX345" s="1464"/>
      <c r="BY345" s="1464"/>
      <c r="BZ345" s="1464"/>
      <c r="CA345" s="1464"/>
      <c r="CB345" s="1464"/>
      <c r="CC345" s="1464"/>
      <c r="CD345" s="1464"/>
      <c r="CE345" s="1464"/>
      <c r="CF345" s="1464"/>
      <c r="CG345" s="1464"/>
      <c r="CH345" s="1464"/>
      <c r="CI345" s="1464"/>
      <c r="CJ345" s="1464"/>
      <c r="CK345" s="1464"/>
      <c r="CL345" s="1464"/>
      <c r="CM345" s="1464"/>
      <c r="CN345" s="1464"/>
      <c r="CO345" s="1464"/>
      <c r="CP345" s="1464"/>
      <c r="CQ345" s="1464"/>
      <c r="CR345" s="1464"/>
      <c r="CS345" s="1464"/>
      <c r="CT345" s="1464"/>
      <c r="CU345" s="1464"/>
      <c r="CV345" s="1464"/>
      <c r="CW345" s="1464"/>
      <c r="CX345" s="1464"/>
      <c r="CY345" s="1464"/>
      <c r="CZ345" s="1464"/>
      <c r="DA345" s="1464"/>
      <c r="DB345" s="1464"/>
      <c r="DC345" s="1464"/>
      <c r="DD345" s="1464"/>
      <c r="DE345" s="1464"/>
      <c r="DF345" s="1464"/>
      <c r="DG345" s="1464"/>
      <c r="DH345" s="1464"/>
      <c r="DI345" s="1464"/>
      <c r="DJ345" s="1464"/>
      <c r="DK345" s="1464"/>
      <c r="DL345" s="1464"/>
      <c r="DM345" s="1464"/>
      <c r="DN345" s="1464"/>
      <c r="DO345" s="1464"/>
      <c r="DP345" s="1464"/>
      <c r="DQ345" s="1464"/>
      <c r="DR345" s="1464"/>
      <c r="DS345" s="1464"/>
      <c r="DT345" s="1464"/>
      <c r="DU345" s="1464"/>
      <c r="DV345" s="1464"/>
      <c r="DW345" s="1464"/>
      <c r="DX345" s="1464"/>
      <c r="DY345" s="1464"/>
      <c r="DZ345" s="1464"/>
      <c r="EA345" s="1464"/>
      <c r="EB345" s="1464"/>
      <c r="EC345" s="1464"/>
      <c r="ED345" s="1464"/>
      <c r="EE345" s="1464"/>
      <c r="EF345" s="1464"/>
      <c r="EG345" s="1464"/>
      <c r="EH345" s="1464"/>
      <c r="EI345" s="1464"/>
      <c r="EJ345" s="1464"/>
      <c r="EK345" s="1464"/>
      <c r="EL345" s="1464"/>
      <c r="EM345" s="1464"/>
      <c r="EN345" s="1464"/>
      <c r="EO345" s="1464"/>
      <c r="EP345" s="1464"/>
      <c r="EQ345" s="1464"/>
      <c r="ER345" s="1464"/>
      <c r="ES345" s="1464"/>
      <c r="ET345" s="1464"/>
      <c r="EU345" s="1464"/>
      <c r="EV345" s="1464"/>
      <c r="EW345" s="1464"/>
      <c r="EX345" s="1464"/>
      <c r="EY345" s="1464"/>
      <c r="EZ345" s="1464"/>
      <c r="FA345" s="1464"/>
      <c r="FB345" s="1464"/>
      <c r="FC345" s="1464"/>
      <c r="FD345" s="1464"/>
      <c r="FE345" s="1464"/>
      <c r="FF345" s="1464"/>
    </row>
    <row r="347" spans="6:162" s="1466" customFormat="1" ht="15.75" customHeight="1">
      <c r="F347" s="1464"/>
      <c r="G347" s="1464"/>
      <c r="H347" s="1464"/>
      <c r="I347" s="1464"/>
      <c r="J347" s="1464"/>
      <c r="K347" s="1464"/>
      <c r="L347" s="1464"/>
      <c r="M347" s="1464"/>
      <c r="N347" s="1464"/>
      <c r="O347" s="1464"/>
      <c r="P347" s="1464"/>
      <c r="Q347" s="1464"/>
      <c r="R347" s="1464"/>
      <c r="S347" s="1464"/>
      <c r="T347" s="1464"/>
      <c r="U347" s="1464"/>
      <c r="V347" s="1464"/>
      <c r="W347" s="1464"/>
      <c r="X347" s="1464"/>
      <c r="Y347" s="1464"/>
      <c r="AA347" s="1464"/>
      <c r="AC347" s="1464"/>
      <c r="AD347" s="1464"/>
      <c r="AE347" s="1464"/>
      <c r="AF347" s="1464"/>
      <c r="AG347" s="1464"/>
      <c r="AH347" s="1465"/>
      <c r="AI347" s="1465"/>
      <c r="AJ347" s="1464"/>
      <c r="AK347" s="1464"/>
      <c r="AL347" s="1464"/>
      <c r="AM347" s="1464"/>
      <c r="AN347" s="1464"/>
      <c r="AO347" s="1464"/>
      <c r="AP347" s="1464"/>
      <c r="AQ347" s="1464"/>
      <c r="AR347" s="1464"/>
      <c r="AS347" s="1464"/>
      <c r="AT347" s="1464"/>
      <c r="AU347" s="1464"/>
      <c r="AV347" s="1464"/>
      <c r="AW347" s="1464"/>
      <c r="AX347" s="1464"/>
      <c r="AY347" s="1464"/>
      <c r="AZ347" s="1464"/>
      <c r="BA347" s="1464"/>
      <c r="BB347" s="1464"/>
      <c r="BC347" s="1464"/>
      <c r="BD347" s="1464"/>
      <c r="BE347" s="1464"/>
      <c r="BF347" s="1464"/>
      <c r="BG347" s="1464"/>
      <c r="BH347" s="1464"/>
      <c r="BI347" s="1464"/>
      <c r="BJ347" s="1464"/>
      <c r="BK347" s="1464"/>
      <c r="BL347" s="1464"/>
      <c r="BM347" s="1464"/>
      <c r="BN347" s="1464"/>
      <c r="BO347" s="1464"/>
      <c r="BP347" s="1464"/>
      <c r="BQ347" s="1464"/>
      <c r="BR347" s="1464"/>
      <c r="BS347" s="1464"/>
      <c r="BT347" s="1464"/>
      <c r="BU347" s="1464"/>
      <c r="BV347" s="1464"/>
      <c r="BW347" s="1464"/>
      <c r="BX347" s="1464"/>
      <c r="BY347" s="1464"/>
      <c r="BZ347" s="1464"/>
      <c r="CA347" s="1464"/>
      <c r="CB347" s="1464"/>
      <c r="CC347" s="1464"/>
      <c r="CD347" s="1464"/>
      <c r="CE347" s="1464"/>
      <c r="CF347" s="1464"/>
      <c r="CG347" s="1464"/>
      <c r="CH347" s="1464"/>
      <c r="CI347" s="1464"/>
      <c r="CJ347" s="1464"/>
      <c r="CK347" s="1464"/>
      <c r="CL347" s="1464"/>
      <c r="CM347" s="1464"/>
      <c r="CN347" s="1464"/>
      <c r="CO347" s="1464"/>
      <c r="CP347" s="1464"/>
      <c r="CQ347" s="1464"/>
      <c r="CR347" s="1464"/>
      <c r="CS347" s="1464"/>
      <c r="CT347" s="1464"/>
      <c r="CU347" s="1464"/>
      <c r="CV347" s="1464"/>
      <c r="CW347" s="1464"/>
      <c r="CX347" s="1464"/>
      <c r="CY347" s="1464"/>
      <c r="CZ347" s="1464"/>
      <c r="DA347" s="1464"/>
      <c r="DB347" s="1464"/>
      <c r="DC347" s="1464"/>
      <c r="DD347" s="1464"/>
      <c r="DE347" s="1464"/>
      <c r="DF347" s="1464"/>
      <c r="DG347" s="1464"/>
      <c r="DH347" s="1464"/>
      <c r="DI347" s="1464"/>
      <c r="DJ347" s="1464"/>
      <c r="DK347" s="1464"/>
      <c r="DL347" s="1464"/>
      <c r="DM347" s="1464"/>
      <c r="DN347" s="1464"/>
      <c r="DO347" s="1464"/>
      <c r="DP347" s="1464"/>
      <c r="DQ347" s="1464"/>
      <c r="DR347" s="1464"/>
      <c r="DS347" s="1464"/>
      <c r="DT347" s="1464"/>
      <c r="DU347" s="1464"/>
      <c r="DV347" s="1464"/>
      <c r="DW347" s="1464"/>
      <c r="DX347" s="1464"/>
      <c r="DY347" s="1464"/>
      <c r="DZ347" s="1464"/>
      <c r="EA347" s="1464"/>
      <c r="EB347" s="1464"/>
      <c r="EC347" s="1464"/>
      <c r="ED347" s="1464"/>
      <c r="EE347" s="1464"/>
      <c r="EF347" s="1464"/>
      <c r="EG347" s="1464"/>
      <c r="EH347" s="1464"/>
      <c r="EI347" s="1464"/>
      <c r="EJ347" s="1464"/>
      <c r="EK347" s="1464"/>
      <c r="EL347" s="1464"/>
      <c r="EM347" s="1464"/>
      <c r="EN347" s="1464"/>
      <c r="EO347" s="1464"/>
      <c r="EP347" s="1464"/>
      <c r="EQ347" s="1464"/>
      <c r="ER347" s="1464"/>
      <c r="ES347" s="1464"/>
      <c r="ET347" s="1464"/>
      <c r="EU347" s="1464"/>
      <c r="EV347" s="1464"/>
      <c r="EW347" s="1464"/>
      <c r="EX347" s="1464"/>
      <c r="EY347" s="1464"/>
      <c r="EZ347" s="1464"/>
      <c r="FA347" s="1464"/>
      <c r="FB347" s="1464"/>
      <c r="FC347" s="1464"/>
      <c r="FD347" s="1464"/>
      <c r="FE347" s="1464"/>
      <c r="FF347" s="1464"/>
    </row>
    <row r="349" spans="6:162" s="1466" customFormat="1" ht="15.75" customHeight="1">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AA349" s="1464"/>
      <c r="AC349" s="1464"/>
      <c r="AD349" s="1464"/>
      <c r="AE349" s="1464"/>
      <c r="AF349" s="1464"/>
      <c r="AG349" s="1464"/>
      <c r="AH349" s="1465"/>
      <c r="AI349" s="1465"/>
      <c r="AJ349" s="1464"/>
      <c r="AK349" s="1464"/>
      <c r="AL349" s="1464"/>
      <c r="AM349" s="1464"/>
      <c r="AN349" s="1464"/>
      <c r="AO349" s="1464"/>
      <c r="AP349" s="1464"/>
      <c r="AQ349" s="1464"/>
      <c r="AR349" s="1464"/>
      <c r="AS349" s="1464"/>
      <c r="AT349" s="1464"/>
      <c r="AU349" s="1464"/>
      <c r="AV349" s="1464"/>
      <c r="AW349" s="1464"/>
      <c r="AX349" s="1464"/>
      <c r="AY349" s="1464"/>
      <c r="AZ349" s="1464"/>
      <c r="BA349" s="1464"/>
      <c r="BB349" s="1464"/>
      <c r="BC349" s="1464"/>
      <c r="BD349" s="1464"/>
      <c r="BE349" s="1464"/>
      <c r="BF349" s="1464"/>
      <c r="BG349" s="1464"/>
      <c r="BH349" s="1464"/>
      <c r="BI349" s="1464"/>
      <c r="BJ349" s="1464"/>
      <c r="BK349" s="1464"/>
      <c r="BL349" s="1464"/>
      <c r="BM349" s="1464"/>
      <c r="BN349" s="1464"/>
      <c r="BO349" s="1464"/>
      <c r="BP349" s="1464"/>
      <c r="BQ349" s="1464"/>
      <c r="BR349" s="1464"/>
      <c r="BS349" s="1464"/>
      <c r="BT349" s="1464"/>
      <c r="BU349" s="1464"/>
      <c r="BV349" s="1464"/>
      <c r="BW349" s="1464"/>
      <c r="BX349" s="1464"/>
      <c r="BY349" s="1464"/>
      <c r="BZ349" s="1464"/>
      <c r="CA349" s="1464"/>
      <c r="CB349" s="1464"/>
      <c r="CC349" s="1464"/>
      <c r="CD349" s="1464"/>
      <c r="CE349" s="1464"/>
      <c r="CF349" s="1464"/>
      <c r="CG349" s="1464"/>
      <c r="CH349" s="1464"/>
      <c r="CI349" s="1464"/>
      <c r="CJ349" s="1464"/>
      <c r="CK349" s="1464"/>
      <c r="CL349" s="1464"/>
      <c r="CM349" s="1464"/>
      <c r="CN349" s="1464"/>
      <c r="CO349" s="1464"/>
      <c r="CP349" s="1464"/>
      <c r="CQ349" s="1464"/>
      <c r="CR349" s="1464"/>
      <c r="CS349" s="1464"/>
      <c r="CT349" s="1464"/>
      <c r="CU349" s="1464"/>
      <c r="CV349" s="1464"/>
      <c r="CW349" s="1464"/>
      <c r="CX349" s="1464"/>
      <c r="CY349" s="1464"/>
      <c r="CZ349" s="1464"/>
      <c r="DA349" s="1464"/>
      <c r="DB349" s="1464"/>
      <c r="DC349" s="1464"/>
      <c r="DD349" s="1464"/>
      <c r="DE349" s="1464"/>
      <c r="DF349" s="1464"/>
      <c r="DG349" s="1464"/>
      <c r="DH349" s="1464"/>
      <c r="DI349" s="1464"/>
      <c r="DJ349" s="1464"/>
      <c r="DK349" s="1464"/>
      <c r="DL349" s="1464"/>
      <c r="DM349" s="1464"/>
      <c r="DN349" s="1464"/>
      <c r="DO349" s="1464"/>
      <c r="DP349" s="1464"/>
      <c r="DQ349" s="1464"/>
      <c r="DR349" s="1464"/>
      <c r="DS349" s="1464"/>
      <c r="DT349" s="1464"/>
      <c r="DU349" s="1464"/>
      <c r="DV349" s="1464"/>
      <c r="DW349" s="1464"/>
      <c r="DX349" s="1464"/>
      <c r="DY349" s="1464"/>
      <c r="DZ349" s="1464"/>
      <c r="EA349" s="1464"/>
      <c r="EB349" s="1464"/>
      <c r="EC349" s="1464"/>
      <c r="ED349" s="1464"/>
      <c r="EE349" s="1464"/>
      <c r="EF349" s="1464"/>
      <c r="EG349" s="1464"/>
      <c r="EH349" s="1464"/>
      <c r="EI349" s="1464"/>
      <c r="EJ349" s="1464"/>
      <c r="EK349" s="1464"/>
      <c r="EL349" s="1464"/>
      <c r="EM349" s="1464"/>
      <c r="EN349" s="1464"/>
      <c r="EO349" s="1464"/>
      <c r="EP349" s="1464"/>
      <c r="EQ349" s="1464"/>
      <c r="ER349" s="1464"/>
      <c r="ES349" s="1464"/>
      <c r="ET349" s="1464"/>
      <c r="EU349" s="1464"/>
      <c r="EV349" s="1464"/>
      <c r="EW349" s="1464"/>
      <c r="EX349" s="1464"/>
      <c r="EY349" s="1464"/>
      <c r="EZ349" s="1464"/>
      <c r="FA349" s="1464"/>
      <c r="FB349" s="1464"/>
      <c r="FC349" s="1464"/>
      <c r="FD349" s="1464"/>
      <c r="FE349" s="1464"/>
      <c r="FF349" s="1464"/>
    </row>
    <row r="351" spans="6:162" s="1466" customFormat="1" ht="15.75" customHeight="1">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AA351" s="1464"/>
      <c r="AC351" s="1464"/>
      <c r="AD351" s="1464"/>
      <c r="AE351" s="1464"/>
      <c r="AF351" s="1464"/>
      <c r="AG351" s="1464"/>
      <c r="AH351" s="1465"/>
      <c r="AI351" s="1465"/>
      <c r="AJ351" s="1464"/>
      <c r="AK351" s="1464"/>
      <c r="AL351" s="1464"/>
      <c r="AM351" s="1464"/>
      <c r="AN351" s="1464"/>
      <c r="AO351" s="1464"/>
      <c r="AP351" s="1464"/>
      <c r="AQ351" s="1464"/>
      <c r="AR351" s="1464"/>
      <c r="AS351" s="1464"/>
      <c r="AT351" s="1464"/>
      <c r="AU351" s="1464"/>
      <c r="AV351" s="1464"/>
      <c r="AW351" s="1464"/>
      <c r="AX351" s="1464"/>
      <c r="AY351" s="1464"/>
      <c r="AZ351" s="1464"/>
      <c r="BA351" s="1464"/>
      <c r="BB351" s="1464"/>
      <c r="BC351" s="1464"/>
      <c r="BD351" s="1464"/>
      <c r="BE351" s="1464"/>
      <c r="BF351" s="1464"/>
      <c r="BG351" s="1464"/>
      <c r="BH351" s="1464"/>
      <c r="BI351" s="1464"/>
      <c r="BJ351" s="1464"/>
      <c r="BK351" s="1464"/>
      <c r="BL351" s="1464"/>
      <c r="BM351" s="1464"/>
      <c r="BN351" s="1464"/>
      <c r="BO351" s="1464"/>
      <c r="BP351" s="1464"/>
      <c r="BQ351" s="1464"/>
      <c r="BR351" s="1464"/>
      <c r="BS351" s="1464"/>
      <c r="BT351" s="1464"/>
      <c r="BU351" s="1464"/>
      <c r="BV351" s="1464"/>
      <c r="BW351" s="1464"/>
      <c r="BX351" s="1464"/>
      <c r="BY351" s="1464"/>
      <c r="BZ351" s="1464"/>
      <c r="CA351" s="1464"/>
      <c r="CB351" s="1464"/>
      <c r="CC351" s="1464"/>
      <c r="CD351" s="1464"/>
      <c r="CE351" s="1464"/>
      <c r="CF351" s="1464"/>
      <c r="CG351" s="1464"/>
      <c r="CH351" s="1464"/>
      <c r="CI351" s="1464"/>
      <c r="CJ351" s="1464"/>
      <c r="CK351" s="1464"/>
      <c r="CL351" s="1464"/>
      <c r="CM351" s="1464"/>
      <c r="CN351" s="1464"/>
      <c r="CO351" s="1464"/>
      <c r="CP351" s="1464"/>
      <c r="CQ351" s="1464"/>
      <c r="CR351" s="1464"/>
      <c r="CS351" s="1464"/>
      <c r="CT351" s="1464"/>
      <c r="CU351" s="1464"/>
      <c r="CV351" s="1464"/>
      <c r="CW351" s="1464"/>
      <c r="CX351" s="1464"/>
      <c r="CY351" s="1464"/>
      <c r="CZ351" s="1464"/>
      <c r="DA351" s="1464"/>
      <c r="DB351" s="1464"/>
      <c r="DC351" s="1464"/>
      <c r="DD351" s="1464"/>
      <c r="DE351" s="1464"/>
      <c r="DF351" s="1464"/>
      <c r="DG351" s="1464"/>
      <c r="DH351" s="1464"/>
      <c r="DI351" s="1464"/>
      <c r="DJ351" s="1464"/>
      <c r="DK351" s="1464"/>
      <c r="DL351" s="1464"/>
      <c r="DM351" s="1464"/>
      <c r="DN351" s="1464"/>
      <c r="DO351" s="1464"/>
      <c r="DP351" s="1464"/>
      <c r="DQ351" s="1464"/>
      <c r="DR351" s="1464"/>
      <c r="DS351" s="1464"/>
      <c r="DT351" s="1464"/>
      <c r="DU351" s="1464"/>
      <c r="DV351" s="1464"/>
      <c r="DW351" s="1464"/>
      <c r="DX351" s="1464"/>
      <c r="DY351" s="1464"/>
      <c r="DZ351" s="1464"/>
      <c r="EA351" s="1464"/>
      <c r="EB351" s="1464"/>
      <c r="EC351" s="1464"/>
      <c r="ED351" s="1464"/>
      <c r="EE351" s="1464"/>
      <c r="EF351" s="1464"/>
      <c r="EG351" s="1464"/>
      <c r="EH351" s="1464"/>
      <c r="EI351" s="1464"/>
      <c r="EJ351" s="1464"/>
      <c r="EK351" s="1464"/>
      <c r="EL351" s="1464"/>
      <c r="EM351" s="1464"/>
      <c r="EN351" s="1464"/>
      <c r="EO351" s="1464"/>
      <c r="EP351" s="1464"/>
      <c r="EQ351" s="1464"/>
      <c r="ER351" s="1464"/>
      <c r="ES351" s="1464"/>
      <c r="ET351" s="1464"/>
      <c r="EU351" s="1464"/>
      <c r="EV351" s="1464"/>
      <c r="EW351" s="1464"/>
      <c r="EX351" s="1464"/>
      <c r="EY351" s="1464"/>
      <c r="EZ351" s="1464"/>
      <c r="FA351" s="1464"/>
      <c r="FB351" s="1464"/>
      <c r="FC351" s="1464"/>
      <c r="FD351" s="1464"/>
      <c r="FE351" s="1464"/>
      <c r="FF351" s="1464"/>
    </row>
    <row r="353" spans="6:162" s="1466" customFormat="1" ht="15.75" customHeight="1">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AA353" s="1464"/>
      <c r="AC353" s="1464"/>
      <c r="AD353" s="1464"/>
      <c r="AE353" s="1464"/>
      <c r="AF353" s="1464"/>
      <c r="AG353" s="1464"/>
      <c r="AH353" s="1465"/>
      <c r="AI353" s="1465"/>
      <c r="AJ353" s="1464"/>
      <c r="AK353" s="1464"/>
      <c r="AL353" s="1464"/>
      <c r="AM353" s="1464"/>
      <c r="AN353" s="1464"/>
      <c r="AO353" s="1464"/>
      <c r="AP353" s="1464"/>
      <c r="AQ353" s="1464"/>
      <c r="AR353" s="1464"/>
      <c r="AS353" s="1464"/>
      <c r="AT353" s="1464"/>
      <c r="AU353" s="1464"/>
      <c r="AV353" s="1464"/>
      <c r="AW353" s="1464"/>
      <c r="AX353" s="1464"/>
      <c r="AY353" s="1464"/>
      <c r="AZ353" s="1464"/>
      <c r="BA353" s="1464"/>
      <c r="BB353" s="1464"/>
      <c r="BC353" s="1464"/>
      <c r="BD353" s="1464"/>
      <c r="BE353" s="1464"/>
      <c r="BF353" s="1464"/>
      <c r="BG353" s="1464"/>
      <c r="BH353" s="1464"/>
      <c r="BI353" s="1464"/>
      <c r="BJ353" s="1464"/>
      <c r="BK353" s="1464"/>
      <c r="BL353" s="1464"/>
      <c r="BM353" s="1464"/>
      <c r="BN353" s="1464"/>
      <c r="BO353" s="1464"/>
      <c r="BP353" s="1464"/>
      <c r="BQ353" s="1464"/>
      <c r="BR353" s="1464"/>
      <c r="BS353" s="1464"/>
      <c r="BT353" s="1464"/>
      <c r="BU353" s="1464"/>
      <c r="BV353" s="1464"/>
      <c r="BW353" s="1464"/>
      <c r="BX353" s="1464"/>
      <c r="BY353" s="1464"/>
      <c r="BZ353" s="1464"/>
      <c r="CA353" s="1464"/>
      <c r="CB353" s="1464"/>
      <c r="CC353" s="1464"/>
      <c r="CD353" s="1464"/>
      <c r="CE353" s="1464"/>
      <c r="CF353" s="1464"/>
      <c r="CG353" s="1464"/>
      <c r="CH353" s="1464"/>
      <c r="CI353" s="1464"/>
      <c r="CJ353" s="1464"/>
      <c r="CK353" s="1464"/>
      <c r="CL353" s="1464"/>
      <c r="CM353" s="1464"/>
      <c r="CN353" s="1464"/>
      <c r="CO353" s="1464"/>
      <c r="CP353" s="1464"/>
      <c r="CQ353" s="1464"/>
      <c r="CR353" s="1464"/>
      <c r="CS353" s="1464"/>
      <c r="CT353" s="1464"/>
      <c r="CU353" s="1464"/>
      <c r="CV353" s="1464"/>
      <c r="CW353" s="1464"/>
      <c r="CX353" s="1464"/>
      <c r="CY353" s="1464"/>
      <c r="CZ353" s="1464"/>
      <c r="DA353" s="1464"/>
      <c r="DB353" s="1464"/>
      <c r="DC353" s="1464"/>
      <c r="DD353" s="1464"/>
      <c r="DE353" s="1464"/>
      <c r="DF353" s="1464"/>
      <c r="DG353" s="1464"/>
      <c r="DH353" s="1464"/>
      <c r="DI353" s="1464"/>
      <c r="DJ353" s="1464"/>
      <c r="DK353" s="1464"/>
      <c r="DL353" s="1464"/>
      <c r="DM353" s="1464"/>
      <c r="DN353" s="1464"/>
      <c r="DO353" s="1464"/>
      <c r="DP353" s="1464"/>
      <c r="DQ353" s="1464"/>
      <c r="DR353" s="1464"/>
      <c r="DS353" s="1464"/>
      <c r="DT353" s="1464"/>
      <c r="DU353" s="1464"/>
      <c r="DV353" s="1464"/>
      <c r="DW353" s="1464"/>
      <c r="DX353" s="1464"/>
      <c r="DY353" s="1464"/>
      <c r="DZ353" s="1464"/>
      <c r="EA353" s="1464"/>
      <c r="EB353" s="1464"/>
      <c r="EC353" s="1464"/>
      <c r="ED353" s="1464"/>
      <c r="EE353" s="1464"/>
      <c r="EF353" s="1464"/>
      <c r="EG353" s="1464"/>
      <c r="EH353" s="1464"/>
      <c r="EI353" s="1464"/>
      <c r="EJ353" s="1464"/>
      <c r="EK353" s="1464"/>
      <c r="EL353" s="1464"/>
      <c r="EM353" s="1464"/>
      <c r="EN353" s="1464"/>
      <c r="EO353" s="1464"/>
      <c r="EP353" s="1464"/>
      <c r="EQ353" s="1464"/>
      <c r="ER353" s="1464"/>
      <c r="ES353" s="1464"/>
      <c r="ET353" s="1464"/>
      <c r="EU353" s="1464"/>
      <c r="EV353" s="1464"/>
      <c r="EW353" s="1464"/>
      <c r="EX353" s="1464"/>
      <c r="EY353" s="1464"/>
      <c r="EZ353" s="1464"/>
      <c r="FA353" s="1464"/>
      <c r="FB353" s="1464"/>
      <c r="FC353" s="1464"/>
      <c r="FD353" s="1464"/>
      <c r="FE353" s="1464"/>
      <c r="FF353" s="1464"/>
    </row>
    <row r="355" spans="6:162" s="1466" customFormat="1" ht="15.75" customHeight="1">
      <c r="F355" s="1464"/>
      <c r="G355" s="1464"/>
      <c r="H355" s="1464"/>
      <c r="I355" s="1464"/>
      <c r="J355" s="1464"/>
      <c r="K355" s="1464"/>
      <c r="L355" s="1464"/>
      <c r="M355" s="1464"/>
      <c r="N355" s="1464"/>
      <c r="O355" s="1464"/>
      <c r="P355" s="1464"/>
      <c r="Q355" s="1464"/>
      <c r="R355" s="1464"/>
      <c r="S355" s="1464"/>
      <c r="T355" s="1464"/>
      <c r="U355" s="1464"/>
      <c r="V355" s="1464"/>
      <c r="W355" s="1464"/>
      <c r="X355" s="1464"/>
      <c r="Y355" s="1464"/>
      <c r="AA355" s="1464"/>
      <c r="AC355" s="1464"/>
      <c r="AD355" s="1464"/>
      <c r="AE355" s="1464"/>
      <c r="AF355" s="1464"/>
      <c r="AG355" s="1464"/>
      <c r="AH355" s="1465"/>
      <c r="AI355" s="1465"/>
      <c r="AJ355" s="1464"/>
      <c r="AK355" s="1464"/>
      <c r="AL355" s="1464"/>
      <c r="AM355" s="1464"/>
      <c r="AN355" s="1464"/>
      <c r="AO355" s="1464"/>
      <c r="AP355" s="1464"/>
      <c r="AQ355" s="1464"/>
      <c r="AR355" s="1464"/>
      <c r="AS355" s="1464"/>
      <c r="AT355" s="1464"/>
      <c r="AU355" s="1464"/>
      <c r="AV355" s="1464"/>
      <c r="AW355" s="1464"/>
      <c r="AX355" s="1464"/>
      <c r="AY355" s="1464"/>
      <c r="AZ355" s="1464"/>
      <c r="BA355" s="1464"/>
      <c r="BB355" s="1464"/>
      <c r="BC355" s="1464"/>
      <c r="BD355" s="1464"/>
      <c r="BE355" s="1464"/>
      <c r="BF355" s="1464"/>
      <c r="BG355" s="1464"/>
      <c r="BH355" s="1464"/>
      <c r="BI355" s="1464"/>
      <c r="BJ355" s="1464"/>
      <c r="BK355" s="1464"/>
      <c r="BL355" s="1464"/>
      <c r="BM355" s="1464"/>
      <c r="BN355" s="1464"/>
      <c r="BO355" s="1464"/>
      <c r="BP355" s="1464"/>
      <c r="BQ355" s="1464"/>
      <c r="BR355" s="1464"/>
      <c r="BS355" s="1464"/>
      <c r="BT355" s="1464"/>
      <c r="BU355" s="1464"/>
      <c r="BV355" s="1464"/>
      <c r="BW355" s="1464"/>
      <c r="BX355" s="1464"/>
      <c r="BY355" s="1464"/>
      <c r="BZ355" s="1464"/>
      <c r="CA355" s="1464"/>
      <c r="CB355" s="1464"/>
      <c r="CC355" s="1464"/>
      <c r="CD355" s="1464"/>
      <c r="CE355" s="1464"/>
      <c r="CF355" s="1464"/>
      <c r="CG355" s="1464"/>
      <c r="CH355" s="1464"/>
      <c r="CI355" s="1464"/>
      <c r="CJ355" s="1464"/>
      <c r="CK355" s="1464"/>
      <c r="CL355" s="1464"/>
      <c r="CM355" s="1464"/>
      <c r="CN355" s="1464"/>
      <c r="CO355" s="1464"/>
      <c r="CP355" s="1464"/>
      <c r="CQ355" s="1464"/>
      <c r="CR355" s="1464"/>
      <c r="CS355" s="1464"/>
      <c r="CT355" s="1464"/>
      <c r="CU355" s="1464"/>
      <c r="CV355" s="1464"/>
      <c r="CW355" s="1464"/>
      <c r="CX355" s="1464"/>
      <c r="CY355" s="1464"/>
      <c r="CZ355" s="1464"/>
      <c r="DA355" s="1464"/>
      <c r="DB355" s="1464"/>
      <c r="DC355" s="1464"/>
      <c r="DD355" s="1464"/>
      <c r="DE355" s="1464"/>
      <c r="DF355" s="1464"/>
      <c r="DG355" s="1464"/>
      <c r="DH355" s="1464"/>
      <c r="DI355" s="1464"/>
      <c r="DJ355" s="1464"/>
      <c r="DK355" s="1464"/>
      <c r="DL355" s="1464"/>
      <c r="DM355" s="1464"/>
      <c r="DN355" s="1464"/>
      <c r="DO355" s="1464"/>
      <c r="DP355" s="1464"/>
      <c r="DQ355" s="1464"/>
      <c r="DR355" s="1464"/>
      <c r="DS355" s="1464"/>
      <c r="DT355" s="1464"/>
      <c r="DU355" s="1464"/>
      <c r="DV355" s="1464"/>
      <c r="DW355" s="1464"/>
      <c r="DX355" s="1464"/>
      <c r="DY355" s="1464"/>
      <c r="DZ355" s="1464"/>
      <c r="EA355" s="1464"/>
      <c r="EB355" s="1464"/>
      <c r="EC355" s="1464"/>
      <c r="ED355" s="1464"/>
      <c r="EE355" s="1464"/>
      <c r="EF355" s="1464"/>
      <c r="EG355" s="1464"/>
      <c r="EH355" s="1464"/>
      <c r="EI355" s="1464"/>
      <c r="EJ355" s="1464"/>
      <c r="EK355" s="1464"/>
      <c r="EL355" s="1464"/>
      <c r="EM355" s="1464"/>
      <c r="EN355" s="1464"/>
      <c r="EO355" s="1464"/>
      <c r="EP355" s="1464"/>
      <c r="EQ355" s="1464"/>
      <c r="ER355" s="1464"/>
      <c r="ES355" s="1464"/>
      <c r="ET355" s="1464"/>
      <c r="EU355" s="1464"/>
      <c r="EV355" s="1464"/>
      <c r="EW355" s="1464"/>
      <c r="EX355" s="1464"/>
      <c r="EY355" s="1464"/>
      <c r="EZ355" s="1464"/>
      <c r="FA355" s="1464"/>
      <c r="FB355" s="1464"/>
      <c r="FC355" s="1464"/>
      <c r="FD355" s="1464"/>
      <c r="FE355" s="1464"/>
      <c r="FF355" s="1464"/>
    </row>
    <row r="357" spans="6:162" s="1466" customFormat="1" ht="15.75" customHeight="1">
      <c r="F357" s="1464"/>
      <c r="G357" s="1464"/>
      <c r="H357" s="1464"/>
      <c r="I357" s="1464"/>
      <c r="J357" s="1464"/>
      <c r="K357" s="1464"/>
      <c r="L357" s="1464"/>
      <c r="M357" s="1464"/>
      <c r="N357" s="1464"/>
      <c r="O357" s="1464"/>
      <c r="P357" s="1464"/>
      <c r="Q357" s="1464"/>
      <c r="R357" s="1464"/>
      <c r="S357" s="1464"/>
      <c r="T357" s="1464"/>
      <c r="U357" s="1464"/>
      <c r="V357" s="1464"/>
      <c r="W357" s="1464"/>
      <c r="X357" s="1464"/>
      <c r="Y357" s="1464"/>
      <c r="AA357" s="1464"/>
      <c r="AC357" s="1464"/>
      <c r="AD357" s="1464"/>
      <c r="AE357" s="1464"/>
      <c r="AF357" s="1464"/>
      <c r="AG357" s="1464"/>
      <c r="AH357" s="1465"/>
      <c r="AI357" s="1465"/>
      <c r="AJ357" s="1464"/>
      <c r="AK357" s="1464"/>
      <c r="AL357" s="1464"/>
      <c r="AM357" s="1464"/>
      <c r="AN357" s="1464"/>
      <c r="AO357" s="1464"/>
      <c r="AP357" s="1464"/>
      <c r="AQ357" s="1464"/>
      <c r="AR357" s="1464"/>
      <c r="AS357" s="1464"/>
      <c r="AT357" s="1464"/>
      <c r="AU357" s="1464"/>
      <c r="AV357" s="1464"/>
      <c r="AW357" s="1464"/>
      <c r="AX357" s="1464"/>
      <c r="AY357" s="1464"/>
      <c r="AZ357" s="1464"/>
      <c r="BA357" s="1464"/>
      <c r="BB357" s="1464"/>
      <c r="BC357" s="1464"/>
      <c r="BD357" s="1464"/>
      <c r="BE357" s="1464"/>
      <c r="BF357" s="1464"/>
      <c r="BG357" s="1464"/>
      <c r="BH357" s="1464"/>
      <c r="BI357" s="1464"/>
      <c r="BJ357" s="1464"/>
      <c r="BK357" s="1464"/>
      <c r="BL357" s="1464"/>
      <c r="BM357" s="1464"/>
      <c r="BN357" s="1464"/>
      <c r="BO357" s="1464"/>
      <c r="BP357" s="1464"/>
      <c r="BQ357" s="1464"/>
      <c r="BR357" s="1464"/>
      <c r="BS357" s="1464"/>
      <c r="BT357" s="1464"/>
      <c r="BU357" s="1464"/>
      <c r="BV357" s="1464"/>
      <c r="BW357" s="1464"/>
      <c r="BX357" s="1464"/>
      <c r="BY357" s="1464"/>
      <c r="BZ357" s="1464"/>
      <c r="CA357" s="1464"/>
      <c r="CB357" s="1464"/>
      <c r="CC357" s="1464"/>
      <c r="CD357" s="1464"/>
      <c r="CE357" s="1464"/>
      <c r="CF357" s="1464"/>
      <c r="CG357" s="1464"/>
      <c r="CH357" s="1464"/>
      <c r="CI357" s="1464"/>
      <c r="CJ357" s="1464"/>
      <c r="CK357" s="1464"/>
      <c r="CL357" s="1464"/>
      <c r="CM357" s="1464"/>
      <c r="CN357" s="1464"/>
      <c r="CO357" s="1464"/>
      <c r="CP357" s="1464"/>
      <c r="CQ357" s="1464"/>
      <c r="CR357" s="1464"/>
      <c r="CS357" s="1464"/>
      <c r="CT357" s="1464"/>
      <c r="CU357" s="1464"/>
      <c r="CV357" s="1464"/>
      <c r="CW357" s="1464"/>
      <c r="CX357" s="1464"/>
      <c r="CY357" s="1464"/>
      <c r="CZ357" s="1464"/>
      <c r="DA357" s="1464"/>
      <c r="DB357" s="1464"/>
      <c r="DC357" s="1464"/>
      <c r="DD357" s="1464"/>
      <c r="DE357" s="1464"/>
      <c r="DF357" s="1464"/>
      <c r="DG357" s="1464"/>
      <c r="DH357" s="1464"/>
      <c r="DI357" s="1464"/>
      <c r="DJ357" s="1464"/>
      <c r="DK357" s="1464"/>
      <c r="DL357" s="1464"/>
      <c r="DM357" s="1464"/>
      <c r="DN357" s="1464"/>
      <c r="DO357" s="1464"/>
      <c r="DP357" s="1464"/>
      <c r="DQ357" s="1464"/>
      <c r="DR357" s="1464"/>
      <c r="DS357" s="1464"/>
      <c r="DT357" s="1464"/>
      <c r="DU357" s="1464"/>
      <c r="DV357" s="1464"/>
      <c r="DW357" s="1464"/>
      <c r="DX357" s="1464"/>
      <c r="DY357" s="1464"/>
      <c r="DZ357" s="1464"/>
      <c r="EA357" s="1464"/>
      <c r="EB357" s="1464"/>
      <c r="EC357" s="1464"/>
      <c r="ED357" s="1464"/>
      <c r="EE357" s="1464"/>
      <c r="EF357" s="1464"/>
      <c r="EG357" s="1464"/>
      <c r="EH357" s="1464"/>
      <c r="EI357" s="1464"/>
      <c r="EJ357" s="1464"/>
      <c r="EK357" s="1464"/>
      <c r="EL357" s="1464"/>
      <c r="EM357" s="1464"/>
      <c r="EN357" s="1464"/>
      <c r="EO357" s="1464"/>
      <c r="EP357" s="1464"/>
      <c r="EQ357" s="1464"/>
      <c r="ER357" s="1464"/>
      <c r="ES357" s="1464"/>
      <c r="ET357" s="1464"/>
      <c r="EU357" s="1464"/>
      <c r="EV357" s="1464"/>
      <c r="EW357" s="1464"/>
      <c r="EX357" s="1464"/>
      <c r="EY357" s="1464"/>
      <c r="EZ357" s="1464"/>
      <c r="FA357" s="1464"/>
      <c r="FB357" s="1464"/>
      <c r="FC357" s="1464"/>
      <c r="FD357" s="1464"/>
      <c r="FE357" s="1464"/>
      <c r="FF357" s="1464"/>
    </row>
    <row r="359" spans="6:162" s="1466" customFormat="1" ht="15.75" customHeight="1">
      <c r="F359" s="1464"/>
      <c r="G359" s="1464"/>
      <c r="H359" s="1464"/>
      <c r="I359" s="1464"/>
      <c r="J359" s="1464"/>
      <c r="K359" s="1464"/>
      <c r="L359" s="1464"/>
      <c r="M359" s="1464"/>
      <c r="N359" s="1464"/>
      <c r="O359" s="1464"/>
      <c r="P359" s="1464"/>
      <c r="Q359" s="1464"/>
      <c r="R359" s="1464"/>
      <c r="S359" s="1464"/>
      <c r="T359" s="1464"/>
      <c r="U359" s="1464"/>
      <c r="V359" s="1464"/>
      <c r="W359" s="1464"/>
      <c r="X359" s="1464"/>
      <c r="Y359" s="1464"/>
      <c r="AA359" s="1464"/>
      <c r="AC359" s="1464"/>
      <c r="AD359" s="1464"/>
      <c r="AE359" s="1464"/>
      <c r="AF359" s="1464"/>
      <c r="AG359" s="1464"/>
      <c r="AH359" s="1465"/>
      <c r="AI359" s="1465"/>
      <c r="AJ359" s="1464"/>
      <c r="AK359" s="1464"/>
      <c r="AL359" s="1464"/>
      <c r="AM359" s="1464"/>
      <c r="AN359" s="1464"/>
      <c r="AO359" s="1464"/>
      <c r="AP359" s="1464"/>
      <c r="AQ359" s="1464"/>
      <c r="AR359" s="1464"/>
      <c r="AS359" s="1464"/>
      <c r="AT359" s="1464"/>
      <c r="AU359" s="1464"/>
      <c r="AV359" s="1464"/>
      <c r="AW359" s="1464"/>
      <c r="AX359" s="1464"/>
      <c r="AY359" s="1464"/>
      <c r="AZ359" s="1464"/>
      <c r="BA359" s="1464"/>
      <c r="BB359" s="1464"/>
      <c r="BC359" s="1464"/>
      <c r="BD359" s="1464"/>
      <c r="BE359" s="1464"/>
      <c r="BF359" s="1464"/>
      <c r="BG359" s="1464"/>
      <c r="BH359" s="1464"/>
      <c r="BI359" s="1464"/>
      <c r="BJ359" s="1464"/>
      <c r="BK359" s="1464"/>
      <c r="BL359" s="1464"/>
      <c r="BM359" s="1464"/>
      <c r="BN359" s="1464"/>
      <c r="BO359" s="1464"/>
      <c r="BP359" s="1464"/>
      <c r="BQ359" s="1464"/>
      <c r="BR359" s="1464"/>
      <c r="BS359" s="1464"/>
      <c r="BT359" s="1464"/>
      <c r="BU359" s="1464"/>
      <c r="BV359" s="1464"/>
      <c r="BW359" s="1464"/>
      <c r="BX359" s="1464"/>
      <c r="BY359" s="1464"/>
      <c r="BZ359" s="1464"/>
      <c r="CA359" s="1464"/>
      <c r="CB359" s="1464"/>
      <c r="CC359" s="1464"/>
      <c r="CD359" s="1464"/>
      <c r="CE359" s="1464"/>
      <c r="CF359" s="1464"/>
      <c r="CG359" s="1464"/>
      <c r="CH359" s="1464"/>
      <c r="CI359" s="1464"/>
      <c r="CJ359" s="1464"/>
      <c r="CK359" s="1464"/>
      <c r="CL359" s="1464"/>
      <c r="CM359" s="1464"/>
      <c r="CN359" s="1464"/>
      <c r="CO359" s="1464"/>
      <c r="CP359" s="1464"/>
      <c r="CQ359" s="1464"/>
      <c r="CR359" s="1464"/>
      <c r="CS359" s="1464"/>
      <c r="CT359" s="1464"/>
      <c r="CU359" s="1464"/>
      <c r="CV359" s="1464"/>
      <c r="CW359" s="1464"/>
      <c r="CX359" s="1464"/>
      <c r="CY359" s="1464"/>
      <c r="CZ359" s="1464"/>
      <c r="DA359" s="1464"/>
      <c r="DB359" s="1464"/>
      <c r="DC359" s="1464"/>
      <c r="DD359" s="1464"/>
      <c r="DE359" s="1464"/>
      <c r="DF359" s="1464"/>
      <c r="DG359" s="1464"/>
      <c r="DH359" s="1464"/>
      <c r="DI359" s="1464"/>
      <c r="DJ359" s="1464"/>
      <c r="DK359" s="1464"/>
      <c r="DL359" s="1464"/>
      <c r="DM359" s="1464"/>
      <c r="DN359" s="1464"/>
      <c r="DO359" s="1464"/>
      <c r="DP359" s="1464"/>
      <c r="DQ359" s="1464"/>
      <c r="DR359" s="1464"/>
      <c r="DS359" s="1464"/>
      <c r="DT359" s="1464"/>
      <c r="DU359" s="1464"/>
      <c r="DV359" s="1464"/>
      <c r="DW359" s="1464"/>
      <c r="DX359" s="1464"/>
      <c r="DY359" s="1464"/>
      <c r="DZ359" s="1464"/>
      <c r="EA359" s="1464"/>
      <c r="EB359" s="1464"/>
      <c r="EC359" s="1464"/>
      <c r="ED359" s="1464"/>
      <c r="EE359" s="1464"/>
      <c r="EF359" s="1464"/>
      <c r="EG359" s="1464"/>
      <c r="EH359" s="1464"/>
      <c r="EI359" s="1464"/>
      <c r="EJ359" s="1464"/>
      <c r="EK359" s="1464"/>
      <c r="EL359" s="1464"/>
      <c r="EM359" s="1464"/>
      <c r="EN359" s="1464"/>
      <c r="EO359" s="1464"/>
      <c r="EP359" s="1464"/>
      <c r="EQ359" s="1464"/>
      <c r="ER359" s="1464"/>
      <c r="ES359" s="1464"/>
      <c r="ET359" s="1464"/>
      <c r="EU359" s="1464"/>
      <c r="EV359" s="1464"/>
      <c r="EW359" s="1464"/>
      <c r="EX359" s="1464"/>
      <c r="EY359" s="1464"/>
      <c r="EZ359" s="1464"/>
      <c r="FA359" s="1464"/>
      <c r="FB359" s="1464"/>
      <c r="FC359" s="1464"/>
      <c r="FD359" s="1464"/>
      <c r="FE359" s="1464"/>
      <c r="FF359" s="1464"/>
    </row>
    <row r="361" spans="6:162" s="1466" customFormat="1" ht="15.75" customHeight="1">
      <c r="F361" s="1464"/>
      <c r="G361" s="1464"/>
      <c r="H361" s="1464"/>
      <c r="I361" s="1464"/>
      <c r="J361" s="1464"/>
      <c r="K361" s="1464"/>
      <c r="L361" s="1464"/>
      <c r="M361" s="1464"/>
      <c r="N361" s="1464"/>
      <c r="O361" s="1464"/>
      <c r="P361" s="1464"/>
      <c r="Q361" s="1464"/>
      <c r="R361" s="1464"/>
      <c r="S361" s="1464"/>
      <c r="T361" s="1464"/>
      <c r="U361" s="1464"/>
      <c r="V361" s="1464"/>
      <c r="W361" s="1464"/>
      <c r="X361" s="1464"/>
      <c r="Y361" s="1464"/>
      <c r="AA361" s="1464"/>
      <c r="AC361" s="1464"/>
      <c r="AD361" s="1464"/>
      <c r="AE361" s="1464"/>
      <c r="AF361" s="1464"/>
      <c r="AG361" s="1464"/>
      <c r="AH361" s="1465"/>
      <c r="AI361" s="1465"/>
      <c r="AJ361" s="1464"/>
      <c r="AK361" s="1464"/>
      <c r="AL361" s="1464"/>
      <c r="AM361" s="1464"/>
      <c r="AN361" s="1464"/>
      <c r="AO361" s="1464"/>
      <c r="AP361" s="1464"/>
      <c r="AQ361" s="1464"/>
      <c r="AR361" s="1464"/>
      <c r="AS361" s="1464"/>
      <c r="AT361" s="1464"/>
      <c r="AU361" s="1464"/>
      <c r="AV361" s="1464"/>
      <c r="AW361" s="1464"/>
      <c r="AX361" s="1464"/>
      <c r="AY361" s="1464"/>
      <c r="AZ361" s="1464"/>
      <c r="BA361" s="1464"/>
      <c r="BB361" s="1464"/>
      <c r="BC361" s="1464"/>
      <c r="BD361" s="1464"/>
      <c r="BE361" s="1464"/>
      <c r="BF361" s="1464"/>
      <c r="BG361" s="1464"/>
      <c r="BH361" s="1464"/>
      <c r="BI361" s="1464"/>
      <c r="BJ361" s="1464"/>
      <c r="BK361" s="1464"/>
      <c r="BL361" s="1464"/>
      <c r="BM361" s="1464"/>
      <c r="BN361" s="1464"/>
      <c r="BO361" s="1464"/>
      <c r="BP361" s="1464"/>
      <c r="BQ361" s="1464"/>
      <c r="BR361" s="1464"/>
      <c r="BS361" s="1464"/>
      <c r="BT361" s="1464"/>
      <c r="BU361" s="1464"/>
      <c r="BV361" s="1464"/>
      <c r="BW361" s="1464"/>
      <c r="BX361" s="1464"/>
      <c r="BY361" s="1464"/>
      <c r="BZ361" s="1464"/>
      <c r="CA361" s="1464"/>
      <c r="CB361" s="1464"/>
      <c r="CC361" s="1464"/>
      <c r="CD361" s="1464"/>
      <c r="CE361" s="1464"/>
      <c r="CF361" s="1464"/>
      <c r="CG361" s="1464"/>
      <c r="CH361" s="1464"/>
      <c r="CI361" s="1464"/>
      <c r="CJ361" s="1464"/>
      <c r="CK361" s="1464"/>
      <c r="CL361" s="1464"/>
      <c r="CM361" s="1464"/>
      <c r="CN361" s="1464"/>
      <c r="CO361" s="1464"/>
      <c r="CP361" s="1464"/>
      <c r="CQ361" s="1464"/>
      <c r="CR361" s="1464"/>
      <c r="CS361" s="1464"/>
      <c r="CT361" s="1464"/>
      <c r="CU361" s="1464"/>
      <c r="CV361" s="1464"/>
      <c r="CW361" s="1464"/>
      <c r="CX361" s="1464"/>
      <c r="CY361" s="1464"/>
      <c r="CZ361" s="1464"/>
      <c r="DA361" s="1464"/>
      <c r="DB361" s="1464"/>
      <c r="DC361" s="1464"/>
      <c r="DD361" s="1464"/>
      <c r="DE361" s="1464"/>
      <c r="DF361" s="1464"/>
      <c r="DG361" s="1464"/>
      <c r="DH361" s="1464"/>
      <c r="DI361" s="1464"/>
      <c r="DJ361" s="1464"/>
      <c r="DK361" s="1464"/>
      <c r="DL361" s="1464"/>
      <c r="DM361" s="1464"/>
      <c r="DN361" s="1464"/>
      <c r="DO361" s="1464"/>
      <c r="DP361" s="1464"/>
      <c r="DQ361" s="1464"/>
      <c r="DR361" s="1464"/>
      <c r="DS361" s="1464"/>
      <c r="DT361" s="1464"/>
      <c r="DU361" s="1464"/>
      <c r="DV361" s="1464"/>
      <c r="DW361" s="1464"/>
      <c r="DX361" s="1464"/>
      <c r="DY361" s="1464"/>
      <c r="DZ361" s="1464"/>
      <c r="EA361" s="1464"/>
      <c r="EB361" s="1464"/>
      <c r="EC361" s="1464"/>
      <c r="ED361" s="1464"/>
      <c r="EE361" s="1464"/>
      <c r="EF361" s="1464"/>
      <c r="EG361" s="1464"/>
      <c r="EH361" s="1464"/>
      <c r="EI361" s="1464"/>
      <c r="EJ361" s="1464"/>
      <c r="EK361" s="1464"/>
      <c r="EL361" s="1464"/>
      <c r="EM361" s="1464"/>
      <c r="EN361" s="1464"/>
      <c r="EO361" s="1464"/>
      <c r="EP361" s="1464"/>
      <c r="EQ361" s="1464"/>
      <c r="ER361" s="1464"/>
      <c r="ES361" s="1464"/>
      <c r="ET361" s="1464"/>
      <c r="EU361" s="1464"/>
      <c r="EV361" s="1464"/>
      <c r="EW361" s="1464"/>
      <c r="EX361" s="1464"/>
      <c r="EY361" s="1464"/>
      <c r="EZ361" s="1464"/>
      <c r="FA361" s="1464"/>
      <c r="FB361" s="1464"/>
      <c r="FC361" s="1464"/>
      <c r="FD361" s="1464"/>
      <c r="FE361" s="1464"/>
      <c r="FF361" s="1464"/>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topLeftCell="A102" zoomScaleNormal="100" workbookViewId="0">
      <selection activeCell="L128" sqref="L128"/>
    </sheetView>
  </sheetViews>
  <sheetFormatPr defaultRowHeight="14.5"/>
  <cols>
    <col min="1" max="2" width="4.7265625" customWidth="1"/>
    <col min="3" max="3" width="59.81640625" customWidth="1"/>
    <col min="4" max="4" width="3.1796875" customWidth="1"/>
    <col min="5" max="5" width="14.453125" style="201"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775" t="s">
        <v>1547</v>
      </c>
      <c r="B1" s="1775"/>
      <c r="C1" s="1775"/>
      <c r="D1" s="1775"/>
      <c r="E1" s="1775"/>
      <c r="F1" s="1775"/>
      <c r="G1" s="1775"/>
      <c r="H1" s="1776"/>
    </row>
    <row r="2" spans="1:8">
      <c r="A2" s="1"/>
    </row>
    <row r="3" spans="1:8" ht="15.5">
      <c r="A3" s="1777" t="s">
        <v>231</v>
      </c>
      <c r="B3" s="1778"/>
      <c r="C3" s="1778"/>
      <c r="D3" s="1778"/>
      <c r="E3" s="1778"/>
      <c r="F3" s="1776"/>
      <c r="G3" s="1776"/>
      <c r="H3" s="1776"/>
    </row>
    <row r="5" spans="1:8">
      <c r="D5" s="4"/>
      <c r="G5" s="964"/>
    </row>
    <row r="7" spans="1:8">
      <c r="D7" s="368"/>
      <c r="E7" s="368" t="s">
        <v>232</v>
      </c>
      <c r="F7" s="368"/>
      <c r="G7" s="368" t="s">
        <v>233</v>
      </c>
      <c r="H7" s="368"/>
    </row>
    <row r="8" spans="1:8">
      <c r="A8" s="369" t="s">
        <v>234</v>
      </c>
      <c r="B8" s="369"/>
      <c r="D8" s="368"/>
      <c r="E8" s="368" t="s">
        <v>235</v>
      </c>
      <c r="F8" s="368" t="s">
        <v>236</v>
      </c>
      <c r="G8" s="368" t="s">
        <v>109</v>
      </c>
      <c r="H8" s="368"/>
    </row>
    <row r="9" spans="1:8">
      <c r="A9" s="369"/>
      <c r="B9" s="369"/>
      <c r="D9" s="368"/>
      <c r="E9" s="370"/>
      <c r="F9" s="368"/>
      <c r="G9" s="368"/>
      <c r="H9" s="368"/>
    </row>
    <row r="10" spans="1:8">
      <c r="A10" s="369"/>
      <c r="B10" s="369"/>
      <c r="D10" s="368"/>
      <c r="E10" s="370"/>
      <c r="F10" s="368"/>
      <c r="G10" s="368"/>
      <c r="H10" s="368"/>
    </row>
    <row r="11" spans="1:8">
      <c r="D11" s="368"/>
      <c r="E11" s="370"/>
      <c r="G11" s="368"/>
      <c r="H11" s="371"/>
    </row>
    <row r="12" spans="1:8">
      <c r="B12" s="369" t="s">
        <v>110</v>
      </c>
      <c r="D12" s="368"/>
      <c r="E12" s="372"/>
      <c r="F12" s="373" t="s">
        <v>237</v>
      </c>
      <c r="G12" s="368"/>
      <c r="H12" s="371"/>
    </row>
    <row r="13" spans="1:8">
      <c r="D13" s="368"/>
      <c r="E13" s="372"/>
      <c r="F13" s="368"/>
      <c r="G13" s="368"/>
      <c r="H13" s="371"/>
    </row>
    <row r="14" spans="1:8" ht="19.5" customHeight="1">
      <c r="B14" s="1245">
        <v>1</v>
      </c>
      <c r="C14" s="1524" t="s">
        <v>1550</v>
      </c>
      <c r="D14" s="330"/>
      <c r="E14" s="1516">
        <v>2193719.41</v>
      </c>
      <c r="G14" s="374"/>
      <c r="H14" s="330"/>
    </row>
    <row r="15" spans="1:8" ht="12.75" customHeight="1">
      <c r="B15" s="1245">
        <v>2</v>
      </c>
      <c r="C15" s="1524" t="s">
        <v>1551</v>
      </c>
      <c r="D15" s="330"/>
      <c r="E15" s="1516">
        <v>0</v>
      </c>
      <c r="G15" s="374"/>
      <c r="H15" s="330"/>
    </row>
    <row r="16" spans="1:8" ht="12.75" customHeight="1">
      <c r="B16" s="1245">
        <v>3</v>
      </c>
      <c r="C16" s="1525" t="s">
        <v>1552</v>
      </c>
      <c r="D16" s="330"/>
      <c r="E16" s="375">
        <v>0</v>
      </c>
      <c r="G16" s="374"/>
      <c r="H16" s="330"/>
    </row>
    <row r="17" spans="2:9" ht="12.75" customHeight="1">
      <c r="B17" s="1245">
        <v>4</v>
      </c>
      <c r="C17" s="1525" t="s">
        <v>1553</v>
      </c>
      <c r="D17" s="330"/>
      <c r="E17" s="375"/>
      <c r="G17" s="374"/>
      <c r="H17" s="330"/>
    </row>
    <row r="18" spans="2:9" ht="12.75" customHeight="1">
      <c r="E18"/>
    </row>
    <row r="19" spans="2:9" ht="12.75" customHeight="1">
      <c r="B19" s="369" t="s">
        <v>238</v>
      </c>
      <c r="D19" s="330"/>
      <c r="E19" s="377">
        <f>SUM(E14:E17)</f>
        <v>2193719.41</v>
      </c>
      <c r="F19" s="376">
        <f>+'ATT H-1A'!H37</f>
        <v>0.37965921295357374</v>
      </c>
      <c r="G19" s="377">
        <f>+E19*F19</f>
        <v>832865.78464157821</v>
      </c>
      <c r="H19" s="330"/>
      <c r="I19" s="377"/>
    </row>
    <row r="20" spans="2:9" ht="12.75" customHeight="1">
      <c r="D20" s="330"/>
      <c r="E20" s="378"/>
      <c r="F20" s="330"/>
      <c r="G20" s="330"/>
      <c r="H20" s="330"/>
    </row>
    <row r="21" spans="2:9" ht="12.75" customHeight="1">
      <c r="D21" s="330"/>
      <c r="E21" s="378"/>
      <c r="F21" s="330"/>
      <c r="G21" s="330"/>
      <c r="H21" s="330"/>
    </row>
    <row r="22" spans="2:9" ht="12.75" customHeight="1">
      <c r="B22" s="369" t="s">
        <v>239</v>
      </c>
      <c r="D22" s="330"/>
      <c r="E22" s="378"/>
      <c r="F22" s="379" t="s">
        <v>240</v>
      </c>
      <c r="G22" s="330"/>
      <c r="H22" s="330"/>
    </row>
    <row r="23" spans="2:9" ht="12.75" customHeight="1">
      <c r="B23" s="369"/>
      <c r="D23" s="330"/>
      <c r="G23" s="330"/>
      <c r="H23" s="330"/>
    </row>
    <row r="24" spans="2:9" ht="12.75" customHeight="1">
      <c r="B24" s="1245">
        <v>5</v>
      </c>
      <c r="C24" s="1525" t="s">
        <v>1791</v>
      </c>
      <c r="D24" s="1526"/>
      <c r="E24" s="1527">
        <f>2994485.25-E43</f>
        <v>2983462.5</v>
      </c>
      <c r="F24" s="337"/>
      <c r="G24" s="337"/>
      <c r="H24" s="337"/>
    </row>
    <row r="25" spans="2:9">
      <c r="B25" s="1245">
        <v>6</v>
      </c>
      <c r="C25" s="1525"/>
      <c r="D25" s="1517"/>
      <c r="E25" s="1527"/>
    </row>
    <row r="26" spans="2:9">
      <c r="E26"/>
    </row>
    <row r="27" spans="2:9">
      <c r="B27" s="369" t="s">
        <v>241</v>
      </c>
      <c r="E27" s="377">
        <f>SUM(E24:E26)</f>
        <v>2983462.5</v>
      </c>
      <c r="F27" s="376">
        <f>'ATT H-1A'!H16</f>
        <v>0.13888944064369446</v>
      </c>
      <c r="G27" s="377">
        <f>+F27*E27</f>
        <v>414371.43780643831</v>
      </c>
    </row>
    <row r="28" spans="2:9">
      <c r="B28" s="369"/>
      <c r="C28" s="378"/>
      <c r="F28" s="5"/>
    </row>
    <row r="30" spans="2:9">
      <c r="B30" s="369" t="s">
        <v>242</v>
      </c>
      <c r="F30" s="373" t="s">
        <v>237</v>
      </c>
    </row>
    <row r="32" spans="2:9">
      <c r="B32">
        <v>7</v>
      </c>
      <c r="C32" s="380" t="s">
        <v>243</v>
      </c>
      <c r="E32" s="1530"/>
    </row>
    <row r="33" spans="2:20">
      <c r="E33"/>
    </row>
    <row r="34" spans="2:20">
      <c r="B34" s="369" t="s">
        <v>244</v>
      </c>
      <c r="E34" s="377">
        <f>SUM(E32:E33)</f>
        <v>0</v>
      </c>
      <c r="F34" s="376">
        <f>'ATT H-1A'!H37</f>
        <v>0.37965921295357374</v>
      </c>
      <c r="G34" s="377">
        <f>+F34*E34</f>
        <v>0</v>
      </c>
    </row>
    <row r="36" spans="2:20">
      <c r="B36" s="369" t="s">
        <v>245</v>
      </c>
      <c r="G36" s="377">
        <f>+G34+G27+G19</f>
        <v>1247237.2224480165</v>
      </c>
    </row>
    <row r="37" spans="2:20">
      <c r="C37" s="381"/>
    </row>
    <row r="38" spans="2:20">
      <c r="B38" s="1245"/>
      <c r="C38" s="1528" t="s">
        <v>1246</v>
      </c>
      <c r="D38" s="1245"/>
      <c r="E38" s="1529"/>
    </row>
    <row r="39" spans="2:20">
      <c r="B39" s="1245">
        <v>8</v>
      </c>
      <c r="C39" s="1525" t="s">
        <v>1554</v>
      </c>
      <c r="D39" s="1245"/>
      <c r="E39" s="1530">
        <v>0</v>
      </c>
    </row>
    <row r="40" spans="2:20">
      <c r="B40" s="1245">
        <v>9</v>
      </c>
      <c r="C40" s="1525" t="s">
        <v>1555</v>
      </c>
      <c r="D40" s="1531"/>
      <c r="E40" s="1530">
        <v>0</v>
      </c>
    </row>
    <row r="41" spans="2:20">
      <c r="B41" s="1245">
        <v>10</v>
      </c>
      <c r="C41" s="1525" t="s">
        <v>1556</v>
      </c>
      <c r="D41" s="1517"/>
      <c r="E41" s="1532">
        <v>-691370</v>
      </c>
      <c r="G41" s="382"/>
      <c r="H41" s="5"/>
      <c r="I41" s="5"/>
      <c r="J41" s="383"/>
    </row>
    <row r="42" spans="2:20">
      <c r="B42" s="1245">
        <v>10.1</v>
      </c>
      <c r="C42" s="1525" t="s">
        <v>1790</v>
      </c>
      <c r="D42" s="1517"/>
      <c r="E42" s="1532">
        <v>3126601</v>
      </c>
      <c r="F42" s="332"/>
      <c r="H42" s="381"/>
      <c r="I42" s="5"/>
      <c r="J42" s="383"/>
      <c r="K42" s="5"/>
      <c r="L42" s="5"/>
      <c r="M42" s="5"/>
      <c r="N42" s="5"/>
      <c r="O42" s="5"/>
      <c r="P42" s="5"/>
      <c r="Q42" s="5"/>
      <c r="R42" s="5"/>
      <c r="S42" s="5"/>
      <c r="T42" s="5"/>
    </row>
    <row r="43" spans="2:20">
      <c r="B43" s="1245">
        <v>10.199999999999999</v>
      </c>
      <c r="C43" s="1704" t="s">
        <v>1789</v>
      </c>
      <c r="D43" s="1245"/>
      <c r="E43" s="1532">
        <v>11022.75</v>
      </c>
      <c r="F43" s="332"/>
      <c r="H43" s="381"/>
      <c r="I43" s="5"/>
      <c r="J43" s="383"/>
      <c r="K43" s="5"/>
      <c r="L43" s="5"/>
      <c r="M43" s="5"/>
      <c r="N43" s="5"/>
      <c r="O43" s="5"/>
      <c r="P43" s="5"/>
      <c r="Q43" s="5"/>
      <c r="R43" s="5"/>
      <c r="S43" s="5"/>
      <c r="T43" s="5"/>
    </row>
    <row r="44" spans="2:20" s="1245" customFormat="1">
      <c r="C44" s="1533"/>
      <c r="E44" s="1529"/>
      <c r="F44" s="332"/>
      <c r="H44" s="381"/>
      <c r="I44" s="5"/>
      <c r="J44" s="383"/>
      <c r="K44" s="5"/>
      <c r="L44" s="5"/>
      <c r="M44" s="5"/>
      <c r="N44" s="5"/>
      <c r="O44" s="5"/>
      <c r="P44" s="5"/>
      <c r="Q44" s="5"/>
      <c r="R44" s="5"/>
      <c r="S44" s="5"/>
      <c r="T44" s="5"/>
    </row>
    <row r="45" spans="2:20">
      <c r="B45" s="1245">
        <v>11</v>
      </c>
      <c r="C45" s="1245" t="s">
        <v>246</v>
      </c>
      <c r="D45" s="1517"/>
      <c r="E45" s="1534">
        <f>E19+E27+E34+E39+E40+E41+E42+E43</f>
        <v>7623435.6600000001</v>
      </c>
      <c r="H45" s="381"/>
      <c r="I45" s="5"/>
      <c r="J45" s="383"/>
      <c r="K45" s="5"/>
      <c r="L45" s="5"/>
      <c r="M45" s="5"/>
      <c r="N45" s="5"/>
      <c r="O45" s="5"/>
      <c r="P45" s="5"/>
      <c r="Q45" s="5"/>
      <c r="R45" s="5"/>
      <c r="S45" s="5"/>
      <c r="T45" s="5"/>
    </row>
    <row r="46" spans="2:20">
      <c r="B46" s="1245"/>
      <c r="C46" s="44"/>
      <c r="D46" s="1517"/>
      <c r="E46" s="1534"/>
      <c r="H46" s="381"/>
      <c r="I46" s="5"/>
      <c r="J46" s="383"/>
      <c r="K46" s="5"/>
      <c r="L46" s="5"/>
      <c r="M46" s="5"/>
      <c r="N46" s="5"/>
      <c r="O46" s="5"/>
      <c r="P46" s="5"/>
      <c r="Q46" s="5"/>
      <c r="R46" s="5"/>
      <c r="S46" s="5"/>
      <c r="T46" s="5"/>
    </row>
    <row r="47" spans="2:20">
      <c r="B47" s="1245">
        <v>12</v>
      </c>
      <c r="C47" s="44" t="s">
        <v>247</v>
      </c>
      <c r="D47" s="1535"/>
      <c r="E47" s="1536">
        <v>7623436</v>
      </c>
    </row>
    <row r="48" spans="2:20">
      <c r="B48" s="1245"/>
      <c r="C48" s="1517"/>
      <c r="D48" s="1517"/>
      <c r="E48" s="1534"/>
    </row>
    <row r="49" spans="1:8">
      <c r="B49" s="1245">
        <v>13</v>
      </c>
      <c r="C49" s="1517" t="s">
        <v>248</v>
      </c>
      <c r="D49" s="1537"/>
      <c r="E49" s="1534">
        <f>+E45-E47</f>
        <v>-0.33999999985098839</v>
      </c>
    </row>
    <row r="50" spans="1:8">
      <c r="C50" s="386"/>
      <c r="D50" s="387"/>
      <c r="E50" s="388"/>
      <c r="F50" s="384"/>
      <c r="G50" s="384"/>
      <c r="H50" s="385"/>
    </row>
    <row r="51" spans="1:8">
      <c r="B51" s="1245" t="s">
        <v>249</v>
      </c>
      <c r="C51" s="44"/>
      <c r="D51" s="5"/>
      <c r="E51" s="389"/>
      <c r="F51" s="332"/>
      <c r="G51" s="332"/>
      <c r="H51" s="332"/>
    </row>
    <row r="52" spans="1:8">
      <c r="B52" s="1245" t="s">
        <v>9</v>
      </c>
      <c r="C52" s="44" t="s">
        <v>250</v>
      </c>
      <c r="D52" s="5"/>
      <c r="E52" s="389"/>
      <c r="F52" s="332"/>
      <c r="G52" s="332"/>
      <c r="H52" s="332"/>
    </row>
    <row r="53" spans="1:8">
      <c r="B53" s="1245"/>
      <c r="C53" s="13" t="s">
        <v>251</v>
      </c>
      <c r="D53" s="5"/>
      <c r="E53" s="389"/>
      <c r="F53" s="5"/>
      <c r="G53" s="332"/>
      <c r="H53" s="332"/>
    </row>
    <row r="54" spans="1:8">
      <c r="B54" s="1245" t="s">
        <v>10</v>
      </c>
      <c r="C54" s="44" t="s">
        <v>252</v>
      </c>
      <c r="D54" s="5"/>
      <c r="E54" s="389"/>
      <c r="F54" s="5"/>
      <c r="G54" s="332"/>
      <c r="H54" s="332"/>
    </row>
    <row r="55" spans="1:8">
      <c r="B55" s="1245"/>
      <c r="C55" s="13" t="s">
        <v>251</v>
      </c>
      <c r="D55" s="5"/>
      <c r="E55" s="389"/>
      <c r="F55" s="5"/>
      <c r="G55" s="332"/>
      <c r="H55" s="332"/>
    </row>
    <row r="56" spans="1:8">
      <c r="B56" s="1245" t="s">
        <v>11</v>
      </c>
      <c r="C56" s="44" t="s">
        <v>253</v>
      </c>
      <c r="D56" s="5"/>
      <c r="E56" s="389"/>
      <c r="F56" s="5"/>
      <c r="G56" s="332"/>
      <c r="H56" s="332"/>
    </row>
    <row r="57" spans="1:8">
      <c r="B57" s="1245" t="s">
        <v>14</v>
      </c>
      <c r="C57" s="13" t="s">
        <v>254</v>
      </c>
      <c r="D57" s="5"/>
      <c r="E57" s="389"/>
      <c r="F57" s="5"/>
      <c r="G57" s="332"/>
      <c r="H57" s="332"/>
    </row>
    <row r="58" spans="1:8">
      <c r="B58" s="1245"/>
      <c r="C58" s="44" t="s">
        <v>255</v>
      </c>
      <c r="D58" s="5"/>
      <c r="E58" s="389"/>
      <c r="F58" s="5"/>
      <c r="G58" s="5"/>
      <c r="H58" s="5"/>
    </row>
    <row r="59" spans="1:8">
      <c r="B59" s="1245"/>
      <c r="C59" s="1245" t="s">
        <v>256</v>
      </c>
    </row>
    <row r="60" spans="1:8">
      <c r="B60" s="1245" t="s">
        <v>138</v>
      </c>
      <c r="C60" s="44" t="s">
        <v>257</v>
      </c>
    </row>
    <row r="63" spans="1:8">
      <c r="A63" s="963"/>
    </row>
    <row r="288" spans="3:3" ht="15.5">
      <c r="C288"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71"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C102" zoomScaleNormal="100" workbookViewId="0">
      <selection activeCell="L128" sqref="L128"/>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324"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75" t="s">
        <v>1547</v>
      </c>
      <c r="B1" s="1775"/>
      <c r="C1" s="1775"/>
      <c r="D1" s="1775"/>
      <c r="E1" s="1775"/>
      <c r="F1" s="1775"/>
      <c r="G1" s="1775"/>
      <c r="H1" s="5"/>
    </row>
    <row r="2" spans="1:15">
      <c r="A2" s="322"/>
      <c r="G2" s="323"/>
      <c r="H2" s="5"/>
    </row>
    <row r="3" spans="1:15" ht="15.5">
      <c r="A3" s="1777" t="s">
        <v>159</v>
      </c>
      <c r="B3" s="1778"/>
      <c r="C3" s="1778"/>
      <c r="D3" s="1778"/>
      <c r="E3" s="1778"/>
      <c r="F3" s="1778"/>
      <c r="G3" s="1778"/>
      <c r="H3" s="5"/>
    </row>
    <row r="4" spans="1:15">
      <c r="B4" s="2"/>
      <c r="C4" s="3"/>
      <c r="D4" s="1000"/>
      <c r="E4" s="1000"/>
      <c r="F4" s="1000"/>
      <c r="G4" s="966"/>
      <c r="H4" s="325"/>
    </row>
    <row r="5" spans="1:15" ht="26.5">
      <c r="B5" s="326"/>
      <c r="C5" s="3"/>
      <c r="D5" s="1001" t="s">
        <v>1045</v>
      </c>
      <c r="E5" s="1001" t="s">
        <v>1046</v>
      </c>
      <c r="F5" s="1001" t="s">
        <v>1047</v>
      </c>
      <c r="G5" s="1001" t="s">
        <v>1048</v>
      </c>
      <c r="H5" s="325"/>
    </row>
    <row r="6" spans="1:15">
      <c r="A6"/>
      <c r="B6" s="327" t="s">
        <v>198</v>
      </c>
      <c r="H6" s="5"/>
    </row>
    <row r="7" spans="1:15">
      <c r="A7">
        <v>1</v>
      </c>
      <c r="B7" s="13" t="s">
        <v>199</v>
      </c>
      <c r="C7" s="328"/>
      <c r="D7" s="329">
        <v>1217503</v>
      </c>
      <c r="E7" s="340" t="s">
        <v>228</v>
      </c>
      <c r="F7" s="1002">
        <v>1</v>
      </c>
      <c r="G7" s="1003">
        <f>D7*F7</f>
        <v>1217503</v>
      </c>
      <c r="H7" s="971"/>
    </row>
    <row r="8" spans="1:15" s="2" customFormat="1">
      <c r="A8" s="44">
        <v>2</v>
      </c>
      <c r="B8" s="13" t="s">
        <v>200</v>
      </c>
      <c r="C8" s="44" t="s">
        <v>201</v>
      </c>
      <c r="D8" s="1265">
        <f>SUM(D7)</f>
        <v>1217503</v>
      </c>
      <c r="E8" s="344"/>
      <c r="F8" s="344"/>
      <c r="G8" s="1003">
        <f>G7</f>
        <v>1217503</v>
      </c>
      <c r="H8" s="331"/>
      <c r="I8"/>
      <c r="J8"/>
      <c r="K8"/>
      <c r="L8"/>
      <c r="M8"/>
      <c r="N8"/>
      <c r="O8"/>
    </row>
    <row r="9" spans="1:15">
      <c r="A9"/>
      <c r="B9" s="10"/>
      <c r="C9" s="10"/>
      <c r="D9" s="999"/>
      <c r="E9" s="218"/>
      <c r="F9" s="218"/>
      <c r="G9" s="333"/>
      <c r="H9" s="333"/>
    </row>
    <row r="10" spans="1:15">
      <c r="A10" s="5"/>
      <c r="B10" s="327" t="s">
        <v>202</v>
      </c>
      <c r="C10" s="10"/>
      <c r="D10" s="999"/>
      <c r="E10" s="218"/>
      <c r="F10" s="218"/>
      <c r="G10" s="334"/>
      <c r="H10" s="334"/>
    </row>
    <row r="11" spans="1:15">
      <c r="A11" s="5"/>
      <c r="B11" s="336"/>
      <c r="C11" s="337"/>
      <c r="D11" s="337"/>
      <c r="E11" s="1004"/>
      <c r="F11" s="1004"/>
      <c r="G11" s="338"/>
      <c r="H11" s="338"/>
    </row>
    <row r="12" spans="1:15">
      <c r="A12" s="5">
        <v>3</v>
      </c>
      <c r="B12" s="13" t="s">
        <v>203</v>
      </c>
      <c r="C12" s="330"/>
      <c r="D12" s="329">
        <v>810951.19</v>
      </c>
      <c r="E12" s="340" t="s">
        <v>228</v>
      </c>
      <c r="F12" s="1002">
        <v>1</v>
      </c>
      <c r="G12" s="1003">
        <f>D12*F12</f>
        <v>810951.19</v>
      </c>
      <c r="H12" s="972"/>
    </row>
    <row r="13" spans="1:15" ht="43.5">
      <c r="A13" s="339">
        <v>4</v>
      </c>
      <c r="B13" s="330" t="s">
        <v>204</v>
      </c>
      <c r="C13" s="330"/>
      <c r="D13" s="329"/>
      <c r="E13" s="340" t="s">
        <v>228</v>
      </c>
      <c r="F13" s="1002">
        <v>1</v>
      </c>
      <c r="G13" s="1003">
        <f>D13*F13</f>
        <v>0</v>
      </c>
      <c r="H13" s="340"/>
    </row>
    <row r="14" spans="1:15">
      <c r="A14" s="5">
        <v>5</v>
      </c>
      <c r="B14" s="10" t="s">
        <v>205</v>
      </c>
      <c r="C14" s="330"/>
      <c r="D14" s="329">
        <v>1816356.4</v>
      </c>
      <c r="E14" s="340" t="s">
        <v>228</v>
      </c>
      <c r="F14" s="1002">
        <v>1</v>
      </c>
      <c r="G14" s="1003">
        <f>D14*F14</f>
        <v>1816356.4</v>
      </c>
      <c r="H14" s="972"/>
      <c r="I14" s="42"/>
    </row>
    <row r="15" spans="1:15">
      <c r="A15">
        <v>6</v>
      </c>
      <c r="B15" s="10" t="s">
        <v>206</v>
      </c>
      <c r="C15" s="341"/>
      <c r="D15" s="329"/>
      <c r="E15" s="340" t="s">
        <v>228</v>
      </c>
      <c r="F15" s="1002">
        <v>1</v>
      </c>
      <c r="G15" s="1003">
        <f t="shared" ref="G15:G20" si="0">D15*F15</f>
        <v>0</v>
      </c>
      <c r="H15" s="342"/>
    </row>
    <row r="16" spans="1:15">
      <c r="A16">
        <v>7</v>
      </c>
      <c r="B16" s="10" t="s">
        <v>207</v>
      </c>
      <c r="C16" s="330"/>
      <c r="D16" s="329"/>
      <c r="E16" s="340" t="s">
        <v>228</v>
      </c>
      <c r="F16" s="1002">
        <v>1</v>
      </c>
      <c r="G16" s="1003">
        <f t="shared" si="0"/>
        <v>0</v>
      </c>
      <c r="H16" s="340"/>
    </row>
    <row r="17" spans="1:18">
      <c r="A17">
        <v>8</v>
      </c>
      <c r="B17" s="10" t="s">
        <v>208</v>
      </c>
      <c r="C17" s="328"/>
      <c r="D17" s="329"/>
      <c r="E17" s="340" t="s">
        <v>228</v>
      </c>
      <c r="F17" s="1002">
        <v>1</v>
      </c>
      <c r="G17" s="1003">
        <f t="shared" si="0"/>
        <v>0</v>
      </c>
      <c r="H17" s="343"/>
    </row>
    <row r="18" spans="1:18">
      <c r="A18">
        <v>9</v>
      </c>
      <c r="B18" s="10" t="s">
        <v>209</v>
      </c>
      <c r="C18" s="344"/>
      <c r="D18" s="329">
        <v>619380</v>
      </c>
      <c r="E18" s="340" t="s">
        <v>228</v>
      </c>
      <c r="F18" s="1002">
        <v>1</v>
      </c>
      <c r="G18" s="1003">
        <f t="shared" si="0"/>
        <v>619380</v>
      </c>
      <c r="H18" s="343"/>
    </row>
    <row r="19" spans="1:18">
      <c r="A19">
        <v>10</v>
      </c>
      <c r="B19" s="10" t="s">
        <v>210</v>
      </c>
      <c r="C19" s="344"/>
      <c r="D19" s="329"/>
      <c r="E19" s="340" t="s">
        <v>228</v>
      </c>
      <c r="F19" s="1002">
        <v>1</v>
      </c>
      <c r="G19" s="1003">
        <f t="shared" si="0"/>
        <v>0</v>
      </c>
      <c r="H19" s="343"/>
    </row>
    <row r="20" spans="1:18">
      <c r="A20" s="5">
        <f t="shared" ref="A20" si="1">+A19+1</f>
        <v>11</v>
      </c>
      <c r="B20" t="s">
        <v>1243</v>
      </c>
      <c r="C20" s="344"/>
      <c r="D20" s="1143">
        <v>1996958.78</v>
      </c>
      <c r="E20" s="1005" t="s">
        <v>1049</v>
      </c>
      <c r="F20" s="1006">
        <f>+'ATT H-1A'!H16</f>
        <v>0.13888944064369446</v>
      </c>
      <c r="G20" s="1003">
        <f t="shared" si="0"/>
        <v>277356.48794271454</v>
      </c>
      <c r="H20" s="343"/>
    </row>
    <row r="21" spans="1:18">
      <c r="A21" t="s">
        <v>866</v>
      </c>
      <c r="B21" t="s">
        <v>1187</v>
      </c>
      <c r="C21" s="344"/>
      <c r="D21" s="1143">
        <f>+'5 - Cost Support 1'!G140</f>
        <v>444706.95</v>
      </c>
      <c r="E21" s="1005" t="s">
        <v>1192</v>
      </c>
      <c r="F21" s="1006"/>
      <c r="G21" s="1003">
        <f>+'5 - Cost Support 1'!G140</f>
        <v>444706.95</v>
      </c>
      <c r="H21" s="343"/>
      <c r="I21" s="42"/>
    </row>
    <row r="22" spans="1:18">
      <c r="A22"/>
      <c r="B22" s="10"/>
      <c r="C22" s="344"/>
      <c r="D22" s="344"/>
      <c r="E22" s="344"/>
      <c r="F22" s="344"/>
      <c r="G22" s="343"/>
      <c r="H22" s="343"/>
    </row>
    <row r="23" spans="1:18">
      <c r="A23" s="5">
        <v>12</v>
      </c>
      <c r="B23" s="10" t="s">
        <v>211</v>
      </c>
      <c r="C23" s="44" t="s">
        <v>1050</v>
      </c>
      <c r="D23" s="1265">
        <f>SUM(D8:D22)</f>
        <v>6905856.3200000003</v>
      </c>
      <c r="E23" s="344"/>
      <c r="F23" s="344"/>
      <c r="G23" s="1003">
        <f>SUM(G8:G22)</f>
        <v>5186254.0279427143</v>
      </c>
      <c r="H23" s="334"/>
    </row>
    <row r="24" spans="1:18">
      <c r="A24" s="5">
        <v>13</v>
      </c>
      <c r="B24" s="218" t="s">
        <v>1051</v>
      </c>
      <c r="C24" s="344"/>
      <c r="D24" s="329">
        <f>+D39</f>
        <v>-779871.54665000003</v>
      </c>
      <c r="E24" s="340" t="s">
        <v>228</v>
      </c>
      <c r="F24" s="1002">
        <v>1</v>
      </c>
      <c r="G24" s="1003">
        <f t="shared" ref="G24" si="2">D24*F24</f>
        <v>-779871.54665000003</v>
      </c>
      <c r="H24" s="334"/>
    </row>
    <row r="25" spans="1:18">
      <c r="A25" s="5">
        <v>14</v>
      </c>
      <c r="B25" s="218" t="s">
        <v>212</v>
      </c>
      <c r="C25" s="344"/>
      <c r="D25" s="344"/>
      <c r="E25" s="344"/>
      <c r="F25" s="344"/>
      <c r="G25" s="1003">
        <f>+G23+G24</f>
        <v>4406382.4812927144</v>
      </c>
    </row>
    <row r="26" spans="1:18">
      <c r="A26"/>
      <c r="B26" s="10"/>
      <c r="G26" s="334"/>
      <c r="H26" s="334"/>
      <c r="P26" s="42"/>
      <c r="R26" s="42"/>
    </row>
    <row r="27" spans="1:18">
      <c r="A27"/>
      <c r="B27" s="345" t="s">
        <v>213</v>
      </c>
      <c r="G27" s="346"/>
      <c r="P27" s="42"/>
      <c r="R27" s="42"/>
    </row>
    <row r="28" spans="1:18" ht="51">
      <c r="A28" s="339">
        <v>15</v>
      </c>
      <c r="B28" s="347" t="s">
        <v>214</v>
      </c>
      <c r="G28" s="334"/>
      <c r="P28" s="42"/>
    </row>
    <row r="29" spans="1:18">
      <c r="A29" s="348"/>
      <c r="B29" s="10"/>
      <c r="H29" s="334"/>
      <c r="P29" s="42"/>
      <c r="R29" s="42"/>
    </row>
    <row r="30" spans="1:18" ht="51">
      <c r="A30" s="348">
        <v>16</v>
      </c>
      <c r="B30" s="1009" t="s">
        <v>215</v>
      </c>
      <c r="G30" s="335"/>
      <c r="H30" s="343"/>
      <c r="P30" s="42"/>
    </row>
    <row r="31" spans="1:18">
      <c r="A31" s="348"/>
      <c r="B31" s="10"/>
      <c r="H31" s="334"/>
      <c r="P31" s="42"/>
    </row>
    <row r="32" spans="1:18" ht="150">
      <c r="A32" s="349">
        <v>17</v>
      </c>
      <c r="B32" s="200" t="s">
        <v>1059</v>
      </c>
      <c r="C32" s="350"/>
      <c r="D32" s="350"/>
      <c r="E32" s="350"/>
      <c r="F32" s="350"/>
      <c r="G32" s="351"/>
      <c r="H32" s="351"/>
      <c r="P32" s="42"/>
    </row>
    <row r="33" spans="1:14" ht="15.5">
      <c r="A33" s="349" t="s">
        <v>1052</v>
      </c>
      <c r="B33" s="200" t="s">
        <v>217</v>
      </c>
      <c r="C33" s="350"/>
      <c r="D33" s="329">
        <f>G8+G17+G19</f>
        <v>1217503</v>
      </c>
      <c r="E33" s="350"/>
      <c r="F33" s="350"/>
      <c r="H33" s="353"/>
    </row>
    <row r="34" spans="1:14" s="2" customFormat="1" ht="15.5">
      <c r="A34" s="349" t="s">
        <v>1053</v>
      </c>
      <c r="B34" s="200" t="s">
        <v>1060</v>
      </c>
      <c r="C34" s="355" t="s">
        <v>48</v>
      </c>
      <c r="D34" s="329">
        <f>'5 - Cost Support 1'!E234</f>
        <v>342240.09330000001</v>
      </c>
      <c r="E34" s="355"/>
      <c r="F34" s="355"/>
      <c r="H34" s="356"/>
      <c r="I34"/>
      <c r="J34"/>
      <c r="K34"/>
      <c r="L34"/>
      <c r="M34"/>
      <c r="N34"/>
    </row>
    <row r="35" spans="1:14" ht="15.5">
      <c r="A35" s="349" t="s">
        <v>1054</v>
      </c>
      <c r="B35" s="200" t="s">
        <v>1061</v>
      </c>
      <c r="C35" s="350"/>
      <c r="D35" s="365">
        <f>+D33-D34</f>
        <v>875262.90669999993</v>
      </c>
      <c r="E35" s="350"/>
      <c r="F35" s="350"/>
      <c r="H35" s="357"/>
    </row>
    <row r="36" spans="1:14" s="2" customFormat="1" ht="15.5">
      <c r="A36" s="349" t="s">
        <v>1055</v>
      </c>
      <c r="B36" s="200" t="s">
        <v>1062</v>
      </c>
      <c r="C36" s="350"/>
      <c r="D36" s="365">
        <f>+D35/2</f>
        <v>437631.45334999997</v>
      </c>
      <c r="E36" s="350"/>
      <c r="F36" s="350"/>
      <c r="H36" s="357"/>
      <c r="I36"/>
      <c r="J36"/>
      <c r="K36"/>
      <c r="L36"/>
      <c r="M36"/>
      <c r="N36"/>
    </row>
    <row r="37" spans="1:14" ht="37.5">
      <c r="A37" s="349" t="s">
        <v>1056</v>
      </c>
      <c r="B37" s="200" t="s">
        <v>221</v>
      </c>
      <c r="C37" s="350"/>
      <c r="D37" s="352">
        <v>0</v>
      </c>
      <c r="E37" s="350"/>
      <c r="F37" s="350"/>
      <c r="H37" s="357"/>
    </row>
    <row r="38" spans="1:14" ht="15.5">
      <c r="A38" s="349" t="s">
        <v>1057</v>
      </c>
      <c r="B38" s="328" t="s">
        <v>1063</v>
      </c>
      <c r="C38" s="344"/>
      <c r="D38" s="365">
        <f>+D36+D37</f>
        <v>437631.45334999997</v>
      </c>
      <c r="E38" s="344"/>
      <c r="F38" s="344"/>
      <c r="H38" s="359"/>
    </row>
    <row r="39" spans="1:14" ht="15.5">
      <c r="A39" s="349" t="s">
        <v>1058</v>
      </c>
      <c r="B39" s="328" t="s">
        <v>1064</v>
      </c>
      <c r="C39" s="344"/>
      <c r="D39" s="365">
        <f>+D38-D33</f>
        <v>-779871.54665000003</v>
      </c>
      <c r="E39" s="344"/>
      <c r="F39" s="344"/>
      <c r="H39" s="359"/>
    </row>
    <row r="40" spans="1:14" ht="63.5">
      <c r="A40" s="360">
        <v>19</v>
      </c>
      <c r="B40" s="1007" t="s">
        <v>1065</v>
      </c>
      <c r="C40" s="355"/>
      <c r="D40" s="361">
        <f>8283173+6129013+132438237-D42-D23</f>
        <v>2957703.4299999997</v>
      </c>
      <c r="E40" s="355"/>
      <c r="F40" s="355"/>
      <c r="H40" s="362"/>
    </row>
    <row r="41" spans="1:14">
      <c r="C41" s="363"/>
      <c r="D41" s="324"/>
      <c r="E41" s="363"/>
      <c r="F41" s="363"/>
      <c r="H41" s="334"/>
    </row>
    <row r="42" spans="1:14">
      <c r="A42" s="3">
        <v>20</v>
      </c>
      <c r="B42" s="1008" t="s">
        <v>224</v>
      </c>
      <c r="C42" s="363"/>
      <c r="D42" s="361">
        <v>136986863.25</v>
      </c>
      <c r="E42" s="363"/>
      <c r="F42" s="363"/>
      <c r="H42" s="362"/>
    </row>
    <row r="43" spans="1:14">
      <c r="B43" s="1008"/>
      <c r="D43" s="364"/>
      <c r="H43" s="346"/>
    </row>
    <row r="44" spans="1:14">
      <c r="A44" s="3">
        <v>21</v>
      </c>
      <c r="B44" s="344" t="s">
        <v>225</v>
      </c>
      <c r="C44" s="344"/>
      <c r="D44" s="365">
        <f>+D23+D28+D40+D42</f>
        <v>146850423</v>
      </c>
      <c r="E44" s="344"/>
      <c r="F44" s="344"/>
      <c r="H44" s="366"/>
    </row>
    <row r="45" spans="1:14">
      <c r="A45" s="3">
        <v>22</v>
      </c>
      <c r="B45" s="344" t="s">
        <v>226</v>
      </c>
      <c r="H45" s="358"/>
    </row>
    <row r="46" spans="1:14">
      <c r="H46" s="354"/>
    </row>
    <row r="48" spans="1:14">
      <c r="B48" s="963"/>
    </row>
    <row r="49" spans="3:8">
      <c r="C49" s="363"/>
      <c r="D49" s="363"/>
      <c r="E49" s="363"/>
      <c r="F49" s="363"/>
      <c r="G49" s="346"/>
      <c r="H49" s="45"/>
    </row>
    <row r="50" spans="3:8">
      <c r="G50" s="346"/>
      <c r="H50" s="45"/>
    </row>
    <row r="51" spans="3:8">
      <c r="G51" s="346"/>
      <c r="H51" s="45"/>
    </row>
    <row r="52" spans="3:8">
      <c r="G52" s="346"/>
      <c r="H52" s="45"/>
    </row>
    <row r="53" spans="3:8">
      <c r="G53" s="346"/>
      <c r="H53" s="45"/>
    </row>
    <row r="291" spans="3:6" ht="15.5">
      <c r="C291" s="8" t="s">
        <v>227</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'12- Depreciation Rates'!Print_Area</vt:lpstr>
      <vt:lpstr>'1A - ADIT Summary'!Print_Area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'ATT H-1A'!Print_Area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2021-05-14T18:37:21Z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ies>
</file>