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TES\Revenue Policy\Transmission Formula Annual Updates\2020\2020 Estimate\Filed Documents May 29 2020\"/>
    </mc:Choice>
  </mc:AlternateContent>
  <xr:revisionPtr revIDLastSave="0" documentId="13_ncr:1_{C877925E-8772-46BA-B607-AC821F924DB9}" xr6:coauthVersionLast="44" xr6:coauthVersionMax="44" xr10:uidLastSave="{00000000-0000-0000-0000-000000000000}"/>
  <bookViews>
    <workbookView xWindow="-120" yWindow="-120" windowWidth="29040" windowHeight="15840" tabRatio="793" xr2:uid="{00000000-000D-0000-FFFF-FFFF00000000}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K" hidden="1">[1]Masterdata!#REF!</definedName>
    <definedName name="_2K" hidden="1">[1]Masterdata!#REF!</definedName>
    <definedName name="_2S" hidden="1">[1]Masterdata!#REF!</definedName>
    <definedName name="_4S" hidden="1">[1]Masterdata!#REF!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mpanyName">'[2]Title Page'!$A$22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ew_99_IS">'[3]2nd qtr 2000'!$A$1:$I$58,'[3]2nd qtr 2000'!$K$1:$T$58,'[3]2nd qtr 2000'!$V$1:$AI$58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Print_99_IS">'[3]2nd qtr 2000'!$D$1:$I$58,'[3]2nd qtr 2000'!$N$1:$T$58,'[3]2nd qtr 2000'!$AA$1:$AH$57</definedName>
    <definedName name="_xlnm.Print_Area" localSheetId="0">Title!$A$1:$H$22</definedName>
    <definedName name="Print_TFI_use">'[4]TFI use'!$A$1:$P$40,'[4]TFI use'!$A$42:$P$65,'[4]TFI use'!$A$67:$R$84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r">[5]Rev_Req!$I$5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E19" i="2"/>
  <c r="C26" i="2"/>
  <c r="C19" i="2"/>
  <c r="H24" i="17" l="1"/>
  <c r="C77" i="2" l="1"/>
  <c r="C78" i="2" s="1"/>
  <c r="E43" i="2" l="1"/>
  <c r="C43" i="2"/>
  <c r="D9" i="13" l="1"/>
  <c r="D68" i="2" l="1"/>
  <c r="D42" i="2" l="1"/>
  <c r="D39" i="2"/>
  <c r="D25" i="2"/>
  <c r="D23" i="2"/>
  <c r="D15" i="2"/>
  <c r="D40" i="2"/>
  <c r="D16" i="2"/>
  <c r="D22" i="2"/>
  <c r="D41" i="2"/>
  <c r="D24" i="2"/>
  <c r="D26" i="2" l="1"/>
  <c r="D18" i="2"/>
  <c r="D17" i="2"/>
  <c r="D19" i="2" l="1"/>
  <c r="E69" i="2"/>
  <c r="E68" i="2" s="1"/>
  <c r="C68" i="2"/>
  <c r="D43" i="2"/>
  <c r="C52" i="2" l="1"/>
  <c r="C51" i="2"/>
  <c r="C49" i="2"/>
  <c r="C50" i="2"/>
  <c r="E49" i="2"/>
  <c r="E51" i="2"/>
  <c r="E50" i="2"/>
  <c r="E52" i="2"/>
  <c r="C31" i="2"/>
  <c r="E30" i="2"/>
  <c r="C30" i="2"/>
  <c r="C32" i="2"/>
  <c r="C33" i="2"/>
  <c r="E32" i="2"/>
  <c r="E33" i="2"/>
  <c r="E31" i="2"/>
  <c r="D51" i="2" l="1"/>
  <c r="D52" i="2"/>
  <c r="C62" i="2"/>
  <c r="C61" i="2"/>
  <c r="D31" i="2"/>
  <c r="E60" i="2"/>
  <c r="D33" i="2"/>
  <c r="E62" i="2"/>
  <c r="D50" i="2"/>
  <c r="D32" i="2"/>
  <c r="E61" i="2"/>
  <c r="D30" i="2"/>
  <c r="E34" i="2"/>
  <c r="E59" i="2"/>
  <c r="C59" i="2"/>
  <c r="C34" i="2"/>
  <c r="C53" i="2"/>
  <c r="C60" i="2"/>
  <c r="D49" i="2"/>
  <c r="E53" i="2"/>
  <c r="D62" i="2" l="1"/>
  <c r="D61" i="2"/>
  <c r="D60" i="2"/>
  <c r="D59" i="2"/>
  <c r="C63" i="2"/>
  <c r="C65" i="2" s="1"/>
  <c r="C71" i="2" s="1"/>
  <c r="E63" i="2"/>
  <c r="E65" i="2" s="1"/>
  <c r="E71" i="2" s="1"/>
  <c r="D53" i="2"/>
  <c r="D34" i="2"/>
  <c r="D8" i="13" l="1"/>
  <c r="D10" i="13" s="1"/>
  <c r="D6" i="16" s="1"/>
  <c r="D63" i="2"/>
  <c r="D65" i="2" s="1"/>
  <c r="D71" i="2" s="1"/>
  <c r="H31" i="17" l="1"/>
  <c r="H33" i="17" l="1"/>
  <c r="H35" i="17" s="1"/>
  <c r="D7" i="16" s="1"/>
  <c r="D8" i="16" s="1"/>
  <c r="D9" i="16" s="1"/>
</calcChain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<sst xmlns="http://schemas.openxmlformats.org/spreadsheetml/2006/main" count="104" uniqueCount="70">
  <si>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</si>
  <si>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</si>
  <si>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</si>
  <si>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</si>
  <si>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</si>
  <si>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</si>
  <si>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</si>
  <si>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</si>
  <si>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</si>
  <si>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</si>
  <si>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</si>
  <si>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</si>
  <si>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</si>
  <si>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</si>
  <si>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</si>
  <si>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</si>
  <si>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</si>
  <si>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</si>
  <si>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</si>
  <si>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</si>
  <si>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</si>
  <si>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</si>
  <si>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</si>
  <si>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</si>
  <si>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</si>
  <si>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</si>
  <si>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</si>
  <si>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</si>
  <si>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</si>
  <si>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</si>
  <si>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</si>
  <si>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</si>
  <si>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</si>
  <si>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</si>
  <si>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</si>
  <si>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</si>
  <si>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</si>
  <si>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</si>
  <si>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</si>
  <si>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</si>
  <si>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</si>
  <si>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</si>
  <si>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</si>
  <si>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</si>
  <si>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</si>
  <si>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</si>
  <si>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</si>
  <si>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</si>
  <si>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</si>
  <si>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</si>
  <si>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</si>
  <si>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</si>
  <si>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</si>
  <si>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</si>
  <si>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</si>
  <si>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</si>
  <si>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</si>
  <si>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</si>
  <si>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</si>
  <si>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</si>
  <si>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</si>
  <si>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</si>
  <si>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</si>
  <si>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</si>
  <si>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</si>
  <si>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</si>
  <si>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</si>
  <si>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</si>
  <si>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2018 through December 31, 2019</t>
  </si>
  <si>
    <t>For  the 12 months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</si>
</sst>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9" fontId="3" fillId="0" borderId="0" applyProtection="0"/>
    <xf numFmtId="169" fontId="3" fillId="0" borderId="0" applyProtection="0"/>
    <xf numFmtId="0" fontId="14" fillId="0" borderId="0"/>
    <xf numFmtId="169" fontId="3" fillId="0" borderId="0" applyProtection="0"/>
  </cellStyleXfs>
  <cellXfs count="83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6" fillId="0" borderId="0" xfId="4" applyNumberFormat="1" applyFont="1" applyProtection="1"/>
    <xf numFmtId="0" fontId="7" fillId="0" borderId="0" xfId="0" applyFont="1" applyProtection="1"/>
    <xf numFmtId="0" fontId="6" fillId="0" borderId="0" xfId="0" quotePrefix="1" applyFont="1" applyFill="1" applyProtection="1"/>
    <xf numFmtId="167" fontId="6" fillId="0" borderId="0" xfId="0" applyNumberFormat="1" applyFont="1" applyProtection="1"/>
    <xf numFmtId="167" fontId="11" fillId="0" borderId="0" xfId="4" applyNumberFormat="1" applyFont="1" applyProtection="1"/>
    <xf numFmtId="2" fontId="6" fillId="0" borderId="0" xfId="0" applyNumberFormat="1" applyFo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13" fillId="0" borderId="0" xfId="6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center"/>
    </xf>
    <xf numFmtId="1" fontId="4" fillId="0" borderId="0" xfId="8" applyNumberFormat="1" applyFont="1" applyFill="1" applyAlignment="1" applyProtection="1">
      <alignment horizontal="left"/>
    </xf>
    <xf numFmtId="169" fontId="15" fillId="0" borderId="0" xfId="8" quotePrefix="1" applyFont="1" applyFill="1" applyAlignment="1" applyProtection="1">
      <alignment horizontal="left"/>
    </xf>
    <xf numFmtId="169" fontId="16" fillId="0" borderId="0" xfId="8" applyFont="1" applyFill="1" applyAlignment="1" applyProtection="1"/>
    <xf numFmtId="0" fontId="17" fillId="0" borderId="0" xfId="7" applyFont="1" applyFill="1" applyAlignment="1" applyProtection="1">
      <alignment horizontal="center" wrapText="1"/>
    </xf>
    <xf numFmtId="169" fontId="4" fillId="0" borderId="0" xfId="8" applyFont="1" applyFill="1" applyAlignment="1" applyProtection="1"/>
    <xf numFmtId="43" fontId="4" fillId="0" borderId="0" xfId="1" applyFont="1" applyFill="1" applyAlignment="1" applyProtection="1"/>
    <xf numFmtId="169" fontId="4" fillId="0" borderId="0" xfId="8" applyFont="1" applyFill="1" applyAlignment="1" applyProtection="1">
      <alignment horizontal="left"/>
    </xf>
    <xf numFmtId="43" fontId="4" fillId="0" borderId="0" xfId="1" applyFont="1" applyFill="1" applyBorder="1" applyAlignment="1" applyProtection="1"/>
    <xf numFmtId="170" fontId="4" fillId="0" borderId="0" xfId="1" applyNumberFormat="1" applyFont="1" applyFill="1" applyAlignment="1" applyProtection="1"/>
    <xf numFmtId="0" fontId="17" fillId="0" borderId="0" xfId="7" applyFont="1" applyFill="1" applyProtection="1"/>
    <xf numFmtId="164" fontId="6" fillId="0" borderId="0" xfId="1" applyNumberFormat="1" applyFont="1" applyProtection="1"/>
    <xf numFmtId="169" fontId="5" fillId="0" borderId="0" xfId="5" applyFont="1" applyAlignment="1" applyProtection="1">
      <alignment vertical="center"/>
    </xf>
    <xf numFmtId="169" fontId="4" fillId="0" borderId="0" xfId="5" applyFont="1" applyAlignment="1" applyProtection="1"/>
    <xf numFmtId="0" fontId="6" fillId="0" borderId="0" xfId="0" applyFont="1" applyAlignment="1" applyProtection="1">
      <alignment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wrapText="1"/>
    </xf>
    <xf numFmtId="6" fontId="6" fillId="0" borderId="9" xfId="0" applyNumberFormat="1" applyFont="1" applyBorder="1" applyAlignment="1" applyProtection="1">
      <alignment wrapText="1"/>
    </xf>
    <xf numFmtId="171" fontId="6" fillId="0" borderId="9" xfId="0" applyNumberFormat="1" applyFont="1" applyBorder="1" applyAlignment="1" applyProtection="1">
      <alignment wrapText="1"/>
    </xf>
    <xf numFmtId="0" fontId="6" fillId="0" borderId="0" xfId="0" quotePrefix="1" applyFont="1" applyProtection="1"/>
    <xf numFmtId="0" fontId="6" fillId="0" borderId="0" xfId="0" applyFont="1" applyAlignment="1" applyProtection="1"/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Protection="1"/>
    <xf numFmtId="10" fontId="6" fillId="0" borderId="0" xfId="2" applyNumberFormat="1" applyFont="1" applyProtection="1"/>
    <xf numFmtId="0" fontId="4" fillId="0" borderId="0" xfId="0" applyFont="1" applyProtection="1"/>
    <xf numFmtId="0" fontId="0" fillId="0" borderId="0" xfId="0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164" fontId="0" fillId="0" borderId="0" xfId="1" applyNumberFormat="1" applyFont="1" applyProtection="1"/>
    <xf numFmtId="0" fontId="19" fillId="0" borderId="0" xfId="0" applyFont="1" applyProtection="1"/>
    <xf numFmtId="164" fontId="6" fillId="0" borderId="0" xfId="1" applyNumberFormat="1" applyFont="1" applyBorder="1" applyProtection="1"/>
    <xf numFmtId="0" fontId="8" fillId="0" borderId="4" xfId="0" applyFont="1" applyFill="1" applyBorder="1" applyProtection="1"/>
    <xf numFmtId="0" fontId="8" fillId="0" borderId="1" xfId="0" applyFont="1" applyFill="1" applyBorder="1" applyProtection="1"/>
    <xf numFmtId="165" fontId="8" fillId="0" borderId="0" xfId="2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3" xfId="0" applyNumberFormat="1" applyFont="1" applyBorder="1" applyProtection="1"/>
    <xf numFmtId="164" fontId="7" fillId="0" borderId="0" xfId="0" applyNumberFormat="1" applyFont="1" applyProtection="1"/>
    <xf numFmtId="166" fontId="6" fillId="0" borderId="0" xfId="1" applyNumberFormat="1" applyFont="1" applyProtection="1"/>
    <xf numFmtId="0" fontId="10" fillId="0" borderId="0" xfId="0" applyFont="1" applyProtection="1"/>
    <xf numFmtId="168" fontId="6" fillId="0" borderId="0" xfId="2" applyNumberFormat="1" applyFont="1" applyProtection="1"/>
    <xf numFmtId="0" fontId="6" fillId="0" borderId="0" xfId="0" applyFont="1" applyProtection="1">
      <protection locked="0"/>
    </xf>
    <xf numFmtId="6" fontId="6" fillId="0" borderId="0" xfId="0" applyNumberFormat="1" applyFont="1" applyProtection="1"/>
    <xf numFmtId="0" fontId="6" fillId="0" borderId="0" xfId="0" applyFont="1" applyBorder="1" applyAlignment="1" applyProtection="1">
      <alignment wrapText="1"/>
    </xf>
    <xf numFmtId="8" fontId="6" fillId="0" borderId="0" xfId="0" applyNumberFormat="1" applyFont="1" applyBorder="1" applyAlignment="1" applyProtection="1">
      <alignment wrapText="1"/>
    </xf>
    <xf numFmtId="6" fontId="6" fillId="0" borderId="0" xfId="0" applyNumberFormat="1" applyFont="1" applyBorder="1" applyAlignment="1" applyProtection="1">
      <alignment wrapText="1"/>
    </xf>
    <xf numFmtId="164" fontId="6" fillId="0" borderId="0" xfId="1" applyNumberFormat="1" applyFont="1" applyBorder="1" applyAlignment="1" applyProtection="1">
      <alignment wrapText="1"/>
    </xf>
    <xf numFmtId="171" fontId="6" fillId="0" borderId="0" xfId="0" applyNumberFormat="1" applyFont="1" applyBorder="1" applyAlignment="1" applyProtection="1">
      <alignment wrapText="1"/>
    </xf>
    <xf numFmtId="169" fontId="6" fillId="0" borderId="0" xfId="0" applyNumberFormat="1" applyFont="1" applyBorder="1" applyAlignment="1" applyProtection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/>
    <xf numFmtId="164" fontId="6" fillId="0" borderId="3" xfId="1" applyNumberFormat="1" applyFont="1" applyBorder="1"/>
    <xf numFmtId="164" fontId="0" fillId="0" borderId="0" xfId="1" applyNumberFormat="1" applyFont="1"/>
    <xf numFmtId="170" fontId="18" fillId="2" borderId="0" xfId="1" applyNumberFormat="1" applyFont="1" applyFill="1" applyProtection="1">
      <protection locked="0"/>
    </xf>
    <xf numFmtId="164" fontId="18" fillId="2" borderId="0" xfId="1" applyNumberFormat="1" applyFont="1" applyFill="1" applyProtection="1">
      <protection locked="0"/>
    </xf>
    <xf numFmtId="14" fontId="0" fillId="2" borderId="0" xfId="0" applyNumberForma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0" fontId="6" fillId="2" borderId="2" xfId="2" applyNumberFormat="1" applyFont="1" applyFill="1" applyBorder="1" applyProtection="1">
      <protection locked="0"/>
    </xf>
    <xf numFmtId="168" fontId="0" fillId="2" borderId="0" xfId="2" applyNumberFormat="1" applyFont="1" applyFill="1" applyProtection="1">
      <protection locked="0"/>
    </xf>
    <xf numFmtId="169" fontId="4" fillId="0" borderId="0" xfId="5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165" fontId="8" fillId="0" borderId="5" xfId="2" applyNumberFormat="1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wrapText="1"/>
    </xf>
  </cellXfs>
  <cellStyles count="9">
    <cellStyle name="Comma" xfId="1" builtinId="3"/>
    <cellStyle name="Currency" xfId="4" builtinId="4"/>
    <cellStyle name="Normal" xfId="0" builtinId="0"/>
    <cellStyle name="Normal 2" xfId="3" xr:uid="{00000000-0005-0000-0000-000003000000}"/>
    <cellStyle name="Normal 3" xfId="5" xr:uid="{73EF71BE-54EC-47BF-BDC2-26A390F3E975}"/>
    <cellStyle name="Normal 7" xfId="8" xr:uid="{0F31480E-4DDB-4EF9-89E8-72D6072E6AF6}"/>
    <cellStyle name="Normal_Attachment Os for 2002 True-up" xfId="6" xr:uid="{98A01674-513E-4862-8D99-39513DB7D7E0}"/>
    <cellStyle name="Normal_interest calc Book1" xfId="7" xr:uid="{F7C906EF-B4CD-44B0-A74A-F78ADB0D8D1D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_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tabSelected="1" view="pageBreakPreview" zoomScaleNormal="100" zoomScaleSheetLayoutView="100" workbookViewId="0">
      <selection activeCell="D15" sqref="D15"/>
    </sheetView>
  </sheetViews>
  <sheetFormatPr defaultColWidth="8.85546875" defaultRowHeight="15.75"/>
  <cols>
    <col min="1" max="16384" width="8.85546875" style="25"/>
  </cols>
  <sheetData>
    <row r="1" spans="1:8" ht="20.25">
      <c r="A1" s="24"/>
    </row>
    <row r="2" spans="1:8" ht="20.25">
      <c r="A2" s="24"/>
    </row>
    <row r="4" spans="1:8">
      <c r="A4" s="75" t="s">
        <v>30</v>
      </c>
      <c r="B4" s="75"/>
      <c r="C4" s="75"/>
      <c r="D4" s="75"/>
      <c r="E4" s="75"/>
      <c r="F4" s="75"/>
      <c r="G4" s="75"/>
      <c r="H4" s="75"/>
    </row>
    <row r="5" spans="1:8">
      <c r="A5" s="75" t="s">
        <v>32</v>
      </c>
      <c r="B5" s="75"/>
      <c r="C5" s="75"/>
      <c r="D5" s="75"/>
      <c r="E5" s="75"/>
      <c r="F5" s="75"/>
      <c r="G5" s="75"/>
      <c r="H5" s="75"/>
    </row>
  </sheetData>
  <sheetProtection algorithmName="SHA-512" hashValue="Yj3IIQ2glH5JwOchJH4+JaQ+LkuCObLYxtJt/wLR/BbnCGm6APGEg8oc6pCCPFr2d2dlVDjl+MRkXy5tJ187Zw==" saltValue="peG6g/y1Zx73MrgB3oLuLw==" spinCount="100000" sheet="1" objects="1" scenarios="1"/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4:M13"/>
  <sheetViews>
    <sheetView zoomScaleNormal="100" workbookViewId="0">
      <selection activeCell="D13" sqref="D13"/>
    </sheetView>
  </sheetViews>
  <sheetFormatPr defaultColWidth="9.140625" defaultRowHeight="15"/>
  <cols>
    <col min="1" max="1" width="5.28515625" style="26" customWidth="1"/>
    <col min="2" max="2" width="29" style="26" customWidth="1"/>
    <col min="3" max="3" width="30.85546875" style="26" customWidth="1"/>
    <col min="4" max="4" width="20.85546875" style="26" customWidth="1"/>
    <col min="5" max="5" width="9.140625" style="26"/>
    <col min="6" max="6" width="12.42578125" style="26" bestFit="1" customWidth="1"/>
    <col min="7" max="7" width="9.140625" style="26"/>
    <col min="8" max="9" width="11.5703125" style="26" bestFit="1" customWidth="1"/>
    <col min="10" max="10" width="9.140625" style="26"/>
    <col min="11" max="11" width="12.28515625" style="26" bestFit="1" customWidth="1"/>
    <col min="12" max="12" width="9.140625" style="26"/>
    <col min="13" max="13" width="11" style="26" bestFit="1" customWidth="1"/>
    <col min="14" max="16384" width="9.140625" style="26"/>
  </cols>
  <sheetData>
    <row r="4" spans="1:13" ht="2.25" customHeight="1"/>
    <row r="5" spans="1:13" ht="28.5" customHeight="1">
      <c r="A5" s="76" t="s">
        <v>35</v>
      </c>
      <c r="B5" s="77"/>
      <c r="C5" s="77"/>
      <c r="D5" s="78"/>
      <c r="F5" s="57"/>
      <c r="G5" s="57"/>
      <c r="H5" s="57"/>
      <c r="I5" s="57"/>
      <c r="J5" s="57"/>
      <c r="K5" s="57"/>
      <c r="L5" s="57"/>
      <c r="M5" s="57"/>
    </row>
    <row r="6" spans="1:13" ht="45">
      <c r="A6" s="27">
        <v>1</v>
      </c>
      <c r="B6" s="28" t="s">
        <v>36</v>
      </c>
      <c r="C6" s="28" t="s">
        <v>66</v>
      </c>
      <c r="D6" s="29">
        <f>'1 - Revenue Requirement'!D10</f>
        <v>3789875.5492993165</v>
      </c>
      <c r="F6" s="58"/>
      <c r="G6" s="57"/>
      <c r="H6" s="57"/>
      <c r="I6" s="57"/>
      <c r="J6" s="57"/>
      <c r="K6" s="59"/>
      <c r="L6" s="57"/>
      <c r="M6" s="57"/>
    </row>
    <row r="7" spans="1:13" ht="30">
      <c r="A7" s="27">
        <v>2</v>
      </c>
      <c r="B7" s="28" t="s">
        <v>37</v>
      </c>
      <c r="C7" s="28" t="s">
        <v>67</v>
      </c>
      <c r="D7" s="29">
        <f>'2 - True-Up'!H35</f>
        <v>-384923.47514854383</v>
      </c>
      <c r="F7" s="58"/>
      <c r="G7" s="57"/>
      <c r="H7" s="57"/>
      <c r="I7" s="57"/>
      <c r="J7" s="57"/>
      <c r="K7" s="60"/>
      <c r="L7" s="57"/>
      <c r="M7" s="57"/>
    </row>
    <row r="8" spans="1:13" ht="60">
      <c r="A8" s="27">
        <v>3</v>
      </c>
      <c r="B8" s="28" t="s">
        <v>38</v>
      </c>
      <c r="C8" s="28" t="s">
        <v>39</v>
      </c>
      <c r="D8" s="29">
        <f>D6+D7</f>
        <v>3404952.0741507728</v>
      </c>
      <c r="F8" s="58"/>
      <c r="G8" s="57"/>
      <c r="H8" s="58"/>
      <c r="I8" s="58"/>
      <c r="J8" s="57"/>
      <c r="K8" s="59"/>
      <c r="L8" s="57"/>
      <c r="M8" s="57"/>
    </row>
    <row r="9" spans="1:13" ht="60">
      <c r="A9" s="27">
        <v>4</v>
      </c>
      <c r="B9" s="28" t="s">
        <v>40</v>
      </c>
      <c r="C9" s="28" t="s">
        <v>65</v>
      </c>
      <c r="D9" s="30">
        <f>D8/12</f>
        <v>283746.00617923104</v>
      </c>
      <c r="F9" s="57"/>
      <c r="G9" s="57"/>
      <c r="H9" s="57"/>
      <c r="I9" s="57"/>
      <c r="J9" s="57"/>
      <c r="K9" s="61"/>
      <c r="L9" s="61"/>
      <c r="M9" s="57"/>
    </row>
    <row r="10" spans="1:13">
      <c r="F10" s="57"/>
      <c r="G10" s="57"/>
      <c r="H10" s="57"/>
      <c r="I10" s="57"/>
      <c r="J10" s="57"/>
      <c r="K10" s="57"/>
      <c r="L10" s="57"/>
      <c r="M10" s="57"/>
    </row>
    <row r="11" spans="1:13">
      <c r="F11" s="57"/>
      <c r="G11" s="57"/>
      <c r="H11" s="57"/>
      <c r="I11" s="57"/>
      <c r="J11" s="57"/>
      <c r="K11" s="57"/>
      <c r="L11" s="57"/>
      <c r="M11" s="57"/>
    </row>
    <row r="12" spans="1:13">
      <c r="F12" s="57"/>
      <c r="G12" s="57"/>
      <c r="H12" s="57"/>
      <c r="I12" s="57"/>
      <c r="J12" s="57"/>
      <c r="K12" s="60"/>
      <c r="L12" s="57"/>
      <c r="M12" s="62"/>
    </row>
    <row r="13" spans="1:13">
      <c r="F13" s="57"/>
      <c r="G13" s="57"/>
      <c r="H13" s="57"/>
      <c r="I13" s="57"/>
      <c r="J13" s="57"/>
      <c r="K13" s="57"/>
      <c r="L13" s="57"/>
      <c r="M13" s="57"/>
    </row>
  </sheetData>
  <sheetProtection algorithmName="SHA-512" hashValue="CGshMR+ajBoIrIQOGHbtV+JJL3jJMtgEpW4MeFAxxg6rfdFhCB473EMnYiT1yJnukjM/hYCWC/m/rpnWpV2SOg==" saltValue="bmYqs7fWnZHKeL7AnqtBOA==" spinCount="100000" sheet="1" objects="1" scenarios="1"/>
  <mergeCells count="1"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zoomScaleNormal="100" workbookViewId="0">
      <selection activeCell="A5" sqref="A5:H5"/>
    </sheetView>
  </sheetViews>
  <sheetFormatPr defaultColWidth="8.85546875" defaultRowHeight="15"/>
  <cols>
    <col min="1" max="1" width="3" style="1" customWidth="1"/>
    <col min="2" max="2" width="1.7109375" style="2" customWidth="1"/>
    <col min="3" max="3" width="72.5703125" style="2" bestFit="1" customWidth="1"/>
    <col min="4" max="4" width="15.28515625" style="2" bestFit="1" customWidth="1"/>
    <col min="5" max="16384" width="8.85546875" style="2"/>
  </cols>
  <sheetData>
    <row r="2" spans="1:12">
      <c r="G2" s="31"/>
    </row>
    <row r="3" spans="1:12">
      <c r="A3" s="79" t="s">
        <v>31</v>
      </c>
      <c r="B3" s="79"/>
      <c r="C3" s="79"/>
      <c r="D3" s="79"/>
      <c r="E3" s="79"/>
      <c r="F3" s="79"/>
      <c r="G3" s="79"/>
      <c r="H3" s="79"/>
      <c r="I3" s="32"/>
      <c r="J3" s="32"/>
      <c r="K3" s="32"/>
      <c r="L3" s="32"/>
    </row>
    <row r="4" spans="1:12">
      <c r="A4" s="79" t="s">
        <v>19</v>
      </c>
      <c r="B4" s="79"/>
      <c r="C4" s="79"/>
      <c r="D4" s="79"/>
      <c r="E4" s="79"/>
      <c r="F4" s="79"/>
      <c r="G4" s="79"/>
      <c r="H4" s="79"/>
      <c r="I4" s="32"/>
      <c r="J4" s="32"/>
      <c r="K4" s="32"/>
    </row>
    <row r="5" spans="1:12">
      <c r="A5" s="80" t="s">
        <v>69</v>
      </c>
      <c r="B5" s="80"/>
      <c r="C5" s="80"/>
      <c r="D5" s="80"/>
      <c r="E5" s="80"/>
      <c r="F5" s="80"/>
      <c r="G5" s="80"/>
      <c r="H5" s="80"/>
      <c r="I5" s="32"/>
      <c r="J5" s="32"/>
      <c r="K5" s="32"/>
    </row>
    <row r="6" spans="1:12">
      <c r="B6" s="1"/>
      <c r="C6" s="1"/>
      <c r="D6" s="1"/>
      <c r="E6" s="1"/>
      <c r="F6" s="1"/>
      <c r="G6" s="1"/>
      <c r="H6" s="1"/>
      <c r="I6" s="32"/>
      <c r="J6" s="32"/>
      <c r="K6" s="32"/>
    </row>
    <row r="7" spans="1:12">
      <c r="D7" s="33"/>
      <c r="E7" s="34"/>
      <c r="F7" s="34"/>
      <c r="I7" s="32"/>
      <c r="J7" s="32"/>
      <c r="K7" s="32"/>
    </row>
    <row r="8" spans="1:12">
      <c r="A8" s="1">
        <v>1</v>
      </c>
      <c r="C8" s="2" t="s">
        <v>26</v>
      </c>
      <c r="D8" s="3">
        <f>-SUM('3 - Support'!D59:D62)*'3 - Support'!C78</f>
        <v>3923410.5492993165</v>
      </c>
    </row>
    <row r="9" spans="1:12">
      <c r="A9" s="1">
        <v>2</v>
      </c>
      <c r="C9" s="2" t="s">
        <v>33</v>
      </c>
      <c r="D9" s="3">
        <f>-'3 - Support'!D69</f>
        <v>-133535</v>
      </c>
      <c r="E9" s="6"/>
      <c r="F9" s="6"/>
    </row>
    <row r="10" spans="1:12">
      <c r="A10" s="1">
        <v>3</v>
      </c>
      <c r="C10" s="4" t="s">
        <v>11</v>
      </c>
      <c r="D10" s="3">
        <f>D8+D9</f>
        <v>3789875.5492993165</v>
      </c>
      <c r="E10" s="6"/>
      <c r="F10" s="6"/>
    </row>
    <row r="11" spans="1:12">
      <c r="C11" s="4"/>
      <c r="D11" s="6"/>
    </row>
    <row r="12" spans="1:12">
      <c r="D12" s="6"/>
    </row>
    <row r="13" spans="1:12">
      <c r="D13" s="3"/>
    </row>
    <row r="14" spans="1:12" ht="17.25">
      <c r="D14" s="7"/>
      <c r="E14" s="6"/>
    </row>
    <row r="15" spans="1:12">
      <c r="D15" s="3"/>
    </row>
    <row r="16" spans="1:12">
      <c r="D16" s="3"/>
    </row>
    <row r="17" spans="3:4">
      <c r="D17" s="8"/>
    </row>
    <row r="19" spans="3:4">
      <c r="D19" s="6"/>
    </row>
    <row r="21" spans="3:4">
      <c r="C21" s="5" t="s">
        <v>34</v>
      </c>
    </row>
    <row r="22" spans="3:4">
      <c r="C22" s="5" t="s">
        <v>27</v>
      </c>
    </row>
    <row r="23" spans="3:4">
      <c r="C23" s="5" t="s">
        <v>28</v>
      </c>
    </row>
    <row r="24" spans="3:4">
      <c r="C24" s="5" t="s">
        <v>29</v>
      </c>
    </row>
    <row r="26" spans="3:4">
      <c r="C26" s="35"/>
    </row>
  </sheetData>
  <sheetProtection algorithmName="SHA-512" hashValue="rfggIl8+DIun1eyADrX8Nd6uXXg2A6hNHhU5WC9nn6Xt1pddB4knmDd23e2G1GYBJHvhOKvMZcD3zrGGcn1Vlw==" saltValue="cWrmBXPulNfafM1fM8Lq0g==" spinCount="100000" sheet="1" objects="1" scenarios="1"/>
  <mergeCells count="3">
    <mergeCell ref="A3:H3"/>
    <mergeCell ref="A4:H4"/>
    <mergeCell ref="A5:H5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R35"/>
  <sheetViews>
    <sheetView topLeftCell="A19" zoomScale="80" zoomScaleNormal="80" workbookViewId="0">
      <selection activeCell="H23" sqref="H23"/>
    </sheetView>
  </sheetViews>
  <sheetFormatPr defaultColWidth="8.85546875" defaultRowHeight="15"/>
  <cols>
    <col min="1" max="4" width="8.85546875" style="2"/>
    <col min="5" max="5" width="10.28515625" style="2" customWidth="1"/>
    <col min="6" max="7" width="8.85546875" style="2"/>
    <col min="8" max="8" width="12" style="2" customWidth="1"/>
    <col min="9" max="17" width="8.85546875" style="2"/>
    <col min="18" max="18" width="11.5703125" style="2" bestFit="1" customWidth="1"/>
    <col min="19" max="16384" width="8.85546875" style="2"/>
  </cols>
  <sheetData>
    <row r="2" spans="1:9">
      <c r="A2" s="9"/>
      <c r="B2" s="9"/>
      <c r="C2" s="9"/>
      <c r="D2" s="9"/>
      <c r="E2" s="10" t="s">
        <v>41</v>
      </c>
      <c r="F2" s="9"/>
      <c r="G2" s="9"/>
      <c r="H2" s="9"/>
      <c r="I2" s="9"/>
    </row>
    <row r="3" spans="1:9">
      <c r="A3" s="9"/>
      <c r="B3" s="9"/>
      <c r="C3" s="9"/>
      <c r="D3" s="9"/>
      <c r="E3" s="11" t="s">
        <v>31</v>
      </c>
      <c r="F3" s="9"/>
      <c r="G3" s="9"/>
      <c r="H3" s="9"/>
      <c r="I3" s="9"/>
    </row>
    <row r="5" spans="1:9" ht="15.75">
      <c r="A5" s="9"/>
      <c r="B5" s="9"/>
      <c r="F5" s="9"/>
      <c r="G5" s="9"/>
      <c r="H5" s="12"/>
    </row>
    <row r="6" spans="1:9" ht="39">
      <c r="A6" s="13"/>
      <c r="B6" s="14"/>
      <c r="F6" s="15" t="s">
        <v>42</v>
      </c>
      <c r="G6" s="15"/>
      <c r="H6" s="16" t="s">
        <v>43</v>
      </c>
    </row>
    <row r="7" spans="1:9" ht="15.75">
      <c r="A7" s="13">
        <v>1</v>
      </c>
      <c r="B7" s="17"/>
      <c r="F7" s="9" t="s">
        <v>44</v>
      </c>
      <c r="G7" s="18"/>
      <c r="H7" s="68">
        <v>4.4000000000000003E-3</v>
      </c>
    </row>
    <row r="8" spans="1:9" ht="15.75">
      <c r="A8" s="13">
        <v>2</v>
      </c>
      <c r="B8" s="17"/>
      <c r="F8" s="9" t="s">
        <v>45</v>
      </c>
      <c r="G8" s="18"/>
      <c r="H8" s="68">
        <v>4.0000000000000001E-3</v>
      </c>
    </row>
    <row r="9" spans="1:9" ht="15.75">
      <c r="A9" s="13">
        <v>3</v>
      </c>
      <c r="B9" s="17"/>
      <c r="F9" s="9" t="s">
        <v>46</v>
      </c>
      <c r="G9" s="18"/>
      <c r="H9" s="68">
        <v>4.4000000000000003E-3</v>
      </c>
    </row>
    <row r="10" spans="1:9" ht="15.75">
      <c r="A10" s="13">
        <v>4</v>
      </c>
      <c r="B10" s="17"/>
      <c r="F10" s="9" t="s">
        <v>47</v>
      </c>
      <c r="G10" s="18"/>
      <c r="H10" s="68">
        <v>4.4999999999999997E-3</v>
      </c>
    </row>
    <row r="11" spans="1:9" ht="15.75">
      <c r="A11" s="13">
        <v>5</v>
      </c>
      <c r="B11" s="17"/>
      <c r="F11" s="9" t="s">
        <v>48</v>
      </c>
      <c r="G11" s="18"/>
      <c r="H11" s="68">
        <v>4.5999999999999999E-3</v>
      </c>
    </row>
    <row r="12" spans="1:9" ht="15.75">
      <c r="A12" s="13">
        <v>6</v>
      </c>
      <c r="B12" s="17"/>
      <c r="F12" s="9" t="s">
        <v>49</v>
      </c>
      <c r="G12" s="18"/>
      <c r="H12" s="68">
        <v>4.4999999999999997E-3</v>
      </c>
    </row>
    <row r="13" spans="1:9" ht="15.75">
      <c r="A13" s="13">
        <v>7</v>
      </c>
      <c r="B13" s="17"/>
      <c r="F13" s="9" t="s">
        <v>50</v>
      </c>
      <c r="G13" s="18"/>
      <c r="H13" s="68">
        <v>4.7000000000000002E-3</v>
      </c>
    </row>
    <row r="14" spans="1:9" ht="15.75">
      <c r="A14" s="13">
        <v>8</v>
      </c>
      <c r="B14" s="17"/>
      <c r="F14" s="9" t="s">
        <v>51</v>
      </c>
      <c r="G14" s="18"/>
      <c r="H14" s="68">
        <v>4.7000000000000002E-3</v>
      </c>
    </row>
    <row r="15" spans="1:9" ht="15.75">
      <c r="A15" s="13">
        <v>9</v>
      </c>
      <c r="B15" s="17"/>
      <c r="F15" s="9" t="s">
        <v>52</v>
      </c>
      <c r="G15" s="18"/>
      <c r="H15" s="68">
        <v>4.4999999999999997E-3</v>
      </c>
    </row>
    <row r="16" spans="1:9" ht="15.75">
      <c r="A16" s="13">
        <v>10</v>
      </c>
      <c r="B16" s="17"/>
      <c r="F16" s="9" t="s">
        <v>53</v>
      </c>
      <c r="G16" s="18"/>
      <c r="H16" s="68">
        <v>4.5999999999999999E-3</v>
      </c>
    </row>
    <row r="17" spans="1:18" ht="15.75">
      <c r="A17" s="13">
        <v>11</v>
      </c>
      <c r="B17" s="17"/>
      <c r="F17" s="9" t="s">
        <v>54</v>
      </c>
      <c r="G17" s="18"/>
      <c r="H17" s="68">
        <v>4.4999999999999997E-3</v>
      </c>
    </row>
    <row r="18" spans="1:18" ht="15.75">
      <c r="A18" s="13">
        <v>12</v>
      </c>
      <c r="B18" s="17"/>
      <c r="F18" s="9" t="s">
        <v>55</v>
      </c>
      <c r="G18" s="18"/>
      <c r="H18" s="68">
        <v>4.5999999999999999E-3</v>
      </c>
    </row>
    <row r="19" spans="1:18" ht="15.75">
      <c r="A19" s="13">
        <v>13</v>
      </c>
      <c r="B19" s="17"/>
      <c r="F19" s="9" t="s">
        <v>44</v>
      </c>
      <c r="G19" s="18"/>
      <c r="H19" s="68">
        <v>4.1999999999999997E-3</v>
      </c>
    </row>
    <row r="20" spans="1:18" ht="15.75">
      <c r="A20" s="13">
        <v>14</v>
      </c>
      <c r="B20" s="17"/>
      <c r="F20" s="9" t="s">
        <v>45</v>
      </c>
      <c r="G20" s="18"/>
      <c r="H20" s="68">
        <v>3.8999999999999998E-3</v>
      </c>
    </row>
    <row r="21" spans="1:18" ht="15.75">
      <c r="A21" s="13">
        <v>15</v>
      </c>
      <c r="B21" s="17"/>
      <c r="F21" s="9" t="s">
        <v>46</v>
      </c>
      <c r="G21" s="18"/>
      <c r="H21" s="68">
        <v>4.1999999999999997E-3</v>
      </c>
    </row>
    <row r="22" spans="1:18" ht="15.75">
      <c r="A22" s="13">
        <v>16</v>
      </c>
      <c r="B22" s="17"/>
      <c r="F22" s="9" t="s">
        <v>47</v>
      </c>
      <c r="G22" s="18"/>
      <c r="H22" s="68">
        <v>3.8999999999999998E-3</v>
      </c>
    </row>
    <row r="23" spans="1:18" ht="15.75">
      <c r="A23" s="13">
        <v>17</v>
      </c>
      <c r="B23" s="17"/>
      <c r="F23" s="9" t="s">
        <v>48</v>
      </c>
      <c r="G23" s="18"/>
      <c r="H23" s="68">
        <v>4.0000000000000001E-3</v>
      </c>
    </row>
    <row r="24" spans="1:18" ht="15.75">
      <c r="A24" s="13">
        <v>18</v>
      </c>
      <c r="B24" s="19" t="s">
        <v>56</v>
      </c>
      <c r="G24" s="20"/>
      <c r="H24" s="21">
        <f>AVERAGE(H7:H23)</f>
        <v>4.3647058823529416E-3</v>
      </c>
    </row>
    <row r="26" spans="1:18" ht="15.75">
      <c r="A26" s="17" t="s">
        <v>34</v>
      </c>
      <c r="B26" s="17"/>
    </row>
    <row r="27" spans="1:18">
      <c r="A27" s="22" t="s">
        <v>57</v>
      </c>
      <c r="B27" s="22" t="s">
        <v>58</v>
      </c>
    </row>
    <row r="29" spans="1:18" ht="15.75">
      <c r="A29" s="13">
        <v>19</v>
      </c>
      <c r="B29" s="2" t="s">
        <v>59</v>
      </c>
      <c r="H29" s="69">
        <v>2167304.9831050606</v>
      </c>
      <c r="R29" s="56"/>
    </row>
    <row r="30" spans="1:18" ht="15.75">
      <c r="A30" s="13">
        <v>20</v>
      </c>
      <c r="B30" s="2" t="s">
        <v>60</v>
      </c>
      <c r="H30" s="69">
        <v>2525640</v>
      </c>
      <c r="R30" s="49"/>
    </row>
    <row r="31" spans="1:18" ht="15.75">
      <c r="A31" s="13">
        <v>21</v>
      </c>
      <c r="B31" s="2" t="s">
        <v>61</v>
      </c>
      <c r="H31" s="23">
        <f>-H30+H29</f>
        <v>-358335.01689493936</v>
      </c>
      <c r="R31" s="23"/>
    </row>
    <row r="32" spans="1:18" ht="15.75">
      <c r="A32" s="13">
        <v>22</v>
      </c>
      <c r="B32" s="2" t="s">
        <v>62</v>
      </c>
      <c r="H32" s="23">
        <v>17</v>
      </c>
      <c r="R32" s="23"/>
    </row>
    <row r="33" spans="1:18" ht="15.75">
      <c r="A33" s="13">
        <v>23</v>
      </c>
      <c r="B33" s="2" t="s">
        <v>63</v>
      </c>
      <c r="H33" s="23">
        <f>H31*H24*H32</f>
        <v>-26588.458253604502</v>
      </c>
      <c r="R33" s="23"/>
    </row>
    <row r="34" spans="1:18">
      <c r="H34" s="23"/>
      <c r="R34" s="23"/>
    </row>
    <row r="35" spans="1:18" ht="15.75">
      <c r="A35" s="13">
        <v>24</v>
      </c>
      <c r="B35" s="2" t="s">
        <v>64</v>
      </c>
      <c r="H35" s="23">
        <f>H31+H33</f>
        <v>-384923.47514854383</v>
      </c>
      <c r="R35" s="23"/>
    </row>
  </sheetData>
  <sheetProtection algorithmName="SHA-512" hashValue="Spe0HR3NYz0uGIYZQSl6+5XJejxxsmiIulS4opWpiCKYBD8xIJOLJuow4E6Lw8P5omoLXvL7tTN65kagYaKQpg==" saltValue="fn/XiPy0MvSSlDiltf3aa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topLeftCell="A7" zoomScale="80" zoomScaleNormal="80" workbookViewId="0">
      <selection activeCell="I22" sqref="I22"/>
    </sheetView>
  </sheetViews>
  <sheetFormatPr defaultColWidth="8.85546875" defaultRowHeight="15"/>
  <cols>
    <col min="1" max="1" width="11.5703125" style="2" customWidth="1"/>
    <col min="2" max="2" width="46.28515625" style="2" customWidth="1"/>
    <col min="3" max="5" width="22.85546875" style="2" customWidth="1"/>
    <col min="6" max="16384" width="8.85546875" style="2"/>
  </cols>
  <sheetData>
    <row r="5" spans="1:19" ht="15.75">
      <c r="A5" s="36"/>
      <c r="D5" s="37"/>
    </row>
    <row r="8" spans="1:19">
      <c r="E8" s="31"/>
    </row>
    <row r="9" spans="1:19">
      <c r="B9" s="79" t="s">
        <v>31</v>
      </c>
      <c r="C9" s="79"/>
      <c r="D9" s="79"/>
      <c r="E9" s="79"/>
      <c r="F9" s="79"/>
      <c r="G9" s="79"/>
      <c r="H9" s="79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>
      <c r="B10" s="79" t="s">
        <v>18</v>
      </c>
      <c r="C10" s="79"/>
      <c r="D10" s="79"/>
      <c r="E10" s="79"/>
      <c r="F10" s="79"/>
      <c r="G10" s="79"/>
      <c r="H10" s="79"/>
    </row>
    <row r="11" spans="1:19">
      <c r="B11" s="80" t="s">
        <v>68</v>
      </c>
      <c r="C11" s="80"/>
      <c r="D11" s="80"/>
      <c r="E11" s="80"/>
      <c r="F11" s="80"/>
      <c r="G11" s="80"/>
      <c r="H11" s="80"/>
    </row>
    <row r="12" spans="1:19">
      <c r="B12" s="1"/>
      <c r="C12" s="1"/>
      <c r="D12" s="1"/>
      <c r="E12" s="1"/>
      <c r="F12" s="1"/>
      <c r="G12" s="1"/>
      <c r="H12" s="1"/>
    </row>
    <row r="13" spans="1:19">
      <c r="C13" s="70">
        <v>43465</v>
      </c>
      <c r="D13" s="63" t="s">
        <v>9</v>
      </c>
      <c r="E13" s="70">
        <v>43830</v>
      </c>
    </row>
    <row r="14" spans="1:19">
      <c r="B14" s="4" t="s">
        <v>0</v>
      </c>
      <c r="C14"/>
      <c r="D14" s="64"/>
      <c r="E14"/>
    </row>
    <row r="15" spans="1:19">
      <c r="B15" s="2" t="s">
        <v>2</v>
      </c>
      <c r="C15" s="71">
        <v>7627294</v>
      </c>
      <c r="D15" s="65">
        <f t="shared" ref="D15" si="0">E15-C15</f>
        <v>-210530.46999999974</v>
      </c>
      <c r="E15" s="71">
        <v>7416763.5300000003</v>
      </c>
    </row>
    <row r="16" spans="1:19">
      <c r="B16" s="2" t="s">
        <v>20</v>
      </c>
      <c r="C16" s="71">
        <v>21776261</v>
      </c>
      <c r="D16" s="65">
        <f t="shared" ref="D16" si="1">E16-C16</f>
        <v>-819225.72170000151</v>
      </c>
      <c r="E16" s="71">
        <v>20957035.278299998</v>
      </c>
    </row>
    <row r="17" spans="2:8">
      <c r="B17" s="2" t="s">
        <v>3</v>
      </c>
      <c r="C17" s="71">
        <v>17057254</v>
      </c>
      <c r="D17" s="65">
        <f t="shared" ref="D17" si="2">E17-C17</f>
        <v>-1723251.0500000007</v>
      </c>
      <c r="E17" s="71">
        <v>15334002.949999999</v>
      </c>
    </row>
    <row r="18" spans="2:8">
      <c r="B18" s="2" t="s">
        <v>4</v>
      </c>
      <c r="C18" s="72">
        <v>393218</v>
      </c>
      <c r="D18" s="66">
        <f t="shared" ref="D18" si="3">E18-C18</f>
        <v>-13122.179999999993</v>
      </c>
      <c r="E18" s="72">
        <v>380095.82</v>
      </c>
    </row>
    <row r="19" spans="2:8">
      <c r="B19" s="40" t="s">
        <v>1</v>
      </c>
      <c r="C19" s="67">
        <f>SUM(C15:C18)</f>
        <v>46854027</v>
      </c>
      <c r="D19" s="65">
        <f>SUM(D15:D18)</f>
        <v>-2766129.4217000022</v>
      </c>
      <c r="E19" s="67">
        <f>SUM(E15:E18)</f>
        <v>44087897.578299999</v>
      </c>
    </row>
    <row r="20" spans="2:8">
      <c r="C20" s="41"/>
      <c r="E20" s="38"/>
    </row>
    <row r="21" spans="2:8">
      <c r="B21" s="4" t="s">
        <v>5</v>
      </c>
      <c r="C21" s="41"/>
      <c r="D21" s="4"/>
      <c r="E21" s="42"/>
    </row>
    <row r="22" spans="2:8">
      <c r="B22" s="2" t="s">
        <v>2</v>
      </c>
      <c r="C22" s="71">
        <v>0</v>
      </c>
      <c r="D22" s="65">
        <f t="shared" ref="D22" si="4">E22-C22</f>
        <v>0</v>
      </c>
      <c r="E22" s="71">
        <v>0</v>
      </c>
    </row>
    <row r="23" spans="2:8">
      <c r="B23" s="2" t="s">
        <v>20</v>
      </c>
      <c r="C23" s="71">
        <v>7502269</v>
      </c>
      <c r="D23" s="65">
        <f t="shared" ref="D23" si="5">E23-C23</f>
        <v>-59629</v>
      </c>
      <c r="E23" s="71">
        <v>7442640</v>
      </c>
      <c r="G23" s="55"/>
    </row>
    <row r="24" spans="2:8">
      <c r="B24" s="2" t="s">
        <v>3</v>
      </c>
      <c r="C24" s="71">
        <v>2789109</v>
      </c>
      <c r="D24" s="65">
        <f t="shared" ref="D24" si="6">E24-C24</f>
        <v>-215267</v>
      </c>
      <c r="E24" s="71">
        <v>2573842</v>
      </c>
    </row>
    <row r="25" spans="2:8">
      <c r="B25" s="2" t="s">
        <v>4</v>
      </c>
      <c r="C25" s="72">
        <v>1350282</v>
      </c>
      <c r="D25" s="66">
        <f t="shared" ref="D25" si="7">E25-C25</f>
        <v>-78933</v>
      </c>
      <c r="E25" s="72">
        <v>1271349</v>
      </c>
    </row>
    <row r="26" spans="2:8">
      <c r="B26" s="40" t="s">
        <v>1</v>
      </c>
      <c r="C26" s="41">
        <f>SUM(C22:C25)</f>
        <v>11641660</v>
      </c>
      <c r="D26" s="23">
        <f>SUM(D22:D25)</f>
        <v>-353829</v>
      </c>
      <c r="E26" s="41">
        <f>SUM(E22:E25)</f>
        <v>11287831</v>
      </c>
    </row>
    <row r="27" spans="2:8">
      <c r="C27" s="23"/>
      <c r="D27" s="43"/>
      <c r="E27" s="43"/>
    </row>
    <row r="28" spans="2:8" ht="15.75" thickBot="1">
      <c r="C28" s="23"/>
    </row>
    <row r="29" spans="2:8" ht="35.450000000000003" customHeight="1" thickBot="1">
      <c r="B29" s="44" t="s">
        <v>6</v>
      </c>
      <c r="C29" s="73">
        <v>7.3211515122655155E-2</v>
      </c>
      <c r="D29" s="81" t="s">
        <v>25</v>
      </c>
      <c r="E29" s="82"/>
      <c r="F29" s="82"/>
      <c r="G29" s="82"/>
      <c r="H29" s="82"/>
    </row>
    <row r="30" spans="2:8">
      <c r="B30" s="2" t="s">
        <v>2</v>
      </c>
      <c r="C30" s="23">
        <f>C22*$C$29</f>
        <v>0</v>
      </c>
      <c r="D30" s="23">
        <f t="shared" ref="D30" si="8">E30-C30</f>
        <v>0</v>
      </c>
      <c r="E30" s="23">
        <f>E22*$C$29</f>
        <v>0</v>
      </c>
    </row>
    <row r="31" spans="2:8">
      <c r="B31" s="2" t="s">
        <v>20</v>
      </c>
      <c r="C31" s="23">
        <f>C23*$C$29</f>
        <v>549252.48034772696</v>
      </c>
      <c r="D31" s="23">
        <f t="shared" ref="D31" si="9">E31-C31</f>
        <v>-4365.5294352488127</v>
      </c>
      <c r="E31" s="23">
        <f>E23*$C$29</f>
        <v>544886.95091247815</v>
      </c>
    </row>
    <row r="32" spans="2:8">
      <c r="B32" s="2" t="s">
        <v>3</v>
      </c>
      <c r="C32" s="23">
        <f>C24*$C$29</f>
        <v>204194.89573223359</v>
      </c>
      <c r="D32" s="23">
        <f t="shared" ref="D32" si="10">E32-C32</f>
        <v>-15760.023225908604</v>
      </c>
      <c r="E32" s="23">
        <f>E24*$C$29</f>
        <v>188434.87250632499</v>
      </c>
    </row>
    <row r="33" spans="2:7">
      <c r="B33" s="2" t="s">
        <v>4</v>
      </c>
      <c r="C33" s="39">
        <f>C25*$C$29</f>
        <v>98856.191062849044</v>
      </c>
      <c r="D33" s="39">
        <f t="shared" ref="D33" si="11">E33-C33</f>
        <v>-5778.8045231765427</v>
      </c>
      <c r="E33" s="39">
        <f>E25*$C$29</f>
        <v>93077.386539672501</v>
      </c>
    </row>
    <row r="34" spans="2:7">
      <c r="B34" s="40" t="s">
        <v>1</v>
      </c>
      <c r="C34" s="43">
        <f>SUM(C30:C33)</f>
        <v>852303.56714280951</v>
      </c>
      <c r="D34" s="43">
        <f t="shared" ref="D34" si="12">E34-C34</f>
        <v>-25904.357184333843</v>
      </c>
      <c r="E34" s="43">
        <f>SUM(E30:E33)</f>
        <v>826399.20995847567</v>
      </c>
    </row>
    <row r="35" spans="2:7">
      <c r="C35" s="23"/>
    </row>
    <row r="36" spans="2:7">
      <c r="C36" s="23"/>
    </row>
    <row r="37" spans="2:7">
      <c r="C37" s="23"/>
    </row>
    <row r="38" spans="2:7">
      <c r="B38" s="4" t="s">
        <v>7</v>
      </c>
      <c r="C38" s="23"/>
      <c r="D38" s="4"/>
      <c r="E38" s="4"/>
    </row>
    <row r="39" spans="2:7">
      <c r="B39" s="2" t="s">
        <v>2</v>
      </c>
      <c r="C39" s="71">
        <v>9355</v>
      </c>
      <c r="D39" s="65">
        <f t="shared" ref="D39" si="13">E39-C39</f>
        <v>-240.36000000000058</v>
      </c>
      <c r="E39" s="71">
        <v>9114.64</v>
      </c>
    </row>
    <row r="40" spans="2:7">
      <c r="B40" s="2" t="s">
        <v>20</v>
      </c>
      <c r="C40" s="71">
        <v>848578</v>
      </c>
      <c r="D40" s="65">
        <f t="shared" ref="D40" si="14">E40-C40</f>
        <v>27532.280000000028</v>
      </c>
      <c r="E40" s="71">
        <v>876110.28</v>
      </c>
    </row>
    <row r="41" spans="2:7">
      <c r="B41" s="2" t="s">
        <v>3</v>
      </c>
      <c r="C41" s="71">
        <v>145948</v>
      </c>
      <c r="D41" s="65">
        <f t="shared" ref="D41" si="15">E41-C41</f>
        <v>-4018.6700000000128</v>
      </c>
      <c r="E41" s="71">
        <v>141929.32999999999</v>
      </c>
    </row>
    <row r="42" spans="2:7">
      <c r="B42" s="2" t="s">
        <v>4</v>
      </c>
      <c r="C42" s="72">
        <v>2581</v>
      </c>
      <c r="D42" s="66">
        <f t="shared" ref="D42" si="16">E42-C42</f>
        <v>-213.57000000000016</v>
      </c>
      <c r="E42" s="72">
        <v>2367.4299999999998</v>
      </c>
    </row>
    <row r="43" spans="2:7">
      <c r="B43" s="40" t="s">
        <v>1</v>
      </c>
      <c r="C43" s="23">
        <f>SUM(C39:C42)</f>
        <v>1006462</v>
      </c>
      <c r="D43" s="23">
        <f>SUM(D39:D42)</f>
        <v>23059.680000000015</v>
      </c>
      <c r="E43" s="23">
        <f>SUM(E39:E42)</f>
        <v>1029521.68</v>
      </c>
    </row>
    <row r="44" spans="2:7">
      <c r="C44" s="23"/>
    </row>
    <row r="45" spans="2:7">
      <c r="C45" s="23"/>
    </row>
    <row r="46" spans="2:7">
      <c r="C46" s="23"/>
    </row>
    <row r="47" spans="2:7" ht="15.75" thickBot="1">
      <c r="C47" s="23"/>
    </row>
    <row r="48" spans="2:7" ht="15.75" thickBot="1">
      <c r="B48" s="45" t="s">
        <v>6</v>
      </c>
      <c r="C48" s="73">
        <v>9.4490855863003556E-2</v>
      </c>
      <c r="D48" s="46" t="s">
        <v>17</v>
      </c>
      <c r="E48" s="47"/>
      <c r="G48" s="47"/>
    </row>
    <row r="49" spans="2:5">
      <c r="B49" s="2" t="s">
        <v>2</v>
      </c>
      <c r="C49" s="23">
        <f>C39*$C$48</f>
        <v>883.96195659839827</v>
      </c>
      <c r="D49" s="23">
        <f t="shared" ref="D49" si="17">E49-C49</f>
        <v>-22.711822115231598</v>
      </c>
      <c r="E49" s="23">
        <f>E39*$C$48</f>
        <v>861.25013448316668</v>
      </c>
    </row>
    <row r="50" spans="2:5">
      <c r="B50" s="2" t="s">
        <v>20</v>
      </c>
      <c r="C50" s="23">
        <f>C40*$C$48</f>
        <v>80182.861486515831</v>
      </c>
      <c r="D50" s="23">
        <f t="shared" ref="D50" si="18">E50-C50</f>
        <v>2601.548701059859</v>
      </c>
      <c r="E50" s="23">
        <f>E40*$C$48</f>
        <v>82784.41018757569</v>
      </c>
    </row>
    <row r="51" spans="2:5">
      <c r="B51" s="2" t="s">
        <v>3</v>
      </c>
      <c r="C51" s="23">
        <f>C41*$C$48</f>
        <v>13790.751431493643</v>
      </c>
      <c r="D51" s="23">
        <f t="shared" ref="D51" si="19">E51-C51</f>
        <v>-379.72756773097899</v>
      </c>
      <c r="E51" s="23">
        <f>E41*$C$48</f>
        <v>13411.023863762664</v>
      </c>
    </row>
    <row r="52" spans="2:5">
      <c r="B52" s="2" t="s">
        <v>4</v>
      </c>
      <c r="C52" s="39">
        <f>C42*$C$48</f>
        <v>243.88089898241219</v>
      </c>
      <c r="D52" s="39">
        <f t="shared" ref="D52" si="20">E52-C52</f>
        <v>-20.180412086661704</v>
      </c>
      <c r="E52" s="39">
        <f>E42*$C$48</f>
        <v>223.70048689575049</v>
      </c>
    </row>
    <row r="53" spans="2:5">
      <c r="B53" s="40" t="s">
        <v>1</v>
      </c>
      <c r="C53" s="43">
        <f>SUM(C49:C52)</f>
        <v>95101.455773590293</v>
      </c>
      <c r="D53" s="43">
        <f t="shared" ref="D53" si="21">E53-C53</f>
        <v>2178.9288991269714</v>
      </c>
      <c r="E53" s="43">
        <f>SUM(E49:E52)</f>
        <v>97280.384672717264</v>
      </c>
    </row>
    <row r="54" spans="2:5">
      <c r="C54" s="23"/>
    </row>
    <row r="58" spans="2:5">
      <c r="B58" s="48" t="s">
        <v>8</v>
      </c>
      <c r="D58" s="48"/>
    </row>
    <row r="59" spans="2:5">
      <c r="B59" s="2" t="s">
        <v>2</v>
      </c>
      <c r="C59" s="49">
        <f t="shared" ref="C59:E62" si="22">C15+C30+C49</f>
        <v>7628177.9619565988</v>
      </c>
      <c r="D59" s="49">
        <f t="shared" si="22"/>
        <v>-210553.18182211497</v>
      </c>
      <c r="E59" s="49">
        <f t="shared" si="22"/>
        <v>7417624.7801344832</v>
      </c>
    </row>
    <row r="60" spans="2:5">
      <c r="B60" s="2" t="s">
        <v>20</v>
      </c>
      <c r="C60" s="49">
        <f t="shared" si="22"/>
        <v>22405696.341834243</v>
      </c>
      <c r="D60" s="49">
        <f t="shared" si="22"/>
        <v>-820989.70243419043</v>
      </c>
      <c r="E60" s="49">
        <f t="shared" si="22"/>
        <v>21584706.639400054</v>
      </c>
    </row>
    <row r="61" spans="2:5">
      <c r="B61" s="2" t="s">
        <v>3</v>
      </c>
      <c r="C61" s="49">
        <f t="shared" si="22"/>
        <v>17275239.64716373</v>
      </c>
      <c r="D61" s="49">
        <f t="shared" si="22"/>
        <v>-1739390.8007936403</v>
      </c>
      <c r="E61" s="49">
        <f t="shared" si="22"/>
        <v>15535848.846370086</v>
      </c>
    </row>
    <row r="62" spans="2:5">
      <c r="B62" s="2" t="s">
        <v>4</v>
      </c>
      <c r="C62" s="50">
        <f t="shared" si="22"/>
        <v>492318.07196183142</v>
      </c>
      <c r="D62" s="50">
        <f t="shared" si="22"/>
        <v>-18921.164935263198</v>
      </c>
      <c r="E62" s="50">
        <f t="shared" si="22"/>
        <v>473396.90702656825</v>
      </c>
    </row>
    <row r="63" spans="2:5">
      <c r="B63" s="4" t="s">
        <v>1</v>
      </c>
      <c r="C63" s="51">
        <f>SUM(C59:C62)</f>
        <v>47801432.022916406</v>
      </c>
      <c r="D63" s="51">
        <f>SUM(D59:D62)</f>
        <v>-2789854.8499852088</v>
      </c>
      <c r="E63" s="51">
        <f>SUM(E59:E62)</f>
        <v>45011577.172931187</v>
      </c>
    </row>
    <row r="65" spans="1:5">
      <c r="A65" s="2" t="s">
        <v>10</v>
      </c>
      <c r="B65" s="2" t="s">
        <v>23</v>
      </c>
      <c r="C65" s="23">
        <f>C63*$C$78</f>
        <v>67223799.356915906</v>
      </c>
      <c r="D65" s="23">
        <f>D63*$C$78</f>
        <v>-3923410.5492993165</v>
      </c>
      <c r="E65" s="23">
        <f>E63*$C$78</f>
        <v>63300388.807616569</v>
      </c>
    </row>
    <row r="68" spans="1:5">
      <c r="B68" s="2" t="s">
        <v>21</v>
      </c>
      <c r="C68" s="23">
        <f>C69/$C$78</f>
        <v>-166169.91827300002</v>
      </c>
      <c r="D68" s="23">
        <f>D69/$C$78</f>
        <v>94953.934265000004</v>
      </c>
      <c r="E68" s="23">
        <f>E69/$C$78</f>
        <v>-71215.984007999999</v>
      </c>
    </row>
    <row r="69" spans="1:5">
      <c r="B69" s="2" t="s">
        <v>22</v>
      </c>
      <c r="C69" s="71">
        <v>-233687</v>
      </c>
      <c r="D69" s="71">
        <v>133535</v>
      </c>
      <c r="E69" s="23">
        <f>SUM(C69:D69)</f>
        <v>-100152</v>
      </c>
    </row>
    <row r="71" spans="1:5">
      <c r="B71" s="2" t="s">
        <v>24</v>
      </c>
      <c r="C71" s="49">
        <f t="shared" ref="C71:E71" si="23">C65+C69</f>
        <v>66990112.356915906</v>
      </c>
      <c r="D71" s="49">
        <f t="shared" si="23"/>
        <v>-3789875.5492993165</v>
      </c>
      <c r="E71" s="49">
        <f t="shared" si="23"/>
        <v>63200236.807616569</v>
      </c>
    </row>
    <row r="73" spans="1:5">
      <c r="A73" s="52"/>
      <c r="B73" s="52"/>
    </row>
    <row r="74" spans="1:5">
      <c r="B74" s="53" t="s">
        <v>12</v>
      </c>
    </row>
    <row r="75" spans="1:5">
      <c r="B75" s="2" t="s">
        <v>13</v>
      </c>
      <c r="C75" s="74">
        <v>0.21</v>
      </c>
    </row>
    <row r="76" spans="1:5">
      <c r="B76" s="2" t="s">
        <v>14</v>
      </c>
      <c r="C76" s="74">
        <v>9.9900000000000003E-2</v>
      </c>
    </row>
    <row r="77" spans="1:5">
      <c r="B77" s="2" t="s">
        <v>15</v>
      </c>
      <c r="C77" s="54">
        <f>C75+C76*(1-C75)</f>
        <v>0.28892099999999998</v>
      </c>
    </row>
    <row r="78" spans="1:5">
      <c r="B78" s="2" t="s">
        <v>16</v>
      </c>
      <c r="C78" s="54">
        <f>1/(1-C77)</f>
        <v>1.4063135038441579</v>
      </c>
    </row>
    <row r="81" spans="2:5">
      <c r="C81" s="49"/>
      <c r="D81" s="49"/>
      <c r="E81" s="49"/>
    </row>
    <row r="82" spans="2:5">
      <c r="C82" s="49"/>
      <c r="D82" s="49"/>
      <c r="E82" s="49"/>
    </row>
    <row r="83" spans="2:5">
      <c r="C83" s="49"/>
      <c r="D83" s="49"/>
      <c r="E83" s="49"/>
    </row>
    <row r="86" spans="2:5">
      <c r="B86" s="31"/>
    </row>
    <row r="88" spans="2:5">
      <c r="B88" s="31"/>
    </row>
    <row r="89" spans="2:5">
      <c r="B89" s="31"/>
    </row>
    <row r="91" spans="2:5">
      <c r="B91" s="31"/>
    </row>
  </sheetData>
  <sheetProtection algorithmName="SHA-512" hashValue="yI83Dbjvbu+PPF46QW+foXcWMUbmim+PXAt8WRZ4Mpk7PU5F9QxeJ4KvUtnzs0cJpSF3XZMYw3dp2S9H1vzW2A==" saltValue="5aMaOW7prYqxtzdIN/+1Yg==" spinCount="100000" sheet="1" objects="1" scenarios="1"/>
  <mergeCells count="4">
    <mergeCell ref="D29:H29"/>
    <mergeCell ref="B10:H10"/>
    <mergeCell ref="B11:H11"/>
    <mergeCell ref="B9:H9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Attachment H-7B</vt:lpstr>
      <vt:lpstr>1 - Revenue Requirement</vt:lpstr>
      <vt:lpstr>2 - True-Up</vt:lpstr>
      <vt:lpstr>3 - Support</vt:lpstr>
      <vt:lpstr>Title!Print_Area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Jamison, Tamara J:(PECO)</dc:creator>
  <cp:lastModifiedBy>Jamison, Tamara J:(PECO)</cp:lastModifiedBy>
  <cp:lastPrinted>2019-03-08T18:47:18Z</cp:lastPrinted>
  <dcterms:created xsi:type="dcterms:W3CDTF">2019-02-20T15:33:09Z</dcterms:created>
  <dcterms:modified xsi:type="dcterms:W3CDTF">2020-05-29T15:39:32Z</dcterms:modified>
</cp:coreProperties>
</file>