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5" yWindow="165" windowWidth="15480" windowHeight="5775" tabRatio="842"/>
  </bookViews>
  <sheets>
    <sheet name="ATT H-3D" sheetId="1" r:id="rId1"/>
    <sheet name="1 - ADIT" sheetId="22" r:id="rId2"/>
    <sheet name="2 - Other Tax" sheetId="3" r:id="rId3"/>
    <sheet name="3 - Revenue Credits" sheetId="4" r:id="rId4"/>
    <sheet name="4 - 100 Basis Pt ROE" sheetId="5" r:id="rId5"/>
    <sheet name="5 - Cost Support 1" sheetId="6" r:id="rId6"/>
    <sheet name="5a Affiliate Allocations" sheetId="17" r:id="rId7"/>
    <sheet name="6- Est &amp; Reconcile WS" sheetId="11" r:id="rId8"/>
    <sheet name="7 - Cap Add WS" sheetId="12" r:id="rId9"/>
    <sheet name="8 - Securitization"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0">#REF!</definedName>
    <definedName name="\A">#REF!</definedName>
    <definedName name="\C">#REF!</definedName>
    <definedName name="\D">#REF!</definedName>
    <definedName name="\H">#REF!</definedName>
    <definedName name="\J">#REF!</definedName>
    <definedName name="\L">#REF!</definedName>
    <definedName name="\P">[1]Assump!#REF!</definedName>
    <definedName name="_________________H1">{"'Metretek HTML'!$A$7:$W$42"}</definedName>
    <definedName name="____H1">{"'Metretek HTML'!$A$7:$W$42"}</definedName>
    <definedName name="___DAT2">'[2]Rent Revenue'!#REF!</definedName>
    <definedName name="___H1">{"'Metretek HTML'!$A$7:$W$42"}</definedName>
    <definedName name="__123Graph_B" hidden="1">[3]Inputs!#REF!</definedName>
    <definedName name="__123Graph_D" hidden="1">[1]Assump!#REF!</definedName>
    <definedName name="__DAT1">'[4]Cost Center List'!#REF!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6">#REF!</definedName>
    <definedName name="__DAT7">#REF!</definedName>
    <definedName name="__DAT8">#REF!</definedName>
    <definedName name="__DAT9">#REF!</definedName>
    <definedName name="__H1">{"'Metretek HTML'!$A$7:$W$42"}</definedName>
    <definedName name="_6532">#REF!</definedName>
    <definedName name="_6533">#REF!</definedName>
    <definedName name="_6543">#REF!</definedName>
    <definedName name="_88TOTALS">#REF!</definedName>
    <definedName name="_cal1">#REF!</definedName>
    <definedName name="_cal2">#REF!</definedName>
    <definedName name="_cal3">#REF!</definedName>
    <definedName name="_cal4">#REF!</definedName>
    <definedName name="_cal5">#REF!</definedName>
    <definedName name="_cal6">#REF!</definedName>
    <definedName name="_DAT1">'[4]Cost Center List'!#REF!</definedName>
    <definedName name="_DAT10">#REF!</definedName>
    <definedName name="_DAT11">#REF!</definedName>
    <definedName name="_dat1111">[5]Sheet1!$G$2:$G$29</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H1">{"'Metretek HTML'!$A$7:$W$42"}</definedName>
    <definedName name="_New2">#REF!</definedName>
    <definedName name="_New3">#REF!</definedName>
    <definedName name="_New4">#REF!</definedName>
    <definedName name="_Order1" hidden="1">255</definedName>
    <definedName name="_Order2" hidden="1">255</definedName>
    <definedName name="_p.choice">#REF!</definedName>
    <definedName name="_PG1">#REF!</definedName>
    <definedName name="_PG2">#REF!</definedName>
    <definedName name="_PG3">#REF!</definedName>
    <definedName name="_PG4">#REF!</definedName>
    <definedName name="_PG5">#REF!</definedName>
    <definedName name="_PG6">#REF!</definedName>
    <definedName name="_Regression_Int">1</definedName>
    <definedName name="_SUM282">'[6]YTD Summary'!#REF!</definedName>
    <definedName name="_SUM3">'[7]Summ 165_236'!#REF!</definedName>
    <definedName name="_SUM4">'[7]Summ 165_236'!#REF!</definedName>
    <definedName name="AA.print">#REF!</definedName>
    <definedName name="aaa" localSheetId="1">9.25925996853039E-06</definedName>
    <definedName name="aaa" hidden="1">{#N/A,#N/A,FALSE,"O&amp;M by processes";#N/A,#N/A,FALSE,"Elec Act vs Bud";#N/A,#N/A,FALSE,"G&amp;A";#N/A,#N/A,FALSE,"BGS";#N/A,#N/A,FALSE,"Res Cost"}</definedName>
    <definedName name="aaaaaaaaaaaaaaa" hidden="1">{#N/A,#N/A,FALSE,"O&amp;M by processes";#N/A,#N/A,FALSE,"Elec Act vs Bud";#N/A,#N/A,FALSE,"G&amp;A";#N/A,#N/A,FALSE,"BGS";#N/A,#N/A,FALSE,"Res Cost"}</definedName>
    <definedName name="ab">{"'Metretek HTML'!$A$7:$W$42"}</definedName>
    <definedName name="AB.print">#REF!</definedName>
    <definedName name="AC_255">'[8]AC 255'!$A$1:$M$32</definedName>
    <definedName name="AC_282">[9]December!#REF!</definedName>
    <definedName name="acct281">[6]December!#REF!</definedName>
    <definedName name="Active1">#REF!</definedName>
    <definedName name="Active2">#REF!</definedName>
    <definedName name="Actual">[10]Assumptions!$E$52</definedName>
    <definedName name="AG1_01">#REF!</definedName>
    <definedName name="AG1_01B">#REF!</definedName>
    <definedName name="AG2_01">#REF!</definedName>
    <definedName name="AG2_02">#REF!</definedName>
    <definedName name="AG2_03">#REF!</definedName>
    <definedName name="AG2_04">#REF!</definedName>
    <definedName name="AG2_05">#REF!</definedName>
    <definedName name="AG2_06">#REF!</definedName>
    <definedName name="AG3_01">#REF!</definedName>
    <definedName name="AG3_02">#REF!</definedName>
    <definedName name="AG3_03">#REF!</definedName>
    <definedName name="AG3_04">#REF!</definedName>
    <definedName name="AG3_06">#REF!</definedName>
    <definedName name="AllASS">[11]ALL!$B$25</definedName>
    <definedName name="ALLCGI">[11]ALL!$D$25</definedName>
    <definedName name="ALLOC">#REF!</definedName>
    <definedName name="ALLRD">[11]ALL!$C$25</definedName>
    <definedName name="ALLSKP">[11]ALL!$E$25</definedName>
    <definedName name="ALTMIN">#REF!</definedName>
    <definedName name="AMERICA">#REF!</definedName>
    <definedName name="AMORT">#REF!</definedName>
    <definedName name="ANNSUM">#REF!</definedName>
    <definedName name="Annualization_Rate">#REF!</definedName>
    <definedName name="anscount" hidden="1">1</definedName>
    <definedName name="AO.print">#REF!</definedName>
    <definedName name="APR_13_WRKSHT_SUM">#REF!</definedName>
    <definedName name="apr2pre">#REF!</definedName>
    <definedName name="AS">{"'Metretek HTML'!$A$7:$W$42"}</definedName>
    <definedName name="AS2DocOpenMode" hidden="1">"AS2DocumentEdit"</definedName>
    <definedName name="AUG">#REF!</definedName>
    <definedName name="AV.FM.1..adjusted..print">#REF!</definedName>
    <definedName name="AV.FM.1.print">#REF!</definedName>
    <definedName name="avoidint">"V2001-12-31"</definedName>
    <definedName name="az">{"'Metretek HTML'!$A$7:$W$42"}</definedName>
    <definedName name="B">#REF!</definedName>
    <definedName name="BA.print">#REF!</definedName>
    <definedName name="BAL">#REF!</definedName>
    <definedName name="BALBCK">#REF!</definedName>
    <definedName name="BALP">#REF!</definedName>
    <definedName name="BALPBOD">#REF!</definedName>
    <definedName name="Base">#REF!</definedName>
    <definedName name="Basic_Data">#REF!</definedName>
    <definedName name="Basis_Points">[10]Assumptions!$H$15</definedName>
    <definedName name="BB.print">#REF!</definedName>
    <definedName name="bbb" localSheetId="1">37543.3981398148</definedName>
    <definedName name="bbb" hidden="1">{#N/A,#N/A,FALSE,"O&amp;M by processes";#N/A,#N/A,FALSE,"Elec Act vs Bud";#N/A,#N/A,FALSE,"G&amp;A";#N/A,#N/A,FALSE,"BGS";#N/A,#N/A,FALSE,"Res Cost"}</definedName>
    <definedName name="bbbb" hidden="1">{#N/A,#N/A,FALSE,"O&amp;M by processes";#N/A,#N/A,FALSE,"Elec Act vs Bud";#N/A,#N/A,FALSE,"G&amp;A";#N/A,#N/A,FALSE,"BGS";#N/A,#N/A,FALSE,"Res Cost"}</definedName>
    <definedName name="bbbbb" hidden="1">{#N/A,#N/A,FALSE,"O&amp;M by processes";#N/A,#N/A,FALSE,"Elec Act vs Bud";#N/A,#N/A,FALSE,"G&amp;A";#N/A,#N/A,FALSE,"BGS";#N/A,#N/A,FALSE,"Res Cost"}</definedName>
    <definedName name="bbc" hidden="1">{#N/A,#N/A,FALSE,"O&amp;M by processes";#N/A,#N/A,FALSE,"Elec Act vs Bud";#N/A,#N/A,FALSE,"G&amp;A";#N/A,#N/A,FALSE,"BGS";#N/A,#N/A,FALSE,"Res Cost"}</definedName>
    <definedName name="Benefits">350</definedName>
    <definedName name="BG.print">#REF!</definedName>
    <definedName name="BGS_Cost_Scenario">[10]Assumptions!$E$33</definedName>
    <definedName name="BGS_Forecast">[12]Assumptions!#REF!</definedName>
    <definedName name="BGS_Rate">#REF!</definedName>
    <definedName name="BGS_RFP">[10]Assumptions!$E$36</definedName>
    <definedName name="Bill">#REF!</definedName>
    <definedName name="bill1">#REF!</definedName>
    <definedName name="bill2">#REF!</definedName>
    <definedName name="bill3">#REF!</definedName>
    <definedName name="bill4">#REF!</definedName>
    <definedName name="bill5">#REF!</definedName>
    <definedName name="bill6">#REF!</definedName>
    <definedName name="BK..FM1.Adjusted..print">#REF!</definedName>
    <definedName name="BK..FM1.ROR..print">#REF!</definedName>
    <definedName name="BLE_Close_Date">[13]Assumptions!$E$28</definedName>
    <definedName name="Brenda">#REF!</definedName>
    <definedName name="budget">#REF!</definedName>
    <definedName name="can" hidden="1">{#N/A,#N/A,FALSE,"O&amp;M by processes";#N/A,#N/A,FALSE,"Elec Act vs Bud";#N/A,#N/A,FALSE,"G&amp;A";#N/A,#N/A,FALSE,"BGS";#N/A,#N/A,FALSE,"Res Cost"}</definedName>
    <definedName name="capstr">#REF!</definedName>
    <definedName name="CAPT">#REF!</definedName>
    <definedName name="CBT">#REF!</definedName>
    <definedName name="ccc" localSheetId="1">"%,LACTUALS,SBAL,R,FACCOUNT,TFINANCIAL_REPORTS,NST_BORROWINGS,FBUSINESS_UNIT,VNVPWR"</definedName>
    <definedName name="ccc" hidden="1">{#N/A,#N/A,FALSE,"O&amp;M by processes";#N/A,#N/A,FALSE,"Elec Act vs Bud";#N/A,#N/A,FALSE,"G&amp;A";#N/A,#N/A,FALSE,"BGS";#N/A,#N/A,FALSE,"Res Cost"}</definedName>
    <definedName name="cccc" hidden="1">{#N/A,#N/A,FALSE,"O&amp;M by processes";#N/A,#N/A,FALSE,"Elec Act vs Bud";#N/A,#N/A,FALSE,"G&amp;A";#N/A,#N/A,FALSE,"BGS";#N/A,#N/A,FALSE,"Res Cost"}</definedName>
    <definedName name="cents">#REF!</definedName>
    <definedName name="CEP_Amortization">'[13]JFJ-4 CEP Rate'!$A$28:$F$78</definedName>
    <definedName name="CHECK">#REF!</definedName>
    <definedName name="cleanup" hidden="1">{#N/A,#N/A,TRUE,"TAXPROV";#N/A,#N/A,TRUE,"FLOWTHRU";#N/A,#N/A,TRUE,"SCHEDULE M'S";#N/A,#N/A,TRUE,"PLANT M'S";#N/A,#N/A,TRUE,"TAXJE"}</definedName>
    <definedName name="COGEN">'[14]October Tariff kwh'!$A$1:$H$83</definedName>
    <definedName name="compInc">[15]Inputs!$B$4</definedName>
    <definedName name="CONSOLDEFTAXBAL">#REF!</definedName>
    <definedName name="CONSOLDEFTAXSUM">#REF!</definedName>
    <definedName name="Consolid" hidden="1">{#N/A,#N/A,FALSE,"O&amp;M by processes";#N/A,#N/A,FALSE,"Elec Act vs Bud";#N/A,#N/A,FALSE,"G&amp;A";#N/A,#N/A,FALSE,"BGS";#N/A,#N/A,FALSE,"Res Cost"}</definedName>
    <definedName name="Consolidated" hidden="1">{#N/A,#N/A,FALSE,"O&amp;M by processes";#N/A,#N/A,FALSE,"Elec Act vs Bud";#N/A,#N/A,FALSE,"G&amp;A";#N/A,#N/A,FALSE,"BGS";#N/A,#N/A,FALSE,"Res Cost"}</definedName>
    <definedName name="CONSOLTAXPROV">#REF!</definedName>
    <definedName name="ConsolTbal">'[16]2004 TAX PROV'!$U$11:$AR$764</definedName>
    <definedName name="cost2001">[17]Input!$M$23</definedName>
    <definedName name="cover">#REF!</definedName>
    <definedName name="cropdeftaxbalance">#REF!</definedName>
    <definedName name="CROPTAXPROV">#REF!</definedName>
    <definedName name="CSH">#REF!</definedName>
    <definedName name="CSHBCK">#REF!</definedName>
    <definedName name="CSHP">#REF!</definedName>
    <definedName name="CSHPBOD">#REF!</definedName>
    <definedName name="current_month">#REF!</definedName>
    <definedName name="Current_Plan_Results">#REF!</definedName>
    <definedName name="Current_Plan_Results_Year_2">#REF!</definedName>
    <definedName name="Current_Plan_Results_Year_3">#REF!</definedName>
    <definedName name="Current_Plan_Sensitivity">#REF!</definedName>
    <definedName name="Current_Plan_Sensitivity_Year_2">#REF!</definedName>
    <definedName name="Current_Plan_Sensitivity_Year_3">#REF!</definedName>
    <definedName name="CURRENTPROVISION">#REF!</definedName>
    <definedName name="currprov">#REF!</definedName>
    <definedName name="Curve_Date">[12]Assumptions!#REF!</definedName>
    <definedName name="custRetain">[17]Input!#REF!</definedName>
    <definedName name="da" hidden="1">{#N/A,#N/A,FALSE,"O&amp;M by processes";#N/A,#N/A,FALSE,"Elec Act vs Bud";#N/A,#N/A,FALSE,"G&amp;A";#N/A,#N/A,FALSE,"BGS";#N/A,#N/A,FALSE,"Res Cost"}</definedName>
    <definedName name="dada" hidden="1">{#N/A,#N/A,FALSE,"O&amp;M by processes";#N/A,#N/A,FALSE,"Elec Act vs Bud";#N/A,#N/A,FALSE,"G&amp;A";#N/A,#N/A,FALSE,"BGS";#N/A,#N/A,FALSE,"Res Cost"}</definedName>
    <definedName name="dae">[5]Sheet1!$B$2:$B$29</definedName>
    <definedName name="Data">#REF!</definedName>
    <definedName name="DATA05">#REF!</definedName>
    <definedName name="Data06">#REF!</definedName>
    <definedName name="DATA1">'[18]New Accts 2009'!#REF!</definedName>
    <definedName name="DATA14">#REF!</definedName>
    <definedName name="DATA2">'[19]190100'!#REF!</definedName>
    <definedName name="DATA3">'[19]190100'!#REF!</definedName>
    <definedName name="DATA4">'[19]190100'!#REF!</definedName>
    <definedName name="DATA5">#REF!</definedName>
    <definedName name="DATA6">#REF!</definedName>
    <definedName name="DATA7">'[19]190100'!#REF!</definedName>
    <definedName name="DATA8">'[19]190100'!#REF!</definedName>
    <definedName name="Date">[20]Settings!$F$23</definedName>
    <definedName name="DATE1">#REF!</definedName>
    <definedName name="DATE2">#REF!</definedName>
    <definedName name="DATE3">#REF!</definedName>
    <definedName name="DATE4">#REF!</definedName>
    <definedName name="DCIT">#REF!</definedName>
    <definedName name="debt">#REF!</definedName>
    <definedName name="DEC">#REF!</definedName>
    <definedName name="Decommissioning_Rate">#REF!</definedName>
    <definedName name="Deferral_Interest_Rate">[10]Assumptions!$H$14</definedName>
    <definedName name="Deferral_Recovery">'[13]JFJ-1 Deferral Recovery Rate'!$A$14:$F$64</definedName>
    <definedName name="DefTax">[21]Lists!$A$2:$A$4</definedName>
    <definedName name="delete" hidden="1">{#N/A,#N/A,FALSE,"CURRENT"}</definedName>
    <definedName name="detail">#REF!</definedName>
    <definedName name="Distribution_Rate_Adjustment">#REF!</definedName>
    <definedName name="DSM_Rate">#REF!</definedName>
    <definedName name="DTAfedAMERICAS">#REF!</definedName>
    <definedName name="DTAfedCROP">#REF!</definedName>
    <definedName name="DTAfedFINANCE">#REF!</definedName>
    <definedName name="DTAfedGARSTSEEDS">#REF!</definedName>
    <definedName name="DTAfedGBBC">#REF!</definedName>
    <definedName name="DTAfedINVESTMENT">#REF!</definedName>
    <definedName name="DTAfedSANDOZ">#REF!</definedName>
    <definedName name="DTAfedSBI">#REF!</definedName>
    <definedName name="DTAfedSCORP">#REF!</definedName>
    <definedName name="DTAfedSEEDS">#REF!</definedName>
    <definedName name="DTAfedTMRI">#REF!</definedName>
    <definedName name="DTAfedWILMINGTON">#REF!</definedName>
    <definedName name="DTAfedZAPH">#REF!</definedName>
    <definedName name="DTAstAMERICAS">#REF!</definedName>
    <definedName name="DTAstCROP">#REF!</definedName>
    <definedName name="DTAstFINANCE">#REF!</definedName>
    <definedName name="DTAstGBBC">#REF!</definedName>
    <definedName name="DTAstINVESTMENT">#REF!</definedName>
    <definedName name="DTAstSANDOZ">#REF!</definedName>
    <definedName name="DTAstSBI">#REF!</definedName>
    <definedName name="DTAstSCORP">#REF!</definedName>
    <definedName name="DTAstSEEDS">#REF!</definedName>
    <definedName name="DTAstTMRI">#REF!</definedName>
    <definedName name="DTAstWILMINGTON">#REF!</definedName>
    <definedName name="DTAstZAPH">#REF!</definedName>
    <definedName name="eee">"V2001-12-31"</definedName>
    <definedName name="eeee" hidden="1">{#N/A,#N/A,FALSE,"O&amp;M by processes";#N/A,#N/A,FALSE,"Elec Act vs Bud";#N/A,#N/A,FALSE,"G&amp;A";#N/A,#N/A,FALSE,"BGS";#N/A,#N/A,FALSE,"Res Cost"}</definedName>
    <definedName name="Elim">#REF!</definedName>
    <definedName name="ENTITY">[20]Settings!$F$17</definedName>
    <definedName name="EROA">[15]Inputs!$B$3</definedName>
    <definedName name="ESPYMT">#REF!</definedName>
    <definedName name="ETR">#REF!</definedName>
    <definedName name="EV__LASTREFTIME__">39773.6430324074</definedName>
    <definedName name="f1_respondent_id">#REF!</definedName>
    <definedName name="Facilities">1700</definedName>
    <definedName name="FAS109YTD">[9]December!#REF!</definedName>
    <definedName name="FB_CUSTOMERS">#REF!</definedName>
    <definedName name="FB_LINES">#REF!</definedName>
    <definedName name="FEB">#REF!</definedName>
    <definedName name="FED">#REF!</definedName>
    <definedName name="FEDDEFERREDTAX">#REF!</definedName>
    <definedName name="fieldNo">[17]Input!#REF!</definedName>
    <definedName name="fieldProd">[17]Input!#REF!</definedName>
    <definedName name="fieldSalary">[17]Input!#REF!</definedName>
    <definedName name="FIN">#REF!</definedName>
    <definedName name="FINAWOFF">#REF!</definedName>
    <definedName name="FIT">#REF!</definedName>
    <definedName name="FORM">#REF!</definedName>
    <definedName name="Format">#REF!</definedName>
    <definedName name="Forms">#REF!</definedName>
    <definedName name="Fossil_BGS">[13]Assumptions!$E$58</definedName>
    <definedName name="Fossil_Secur_Date">[10]Assumptions!$E$22</definedName>
    <definedName name="GBBCDEFTAXBAL">#REF!</definedName>
    <definedName name="GenLedger">[22]PEPCO!$A$9:$H$774</definedName>
    <definedName name="gita" hidden="1">{#N/A,#N/A,FALSE,"O&amp;M by processes";#N/A,#N/A,FALSE,"Elec Act vs Bud";#N/A,#N/A,FALSE,"G&amp;A";#N/A,#N/A,FALSE,"BGS";#N/A,#N/A,FALSE,"Res Cost"}</definedName>
    <definedName name="gitah" hidden="1">{#N/A,#N/A,FALSE,"O&amp;M by processes";#N/A,#N/A,FALSE,"Elec Act vs Bud";#N/A,#N/A,FALSE,"G&amp;A";#N/A,#N/A,FALSE,"BGS";#N/A,#N/A,FALSE,"Res Cost"}</definedName>
    <definedName name="GPURS">#REF!</definedName>
    <definedName name="GRT">#REF!</definedName>
    <definedName name="GTDAMERICAS">#REF!</definedName>
    <definedName name="GTDCROP">#REF!</definedName>
    <definedName name="GTDFINANCE">#REF!</definedName>
    <definedName name="GTDGARSTSEEDS">#REF!</definedName>
    <definedName name="GTDINVESTMENT">#REF!</definedName>
    <definedName name="GTDSANDOZ">#REF!</definedName>
    <definedName name="GTDSBI">#REF!</definedName>
    <definedName name="GTDSCORP">#REF!</definedName>
    <definedName name="GTDSEEDS">#REF!</definedName>
    <definedName name="GTDstGARSTSEEDS">#REF!</definedName>
    <definedName name="GTDTMRI">#REF!</definedName>
    <definedName name="GTDWILMINGTON">#REF!</definedName>
    <definedName name="GTDZAPH">#REF!</definedName>
    <definedName name="Header">#REF!</definedName>
    <definedName name="historiccents">#REF!</definedName>
    <definedName name="homeNo">[17]Input!#REF!</definedName>
    <definedName name="homeProd">[17]Input!#REF!</definedName>
    <definedName name="homeSalary">[17]Input!#REF!</definedName>
    <definedName name="HOURS">#REF!</definedName>
    <definedName name="HTML_CodePage">1252</definedName>
    <definedName name="HTML_Control">{"'Metretek HTML'!$A$7:$W$42"}</definedName>
    <definedName name="HTML_Description">"volumes shown are sendout = sales + line loss (KDths - wet)"</definedName>
    <definedName name="HTML_Email">""</definedName>
    <definedName name="HTML_Header">"Firm &amp; Interruptible Delivery Service &amp; Bundled Sales"</definedName>
    <definedName name="HTML_LastUpdate">"1/18/01"</definedName>
    <definedName name="HTML_LineAfter">FALSE</definedName>
    <definedName name="HTML_LineBefore">FALSE</definedName>
    <definedName name="HTML_Name">"Dispatch Operations  --  7-4371"</definedName>
    <definedName name="HTML_OBDlg2">TRUE</definedName>
    <definedName name="HTML_OBDlg4">TRUE</definedName>
    <definedName name="HTML_OS">0</definedName>
    <definedName name="HTML_PathFile">"I:\COMMON\DISPATCH\Daily Reports\HTML files FY 2000\metretekDec00.htm"</definedName>
    <definedName name="HTML_Title">"Metretek Readings - December 2000"</definedName>
    <definedName name="IBMDirDoc">#REF!</definedName>
    <definedName name="IBMDirDollars">#REF!</definedName>
    <definedName name="Inactive">#REF!</definedName>
    <definedName name="INC">#REF!</definedName>
    <definedName name="Include_OTRA_Kwhrs">[23]Inputs!#REF!</definedName>
    <definedName name="INCP">#REF!</definedName>
    <definedName name="INCPBOD">#REF!</definedName>
    <definedName name="INDEX">#REF!</definedName>
    <definedName name="INPUT">#REF!</definedName>
    <definedName name="int_rate">#REF!</definedName>
    <definedName name="intang_afudc910">[24]criteria!$A$5:$B$6</definedName>
    <definedName name="Investment">#REF!</definedName>
    <definedName name="JAN">#REF!</definedName>
    <definedName name="JE">#REF!</definedName>
    <definedName name="JULY">#REF!</definedName>
    <definedName name="JUNE">#REF!</definedName>
    <definedName name="KeyCon_Close_Date">[13]Assumptions!$E$29</definedName>
    <definedName name="klio">{"'Metretek HTML'!$A$7:$W$42"}</definedName>
    <definedName name="l">[25]Lists!$A$2:$A$4</definedName>
    <definedName name="LabHour">#REF!</definedName>
    <definedName name="Labor">#REF!</definedName>
    <definedName name="Levelized..FM1.ROR..print">#REF!</definedName>
    <definedName name="LicenseCOS">0.01</definedName>
    <definedName name="limcount" hidden="1">1</definedName>
    <definedName name="LK">{"'Metretek HTML'!$A$7:$W$42"}</definedName>
    <definedName name="lob">#REF!</definedName>
    <definedName name="lobcolumn">#REF!</definedName>
    <definedName name="LOLD">1</definedName>
    <definedName name="LOLD_Capital">11</definedName>
    <definedName name="LOLD_Expense">11</definedName>
    <definedName name="LOLD_Table">10</definedName>
    <definedName name="Maintenance">0.15</definedName>
    <definedName name="map.v1">#REF!</definedName>
    <definedName name="MAR">#REF!</definedName>
    <definedName name="MAY">#REF!</definedName>
    <definedName name="MILESTONES_1">#REF!</definedName>
    <definedName name="MILESTONES_2">#REF!</definedName>
    <definedName name="million">1000000</definedName>
    <definedName name="month">[26]RPT80MAR!$A$1:$D$77</definedName>
    <definedName name="MTC_Amortization">'[13]JFJ-3 MTC Rate'!$A$32:$F$82</definedName>
    <definedName name="MTC_Type">#REF!</definedName>
    <definedName name="NET_INCOME_BEFORE_TAXES_BY_BUSINESS_AREA">#REF!</definedName>
    <definedName name="new" hidden="1">{#N/A,#N/A,FALSE,"O&amp;M by processes";#N/A,#N/A,FALSE,"Elec Act vs Bud";#N/A,#N/A,FALSE,"G&amp;A";#N/A,#N/A,FALSE,"BGS";#N/A,#N/A,FALSE,"Res Cost"}</definedName>
    <definedName name="NewHire">8500</definedName>
    <definedName name="NON_PROCESS_DETAIL">#REF!</definedName>
    <definedName name="NON_PROCESS_PRESENTATION_PAGE">#REF!</definedName>
    <definedName name="NOV">#REF!</definedName>
    <definedName name="NPPBC">#REF!</definedName>
    <definedName name="Nuclear_Secur_Date">[10]Assumptions!$E$21</definedName>
    <definedName name="NUTIL">#REF!</definedName>
    <definedName name="NvsASD">"V2000-12-31"</definedName>
    <definedName name="NvsAutoDrillOk">"VN"</definedName>
    <definedName name="NvsElapsedTime">0.0000140046249725856</definedName>
    <definedName name="NvsEndTime">37081.606168287</definedName>
    <definedName name="NvsInstLang">"VENG"</definedName>
    <definedName name="NvsInstSpec">"%,LACT_LEDGER,SYTD,FBUSINESS_UNIT,TCONSOLID,NDECO_BUNDL,FACCOUNT,TACCT_SUMMARY,NAMRT_DF_DPR_DEF_RT_P"</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"%,XZF.ACCOUNT.PSDetail"</definedName>
    <definedName name="NvsPanelBusUnit">"V"</definedName>
    <definedName name="NvsPanelEffdt">"V1992-12-10"</definedName>
    <definedName name="NvsPanelSetid">"VNEWGN"</definedName>
    <definedName name="NvsReqBU">"VDECO"</definedName>
    <definedName name="NvsReqBUOnly">"VY"</definedName>
    <definedName name="NvsTransLed">"VN"</definedName>
    <definedName name="NvsTreeASD">"V1997-01-01"</definedName>
    <definedName name="NvsValTbl.ACCOUNT">"GL_ACCOUNT_TBL"</definedName>
    <definedName name="NvsValTbl.ACCOUNTING_PERIOD">"CAL_DETP_TBL"</definedName>
    <definedName name="NvsValTbl.BUSINESS_UNIT">"BUS_UNIT_TBL_GL"</definedName>
    <definedName name="NvsValTbl.CURRENCY_CD">"CURRENCY_CD_TBL"</definedName>
    <definedName name="NvsValTbl.DEPTID">"DEPARTMENT_TBL"</definedName>
    <definedName name="NvsValTbl.PROJECT_ID">"PROJECT_FS"</definedName>
    <definedName name="OCT">#REF!</definedName>
    <definedName name="OLDTOT">#REF!</definedName>
    <definedName name="one">1</definedName>
    <definedName name="PAGE_1">#REF!</definedName>
    <definedName name="PAGE1">#REF!</definedName>
    <definedName name="PAGE2">#REF!</definedName>
    <definedName name="PAGE3">#REF!</definedName>
    <definedName name="PAGE4">#REF!</definedName>
    <definedName name="PAGE5">#REF!</definedName>
    <definedName name="PAGE6">#REF!</definedName>
    <definedName name="PAGE7">#REF!</definedName>
    <definedName name="PAGE8">#REF!</definedName>
    <definedName name="pctHW">[17]Input!$M$24</definedName>
    <definedName name="pctSWExp">[17]Input!$M$26</definedName>
    <definedName name="pctTraining">[17]Input!$M$25</definedName>
    <definedName name="PG3A">#REF!</definedName>
    <definedName name="pgprct">'[11]Percent Read YTD '!#REF!</definedName>
    <definedName name="PGPSA">#REF!</definedName>
    <definedName name="post_fossil">[13]Assumptions!$E$59</definedName>
    <definedName name="PPA">[10]Assumptions!$E$38</definedName>
    <definedName name="presentation">#REF!</definedName>
    <definedName name="PRESENTATION_PG_1">#REF!</definedName>
    <definedName name="PreTaxDebt">'[13]MTC Return'!$F$18</definedName>
    <definedName name="PRINT">#REF!</definedName>
    <definedName name="Print.selection.print">#REF!</definedName>
    <definedName name="_xlnm.Print_Area" localSheetId="1">'1 - ADIT'!$A$1:$G$145</definedName>
    <definedName name="_xlnm.Print_Area" localSheetId="2">'2 - Other Tax'!$A$1:$G$70</definedName>
    <definedName name="_xlnm.Print_Area" localSheetId="3">'3 - Revenue Credits'!$A$1:$F$47</definedName>
    <definedName name="_xlnm.Print_Area" localSheetId="4">'4 - 100 Basis Pt ROE'!$A$1:$I$77</definedName>
    <definedName name="_xlnm.Print_Area" localSheetId="5">'5 - Cost Support 1'!$A$1:$Q$261</definedName>
    <definedName name="_xlnm.Print_Area" localSheetId="7">'6- Est &amp; Reconcile WS'!$A$1:$R$173</definedName>
    <definedName name="_xlnm.Print_Area" localSheetId="8">'7 - Cap Add WS'!$A$1:$BC$78</definedName>
    <definedName name="_xlnm.Print_Area" localSheetId="0">'ATT H-3D'!$A$1:$H$330</definedName>
    <definedName name="_xlnm.Print_Area">#REF!</definedName>
    <definedName name="Print_Area_1">#REF!</definedName>
    <definedName name="Print_Area_MI">#REF!</definedName>
    <definedName name="_xlnm.Print_Titles" localSheetId="5">'5 - Cost Support 1'!$1:$3</definedName>
    <definedName name="_xlnm.Print_Titles" localSheetId="0">'ATT H-3D'!$A:$G</definedName>
    <definedName name="Print_Titles_MI">'[27]DACTIVE$'!$A$1:$IV$4,'[27]DACTIVE$'!$A$1:$A$65536</definedName>
    <definedName name="printarea">#REF!</definedName>
    <definedName name="PrintareaDec">'[28]kWh-Mcf'!$E$97,'[28]kWh-Mcf'!$A$81:$E$118,'[28]kWh-Mcf'!$AM$86:$AO$118</definedName>
    <definedName name="Prior_Plan_Results">#REF!</definedName>
    <definedName name="Prior_Plan_Results_Year_2">#REF!</definedName>
    <definedName name="Prior_Plan_Results_Year_3">#REF!</definedName>
    <definedName name="Prior_Plan_Sensitivity">#REF!</definedName>
    <definedName name="Prior_Plan_Sensitivity_Year_2">#REF!</definedName>
    <definedName name="Prior_Plan_Sensitivity_Year_3">#REF!</definedName>
    <definedName name="process">#REF!</definedName>
    <definedName name="processcolumn">#REF!</definedName>
    <definedName name="profitPerCust">[17]Input!#REF!</definedName>
    <definedName name="qw">{"'Metretek HTML'!$A$7:$W$42"}</definedName>
    <definedName name="Rate_Reduction_Factor">#REF!</definedName>
    <definedName name="RawData">#REF!</definedName>
    <definedName name="RECONCILIATION">#REF!</definedName>
    <definedName name="REMOVAL1">#REF!</definedName>
    <definedName name="RESALE_CUSTOMERS">#REF!</definedName>
    <definedName name="RESALE_LINES">#REF!</definedName>
    <definedName name="Results">#REF!</definedName>
    <definedName name="rrrr" hidden="1">{#N/A,#N/A,FALSE,"O&amp;M by processes";#N/A,#N/A,FALSE,"Elec Act vs Bud";#N/A,#N/A,FALSE,"G&amp;A";#N/A,#N/A,FALSE,"BGS";#N/A,#N/A,FALSE,"Res Cost"}</definedName>
    <definedName name="RSHCust">'[29]Chart6-8 data'!#REF!</definedName>
    <definedName name="SAPBEXhrIndnt" hidden="1">"Wide"</definedName>
    <definedName name="SAPBEXrevision">1</definedName>
    <definedName name="SAPBEXsysID">"BWP"</definedName>
    <definedName name="SAPBEXwbID">"4AO3M5394FE1TJAHPAPP5YWL5"</definedName>
    <definedName name="SAPsysID" hidden="1">"708C5W7SBKP804JT78WJ0JNKI"</definedName>
    <definedName name="SAPwbID" hidden="1">"ARS"</definedName>
    <definedName name="SEPT">#REF!</definedName>
    <definedName name="SFC">#REF!</definedName>
    <definedName name="Sheet1NvsInstanceHook">Collapse_Columns</definedName>
    <definedName name="shiva" hidden="1">{#N/A,#N/A,FALSE,"O&amp;M by processes";#N/A,#N/A,FALSE,"Elec Act vs Bud";#N/A,#N/A,FALSE,"G&amp;A";#N/A,#N/A,FALSE,"BGS";#N/A,#N/A,FALSE,"Res Cost"}</definedName>
    <definedName name="solver_adj" localSheetId="0" hidden="1">'ATT H-3D'!#REF!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H-3D'!#REF!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SMIGR">#REF!</definedName>
    <definedName name="SOSMIGRDETAIL">#REF!</definedName>
    <definedName name="ssssssssss">{"'Metretek HTML'!$A$7:$W$42"}</definedName>
    <definedName name="ST">#REF!</definedName>
    <definedName name="start1">#REF!</definedName>
    <definedName name="State">[30]List!$A$2:$A$53</definedName>
    <definedName name="StateDef">#REF!</definedName>
    <definedName name="stats">#REF!</definedName>
    <definedName name="statsrevised" hidden="1">{#N/A,#N/A,FALSE,"O&amp;M by processes";#N/A,#N/A,FALSE,"Elec Act vs Bud";#N/A,#N/A,FALSE,"G&amp;A";#N/A,#N/A,FALSE,"BGS";#N/A,#N/A,FALSE,"Res Cost"}</definedName>
    <definedName name="STnabri">#REF!</definedName>
    <definedName name="STsai">#REF!</definedName>
    <definedName name="STscorp">#REF!</definedName>
    <definedName name="STseeds">#REF!</definedName>
    <definedName name="STsfc">#REF!</definedName>
    <definedName name="STtmri">#REF!</definedName>
    <definedName name="STzap">#REF!</definedName>
    <definedName name="summary">#REF!</definedName>
    <definedName name="SUMMARYOFBOOKINCOME">#REF!</definedName>
    <definedName name="support" hidden="1">{#N/A,#N/A,FALSE,"O&amp;M by processes";#N/A,#N/A,FALSE,"Elec Act vs Bud";#N/A,#N/A,FALSE,"G&amp;A";#N/A,#N/A,FALSE,"BGS";#N/A,#N/A,FALSE,"Res Cost"}</definedName>
    <definedName name="supporti" hidden="1">{#N/A,#N/A,FALSE,"O&amp;M by processes";#N/A,#N/A,FALSE,"Elec Act vs Bud";#N/A,#N/A,FALSE,"G&amp;A";#N/A,#N/A,FALSE,"BGS";#N/A,#N/A,FALSE,"Res Cost"}</definedName>
    <definedName name="SUT">#REF!</definedName>
    <definedName name="Swap_Amort">'[13]Keystone Swap Amort Sched'!$A$1:$F$241</definedName>
    <definedName name="SWITCH">[1]Assump!#REF!</definedName>
    <definedName name="sysOpImprov">[17]Input!#REF!</definedName>
    <definedName name="sysOpYears">[17]Input!#REF!</definedName>
    <definedName name="TABLE_A">#REF!</definedName>
    <definedName name="TABLE_A2">#REF!</definedName>
    <definedName name="TABLE_B">#REF!</definedName>
    <definedName name="Tacx_Factor">[13]Assumptions!$E$52</definedName>
    <definedName name="Tax_Rate">#REF!</definedName>
    <definedName name="Taxes" localSheetId="1">0.085</definedName>
    <definedName name="TAXES">#REF!</definedName>
    <definedName name="Taxrate">'[31]Case study '!$C$28</definedName>
    <definedName name="TAXREMOV">#REF!</definedName>
    <definedName name="TBL1_3">#REF!</definedName>
    <definedName name="TBL13_5">#REF!</definedName>
    <definedName name="TBL5_7">#REF!</definedName>
    <definedName name="TBL9_11">#REF!</definedName>
    <definedName name="TEFA">#REF!</definedName>
    <definedName name="test">{"'Metretek HTML'!$A$7:$W$42"}</definedName>
    <definedName name="TEST0">#REF!</definedName>
    <definedName name="TEST1">#REF!</definedName>
    <definedName name="TEST2">#REF!</definedName>
    <definedName name="TEST3">#REF!</definedName>
    <definedName name="TESTHKEY">'[19]190100'!#REF!</definedName>
    <definedName name="TESTKEYS">#REF!</definedName>
    <definedName name="TESTVKEY">#REF!</definedName>
    <definedName name="TEXT">{"'Metretek HTML'!$A$7:$W$42"}</definedName>
    <definedName name="thousand">1000</definedName>
    <definedName name="TITLES">#REF!</definedName>
    <definedName name="TMRI">#REF!</definedName>
    <definedName name="toma" hidden="1">{#N/A,#N/A,FALSE,"O&amp;M by processes";#N/A,#N/A,FALSE,"Elec Act vs Bud";#N/A,#N/A,FALSE,"G&amp;A";#N/A,#N/A,FALSE,"BGS";#N/A,#N/A,FALSE,"Res Cost"}</definedName>
    <definedName name="tomb" hidden="1">{#N/A,#N/A,FALSE,"O&amp;M by processes";#N/A,#N/A,FALSE,"Elec Act vs Bud";#N/A,#N/A,FALSE,"G&amp;A";#N/A,#N/A,FALSE,"BGS";#N/A,#N/A,FALSE,"Res Cost"}</definedName>
    <definedName name="tomc" hidden="1">{#N/A,#N/A,FALSE,"O&amp;M by processes";#N/A,#N/A,FALSE,"Elec Act vs Bud";#N/A,#N/A,FALSE,"G&amp;A";#N/A,#N/A,FALSE,"BGS";#N/A,#N/A,FALSE,"Res Cost"}</definedName>
    <definedName name="tomd" hidden="1">{#N/A,#N/A,FALSE,"O&amp;M by processes";#N/A,#N/A,FALSE,"Elec Act vs Bud";#N/A,#N/A,FALSE,"G&amp;A";#N/A,#N/A,FALSE,"BGS";#N/A,#N/A,FALSE,"Res Cost"}</definedName>
    <definedName name="tomx" hidden="1">{#N/A,#N/A,FALSE,"O&amp;M by processes";#N/A,#N/A,FALSE,"Elec Act vs Bud";#N/A,#N/A,FALSE,"G&amp;A";#N/A,#N/A,FALSE,"BGS";#N/A,#N/A,FALSE,"Res Cost"}</definedName>
    <definedName name="tomy" hidden="1">{#N/A,#N/A,FALSE,"O&amp;M by processes";#N/A,#N/A,FALSE,"Elec Act vs Bud";#N/A,#N/A,FALSE,"G&amp;A";#N/A,#N/A,FALSE,"BGS";#N/A,#N/A,FALSE,"Res Cost"}</definedName>
    <definedName name="tomz" hidden="1">{#N/A,#N/A,FALSE,"O&amp;M by processes";#N/A,#N/A,FALSE,"Elec Act vs Bud";#N/A,#N/A,FALSE,"G&amp;A";#N/A,#N/A,FALSE,"BGS";#N/A,#N/A,FALSE,"Res Cost"}</definedName>
    <definedName name="toppage">#REF!</definedName>
    <definedName name="TOT">#REF!</definedName>
    <definedName name="total">#REF!</definedName>
    <definedName name="TOTAL_CUSTOMERS">#REF!</definedName>
    <definedName name="TOTAL_LINES">#REF!</definedName>
    <definedName name="trandis">#REF!</definedName>
    <definedName name="trandiscolumn">#REF!</definedName>
    <definedName name="Trueup">[9]December!#REF!</definedName>
    <definedName name="Uncollectible">#REF!</definedName>
    <definedName name="UTIL">#REF!</definedName>
    <definedName name="v">[32]Cover!$A$9</definedName>
    <definedName name="valDate">[15]Inputs!$B$1</definedName>
    <definedName name="version">[33]Cover!$A$9</definedName>
    <definedName name="WCCGCR2">[29]Rates!$B$96:$C$190</definedName>
    <definedName name="we">{"'Metretek HTML'!$A$7:$W$42"}</definedName>
    <definedName name="wh" hidden="1">{#N/A,#N/A,FALSE,"O&amp;M by processes";#N/A,#N/A,FALSE,"Elec Act vs Bud";#N/A,#N/A,FALSE,"G&amp;A";#N/A,#N/A,FALSE,"BGS";#N/A,#N/A,FALSE,"Res Cost"}</definedName>
    <definedName name="what" hidden="1">{#N/A,#N/A,FALSE,"O&amp;M by processes";#N/A,#N/A,FALSE,"Elec Act vs Bud";#N/A,#N/A,FALSE,"G&amp;A";#N/A,#N/A,FALSE,"BGS";#N/A,#N/A,FALSE,"Res Cost"}</definedName>
    <definedName name="Whatwhat" hidden="1">{#N/A,#N/A,FALSE,"O&amp;M by processes";#N/A,#N/A,FALSE,"Elec Act vs Bud";#N/A,#N/A,FALSE,"G&amp;A";#N/A,#N/A,FALSE,"BGS";#N/A,#N/A,FALSE,"Res Cost"}</definedName>
    <definedName name="who" hidden="1">{#N/A,#N/A,FALSE,"O&amp;M by processes";#N/A,#N/A,FALSE,"Elec Act vs Bud";#N/A,#N/A,FALSE,"G&amp;A";#N/A,#N/A,FALSE,"BGS";#N/A,#N/A,FALSE,"Res Cost"}</definedName>
    <definedName name="whowho" hidden="1">{#N/A,#N/A,FALSE,"O&amp;M by processes";#N/A,#N/A,FALSE,"Elec Act vs Bud";#N/A,#N/A,FALSE,"G&amp;A";#N/A,#N/A,FALSE,"BGS";#N/A,#N/A,FALSE,"Res Cost"}</definedName>
    <definedName name="whwh" hidden="1">{#N/A,#N/A,FALSE,"O&amp;M by processes";#N/A,#N/A,FALSE,"Elec Act vs Bud";#N/A,#N/A,FALSE,"G&amp;A";#N/A,#N/A,FALSE,"BGS";#N/A,#N/A,FALSE,"Res Cost"}</definedName>
    <definedName name="why" hidden="1">{#N/A,#N/A,FALSE,"O&amp;M by processes";#N/A,#N/A,FALSE,"Elec Act vs Bud";#N/A,#N/A,FALSE,"G&amp;A";#N/A,#N/A,FALSE,"BGS";#N/A,#N/A,FALSE,"Res Cost"}</definedName>
    <definedName name="WILM">#REF!</definedName>
    <definedName name="Work_Performed_report">#REF!</definedName>
    <definedName name="WORKSHEET">#REF!</definedName>
    <definedName name="WORKSHEET2">#REF!</definedName>
    <definedName name="wrn" hidden="1">{#N/A,#N/A,FALSE,"O&amp;M by processes";#N/A,#N/A,FALSE,"Elec Act vs Bud";#N/A,#N/A,FALSE,"G&amp;A";#N/A,#N/A,FALSE,"BGS";#N/A,#N/A,FALSE,"Res Cost"}</definedName>
    <definedName name="wrn.722." hidden="1">{#N/A,#N/A,FALSE,"CURRENT"}</definedName>
    <definedName name="wrn.AGT." hidden="1">{"AGT",#N/A,FALSE,"Revenue"}</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hidden="1">{#N/A,#N/A,FALSE,"O&amp;M by processes";#N/A,#N/A,FALSE,"Elec Act vs Bud";#N/A,#N/A,FALSE,"G&amp;A";#N/A,#N/A,FALSE,"BGS";#N/A,#N/A,FALSE,"Res Cost"}</definedName>
    <definedName name="wrn.ChartSet." hidden="1">{#N/A,#N/A,FALSE,"Elec Deliv";#N/A,#N/A,FALSE,"Atlantic Pie";#N/A,#N/A,FALSE,"Bay Pie";#N/A,#N/A,FALSE,"New Castle Pie";#N/A,#N/A,FALSE,"Transmission Pie"}</definedName>
    <definedName name="wrn.Data._.dump." hidden="1">{"Input Data",#N/A,FALSE,"Input";"Income and Cash Flow",#N/A,FALSE,"Calculations"}</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hidden="1">{"Print Empty Template",#N/A,FALSE,"Input"}</definedName>
    <definedName name="wrn.HLP._.Detail." hidden="1">{"2002 - 2006 Detail Income Statement",#N/A,FALSE,"TUB Income Statement wo DW";"BGS Deferral",#N/A,FALSE,"BGS Deferral";"NNC Deferral",#N/A,FALSE,"NNC Deferral";"MTC Deferral",#N/A,FALSE,"MTC Deferral";#N/A,#N/A,FALSE,"Schedule D"}</definedName>
    <definedName name="wrn.Report." hidden="1">{#N/A,#N/A,FALSE,"Work performed";#N/A,#N/A,FALSE,"Resources"}</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hidden="1">{#N/A,#N/A,FALSE,"Work performed";#N/A,#N/A,FALSE,"Resources"}</definedName>
    <definedName name="wrn.Tax._.Accrual." hidden="1">{#N/A,#N/A,TRUE,"TAXPROV";#N/A,#N/A,TRUE,"FLOWTHRU";#N/A,#N/A,TRUE,"SCHEDULE M'S";#N/A,#N/A,TRUE,"PLANT M'S";#N/A,#N/A,TRUE,"TAXJE"}</definedName>
    <definedName name="xa">{"'Metretek HTML'!$A$7:$W$42"}</definedName>
    <definedName name="xls">{"'Metretek HTML'!$A$7:$W$42"}</definedName>
    <definedName name="XO">{"'Metretek HTML'!$A$7:$W$42"}</definedName>
    <definedName name="xs">{"'Metretek HTML'!$A$7:$W$42"}</definedName>
    <definedName name="xTc">'[34]PMG Annual'!#REF!</definedName>
    <definedName name="xxx" hidden="1">{#N/A,#N/A,FALSE,"O&amp;M by processes";#N/A,#N/A,FALSE,"Elec Act vs Bud";#N/A,#N/A,FALSE,"G&amp;A";#N/A,#N/A,FALSE,"BGS";#N/A,#N/A,FALSE,"Res Cost"}</definedName>
    <definedName name="xxxx" hidden="1">{#N/A,#N/A,FALSE,"O&amp;M by processes";#N/A,#N/A,FALSE,"Elec Act vs Bud";#N/A,#N/A,FALSE,"G&amp;A";#N/A,#N/A,FALSE,"BGS";#N/A,#N/A,FALSE,"Res Cost"}</definedName>
    <definedName name="xxxxxxx">{"'Metretek HTML'!$A$7:$W$42"}</definedName>
    <definedName name="XXXXXXXXXXXXXX">{"'Metretek HTML'!$A$7:$W$42"}</definedName>
    <definedName name="xy">{"'Metretek HTML'!$A$7:$W$42"}</definedName>
    <definedName name="XZ">{"'Metretek HTML'!$A$7:$W$42"}</definedName>
    <definedName name="year" localSheetId="1">{"'Metretek HTML'!$A$7:$W$42"}</definedName>
    <definedName name="Year">#REF!</definedName>
    <definedName name="YEAR1">[35]INPUTS!$C$17</definedName>
    <definedName name="yeartodate">[26]RPT80MAR!$A$84:$D$158</definedName>
    <definedName name="ytd">#REF!</definedName>
    <definedName name="yy">{"'Metretek HTML'!$A$7:$W$42"}</definedName>
    <definedName name="Z_28948E05_8F34_4F1E_96FB_A80A6A844600_.wvu.Cols" localSheetId="8" hidden="1">'7 - Cap Add WS'!$Q:$AB</definedName>
    <definedName name="Z_28948E05_8F34_4F1E_96FB_A80A6A844600_.wvu.PrintTitles" localSheetId="8" hidden="1">'7 - Cap Add WS'!$C:$D</definedName>
    <definedName name="Z_3BDD6235_B127_4929_8311_BDAF7BB89818_.wvu.PrintArea" localSheetId="2" hidden="1">'2 - Other Tax'!$A$1:$G$70</definedName>
    <definedName name="Z_3BDD6235_B127_4929_8311_BDAF7BB89818_.wvu.PrintArea" localSheetId="3" hidden="1">'3 - Revenue Credits'!$A$1:$D$44</definedName>
    <definedName name="Z_3BDD6235_B127_4929_8311_BDAF7BB89818_.wvu.PrintArea" localSheetId="4" hidden="1">'4 - 100 Basis Pt ROE'!$A$1:$I$77</definedName>
    <definedName name="Z_3BDD6235_B127_4929_8311_BDAF7BB89818_.wvu.PrintArea" localSheetId="5" hidden="1">'5 - Cost Support 1'!$A$1:$Q$169</definedName>
    <definedName name="Z_3BDD6235_B127_4929_8311_BDAF7BB89818_.wvu.PrintArea" localSheetId="0" hidden="1">'ATT H-3D'!$A$1:$H$332</definedName>
    <definedName name="Z_3BDD6235_B127_4929_8311_BDAF7BB89818_.wvu.PrintTitles" localSheetId="5" hidden="1">'5 - Cost Support 1'!$1:$3</definedName>
    <definedName name="Z_3BDD6235_B127_4929_8311_BDAF7BB89818_.wvu.PrintTitles" localSheetId="0" hidden="1">'ATT H-3D'!$A:$G</definedName>
    <definedName name="Z_3BDD6235_B127_4929_8311_BDAF7BB89818_.wvu.Rows" localSheetId="5" hidden="1">'5 - Cost Support 1'!$28:$29</definedName>
    <definedName name="Z_4C8E812F_DAB5_4C49_9682_E5A34DC8C1B4_.wvu.PrintArea" localSheetId="2" hidden="1">'2 - Other Tax'!$A$1:$G$70</definedName>
    <definedName name="Z_4C8E812F_DAB5_4C49_9682_E5A34DC8C1B4_.wvu.PrintArea" localSheetId="3" hidden="1">'3 - Revenue Credits'!$A$1:$D$44</definedName>
    <definedName name="Z_4C8E812F_DAB5_4C49_9682_E5A34DC8C1B4_.wvu.PrintArea" localSheetId="4" hidden="1">'4 - 100 Basis Pt ROE'!$A$1:$I$77</definedName>
    <definedName name="Z_4C8E812F_DAB5_4C49_9682_E5A34DC8C1B4_.wvu.PrintArea" localSheetId="5" hidden="1">'5 - Cost Support 1'!$A$1:$Q$169</definedName>
    <definedName name="Z_4C8E812F_DAB5_4C49_9682_E5A34DC8C1B4_.wvu.PrintArea" localSheetId="0" hidden="1">'ATT H-3D'!$A$1:$H$332</definedName>
    <definedName name="Z_4C8E812F_DAB5_4C49_9682_E5A34DC8C1B4_.wvu.PrintTitles" localSheetId="5" hidden="1">'5 - Cost Support 1'!$1:$3</definedName>
    <definedName name="Z_4C8E812F_DAB5_4C49_9682_E5A34DC8C1B4_.wvu.PrintTitles" localSheetId="0" hidden="1">'ATT H-3D'!$A:$G</definedName>
    <definedName name="Z_4C8E812F_DAB5_4C49_9682_E5A34DC8C1B4_.wvu.Rows" localSheetId="5" hidden="1">'5 - Cost Support 1'!$28:$29</definedName>
    <definedName name="Z_4F5BB44A_5460_4358_BCFE_B7FB945BAE1D_.wvu.PrintArea" localSheetId="2" hidden="1">'2 - Other Tax'!$A$1:$G$70</definedName>
    <definedName name="Z_4F5BB44A_5460_4358_BCFE_B7FB945BAE1D_.wvu.PrintArea" localSheetId="3" hidden="1">'3 - Revenue Credits'!$A$1:$D$44</definedName>
    <definedName name="Z_4F5BB44A_5460_4358_BCFE_B7FB945BAE1D_.wvu.PrintArea" localSheetId="4" hidden="1">'4 - 100 Basis Pt ROE'!$A$1:$I$77</definedName>
    <definedName name="Z_4F5BB44A_5460_4358_BCFE_B7FB945BAE1D_.wvu.PrintArea" localSheetId="5" hidden="1">'5 - Cost Support 1'!$A$1:$Q$169</definedName>
    <definedName name="Z_4F5BB44A_5460_4358_BCFE_B7FB945BAE1D_.wvu.PrintArea" localSheetId="0" hidden="1">'ATT H-3D'!$A$1:$H$332</definedName>
    <definedName name="Z_4F5BB44A_5460_4358_BCFE_B7FB945BAE1D_.wvu.PrintTitles" localSheetId="5" hidden="1">'5 - Cost Support 1'!$1:$3</definedName>
    <definedName name="Z_4F5BB44A_5460_4358_BCFE_B7FB945BAE1D_.wvu.PrintTitles" localSheetId="0" hidden="1">'ATT H-3D'!$A:$G</definedName>
    <definedName name="Z_4F5BB44A_5460_4358_BCFE_B7FB945BAE1D_.wvu.Rows" localSheetId="5" hidden="1">'5 - Cost Support 1'!$28:$29</definedName>
    <definedName name="Z_63011E91_4609_4523_98FE_FD252E915668_.wvu.Cols" localSheetId="8" hidden="1">'7 - Cap Add WS'!$Q:$AB</definedName>
    <definedName name="Z_63011E91_4609_4523_98FE_FD252E915668_.wvu.PrintArea" localSheetId="7" hidden="1">'6- Est &amp; Reconcile WS'!$A$1:$Q$168</definedName>
    <definedName name="Z_63011E91_4609_4523_98FE_FD252E915668_.wvu.PrintArea" localSheetId="8" hidden="1">'7 - Cap Add WS'!$C$1:$BD$80</definedName>
    <definedName name="Z_63011E91_4609_4523_98FE_FD252E915668_.wvu.PrintTitles" localSheetId="8" hidden="1">'7 - Cap Add WS'!$C:$D</definedName>
    <definedName name="Z_6FDC2004_56D4_4E4C_BEEF_80DB64AD0DBB_.wvu.PrintArea" localSheetId="2" hidden="1">'2 - Other Tax'!$A$1:$H$70</definedName>
    <definedName name="Z_6FDC2004_56D4_4E4C_BEEF_80DB64AD0DBB_.wvu.PrintArea" localSheetId="3" hidden="1">'3 - Revenue Credits'!$A$1:$D$45</definedName>
    <definedName name="Z_6FDC2004_56D4_4E4C_BEEF_80DB64AD0DBB_.wvu.PrintArea" localSheetId="4" hidden="1">'4 - 100 Basis Pt ROE'!$A$1:$I$77</definedName>
    <definedName name="Z_6FDC2004_56D4_4E4C_BEEF_80DB64AD0DBB_.wvu.PrintArea" localSheetId="5" hidden="1">'5 - Cost Support 1'!$A$1:$Q$169</definedName>
    <definedName name="Z_6FDC2004_56D4_4E4C_BEEF_80DB64AD0DBB_.wvu.PrintArea" localSheetId="0" hidden="1">'ATT H-3D'!$A$1:$H$332</definedName>
    <definedName name="Z_6FDC2004_56D4_4E4C_BEEF_80DB64AD0DBB_.wvu.PrintTitles" localSheetId="5" hidden="1">'5 - Cost Support 1'!$1:$3</definedName>
    <definedName name="Z_6FDC2004_56D4_4E4C_BEEF_80DB64AD0DBB_.wvu.PrintTitles" localSheetId="0" hidden="1">'ATT H-3D'!$A:$G</definedName>
    <definedName name="Z_6FDC2004_56D4_4E4C_BEEF_80DB64AD0DBB_.wvu.Rows" localSheetId="5" hidden="1">'5 - Cost Support 1'!$28:$29</definedName>
    <definedName name="Z_71B42B22_A376_44B5_B0C1_23FC1AA3DBA2_.wvu.Cols" localSheetId="8" hidden="1">'7 - Cap Add WS'!$Q:$AB</definedName>
    <definedName name="Z_71B42B22_A376_44B5_B0C1_23FC1AA3DBA2_.wvu.PrintTitles" localSheetId="8" hidden="1">'7 - Cap Add WS'!$C:$D</definedName>
    <definedName name="Z_B647CB7F_C846_4278_B6B1_1EF7F3C004F5_.wvu.Cols" localSheetId="8" hidden="1">'7 - Cap Add WS'!$Q:$AB</definedName>
    <definedName name="Z_B647CB7F_C846_4278_B6B1_1EF7F3C004F5_.wvu.PrintTitles" localSheetId="8" hidden="1">'7 - Cap Add WS'!$C:$D</definedName>
    <definedName name="Z_C0EA0F9F_7310_4201_82C9_7B8FC8DB9137_.wvu.PrintArea" localSheetId="2" hidden="1">'2 - Other Tax'!$A$1:$G$70</definedName>
    <definedName name="Z_C0EA0F9F_7310_4201_82C9_7B8FC8DB9137_.wvu.PrintArea" localSheetId="3" hidden="1">'3 - Revenue Credits'!$A$1:$D$44</definedName>
    <definedName name="Z_C0EA0F9F_7310_4201_82C9_7B8FC8DB9137_.wvu.PrintArea" localSheetId="4" hidden="1">'4 - 100 Basis Pt ROE'!$A$1:$I$77</definedName>
    <definedName name="Z_C0EA0F9F_7310_4201_82C9_7B8FC8DB9137_.wvu.PrintArea" localSheetId="5" hidden="1">'5 - Cost Support 1'!$A$1:$Q$169</definedName>
    <definedName name="Z_C0EA0F9F_7310_4201_82C9_7B8FC8DB9137_.wvu.PrintArea" localSheetId="0" hidden="1">'ATT H-3D'!$A$1:$H$332</definedName>
    <definedName name="Z_C0EA0F9F_7310_4201_82C9_7B8FC8DB9137_.wvu.PrintTitles" localSheetId="5" hidden="1">'5 - Cost Support 1'!$1:$3</definedName>
    <definedName name="Z_C0EA0F9F_7310_4201_82C9_7B8FC8DB9137_.wvu.PrintTitles" localSheetId="0" hidden="1">'ATT H-3D'!$A:$G</definedName>
    <definedName name="Z_C0EA0F9F_7310_4201_82C9_7B8FC8DB9137_.wvu.Rows" localSheetId="5" hidden="1">'5 - Cost Support 1'!$28:$29</definedName>
    <definedName name="Z_DC91DEF3_837B_4BB9_A81E_3B78C5914E6C_.wvu.Cols" localSheetId="8" hidden="1">'7 - Cap Add WS'!$Q:$AB</definedName>
    <definedName name="Z_DC91DEF3_837B_4BB9_A81E_3B78C5914E6C_.wvu.PrintTitles" localSheetId="8" hidden="1">'7 - Cap Add WS'!$C:$D</definedName>
    <definedName name="Z_DD59B418_F201_4517_876C_F4216587CC56_.wvu.PrintArea" localSheetId="2" hidden="1">'2 - Other Tax'!$A$1:$G$70</definedName>
    <definedName name="Z_DD59B418_F201_4517_876C_F4216587CC56_.wvu.PrintArea" localSheetId="3" hidden="1">'3 - Revenue Credits'!$A$1:$D$45</definedName>
    <definedName name="Z_DD59B418_F201_4517_876C_F4216587CC56_.wvu.PrintArea" localSheetId="4" hidden="1">'4 - 100 Basis Pt ROE'!$A$1:$I$77</definedName>
    <definedName name="Z_DD59B418_F201_4517_876C_F4216587CC56_.wvu.PrintArea" localSheetId="5" hidden="1">'5 - Cost Support 1'!$A$1:$Q$169</definedName>
    <definedName name="Z_DD59B418_F201_4517_876C_F4216587CC56_.wvu.PrintArea" localSheetId="0" hidden="1">'ATT H-3D'!$A$1:$H$332</definedName>
    <definedName name="Z_DD59B418_F201_4517_876C_F4216587CC56_.wvu.PrintTitles" localSheetId="5" hidden="1">'5 - Cost Support 1'!$1:$3</definedName>
    <definedName name="Z_DD59B418_F201_4517_876C_F4216587CC56_.wvu.PrintTitles" localSheetId="0" hidden="1">'ATT H-3D'!$A:$G</definedName>
    <definedName name="Z_FAAD9AAC_1337_43AB_BF1F_CCF9DFCF5B78_.wvu.Cols" localSheetId="8" hidden="1">'7 - Cap Add WS'!$Q:$AB</definedName>
    <definedName name="Z_FAAD9AAC_1337_43AB_BF1F_CCF9DFCF5B78_.wvu.PrintTitles" localSheetId="8" hidden="1">'7 - Cap Add WS'!$C:$D</definedName>
    <definedName name="zaph">#REF!</definedName>
    <definedName name="zero">0</definedName>
  </definedNames>
  <calcPr calcId="145621"/>
  <customWorkbookViews>
    <customWorkbookView name="x317aks - Personal View" guid="{DD59B418-F201-4517-876C-F4216587CC56}" mergeInterval="0" personalView="1" maximized="1" windowWidth="1676" windowHeight="847" tabRatio="809" activeSheetId="1"/>
    <customWorkbookView name="Dana Olds - Personal View" guid="{6FDC2004-56D4-4E4C-BEEF-80DB64AD0DBB}" mergeInterval="0" personalView="1" maximized="1" windowWidth="1020" windowHeight="605" tabRatio="809" activeSheetId="10"/>
    <customWorkbookView name="wdbooth - Personal View" guid="{4F5BB44A-5460-4358-BCFE-B7FB945BAE1D}" mergeInterval="0" personalView="1" maximized="1" windowWidth="756" windowHeight="354" tabRatio="809" activeSheetId="4"/>
    <customWorkbookView name="x086hmh - Personal View" guid="{C0EA0F9F-7310-4201-82C9-7B8FC8DB9137}" mergeInterval="0" personalView="1" maximized="1" windowWidth="1676" windowHeight="904" tabRatio="809" activeSheetId="9"/>
    <customWorkbookView name="Helen Hight - Personal View" guid="{3BDD6235-B127-4929-8311-BDAF7BB89818}" mergeInterval="0" personalView="1" maximized="1" windowWidth="1020" windowHeight="570" tabRatio="809" activeSheetId="1"/>
    <customWorkbookView name="Preferred Customer - Personal View" guid="{4C8E812F-DAB5-4C49-9682-E5A34DC8C1B4}" mergeInterval="0" personalView="1" maximized="1" windowWidth="1020" windowHeight="579" tabRatio="809" activeSheetId="8"/>
  </customWorkbookViews>
</workbook>
</file>

<file path=xl/calcChain.xml><?xml version="1.0" encoding="utf-8"?>
<calcChain xmlns="http://schemas.openxmlformats.org/spreadsheetml/2006/main">
  <c r="D34" i="4" l="1"/>
  <c r="B170" i="11" l="1"/>
  <c r="C170" i="11"/>
  <c r="D170" i="11"/>
  <c r="A170" i="11"/>
  <c r="B166" i="11"/>
  <c r="C166" i="11"/>
  <c r="D166" i="11"/>
  <c r="A166" i="11"/>
  <c r="H162" i="11" l="1"/>
  <c r="D259" i="6"/>
  <c r="D248" i="6"/>
  <c r="D237" i="6"/>
  <c r="D240" i="6" s="1"/>
  <c r="D243" i="6" s="1"/>
  <c r="D258" i="6" s="1"/>
  <c r="D239" i="6" l="1"/>
  <c r="E224" i="6" l="1"/>
  <c r="E221" i="6"/>
  <c r="E222" i="6" s="1"/>
  <c r="E223" i="6" s="1"/>
  <c r="E225" i="6" s="1"/>
  <c r="E226" i="6" s="1"/>
  <c r="E218" i="6" s="1"/>
  <c r="E220" i="6"/>
  <c r="H125" i="1" l="1"/>
  <c r="D40" i="4" l="1"/>
  <c r="H57" i="6" l="1"/>
  <c r="G57" i="6"/>
  <c r="H227" i="1" l="1"/>
  <c r="D123" i="11" l="1"/>
  <c r="C104" i="22" l="1"/>
  <c r="C69" i="22" l="1"/>
  <c r="F46" i="22"/>
  <c r="E46" i="22"/>
  <c r="D46" i="22"/>
  <c r="C46" i="22"/>
  <c r="F45" i="22"/>
  <c r="E45" i="22"/>
  <c r="D45" i="22"/>
  <c r="C45" i="22"/>
  <c r="H75" i="1"/>
  <c r="D15" i="22" l="1"/>
  <c r="E138" i="22"/>
  <c r="E142" i="22" s="1"/>
  <c r="D138" i="22"/>
  <c r="D142" i="22" s="1"/>
  <c r="B112" i="22"/>
  <c r="F111" i="22"/>
  <c r="E111" i="22"/>
  <c r="D111" i="22"/>
  <c r="C111" i="22"/>
  <c r="F110" i="22"/>
  <c r="E110" i="22"/>
  <c r="E113" i="22" s="1"/>
  <c r="C12" i="22" s="1"/>
  <c r="D110" i="22"/>
  <c r="D113" i="22" s="1"/>
  <c r="B12" i="22" s="1"/>
  <c r="C110" i="22"/>
  <c r="B109" i="22"/>
  <c r="B108" i="22"/>
  <c r="B107" i="22"/>
  <c r="B106" i="22"/>
  <c r="B105" i="22"/>
  <c r="B104" i="22"/>
  <c r="B103" i="22"/>
  <c r="B102" i="22"/>
  <c r="B101" i="22"/>
  <c r="D21" i="22" s="1"/>
  <c r="B100" i="22"/>
  <c r="B99" i="22"/>
  <c r="B98" i="22"/>
  <c r="B97" i="22"/>
  <c r="B96" i="22"/>
  <c r="B95" i="22"/>
  <c r="B75" i="22"/>
  <c r="E74" i="22"/>
  <c r="D74" i="22"/>
  <c r="C74" i="22"/>
  <c r="F73" i="22"/>
  <c r="F76" i="22" s="1"/>
  <c r="D11" i="22" s="1"/>
  <c r="E73" i="22"/>
  <c r="E76" i="22" s="1"/>
  <c r="C11" i="22" s="1"/>
  <c r="D73" i="22"/>
  <c r="C73" i="22"/>
  <c r="C76" i="22" s="1"/>
  <c r="B72" i="22"/>
  <c r="B71" i="22"/>
  <c r="B70" i="22"/>
  <c r="B69" i="22"/>
  <c r="B68" i="22"/>
  <c r="B67" i="22"/>
  <c r="B46" i="22"/>
  <c r="B45" i="22"/>
  <c r="F44" i="22"/>
  <c r="F47" i="22" s="1"/>
  <c r="D13" i="22" s="1"/>
  <c r="E44" i="22"/>
  <c r="E47" i="22" s="1"/>
  <c r="C13" i="22" s="1"/>
  <c r="D44" i="22"/>
  <c r="D47" i="22" s="1"/>
  <c r="B13" i="22" s="1"/>
  <c r="C44" i="22"/>
  <c r="C47" i="22" s="1"/>
  <c r="B43" i="22"/>
  <c r="B42" i="22"/>
  <c r="B41" i="22"/>
  <c r="B40" i="22"/>
  <c r="B39" i="22"/>
  <c r="B38" i="22"/>
  <c r="B37" i="22"/>
  <c r="B36" i="22"/>
  <c r="B35" i="22"/>
  <c r="B34" i="22"/>
  <c r="B33" i="22"/>
  <c r="B32" i="22"/>
  <c r="B31" i="22"/>
  <c r="B30" i="22"/>
  <c r="B111" i="22" l="1"/>
  <c r="B74" i="22"/>
  <c r="F113" i="22"/>
  <c r="D12" i="22" s="1"/>
  <c r="E12" i="22" s="1"/>
  <c r="B47" i="22"/>
  <c r="C113" i="22"/>
  <c r="E13" i="22"/>
  <c r="D14" i="22"/>
  <c r="C14" i="22"/>
  <c r="D76" i="22"/>
  <c r="B11" i="22" s="1"/>
  <c r="B44" i="22"/>
  <c r="B110" i="22"/>
  <c r="B73" i="22"/>
  <c r="B76" i="22" l="1"/>
  <c r="B113" i="22"/>
  <c r="B14" i="22"/>
  <c r="E11" i="22"/>
  <c r="D17" i="22"/>
  <c r="E14" i="22" l="1"/>
  <c r="B17" i="22"/>
  <c r="H192" i="1" l="1"/>
  <c r="H179" i="1"/>
  <c r="H55" i="6" l="1"/>
  <c r="H15" i="6" l="1"/>
  <c r="G205" i="6" l="1"/>
  <c r="H25" i="1" l="1"/>
  <c r="AW32" i="12" l="1"/>
  <c r="AX74" i="12" s="1"/>
  <c r="AX75" i="12" s="1"/>
  <c r="AX52" i="12" l="1"/>
  <c r="AX53" i="12" s="1"/>
  <c r="AX54" i="12"/>
  <c r="AX55" i="12" s="1"/>
  <c r="AX56" i="12"/>
  <c r="AX57" i="12" s="1"/>
  <c r="AX58" i="12"/>
  <c r="AX59" i="12" s="1"/>
  <c r="AX60" i="12"/>
  <c r="AX61" i="12" s="1"/>
  <c r="AX62" i="12"/>
  <c r="AX63" i="12" s="1"/>
  <c r="AX64" i="12"/>
  <c r="AX65" i="12" s="1"/>
  <c r="AX66" i="12"/>
  <c r="AX67" i="12" s="1"/>
  <c r="AX68" i="12"/>
  <c r="AX69" i="12" s="1"/>
  <c r="AX70" i="12"/>
  <c r="AX71" i="12" s="1"/>
  <c r="AX72" i="12"/>
  <c r="AX73" i="12" s="1"/>
  <c r="AW52" i="12"/>
  <c r="AY52" i="12" l="1"/>
  <c r="AW53" i="12"/>
  <c r="AY53" i="12" s="1"/>
  <c r="AW54" i="12" s="1"/>
  <c r="AY54" i="12" l="1"/>
  <c r="AW55" i="12"/>
  <c r="AY55" i="12" s="1"/>
  <c r="AW56" i="12" s="1"/>
  <c r="AY56" i="12" l="1"/>
  <c r="AW57" i="12"/>
  <c r="AY57" i="12" s="1"/>
  <c r="AW58" i="12" s="1"/>
  <c r="AY58" i="12" l="1"/>
  <c r="AW59" i="12"/>
  <c r="AY59" i="12" s="1"/>
  <c r="AW60" i="12" s="1"/>
  <c r="AY60" i="12" l="1"/>
  <c r="AW61" i="12"/>
  <c r="AY61" i="12" s="1"/>
  <c r="AW62" i="12" s="1"/>
  <c r="AY62" i="12" l="1"/>
  <c r="AW63" i="12"/>
  <c r="AY63" i="12" s="1"/>
  <c r="AW64" i="12" s="1"/>
  <c r="AY64" i="12" l="1"/>
  <c r="AW65" i="12"/>
  <c r="AY65" i="12" s="1"/>
  <c r="AW66" i="12" s="1"/>
  <c r="AY66" i="12" l="1"/>
  <c r="AW67" i="12"/>
  <c r="AY67" i="12" s="1"/>
  <c r="AW68" i="12" s="1"/>
  <c r="AY68" i="12" l="1"/>
  <c r="AW69" i="12"/>
  <c r="AY69" i="12" s="1"/>
  <c r="AW70" i="12" s="1"/>
  <c r="AY70" i="12" l="1"/>
  <c r="AW71" i="12"/>
  <c r="AY71" i="12" s="1"/>
  <c r="AW72" i="12" s="1"/>
  <c r="AY72" i="12" l="1"/>
  <c r="AW73" i="12"/>
  <c r="AY73" i="12" s="1"/>
  <c r="AW74" i="12" s="1"/>
  <c r="AY74" i="12" l="1"/>
  <c r="AW75" i="12"/>
  <c r="AY75" i="12" s="1"/>
  <c r="H45" i="17" l="1"/>
  <c r="F45" i="17"/>
  <c r="D45" i="17"/>
  <c r="B45" i="17"/>
  <c r="J43" i="17"/>
  <c r="J41" i="17"/>
  <c r="J39" i="17"/>
  <c r="J37" i="17"/>
  <c r="J35" i="17"/>
  <c r="J33" i="17"/>
  <c r="J31" i="17"/>
  <c r="J29" i="17"/>
  <c r="J27" i="17"/>
  <c r="J25" i="17"/>
  <c r="J23" i="17"/>
  <c r="J21" i="17"/>
  <c r="J19" i="17"/>
  <c r="J17" i="17"/>
  <c r="J15" i="17"/>
  <c r="J13" i="17"/>
  <c r="J11" i="17"/>
  <c r="J9" i="17"/>
  <c r="H205" i="6"/>
  <c r="I205" i="6" s="1"/>
  <c r="H45" i="1" s="1"/>
  <c r="H206" i="6"/>
  <c r="I206" i="6" s="1"/>
  <c r="H59" i="1" s="1"/>
  <c r="I204" i="6"/>
  <c r="H23" i="1" s="1"/>
  <c r="I203" i="6"/>
  <c r="H19" i="1" s="1"/>
  <c r="I197" i="6"/>
  <c r="H124" i="1" s="1"/>
  <c r="I196" i="6"/>
  <c r="H114" i="1" s="1"/>
  <c r="J45" i="17" l="1"/>
  <c r="D129" i="6"/>
  <c r="H195" i="1" l="1"/>
  <c r="H153" i="1" l="1"/>
  <c r="H81" i="1" l="1"/>
  <c r="E188" i="6" l="1"/>
  <c r="D188" i="6"/>
  <c r="F187" i="6"/>
  <c r="F186" i="6"/>
  <c r="F185" i="6"/>
  <c r="F188" i="6" l="1"/>
  <c r="I55" i="6" l="1"/>
  <c r="I57" i="6"/>
  <c r="AS32" i="12" l="1"/>
  <c r="AT74" i="12" s="1"/>
  <c r="AT75" i="12" s="1"/>
  <c r="AT52" i="12" l="1"/>
  <c r="AT53" i="12" s="1"/>
  <c r="AT54" i="12"/>
  <c r="AT55" i="12" s="1"/>
  <c r="AT56" i="12"/>
  <c r="AT57" i="12" s="1"/>
  <c r="AT58" i="12"/>
  <c r="AT59" i="12" s="1"/>
  <c r="AT60" i="12"/>
  <c r="AT61" i="12" s="1"/>
  <c r="AT62" i="12"/>
  <c r="AT63" i="12" s="1"/>
  <c r="AT64" i="12"/>
  <c r="AT65" i="12" s="1"/>
  <c r="AT66" i="12"/>
  <c r="AT67" i="12" s="1"/>
  <c r="AT68" i="12"/>
  <c r="AT69" i="12" s="1"/>
  <c r="AT70" i="12"/>
  <c r="AT71" i="12" s="1"/>
  <c r="AT72" i="12"/>
  <c r="AT73" i="12" s="1"/>
  <c r="AS52" i="12" l="1"/>
  <c r="AS53" i="12" l="1"/>
  <c r="AU53" i="12" s="1"/>
  <c r="AU52" i="12"/>
  <c r="AS54" i="12" l="1"/>
  <c r="AU54" i="12" l="1"/>
  <c r="AS55" i="12"/>
  <c r="AU55" i="12" s="1"/>
  <c r="AS56" i="12" l="1"/>
  <c r="AU56" i="12" l="1"/>
  <c r="AS57" i="12"/>
  <c r="AU57" i="12" s="1"/>
  <c r="AS58" i="12" l="1"/>
  <c r="AU58" i="12" l="1"/>
  <c r="AS59" i="12"/>
  <c r="AU59" i="12" s="1"/>
  <c r="AS60" i="12" l="1"/>
  <c r="AU60" i="12" l="1"/>
  <c r="AS61" i="12"/>
  <c r="AU61" i="12" s="1"/>
  <c r="AS62" i="12" l="1"/>
  <c r="AS63" i="12" l="1"/>
  <c r="AU63" i="12" s="1"/>
  <c r="AU62" i="12"/>
  <c r="AS64" i="12" l="1"/>
  <c r="AS65" i="12" l="1"/>
  <c r="AU65" i="12" s="1"/>
  <c r="AU64" i="12"/>
  <c r="AS66" i="12" l="1"/>
  <c r="AU66" i="12" l="1"/>
  <c r="AS67" i="12"/>
  <c r="AU67" i="12" s="1"/>
  <c r="AS68" i="12" l="1"/>
  <c r="AU68" i="12" l="1"/>
  <c r="AS69" i="12"/>
  <c r="AU69" i="12" s="1"/>
  <c r="AS70" i="12" l="1"/>
  <c r="AU70" i="12" l="1"/>
  <c r="AS71" i="12"/>
  <c r="AU71" i="12" s="1"/>
  <c r="AS72" i="12" l="1"/>
  <c r="AU72" i="12" l="1"/>
  <c r="AS73" i="12"/>
  <c r="AU73" i="12" s="1"/>
  <c r="AS74" i="12" l="1"/>
  <c r="AU74" i="12" l="1"/>
  <c r="AS75" i="12"/>
  <c r="AU75" i="12" s="1"/>
  <c r="I32" i="12" l="1"/>
  <c r="J70" i="12" l="1"/>
  <c r="J71" i="12" s="1"/>
  <c r="J62" i="12"/>
  <c r="J63" i="12" s="1"/>
  <c r="J54" i="12"/>
  <c r="J55" i="12" s="1"/>
  <c r="J68" i="12"/>
  <c r="J69" i="12" s="1"/>
  <c r="J60" i="12"/>
  <c r="J61" i="12" s="1"/>
  <c r="J52" i="12"/>
  <c r="J53" i="12" s="1"/>
  <c r="J74" i="12"/>
  <c r="J75" i="12" s="1"/>
  <c r="J66" i="12"/>
  <c r="J67" i="12" s="1"/>
  <c r="J58" i="12"/>
  <c r="J59" i="12" s="1"/>
  <c r="J72" i="12"/>
  <c r="J73" i="12" s="1"/>
  <c r="J64" i="12"/>
  <c r="J65" i="12" s="1"/>
  <c r="J56" i="12"/>
  <c r="J57" i="12" s="1"/>
  <c r="H49" i="6"/>
  <c r="H130" i="1" s="1"/>
  <c r="AO32" i="12" l="1"/>
  <c r="AP74" i="12" s="1"/>
  <c r="AP75" i="12" s="1"/>
  <c r="AK32" i="12"/>
  <c r="AG32" i="12"/>
  <c r="AL68" i="12" l="1"/>
  <c r="AL69" i="12" s="1"/>
  <c r="AL60" i="12"/>
  <c r="AL61" i="12" s="1"/>
  <c r="AL52" i="12"/>
  <c r="AL53" i="12" s="1"/>
  <c r="AL64" i="12"/>
  <c r="AL65" i="12" s="1"/>
  <c r="AL70" i="12"/>
  <c r="AL71" i="12" s="1"/>
  <c r="AL54" i="12"/>
  <c r="AL55" i="12" s="1"/>
  <c r="AL74" i="12"/>
  <c r="AL75" i="12" s="1"/>
  <c r="AL66" i="12"/>
  <c r="AL67" i="12" s="1"/>
  <c r="AL58" i="12"/>
  <c r="AL59" i="12" s="1"/>
  <c r="AL72" i="12"/>
  <c r="AL73" i="12" s="1"/>
  <c r="AL56" i="12"/>
  <c r="AL57" i="12" s="1"/>
  <c r="AL62" i="12"/>
  <c r="AL63" i="12" s="1"/>
  <c r="AH72" i="12"/>
  <c r="AH73" i="12" s="1"/>
  <c r="AH64" i="12"/>
  <c r="AH65" i="12" s="1"/>
  <c r="AH56" i="12"/>
  <c r="AH57" i="12" s="1"/>
  <c r="AH68" i="12"/>
  <c r="AH69" i="12" s="1"/>
  <c r="AH52" i="12"/>
  <c r="AH53" i="12" s="1"/>
  <c r="AH74" i="12"/>
  <c r="AH75" i="12" s="1"/>
  <c r="AH58" i="12"/>
  <c r="AH59" i="12" s="1"/>
  <c r="AH70" i="12"/>
  <c r="AH71" i="12" s="1"/>
  <c r="AH62" i="12"/>
  <c r="AH63" i="12" s="1"/>
  <c r="AH54" i="12"/>
  <c r="AH55" i="12" s="1"/>
  <c r="AH60" i="12"/>
  <c r="AH61" i="12" s="1"/>
  <c r="AH66" i="12"/>
  <c r="AH67" i="12" s="1"/>
  <c r="AP54" i="12"/>
  <c r="AP55" i="12" s="1"/>
  <c r="AP68" i="12"/>
  <c r="AP69" i="12" s="1"/>
  <c r="AP56" i="12"/>
  <c r="AP57" i="12" s="1"/>
  <c r="AP62" i="12"/>
  <c r="AP63" i="12" s="1"/>
  <c r="AP70" i="12"/>
  <c r="AP71" i="12" s="1"/>
  <c r="AP58" i="12"/>
  <c r="AP59" i="12" s="1"/>
  <c r="AP64" i="12"/>
  <c r="AP65" i="12" s="1"/>
  <c r="AP72" i="12"/>
  <c r="AP73" i="12" s="1"/>
  <c r="AP52" i="12"/>
  <c r="AP53" i="12" s="1"/>
  <c r="AP60" i="12"/>
  <c r="AP61" i="12" s="1"/>
  <c r="AP66" i="12"/>
  <c r="AP67" i="12" s="1"/>
  <c r="AG52" i="12" l="1"/>
  <c r="AK52" i="12"/>
  <c r="I52" i="12"/>
  <c r="AM52" i="12" l="1"/>
  <c r="AK53" i="12"/>
  <c r="AM53" i="12" s="1"/>
  <c r="AK54" i="12" s="1"/>
  <c r="AI52" i="12"/>
  <c r="AG53" i="12"/>
  <c r="AI53" i="12" s="1"/>
  <c r="AG54" i="12" s="1"/>
  <c r="K52" i="12"/>
  <c r="I53" i="12"/>
  <c r="K53" i="12" s="1"/>
  <c r="AO52" i="12"/>
  <c r="AI54" i="12" l="1"/>
  <c r="AG55" i="12"/>
  <c r="AI55" i="12" s="1"/>
  <c r="AG56" i="12" s="1"/>
  <c r="AM54" i="12"/>
  <c r="AK55" i="12"/>
  <c r="AM55" i="12" s="1"/>
  <c r="AK56" i="12" s="1"/>
  <c r="I54" i="12"/>
  <c r="AQ52" i="12"/>
  <c r="AO53" i="12"/>
  <c r="AQ53" i="12" s="1"/>
  <c r="AO54" i="12" s="1"/>
  <c r="AK57" i="12" l="1"/>
  <c r="AM57" i="12" s="1"/>
  <c r="AK58" i="12" s="1"/>
  <c r="AM56" i="12"/>
  <c r="AI56" i="12"/>
  <c r="AG57" i="12"/>
  <c r="AI57" i="12" s="1"/>
  <c r="AG58" i="12" s="1"/>
  <c r="K54" i="12"/>
  <c r="I55" i="12"/>
  <c r="K55" i="12" s="1"/>
  <c r="AQ54" i="12"/>
  <c r="AO55" i="12"/>
  <c r="AQ55" i="12" s="1"/>
  <c r="AO56" i="12" s="1"/>
  <c r="AG59" i="12" l="1"/>
  <c r="AI59" i="12" s="1"/>
  <c r="AG60" i="12" s="1"/>
  <c r="AI58" i="12"/>
  <c r="AM58" i="12"/>
  <c r="AK59" i="12"/>
  <c r="AM59" i="12" s="1"/>
  <c r="AK60" i="12" s="1"/>
  <c r="I56" i="12"/>
  <c r="AQ56" i="12"/>
  <c r="AO57" i="12"/>
  <c r="AQ57" i="12" s="1"/>
  <c r="AO58" i="12" s="1"/>
  <c r="AM60" i="12" l="1"/>
  <c r="AK61" i="12"/>
  <c r="AM61" i="12" s="1"/>
  <c r="AK62" i="12" s="1"/>
  <c r="AG61" i="12"/>
  <c r="AI61" i="12" s="1"/>
  <c r="AG62" i="12" s="1"/>
  <c r="AI60" i="12"/>
  <c r="K56" i="12"/>
  <c r="I57" i="12"/>
  <c r="K57" i="12" s="1"/>
  <c r="AQ58" i="12"/>
  <c r="AO59" i="12"/>
  <c r="AQ59" i="12" s="1"/>
  <c r="AO60" i="12" s="1"/>
  <c r="AI62" i="12" l="1"/>
  <c r="AG63" i="12"/>
  <c r="AI63" i="12" s="1"/>
  <c r="AG64" i="12" s="1"/>
  <c r="AM62" i="12"/>
  <c r="AK63" i="12"/>
  <c r="AM63" i="12" s="1"/>
  <c r="AK64" i="12" s="1"/>
  <c r="I58" i="12"/>
  <c r="AQ60" i="12"/>
  <c r="AO61" i="12"/>
  <c r="AQ61" i="12" s="1"/>
  <c r="AO62" i="12" s="1"/>
  <c r="AK65" i="12" l="1"/>
  <c r="AM65" i="12" s="1"/>
  <c r="AK66" i="12" s="1"/>
  <c r="AM64" i="12"/>
  <c r="AG65" i="12"/>
  <c r="AI65" i="12" s="1"/>
  <c r="AG66" i="12" s="1"/>
  <c r="AI64" i="12"/>
  <c r="K58" i="12"/>
  <c r="I59" i="12"/>
  <c r="K59" i="12" s="1"/>
  <c r="AQ62" i="12"/>
  <c r="AO63" i="12"/>
  <c r="AQ63" i="12" s="1"/>
  <c r="AO64" i="12" s="1"/>
  <c r="AG67" i="12" l="1"/>
  <c r="AI67" i="12" s="1"/>
  <c r="AG68" i="12" s="1"/>
  <c r="AI66" i="12"/>
  <c r="AM66" i="12"/>
  <c r="AK67" i="12"/>
  <c r="AM67" i="12" s="1"/>
  <c r="AK68" i="12" s="1"/>
  <c r="I60" i="12"/>
  <c r="AQ64" i="12"/>
  <c r="AO65" i="12"/>
  <c r="AQ65" i="12" s="1"/>
  <c r="AO66" i="12" s="1"/>
  <c r="AK69" i="12" l="1"/>
  <c r="AM69" i="12" s="1"/>
  <c r="AK70" i="12" s="1"/>
  <c r="AM68" i="12"/>
  <c r="AI68" i="12"/>
  <c r="AG69" i="12"/>
  <c r="AI69" i="12" s="1"/>
  <c r="AG70" i="12" s="1"/>
  <c r="K60" i="12"/>
  <c r="I61" i="12"/>
  <c r="K61" i="12" s="1"/>
  <c r="AQ66" i="12"/>
  <c r="AO67" i="12"/>
  <c r="AQ67" i="12" s="1"/>
  <c r="AO68" i="12" s="1"/>
  <c r="AI70" i="12" l="1"/>
  <c r="AG71" i="12"/>
  <c r="AI71" i="12" s="1"/>
  <c r="AG72" i="12" s="1"/>
  <c r="AM70" i="12"/>
  <c r="AK71" i="12"/>
  <c r="AM71" i="12" s="1"/>
  <c r="AK72" i="12" s="1"/>
  <c r="I62" i="12"/>
  <c r="AQ68" i="12"/>
  <c r="AO69" i="12"/>
  <c r="AQ69" i="12" s="1"/>
  <c r="AO70" i="12" s="1"/>
  <c r="AG73" i="12" l="1"/>
  <c r="AI73" i="12" s="1"/>
  <c r="AG74" i="12" s="1"/>
  <c r="AI72" i="12"/>
  <c r="AM72" i="12"/>
  <c r="AK73" i="12"/>
  <c r="AM73" i="12" s="1"/>
  <c r="AK74" i="12" s="1"/>
  <c r="K62" i="12"/>
  <c r="I63" i="12"/>
  <c r="K63" i="12" s="1"/>
  <c r="AQ70" i="12"/>
  <c r="AO71" i="12"/>
  <c r="AQ71" i="12" s="1"/>
  <c r="AO72" i="12" s="1"/>
  <c r="AM74" i="12" l="1"/>
  <c r="AK75" i="12"/>
  <c r="AM75" i="12" s="1"/>
  <c r="AG75" i="12"/>
  <c r="AI75" i="12" s="1"/>
  <c r="AI74" i="12"/>
  <c r="I64" i="12"/>
  <c r="AQ72" i="12"/>
  <c r="AO73" i="12"/>
  <c r="AQ73" i="12" s="1"/>
  <c r="AO74" i="12" s="1"/>
  <c r="K64" i="12" l="1"/>
  <c r="I65" i="12"/>
  <c r="K65" i="12" s="1"/>
  <c r="AQ74" i="12"/>
  <c r="AO75" i="12"/>
  <c r="AQ75" i="12" s="1"/>
  <c r="H196" i="1"/>
  <c r="H180" i="1"/>
  <c r="I38" i="5"/>
  <c r="I47" i="5" s="1"/>
  <c r="I48" i="5"/>
  <c r="H51" i="1"/>
  <c r="H115" i="1"/>
  <c r="H137" i="1"/>
  <c r="H136" i="1"/>
  <c r="H141" i="1"/>
  <c r="H103" i="1"/>
  <c r="H104" i="1"/>
  <c r="H221" i="1"/>
  <c r="I67" i="5"/>
  <c r="H157" i="1"/>
  <c r="H255" i="1"/>
  <c r="H263" i="1"/>
  <c r="H14" i="1"/>
  <c r="H181" i="1"/>
  <c r="H187" i="1"/>
  <c r="H188" i="1"/>
  <c r="H47" i="1"/>
  <c r="H60" i="1"/>
  <c r="H61" i="1"/>
  <c r="H62" i="1"/>
  <c r="H20" i="1"/>
  <c r="H27" i="1"/>
  <c r="H207" i="1"/>
  <c r="H140" i="1"/>
  <c r="H254" i="1"/>
  <c r="H269" i="1"/>
  <c r="M32" i="12"/>
  <c r="Q32" i="12"/>
  <c r="U31" i="12"/>
  <c r="U32" i="12" s="1"/>
  <c r="Y32" i="12"/>
  <c r="AC32" i="12"/>
  <c r="G89" i="11"/>
  <c r="L115" i="11"/>
  <c r="H91" i="1"/>
  <c r="D33" i="4"/>
  <c r="H291" i="1"/>
  <c r="I117" i="6"/>
  <c r="E39" i="3"/>
  <c r="E31" i="3"/>
  <c r="E20" i="3"/>
  <c r="D8" i="4"/>
  <c r="D56" i="11"/>
  <c r="F123" i="11" s="1"/>
  <c r="H286" i="1"/>
  <c r="G129" i="11"/>
  <c r="G130" i="11"/>
  <c r="G131" i="11" s="1"/>
  <c r="G132" i="11" s="1"/>
  <c r="G133" i="11" s="1"/>
  <c r="G134" i="11" s="1"/>
  <c r="G135" i="11" s="1"/>
  <c r="G136" i="11" s="1"/>
  <c r="G137" i="11" s="1"/>
  <c r="G138" i="11" s="1"/>
  <c r="G139" i="11" s="1"/>
  <c r="G140" i="11" s="1"/>
  <c r="G144" i="11" s="1"/>
  <c r="J102" i="11"/>
  <c r="N102" i="11" s="1"/>
  <c r="M102" i="11"/>
  <c r="Q102" i="11" s="1"/>
  <c r="I21" i="6"/>
  <c r="I20" i="6"/>
  <c r="H131" i="1"/>
  <c r="A33" i="12"/>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I103" i="11"/>
  <c r="L103" i="11" s="1"/>
  <c r="P103" i="11" s="1"/>
  <c r="H130" i="11"/>
  <c r="H131" i="11" s="1"/>
  <c r="E89" i="11"/>
  <c r="H69" i="11" s="1"/>
  <c r="I78" i="11"/>
  <c r="J78" i="11" s="1"/>
  <c r="N78" i="11" s="1"/>
  <c r="I33" i="11"/>
  <c r="I34" i="11" s="1"/>
  <c r="E18" i="12"/>
  <c r="E13" i="12"/>
  <c r="E12" i="12"/>
  <c r="A19" i="1"/>
  <c r="A20" i="1" s="1"/>
  <c r="A21" i="1" s="1"/>
  <c r="A23" i="1" s="1"/>
  <c r="A24" i="1" s="1"/>
  <c r="A25" i="1" s="1"/>
  <c r="A26" i="1" s="1"/>
  <c r="A27" i="1" s="1"/>
  <c r="A29" i="1" s="1"/>
  <c r="A31" i="1" s="1"/>
  <c r="A32" i="1" s="1"/>
  <c r="A34" i="1" s="1"/>
  <c r="A35" i="1" s="1"/>
  <c r="A40" i="1" s="1"/>
  <c r="A41" i="1" s="1"/>
  <c r="A42" i="1" s="1"/>
  <c r="A43" i="1" s="1"/>
  <c r="A45" i="1" s="1"/>
  <c r="A46" i="1" s="1"/>
  <c r="A47" i="1" s="1"/>
  <c r="A48" i="1" s="1"/>
  <c r="A49" i="1" s="1"/>
  <c r="A51" i="1" s="1"/>
  <c r="A53" i="1" s="1"/>
  <c r="A57" i="1" s="1"/>
  <c r="A59" i="1" s="1"/>
  <c r="A60" i="1" s="1"/>
  <c r="A61" i="1" s="1"/>
  <c r="A62" i="1" s="1"/>
  <c r="A63" i="1" s="1"/>
  <c r="A64" i="1" s="1"/>
  <c r="A65" i="1" s="1"/>
  <c r="A67" i="1" s="1"/>
  <c r="A69" i="1" s="1"/>
  <c r="A74" i="1" s="1"/>
  <c r="A75" i="1" s="1"/>
  <c r="A76" i="1" s="1"/>
  <c r="A77" i="1" s="1"/>
  <c r="A84" i="1" s="1"/>
  <c r="A87" i="1" s="1"/>
  <c r="A88" i="1" s="1"/>
  <c r="A91" i="1" s="1"/>
  <c r="A92" i="1" s="1"/>
  <c r="A93" i="1" s="1"/>
  <c r="A94" i="1" s="1"/>
  <c r="A95" i="1" s="1"/>
  <c r="A98" i="1" s="1"/>
  <c r="A99" i="1" s="1"/>
  <c r="A100" i="1" s="1"/>
  <c r="A103" i="1" s="1"/>
  <c r="A104" i="1" s="1"/>
  <c r="A105" i="1" s="1"/>
  <c r="A107" i="1" s="1"/>
  <c r="A109" i="1" s="1"/>
  <c r="A114" i="1" s="1"/>
  <c r="A115" i="1" s="1"/>
  <c r="A116" i="1" s="1"/>
  <c r="A117" i="1" s="1"/>
  <c r="A118" i="1" s="1"/>
  <c r="A119" i="1" s="1"/>
  <c r="A120" i="1" s="1"/>
  <c r="A123" i="1" s="1"/>
  <c r="A124" i="1" s="1"/>
  <c r="A126" i="1" s="1"/>
  <c r="A127" i="1" s="1"/>
  <c r="A128" i="1" s="1"/>
  <c r="A129" i="1" s="1"/>
  <c r="A130" i="1" s="1"/>
  <c r="A131" i="1" s="1"/>
  <c r="A132" i="1" s="1"/>
  <c r="A133" i="1" s="1"/>
  <c r="A136" i="1" s="1"/>
  <c r="A137" i="1" s="1"/>
  <c r="A138" i="1" s="1"/>
  <c r="A140" i="1" s="1"/>
  <c r="A141" i="1" s="1"/>
  <c r="A142" i="1" s="1"/>
  <c r="A143" i="1" s="1"/>
  <c r="A144" i="1" s="1"/>
  <c r="A146" i="1" s="1"/>
  <c r="A151" i="1" s="1"/>
  <c r="A155" i="1" s="1"/>
  <c r="A156" i="1" s="1"/>
  <c r="A157" i="1" s="1"/>
  <c r="A158" i="1" s="1"/>
  <c r="A159" i="1" s="1"/>
  <c r="A161" i="1" s="1"/>
  <c r="A162" i="1" s="1"/>
  <c r="A163" i="1" s="1"/>
  <c r="A164" i="1" s="1"/>
  <c r="A165" i="1" s="1"/>
  <c r="A168" i="1" s="1"/>
  <c r="A172" i="1" s="1"/>
  <c r="A174" i="1" s="1"/>
  <c r="A179" i="1" s="1"/>
  <c r="A180" i="1" s="1"/>
  <c r="A181" i="1" s="1"/>
  <c r="A183" i="1" s="1"/>
  <c r="A186" i="1" s="1"/>
  <c r="A187" i="1" s="1"/>
  <c r="A188" i="1" s="1"/>
  <c r="A189" i="1" s="1"/>
  <c r="A192" i="1" s="1"/>
  <c r="A193" i="1" s="1"/>
  <c r="A194" i="1" s="1"/>
  <c r="A195" i="1" s="1"/>
  <c r="A196" i="1" s="1"/>
  <c r="A197" i="1" s="1"/>
  <c r="A198" i="1" s="1"/>
  <c r="A199" i="1" s="1"/>
  <c r="A200" i="1" s="1"/>
  <c r="A202" i="1" s="1"/>
  <c r="A203" i="1" s="1"/>
  <c r="A204" i="1" s="1"/>
  <c r="A206" i="1" s="1"/>
  <c r="A207" i="1" s="1"/>
  <c r="A208" i="1" s="1"/>
  <c r="A210" i="1" s="1"/>
  <c r="A211" i="1" s="1"/>
  <c r="A212" i="1" s="1"/>
  <c r="A213" i="1" s="1"/>
  <c r="A215" i="1" s="1"/>
  <c r="A220" i="1" s="1"/>
  <c r="A221" i="1" s="1"/>
  <c r="A222" i="1" s="1"/>
  <c r="A223" i="1" s="1"/>
  <c r="A224" i="1" s="1"/>
  <c r="A227" i="1" s="1"/>
  <c r="A228" i="1" s="1"/>
  <c r="A229" i="1" s="1"/>
  <c r="A230" i="1" s="1"/>
  <c r="A234" i="1" s="1"/>
  <c r="A236" i="1" s="1"/>
  <c r="A241" i="1" s="1"/>
  <c r="A242" i="1" s="1"/>
  <c r="A243" i="1" s="1"/>
  <c r="A245" i="1" s="1"/>
  <c r="A246" i="1" s="1"/>
  <c r="A247" i="1" s="1"/>
  <c r="A248" i="1" s="1"/>
  <c r="A249" i="1" s="1"/>
  <c r="A251" i="1" s="1"/>
  <c r="A254" i="1" s="1"/>
  <c r="A255" i="1" s="1"/>
  <c r="A256" i="1" s="1"/>
  <c r="A257" i="1" s="1"/>
  <c r="A258" i="1" s="1"/>
  <c r="A259" i="1" s="1"/>
  <c r="A262" i="1" s="1"/>
  <c r="A263" i="1" s="1"/>
  <c r="A265" i="1" s="1"/>
  <c r="A268" i="1" s="1"/>
  <c r="A269" i="1" s="1"/>
  <c r="A270" i="1" s="1"/>
  <c r="A271" i="1" s="1"/>
  <c r="C1" i="12"/>
  <c r="A1" i="11"/>
  <c r="C36" i="12"/>
  <c r="C38" i="12" s="1"/>
  <c r="C40" i="12" s="1"/>
  <c r="C42" i="12" s="1"/>
  <c r="C44" i="12" s="1"/>
  <c r="C46" i="12" s="1"/>
  <c r="C48" i="12" s="1"/>
  <c r="C50" i="12" s="1"/>
  <c r="C52" i="12" s="1"/>
  <c r="C54" i="12" s="1"/>
  <c r="C56" i="12" s="1"/>
  <c r="C58" i="12" s="1"/>
  <c r="C60" i="12" s="1"/>
  <c r="C62" i="12" s="1"/>
  <c r="C64" i="12" s="1"/>
  <c r="C66" i="12" s="1"/>
  <c r="C68" i="12" s="1"/>
  <c r="C70" i="12" s="1"/>
  <c r="C72" i="12" s="1"/>
  <c r="C74" i="12" s="1"/>
  <c r="H114" i="11"/>
  <c r="M114" i="11" s="1"/>
  <c r="F114" i="11"/>
  <c r="E114" i="11"/>
  <c r="K102" i="11"/>
  <c r="O102" i="11" s="1"/>
  <c r="Q100" i="11"/>
  <c r="P100" i="11"/>
  <c r="O100" i="11"/>
  <c r="N100" i="11"/>
  <c r="M100" i="11"/>
  <c r="L100" i="11"/>
  <c r="K100" i="11"/>
  <c r="J100" i="11"/>
  <c r="H89" i="11"/>
  <c r="M89" i="11" s="1"/>
  <c r="F89" i="11"/>
  <c r="M77" i="11"/>
  <c r="Q77" i="11" s="1"/>
  <c r="L77" i="11"/>
  <c r="P77" i="11" s="1"/>
  <c r="K77" i="11"/>
  <c r="O77" i="11" s="1"/>
  <c r="J77" i="11"/>
  <c r="N77" i="11" s="1"/>
  <c r="Q75" i="11"/>
  <c r="P75" i="11"/>
  <c r="O75" i="11"/>
  <c r="N75" i="11"/>
  <c r="M75" i="11"/>
  <c r="L75" i="11"/>
  <c r="K75" i="11"/>
  <c r="J75" i="11"/>
  <c r="F44" i="11"/>
  <c r="K32" i="11"/>
  <c r="O32" i="11" s="1"/>
  <c r="O30" i="11"/>
  <c r="K30" i="11"/>
  <c r="M32" i="11"/>
  <c r="L32" i="11"/>
  <c r="P32" i="11" s="1"/>
  <c r="BB77" i="12"/>
  <c r="BC76" i="12"/>
  <c r="D39" i="12"/>
  <c r="D41" i="12" s="1"/>
  <c r="D43" i="12" s="1"/>
  <c r="D45" i="12" s="1"/>
  <c r="D47" i="12" s="1"/>
  <c r="D49" i="12" s="1"/>
  <c r="D51" i="12" s="1"/>
  <c r="D53" i="12" s="1"/>
  <c r="D55" i="12" s="1"/>
  <c r="D57" i="12" s="1"/>
  <c r="D59" i="12" s="1"/>
  <c r="D61" i="12" s="1"/>
  <c r="D63" i="12" s="1"/>
  <c r="D65" i="12" s="1"/>
  <c r="D67" i="12" s="1"/>
  <c r="D69" i="12" s="1"/>
  <c r="D71" i="12" s="1"/>
  <c r="D73" i="12" s="1"/>
  <c r="D75" i="12" s="1"/>
  <c r="C39" i="12"/>
  <c r="C41" i="12" s="1"/>
  <c r="C43" i="12" s="1"/>
  <c r="C45" i="12" s="1"/>
  <c r="C47" i="12" s="1"/>
  <c r="C49" i="12" s="1"/>
  <c r="C51" i="12" s="1"/>
  <c r="C53" i="12" s="1"/>
  <c r="C55" i="12" s="1"/>
  <c r="C57" i="12" s="1"/>
  <c r="C59" i="12" s="1"/>
  <c r="C61" i="12" s="1"/>
  <c r="C63" i="12" s="1"/>
  <c r="C65" i="12" s="1"/>
  <c r="C67" i="12" s="1"/>
  <c r="C69" i="12" s="1"/>
  <c r="C71" i="12" s="1"/>
  <c r="C73" i="12" s="1"/>
  <c r="C75" i="12" s="1"/>
  <c r="D38" i="12"/>
  <c r="D40" i="12" s="1"/>
  <c r="D42" i="12" s="1"/>
  <c r="D44" i="12" s="1"/>
  <c r="D46" i="12" s="1"/>
  <c r="D48" i="12" s="1"/>
  <c r="D50" i="12" s="1"/>
  <c r="D52" i="12" s="1"/>
  <c r="D54" i="12" s="1"/>
  <c r="D56" i="12" s="1"/>
  <c r="D58" i="12" s="1"/>
  <c r="D60" i="12" s="1"/>
  <c r="D62" i="12" s="1"/>
  <c r="D64" i="12" s="1"/>
  <c r="D66" i="12" s="1"/>
  <c r="D68" i="12" s="1"/>
  <c r="D70" i="12" s="1"/>
  <c r="D72" i="12" s="1"/>
  <c r="D74" i="12" s="1"/>
  <c r="M30" i="11"/>
  <c r="L30" i="11"/>
  <c r="J30" i="11"/>
  <c r="Q30" i="11"/>
  <c r="P30" i="11"/>
  <c r="N30" i="11"/>
  <c r="H44" i="11"/>
  <c r="M44" i="11" s="1"/>
  <c r="G44" i="11"/>
  <c r="L44" i="11" s="1"/>
  <c r="D155" i="11"/>
  <c r="D154" i="11"/>
  <c r="D153" i="11"/>
  <c r="E152" i="11"/>
  <c r="E153" i="11" s="1"/>
  <c r="E154" i="11" s="1"/>
  <c r="E155" i="11" s="1"/>
  <c r="D152" i="11"/>
  <c r="D151" i="11"/>
  <c r="D150" i="11"/>
  <c r="D149" i="11"/>
  <c r="D148" i="11"/>
  <c r="D147" i="11"/>
  <c r="D146" i="11"/>
  <c r="D145" i="11"/>
  <c r="D144" i="11"/>
  <c r="E137" i="11"/>
  <c r="E138" i="11" s="1"/>
  <c r="E139" i="11" s="1"/>
  <c r="E140" i="11" s="1"/>
  <c r="E144" i="11" s="1"/>
  <c r="E145" i="11" s="1"/>
  <c r="E146" i="11" s="1"/>
  <c r="E147" i="11" s="1"/>
  <c r="E148" i="11" s="1"/>
  <c r="E149" i="11" s="1"/>
  <c r="E150" i="11" s="1"/>
  <c r="E130" i="11"/>
  <c r="E131" i="11" s="1"/>
  <c r="E132" i="11" s="1"/>
  <c r="E133" i="11" s="1"/>
  <c r="E134" i="11" s="1"/>
  <c r="E135" i="11" s="1"/>
  <c r="G123" i="11"/>
  <c r="D120" i="11"/>
  <c r="A120" i="11"/>
  <c r="D66" i="11"/>
  <c r="D65" i="11"/>
  <c r="D97" i="11"/>
  <c r="D60" i="11"/>
  <c r="C60" i="11"/>
  <c r="A60" i="11"/>
  <c r="D55" i="11"/>
  <c r="B55" i="11"/>
  <c r="A55" i="11"/>
  <c r="D52" i="11"/>
  <c r="B52" i="11"/>
  <c r="D49" i="11"/>
  <c r="E44" i="11"/>
  <c r="J32" i="11"/>
  <c r="N32" i="11" s="1"/>
  <c r="D27" i="11"/>
  <c r="D24" i="11"/>
  <c r="C24" i="11"/>
  <c r="C27" i="11" s="1"/>
  <c r="C49" i="11" s="1"/>
  <c r="C52" i="11" s="1"/>
  <c r="B24" i="11"/>
  <c r="B27" i="11" s="1"/>
  <c r="B49" i="11"/>
  <c r="A24" i="11"/>
  <c r="B21" i="11"/>
  <c r="B20" i="11"/>
  <c r="C18" i="11"/>
  <c r="B15" i="11"/>
  <c r="C10" i="11"/>
  <c r="C11" i="11" s="1"/>
  <c r="C12" i="11" s="1"/>
  <c r="C13" i="11" s="1"/>
  <c r="C55" i="11" s="1"/>
  <c r="B10" i="11"/>
  <c r="J33" i="11"/>
  <c r="N33" i="11" s="1"/>
  <c r="Q32" i="11"/>
  <c r="K33" i="11"/>
  <c r="O33" i="11" s="1"/>
  <c r="K103" i="11"/>
  <c r="O103" i="11" s="1"/>
  <c r="K78" i="11"/>
  <c r="O78" i="11" s="1"/>
  <c r="M34" i="11"/>
  <c r="Q34" i="11" s="1"/>
  <c r="L34" i="11"/>
  <c r="P34" i="11" s="1"/>
  <c r="J34" i="11"/>
  <c r="N34" i="11" s="1"/>
  <c r="L33" i="11"/>
  <c r="P33" i="11" s="1"/>
  <c r="M33" i="11"/>
  <c r="Q33" i="11" s="1"/>
  <c r="G145" i="11"/>
  <c r="G146" i="11" s="1"/>
  <c r="G147" i="11" s="1"/>
  <c r="G148" i="11" s="1"/>
  <c r="G149" i="11" s="1"/>
  <c r="G150" i="11" s="1"/>
  <c r="G151" i="11" s="1"/>
  <c r="G152" i="11" s="1"/>
  <c r="G153" i="11" s="1"/>
  <c r="G154" i="11" s="1"/>
  <c r="G155" i="11" s="1"/>
  <c r="A1" i="10"/>
  <c r="B14" i="10"/>
  <c r="C14" i="10"/>
  <c r="C18" i="10"/>
  <c r="G1" i="6"/>
  <c r="C7" i="6"/>
  <c r="E24" i="1"/>
  <c r="E7" i="6" s="1"/>
  <c r="F7" i="6"/>
  <c r="I7" i="6"/>
  <c r="A8" i="6"/>
  <c r="C8" i="6"/>
  <c r="E25" i="1"/>
  <c r="E8" i="6" s="1"/>
  <c r="F8" i="6"/>
  <c r="I8" i="6"/>
  <c r="C9" i="6"/>
  <c r="E26" i="1"/>
  <c r="E9" i="6" s="1"/>
  <c r="F9" i="6"/>
  <c r="I9" i="6"/>
  <c r="C11" i="6"/>
  <c r="E46" i="1"/>
  <c r="E41" i="6" s="1"/>
  <c r="F11" i="6"/>
  <c r="I11" i="6"/>
  <c r="C13" i="6"/>
  <c r="E75" i="1"/>
  <c r="E13" i="6" s="1"/>
  <c r="F13" i="6"/>
  <c r="I13" i="6"/>
  <c r="C15" i="6"/>
  <c r="E91" i="1"/>
  <c r="E15" i="6" s="1"/>
  <c r="F15" i="6"/>
  <c r="C17" i="6"/>
  <c r="E119" i="1"/>
  <c r="E17" i="6" s="1"/>
  <c r="F17" i="6"/>
  <c r="C18" i="6"/>
  <c r="E123" i="1"/>
  <c r="E18" i="6" s="1"/>
  <c r="F18" i="6"/>
  <c r="C20" i="6"/>
  <c r="E156" i="1"/>
  <c r="E20" i="6" s="1"/>
  <c r="F20" i="6"/>
  <c r="C21" i="6"/>
  <c r="E161" i="1"/>
  <c r="E21" i="6" s="1"/>
  <c r="F21" i="6"/>
  <c r="C22" i="6"/>
  <c r="E162" i="1"/>
  <c r="E22" i="6" s="1"/>
  <c r="F22" i="6"/>
  <c r="H22" i="6"/>
  <c r="H162" i="1" s="1"/>
  <c r="C27" i="6"/>
  <c r="E51" i="1"/>
  <c r="E27" i="6" s="1"/>
  <c r="F27" i="6"/>
  <c r="I27" i="6"/>
  <c r="G36" i="6"/>
  <c r="A38" i="6"/>
  <c r="C38" i="6"/>
  <c r="E19" i="1"/>
  <c r="E38" i="6" s="1"/>
  <c r="A40" i="6"/>
  <c r="C40" i="6"/>
  <c r="E40" i="1"/>
  <c r="E40" i="6" s="1"/>
  <c r="F40" i="6"/>
  <c r="A41" i="6"/>
  <c r="C41" i="6"/>
  <c r="F41" i="6"/>
  <c r="A43" i="6"/>
  <c r="C43" i="6"/>
  <c r="E57" i="1"/>
  <c r="E43" i="6" s="1"/>
  <c r="F43" i="6"/>
  <c r="G47" i="6"/>
  <c r="A49" i="6"/>
  <c r="C49" i="6"/>
  <c r="E130" i="1"/>
  <c r="E49" i="6" s="1"/>
  <c r="F49" i="6"/>
  <c r="A55" i="6"/>
  <c r="C55" i="6"/>
  <c r="E127" i="1"/>
  <c r="E55" i="6" s="1"/>
  <c r="F55" i="6"/>
  <c r="C57" i="6"/>
  <c r="E136" i="1"/>
  <c r="E57" i="6" s="1"/>
  <c r="F57" i="6"/>
  <c r="C63" i="6"/>
  <c r="E141" i="1"/>
  <c r="E63" i="6" s="1"/>
  <c r="F63" i="6"/>
  <c r="I63" i="6"/>
  <c r="C70" i="6"/>
  <c r="E221" i="1"/>
  <c r="E70" i="6" s="1"/>
  <c r="C76" i="6"/>
  <c r="E137" i="1"/>
  <c r="E76" i="6" s="1"/>
  <c r="F76" i="6"/>
  <c r="G76" i="6"/>
  <c r="I76" i="6" s="1"/>
  <c r="J76" i="6"/>
  <c r="C82" i="6"/>
  <c r="G80" i="6" s="1"/>
  <c r="E255" i="1"/>
  <c r="E82" i="6" s="1"/>
  <c r="F82" i="6"/>
  <c r="G88" i="6"/>
  <c r="D92" i="6"/>
  <c r="C99" i="6"/>
  <c r="G97" i="6" s="1"/>
  <c r="E103" i="1"/>
  <c r="E99" i="6" s="1"/>
  <c r="F99" i="6"/>
  <c r="C104" i="6"/>
  <c r="F104" i="1"/>
  <c r="F104" i="6" s="1"/>
  <c r="A113" i="6"/>
  <c r="I114" i="6"/>
  <c r="G118" i="6"/>
  <c r="A123" i="6"/>
  <c r="D125" i="6"/>
  <c r="B132" i="6"/>
  <c r="C132" i="6"/>
  <c r="A138" i="6"/>
  <c r="C138" i="6"/>
  <c r="F138" i="6"/>
  <c r="C139" i="6"/>
  <c r="F139" i="6"/>
  <c r="I139" i="6"/>
  <c r="C145" i="6"/>
  <c r="G143" i="6" s="1"/>
  <c r="B144" i="6"/>
  <c r="E263" i="1"/>
  <c r="E145" i="6" s="1"/>
  <c r="F145" i="6"/>
  <c r="A152" i="6"/>
  <c r="B154" i="6"/>
  <c r="C155" i="6"/>
  <c r="F155" i="6"/>
  <c r="C161" i="6"/>
  <c r="G159" i="6" s="1"/>
  <c r="E291" i="1"/>
  <c r="E161" i="6" s="1"/>
  <c r="F161" i="6"/>
  <c r="A1" i="5"/>
  <c r="E11" i="5"/>
  <c r="A16" i="5"/>
  <c r="C16" i="5"/>
  <c r="B18" i="5"/>
  <c r="A19" i="5"/>
  <c r="C19" i="5"/>
  <c r="G19" i="5"/>
  <c r="I19" i="5"/>
  <c r="A20" i="5"/>
  <c r="C20" i="5"/>
  <c r="G20" i="5"/>
  <c r="C21" i="5"/>
  <c r="G21" i="5"/>
  <c r="B23" i="5"/>
  <c r="F23" i="5"/>
  <c r="G23" i="5"/>
  <c r="I23" i="5"/>
  <c r="B25" i="5"/>
  <c r="A26" i="5"/>
  <c r="C26" i="5"/>
  <c r="G26" i="5"/>
  <c r="I26" i="5"/>
  <c r="A27" i="5"/>
  <c r="C27" i="5"/>
  <c r="F27" i="5"/>
  <c r="I27" i="5"/>
  <c r="A28" i="5"/>
  <c r="C28" i="5"/>
  <c r="F28" i="5"/>
  <c r="G28" i="5"/>
  <c r="C29" i="5"/>
  <c r="F189" i="1"/>
  <c r="G29" i="5" s="1"/>
  <c r="B31" i="5"/>
  <c r="C32" i="5"/>
  <c r="G32" i="5"/>
  <c r="I32" i="5"/>
  <c r="C33" i="5"/>
  <c r="E193" i="1"/>
  <c r="F33" i="5" s="1"/>
  <c r="F35" i="5" s="1"/>
  <c r="G33" i="5"/>
  <c r="I33" i="5"/>
  <c r="C34" i="5"/>
  <c r="F34" i="5"/>
  <c r="G34" i="5"/>
  <c r="I34" i="5"/>
  <c r="I35" i="5"/>
  <c r="C36" i="5"/>
  <c r="F36" i="5"/>
  <c r="F196" i="1"/>
  <c r="G36" i="5" s="1"/>
  <c r="A37" i="5"/>
  <c r="C37" i="5"/>
  <c r="A38" i="5"/>
  <c r="C38" i="5"/>
  <c r="G38" i="5"/>
  <c r="C39" i="5"/>
  <c r="F199" i="1"/>
  <c r="G39" i="5" s="1"/>
  <c r="C40" i="5"/>
  <c r="F200" i="1"/>
  <c r="G40" i="5" s="1"/>
  <c r="A42" i="5"/>
  <c r="C42" i="5"/>
  <c r="E42" i="5"/>
  <c r="F202" i="1"/>
  <c r="G42" i="5" s="1"/>
  <c r="A43" i="5"/>
  <c r="C43" i="5"/>
  <c r="E43" i="5"/>
  <c r="F203" i="1"/>
  <c r="G43" i="5" s="1"/>
  <c r="A44" i="5"/>
  <c r="C44" i="5"/>
  <c r="E44" i="5"/>
  <c r="F204" i="1"/>
  <c r="G44" i="5" s="1"/>
  <c r="A46" i="5"/>
  <c r="C46" i="5"/>
  <c r="E46" i="5"/>
  <c r="F206" i="1"/>
  <c r="G46" i="5" s="1"/>
  <c r="A47" i="5"/>
  <c r="C47" i="5"/>
  <c r="E47" i="5"/>
  <c r="F207" i="1"/>
  <c r="G47" i="5" s="1"/>
  <c r="A48" i="5"/>
  <c r="C48" i="5"/>
  <c r="E48" i="5"/>
  <c r="A50" i="5"/>
  <c r="C50" i="5"/>
  <c r="E50" i="5"/>
  <c r="A51" i="5"/>
  <c r="C51" i="5"/>
  <c r="E51" i="5"/>
  <c r="A52" i="5"/>
  <c r="C52" i="5"/>
  <c r="E52" i="5"/>
  <c r="A53" i="5"/>
  <c r="B53" i="5"/>
  <c r="B55" i="5"/>
  <c r="F215" i="1"/>
  <c r="G55" i="5" s="1"/>
  <c r="A57" i="5"/>
  <c r="B59" i="5"/>
  <c r="A60" i="5"/>
  <c r="C60" i="5"/>
  <c r="I60" i="5"/>
  <c r="C61" i="5"/>
  <c r="A62" i="5"/>
  <c r="C62" i="5"/>
  <c r="E62" i="5"/>
  <c r="G62" i="5"/>
  <c r="I62" i="5"/>
  <c r="C63" i="5"/>
  <c r="E63" i="5"/>
  <c r="A64" i="5"/>
  <c r="C64" i="5"/>
  <c r="B66" i="5"/>
  <c r="A67" i="5"/>
  <c r="C67" i="5"/>
  <c r="F67" i="5"/>
  <c r="G67" i="5"/>
  <c r="A68" i="5"/>
  <c r="C68" i="5"/>
  <c r="C69" i="5"/>
  <c r="F229" i="1"/>
  <c r="G69" i="5" s="1"/>
  <c r="C70" i="5"/>
  <c r="F230" i="1"/>
  <c r="G70" i="5" s="1"/>
  <c r="A74" i="5"/>
  <c r="B74" i="5"/>
  <c r="F74" i="5"/>
  <c r="A76" i="5"/>
  <c r="B76" i="5"/>
  <c r="A1" i="4"/>
  <c r="A12" i="4"/>
  <c r="A13" i="4" s="1"/>
  <c r="A14" i="4" s="1"/>
  <c r="A15" i="4" s="1"/>
  <c r="A16" i="4" s="1"/>
  <c r="A17" i="4" s="1"/>
  <c r="A18" i="4" s="1"/>
  <c r="A19" i="4" s="1"/>
  <c r="A21" i="4" s="1"/>
  <c r="B44" i="3"/>
  <c r="B45" i="3" s="1"/>
  <c r="B46" i="3" s="1"/>
  <c r="B47" i="3" s="1"/>
  <c r="B48" i="3" s="1"/>
  <c r="B49" i="3" s="1"/>
  <c r="B51" i="3" s="1"/>
  <c r="B53" i="3" s="1"/>
  <c r="B55" i="3" s="1"/>
  <c r="A12" i="1"/>
  <c r="A13" i="1" s="1"/>
  <c r="F20" i="1"/>
  <c r="F21" i="1"/>
  <c r="F31" i="1"/>
  <c r="F32" i="1"/>
  <c r="F43" i="1"/>
  <c r="F47" i="1"/>
  <c r="F48" i="1"/>
  <c r="F53" i="1"/>
  <c r="C60" i="1"/>
  <c r="C61" i="1"/>
  <c r="F61" i="1"/>
  <c r="F62" i="1"/>
  <c r="C64" i="1"/>
  <c r="F64" i="1"/>
  <c r="F65" i="1"/>
  <c r="F76" i="1"/>
  <c r="F77" i="1"/>
  <c r="E87" i="1"/>
  <c r="F92" i="1"/>
  <c r="F93" i="1"/>
  <c r="F100" i="1"/>
  <c r="F105" i="1"/>
  <c r="E118" i="1"/>
  <c r="F131" i="1"/>
  <c r="F132" i="1"/>
  <c r="F142" i="1"/>
  <c r="F143" i="1"/>
  <c r="F157" i="1"/>
  <c r="F158" i="1"/>
  <c r="F164" i="1"/>
  <c r="F165" i="1"/>
  <c r="E180" i="1"/>
  <c r="D196" i="1"/>
  <c r="E208" i="1"/>
  <c r="E226" i="1"/>
  <c r="F234" i="1"/>
  <c r="F243" i="1"/>
  <c r="F245" i="1"/>
  <c r="F248" i="1"/>
  <c r="F249" i="1"/>
  <c r="C254" i="1"/>
  <c r="F254" i="1"/>
  <c r="F256" i="1"/>
  <c r="F259" i="1"/>
  <c r="F265" i="1"/>
  <c r="C268" i="1"/>
  <c r="F269" i="1"/>
  <c r="F270" i="1"/>
  <c r="F276" i="1"/>
  <c r="C279" i="1"/>
  <c r="C320" i="1"/>
  <c r="C321" i="1"/>
  <c r="BC40" i="12"/>
  <c r="BB41" i="12"/>
  <c r="BB39" i="12"/>
  <c r="BC38" i="12"/>
  <c r="BB37" i="12"/>
  <c r="BC36" i="12"/>
  <c r="L78" i="11" l="1"/>
  <c r="P78" i="11" s="1"/>
  <c r="M78" i="11"/>
  <c r="Q78" i="11" s="1"/>
  <c r="I79" i="11"/>
  <c r="E195" i="1"/>
  <c r="I28" i="5"/>
  <c r="I36" i="5"/>
  <c r="I20" i="5"/>
  <c r="I61" i="5"/>
  <c r="E41" i="3"/>
  <c r="F283" i="1"/>
  <c r="F272" i="1"/>
  <c r="F268" i="1"/>
  <c r="F258" i="1"/>
  <c r="F247" i="1"/>
  <c r="F242" i="1"/>
  <c r="F174" i="1"/>
  <c r="F163" i="1"/>
  <c r="F146" i="1"/>
  <c r="F138" i="1"/>
  <c r="F120" i="1"/>
  <c r="F98" i="1"/>
  <c r="F88" i="1"/>
  <c r="F69" i="1"/>
  <c r="F49" i="1"/>
  <c r="F35" i="1"/>
  <c r="F29" i="1"/>
  <c r="A69" i="5"/>
  <c r="A61" i="5"/>
  <c r="A55" i="5"/>
  <c r="F212" i="1"/>
  <c r="G52" i="5" s="1"/>
  <c r="F211" i="1"/>
  <c r="G51" i="5" s="1"/>
  <c r="F210" i="1"/>
  <c r="G50" i="5" s="1"/>
  <c r="A39" i="5"/>
  <c r="F197" i="1"/>
  <c r="G37" i="5" s="1"/>
  <c r="A34" i="5"/>
  <c r="A35" i="5" s="1"/>
  <c r="A36" i="5" s="1"/>
  <c r="F187" i="1"/>
  <c r="G27" i="5" s="1"/>
  <c r="A21" i="5"/>
  <c r="A139" i="6"/>
  <c r="A99" i="6"/>
  <c r="A76" i="6"/>
  <c r="A27" i="6"/>
  <c r="A11" i="6"/>
  <c r="A63" i="6"/>
  <c r="C322" i="1"/>
  <c r="F279" i="1"/>
  <c r="F271" i="1"/>
  <c r="F257" i="1"/>
  <c r="F251" i="1"/>
  <c r="F246" i="1"/>
  <c r="F241" i="1"/>
  <c r="F168" i="1"/>
  <c r="F159" i="1"/>
  <c r="F144" i="1"/>
  <c r="F133" i="1"/>
  <c r="F95" i="1"/>
  <c r="F67" i="1"/>
  <c r="F63" i="1"/>
  <c r="F60" i="1"/>
  <c r="F34" i="1"/>
  <c r="F27" i="1"/>
  <c r="F236" i="1"/>
  <c r="G76" i="5" s="1"/>
  <c r="A70" i="5"/>
  <c r="F228" i="1"/>
  <c r="G68" i="5" s="1"/>
  <c r="A63" i="5"/>
  <c r="F213" i="1"/>
  <c r="G53" i="5" s="1"/>
  <c r="A40" i="5"/>
  <c r="A33" i="5"/>
  <c r="A32" i="5"/>
  <c r="A29" i="5"/>
  <c r="A23" i="5"/>
  <c r="F109" i="1"/>
  <c r="G16" i="5" s="1"/>
  <c r="A104" i="6"/>
  <c r="A9" i="6"/>
  <c r="AD68" i="12"/>
  <c r="AD69" i="12" s="1"/>
  <c r="AD60" i="12"/>
  <c r="AD61" i="12" s="1"/>
  <c r="AD52" i="12"/>
  <c r="AD53" i="12" s="1"/>
  <c r="AD72" i="12"/>
  <c r="AD73" i="12" s="1"/>
  <c r="AD56" i="12"/>
  <c r="AD57" i="12" s="1"/>
  <c r="AD62" i="12"/>
  <c r="AD63" i="12" s="1"/>
  <c r="AD74" i="12"/>
  <c r="AD75" i="12" s="1"/>
  <c r="AD66" i="12"/>
  <c r="AD67" i="12" s="1"/>
  <c r="AD58" i="12"/>
  <c r="AD59" i="12" s="1"/>
  <c r="AD64" i="12"/>
  <c r="AD65" i="12" s="1"/>
  <c r="AD70" i="12"/>
  <c r="AD71" i="12" s="1"/>
  <c r="AD54" i="12"/>
  <c r="AD55" i="12" s="1"/>
  <c r="R70" i="12"/>
  <c r="R71" i="12" s="1"/>
  <c r="R62" i="12"/>
  <c r="R63" i="12" s="1"/>
  <c r="R54" i="12"/>
  <c r="R55" i="12" s="1"/>
  <c r="R74" i="12"/>
  <c r="R75" i="12" s="1"/>
  <c r="R58" i="12"/>
  <c r="R59" i="12" s="1"/>
  <c r="R72" i="12"/>
  <c r="R73" i="12" s="1"/>
  <c r="R56" i="12"/>
  <c r="R57" i="12" s="1"/>
  <c r="R68" i="12"/>
  <c r="R69" i="12" s="1"/>
  <c r="R60" i="12"/>
  <c r="R61" i="12" s="1"/>
  <c r="R52" i="12"/>
  <c r="R53" i="12" s="1"/>
  <c r="R66" i="12"/>
  <c r="R67" i="12" s="1"/>
  <c r="R64" i="12"/>
  <c r="R65" i="12" s="1"/>
  <c r="N74" i="12"/>
  <c r="N75" i="12" s="1"/>
  <c r="N66" i="12"/>
  <c r="N67" i="12" s="1"/>
  <c r="N58" i="12"/>
  <c r="N59" i="12" s="1"/>
  <c r="N62" i="12"/>
  <c r="N63" i="12" s="1"/>
  <c r="N60" i="12"/>
  <c r="N61" i="12" s="1"/>
  <c r="N72" i="12"/>
  <c r="N73" i="12" s="1"/>
  <c r="N64" i="12"/>
  <c r="N65" i="12" s="1"/>
  <c r="N56" i="12"/>
  <c r="N57" i="12" s="1"/>
  <c r="N70" i="12"/>
  <c r="N71" i="12" s="1"/>
  <c r="N54" i="12"/>
  <c r="N55" i="12" s="1"/>
  <c r="N68" i="12"/>
  <c r="N69" i="12" s="1"/>
  <c r="N52" i="12"/>
  <c r="N53" i="12" s="1"/>
  <c r="Z72" i="12"/>
  <c r="Z73" i="12" s="1"/>
  <c r="Z64" i="12"/>
  <c r="Z65" i="12" s="1"/>
  <c r="Z56" i="12"/>
  <c r="Z57" i="12" s="1"/>
  <c r="Z60" i="12"/>
  <c r="Z61" i="12" s="1"/>
  <c r="Z66" i="12"/>
  <c r="Z67" i="12" s="1"/>
  <c r="Z70" i="12"/>
  <c r="Z71" i="12" s="1"/>
  <c r="Z62" i="12"/>
  <c r="Z63" i="12" s="1"/>
  <c r="Z54" i="12"/>
  <c r="Z55" i="12" s="1"/>
  <c r="Z68" i="12"/>
  <c r="Z69" i="12" s="1"/>
  <c r="Z52" i="12"/>
  <c r="Z53" i="12" s="1"/>
  <c r="Z74" i="12"/>
  <c r="Z75" i="12" s="1"/>
  <c r="Z58" i="12"/>
  <c r="Z59" i="12" s="1"/>
  <c r="V74" i="12"/>
  <c r="V75" i="12" s="1"/>
  <c r="V66" i="12"/>
  <c r="V67" i="12" s="1"/>
  <c r="V60" i="12"/>
  <c r="V61" i="12" s="1"/>
  <c r="V52" i="12"/>
  <c r="V53" i="12" s="1"/>
  <c r="V70" i="12"/>
  <c r="V71" i="12" s="1"/>
  <c r="V56" i="12"/>
  <c r="V57" i="12" s="1"/>
  <c r="V68" i="12"/>
  <c r="V69" i="12" s="1"/>
  <c r="V54" i="12"/>
  <c r="V55" i="12" s="1"/>
  <c r="V72" i="12"/>
  <c r="V73" i="12" s="1"/>
  <c r="V64" i="12"/>
  <c r="V65" i="12" s="1"/>
  <c r="V58" i="12"/>
  <c r="V59" i="12" s="1"/>
  <c r="V62" i="12"/>
  <c r="V63" i="12" s="1"/>
  <c r="I66" i="12"/>
  <c r="G114" i="11"/>
  <c r="E51" i="3"/>
  <c r="E55" i="3" s="1"/>
  <c r="H123" i="11"/>
  <c r="F129" i="11" s="1"/>
  <c r="A145" i="6"/>
  <c r="E104" i="1"/>
  <c r="E104" i="6" s="1"/>
  <c r="A82" i="6"/>
  <c r="A70" i="6"/>
  <c r="A13" i="6"/>
  <c r="A7" i="6"/>
  <c r="F107" i="1"/>
  <c r="H223" i="1"/>
  <c r="H163" i="1"/>
  <c r="A22" i="6"/>
  <c r="A21" i="6"/>
  <c r="A20" i="6"/>
  <c r="A18" i="6"/>
  <c r="A17" i="6"/>
  <c r="A14" i="10"/>
  <c r="H189" i="1"/>
  <c r="A57" i="6"/>
  <c r="A15" i="6"/>
  <c r="A18" i="10"/>
  <c r="L89" i="11"/>
  <c r="D35" i="4"/>
  <c r="D36" i="4" s="1"/>
  <c r="D38" i="4" s="1"/>
  <c r="D39" i="4" s="1"/>
  <c r="D22" i="4" s="1"/>
  <c r="I21" i="5"/>
  <c r="H142" i="1"/>
  <c r="H256" i="1"/>
  <c r="H279" i="1"/>
  <c r="H63" i="1"/>
  <c r="H21" i="1"/>
  <c r="H16" i="1"/>
  <c r="I104" i="11"/>
  <c r="L104" i="11" s="1"/>
  <c r="P104" i="11" s="1"/>
  <c r="E11" i="6"/>
  <c r="M103" i="11"/>
  <c r="Q103" i="11" s="1"/>
  <c r="D21" i="4"/>
  <c r="I15" i="6"/>
  <c r="H105" i="1"/>
  <c r="H138" i="1"/>
  <c r="J103" i="11"/>
  <c r="N103" i="11" s="1"/>
  <c r="A14" i="1"/>
  <c r="F16" i="1" s="1"/>
  <c r="F14" i="1"/>
  <c r="B60" i="11"/>
  <c r="B18" i="11"/>
  <c r="D12" i="12"/>
  <c r="A272" i="1"/>
  <c r="I35" i="11"/>
  <c r="K34" i="11"/>
  <c r="C97" i="11"/>
  <c r="C16" i="11"/>
  <c r="H132" i="11"/>
  <c r="J104" i="11"/>
  <c r="I105" i="11"/>
  <c r="H197" i="1"/>
  <c r="I80" i="11" l="1"/>
  <c r="L79" i="11"/>
  <c r="P79" i="11" s="1"/>
  <c r="J79" i="11"/>
  <c r="N79" i="11" s="1"/>
  <c r="K79" i="11"/>
  <c r="O79" i="11" s="1"/>
  <c r="M79" i="11"/>
  <c r="Q79" i="11" s="1"/>
  <c r="I29" i="5"/>
  <c r="H29" i="1"/>
  <c r="K66" i="12"/>
  <c r="I67" i="12"/>
  <c r="K67" i="12" s="1"/>
  <c r="H64" i="1"/>
  <c r="F130" i="11"/>
  <c r="F131" i="11" s="1"/>
  <c r="I129" i="11"/>
  <c r="J129" i="11" s="1"/>
  <c r="H199" i="1"/>
  <c r="H224" i="1"/>
  <c r="I63" i="5"/>
  <c r="L102" i="11"/>
  <c r="P102" i="11" s="1"/>
  <c r="E32" i="12"/>
  <c r="L114" i="11"/>
  <c r="H257" i="1"/>
  <c r="H132" i="1"/>
  <c r="H92" i="1"/>
  <c r="F31" i="3"/>
  <c r="G31" i="3" s="1"/>
  <c r="H164" i="1"/>
  <c r="D132" i="6"/>
  <c r="D134" i="6" s="1"/>
  <c r="E125" i="6" s="1"/>
  <c r="E127" i="6" s="1"/>
  <c r="F127" i="6" s="1"/>
  <c r="H115" i="6"/>
  <c r="I115" i="6" s="1"/>
  <c r="H48" i="1"/>
  <c r="H158" i="1"/>
  <c r="D23" i="4"/>
  <c r="H262" i="1" s="1"/>
  <c r="D44" i="4"/>
  <c r="M104" i="11"/>
  <c r="Q104" i="11" s="1"/>
  <c r="K104" i="11"/>
  <c r="O104" i="11" s="1"/>
  <c r="I36" i="11"/>
  <c r="J35" i="11"/>
  <c r="L35" i="11"/>
  <c r="P35" i="11" s="1"/>
  <c r="M35" i="11"/>
  <c r="Q35" i="11" s="1"/>
  <c r="K35" i="11"/>
  <c r="O35" i="11" s="1"/>
  <c r="J105" i="11"/>
  <c r="N105" i="11" s="1"/>
  <c r="M105" i="11"/>
  <c r="Q105" i="11" s="1"/>
  <c r="I106" i="11"/>
  <c r="L105" i="11"/>
  <c r="P105" i="11" s="1"/>
  <c r="K105" i="11"/>
  <c r="N104" i="11"/>
  <c r="H133" i="11"/>
  <c r="D18" i="12"/>
  <c r="A276" i="1"/>
  <c r="I37" i="5"/>
  <c r="I46" i="5" s="1"/>
  <c r="H206" i="1"/>
  <c r="C19" i="11"/>
  <c r="C65" i="11"/>
  <c r="O34" i="11"/>
  <c r="B16" i="11"/>
  <c r="B97" i="11"/>
  <c r="L80" i="11" l="1"/>
  <c r="P80" i="11" s="1"/>
  <c r="K80" i="11"/>
  <c r="O80" i="11" s="1"/>
  <c r="M80" i="11"/>
  <c r="Q80" i="11" s="1"/>
  <c r="I81" i="11"/>
  <c r="J80" i="11"/>
  <c r="N80" i="11" s="1"/>
  <c r="H93" i="1"/>
  <c r="H95" i="1" s="1"/>
  <c r="H133" i="1"/>
  <c r="H65" i="1"/>
  <c r="H67" i="1" s="1"/>
  <c r="I39" i="5"/>
  <c r="H165" i="1"/>
  <c r="Y52" i="12"/>
  <c r="AC52" i="12"/>
  <c r="M52" i="12"/>
  <c r="U52" i="12"/>
  <c r="Q52" i="12"/>
  <c r="I68" i="12"/>
  <c r="F74" i="12"/>
  <c r="F75" i="12" s="1"/>
  <c r="F66" i="12"/>
  <c r="F67" i="12" s="1"/>
  <c r="F58" i="12"/>
  <c r="F59" i="12" s="1"/>
  <c r="F72" i="12"/>
  <c r="F73" i="12" s="1"/>
  <c r="F64" i="12"/>
  <c r="F65" i="12" s="1"/>
  <c r="F56" i="12"/>
  <c r="F57" i="12" s="1"/>
  <c r="F70" i="12"/>
  <c r="F71" i="12" s="1"/>
  <c r="F62" i="12"/>
  <c r="F63" i="12" s="1"/>
  <c r="F54" i="12"/>
  <c r="F55" i="12" s="1"/>
  <c r="F68" i="12"/>
  <c r="F69" i="12" s="1"/>
  <c r="F60" i="12"/>
  <c r="F61" i="12" s="1"/>
  <c r="F52" i="12"/>
  <c r="F53" i="12" s="1"/>
  <c r="I130" i="11"/>
  <c r="J130" i="11" s="1"/>
  <c r="H200" i="1"/>
  <c r="E128" i="6"/>
  <c r="E129" i="6" s="1"/>
  <c r="F129" i="6" s="1"/>
  <c r="H87" i="1" s="1"/>
  <c r="F125" i="6"/>
  <c r="H228" i="1"/>
  <c r="I64" i="5"/>
  <c r="H49" i="1"/>
  <c r="H159" i="1"/>
  <c r="B19" i="11"/>
  <c r="B65" i="11"/>
  <c r="C120" i="11"/>
  <c r="C20" i="11"/>
  <c r="F132" i="11"/>
  <c r="I131" i="11"/>
  <c r="J131" i="11" s="1"/>
  <c r="H134" i="11"/>
  <c r="O105" i="11"/>
  <c r="I37" i="11"/>
  <c r="K36" i="11"/>
  <c r="J36" i="11"/>
  <c r="N36" i="11" s="1"/>
  <c r="M36" i="11"/>
  <c r="Q36" i="11" s="1"/>
  <c r="L36" i="11"/>
  <c r="P36" i="11" s="1"/>
  <c r="A277" i="1"/>
  <c r="F278" i="1" s="1"/>
  <c r="M106" i="11"/>
  <c r="Q106" i="11" s="1"/>
  <c r="L106" i="11"/>
  <c r="P106" i="11" s="1"/>
  <c r="J106" i="11"/>
  <c r="I107" i="11"/>
  <c r="K106" i="11"/>
  <c r="O106" i="11" s="1"/>
  <c r="N35" i="11"/>
  <c r="B120" i="11" l="1"/>
  <c r="I82" i="11"/>
  <c r="K81" i="11"/>
  <c r="O81" i="11" s="1"/>
  <c r="M81" i="11"/>
  <c r="Q81" i="11" s="1"/>
  <c r="L81" i="11"/>
  <c r="P81" i="11" s="1"/>
  <c r="J81" i="11"/>
  <c r="N81" i="11" s="1"/>
  <c r="H168" i="1"/>
  <c r="H246" i="1" s="1"/>
  <c r="H204" i="1"/>
  <c r="M53" i="12"/>
  <c r="O53" i="12" s="1"/>
  <c r="M54" i="12" s="1"/>
  <c r="O52" i="12"/>
  <c r="S52" i="12"/>
  <c r="Q53" i="12"/>
  <c r="S53" i="12" s="1"/>
  <c r="Q54" i="12" s="1"/>
  <c r="AA52" i="12"/>
  <c r="Y53" i="12"/>
  <c r="AA53" i="12" s="1"/>
  <c r="Y54" i="12" s="1"/>
  <c r="W52" i="12"/>
  <c r="U53" i="12"/>
  <c r="W53" i="12" s="1"/>
  <c r="U54" i="12" s="1"/>
  <c r="AC53" i="12"/>
  <c r="AE53" i="12" s="1"/>
  <c r="AC54" i="12" s="1"/>
  <c r="AE52" i="12"/>
  <c r="K68" i="12"/>
  <c r="I69" i="12"/>
  <c r="K69" i="12" s="1"/>
  <c r="F128" i="6"/>
  <c r="I40" i="5"/>
  <c r="I42" i="5" s="1"/>
  <c r="I50" i="5" s="1"/>
  <c r="H202" i="1"/>
  <c r="H203" i="1"/>
  <c r="I68" i="5"/>
  <c r="H88" i="1"/>
  <c r="O36" i="11"/>
  <c r="H135" i="11"/>
  <c r="F133" i="11"/>
  <c r="I132" i="11"/>
  <c r="J132" i="11" s="1"/>
  <c r="C21" i="11"/>
  <c r="A278" i="1"/>
  <c r="I38" i="11"/>
  <c r="L37" i="11"/>
  <c r="P37" i="11" s="1"/>
  <c r="J37" i="11"/>
  <c r="N37" i="11" s="1"/>
  <c r="K37" i="11"/>
  <c r="O37" i="11" s="1"/>
  <c r="M37" i="11"/>
  <c r="Q37" i="11" s="1"/>
  <c r="J107" i="11"/>
  <c r="N107" i="11" s="1"/>
  <c r="I108" i="11"/>
  <c r="M107" i="11"/>
  <c r="Q107" i="11" s="1"/>
  <c r="L107" i="11"/>
  <c r="P107" i="11" s="1"/>
  <c r="K107" i="11"/>
  <c r="O107" i="11" s="1"/>
  <c r="N106" i="11"/>
  <c r="J82" i="11" l="1"/>
  <c r="N82" i="11" s="1"/>
  <c r="L82" i="11"/>
  <c r="P82" i="11" s="1"/>
  <c r="M82" i="11"/>
  <c r="Q82" i="11" s="1"/>
  <c r="I83" i="11"/>
  <c r="K82" i="11"/>
  <c r="O82" i="11" s="1"/>
  <c r="H212" i="1"/>
  <c r="H210" i="1"/>
  <c r="H211" i="1"/>
  <c r="U55" i="12"/>
  <c r="W55" i="12" s="1"/>
  <c r="U56" i="12" s="1"/>
  <c r="W54" i="12"/>
  <c r="AA54" i="12"/>
  <c r="Y55" i="12"/>
  <c r="AA55" i="12" s="1"/>
  <c r="Y56" i="12" s="1"/>
  <c r="S54" i="12"/>
  <c r="Q55" i="12"/>
  <c r="S55" i="12" s="1"/>
  <c r="Q56" i="12" s="1"/>
  <c r="AE54" i="12"/>
  <c r="AC55" i="12"/>
  <c r="AE55" i="12" s="1"/>
  <c r="AC56" i="12" s="1"/>
  <c r="O54" i="12"/>
  <c r="M55" i="12"/>
  <c r="O55" i="12" s="1"/>
  <c r="M56" i="12" s="1"/>
  <c r="I70" i="12"/>
  <c r="I43" i="5"/>
  <c r="I51" i="5" s="1"/>
  <c r="I44" i="5"/>
  <c r="I52" i="5" s="1"/>
  <c r="J108" i="11"/>
  <c r="M108" i="11"/>
  <c r="Q108" i="11" s="1"/>
  <c r="L108" i="11"/>
  <c r="P108" i="11" s="1"/>
  <c r="I109" i="11"/>
  <c r="K108" i="11"/>
  <c r="O108" i="11" s="1"/>
  <c r="I39" i="11"/>
  <c r="L38" i="11"/>
  <c r="P38" i="11" s="1"/>
  <c r="J38" i="11"/>
  <c r="N38" i="11" s="1"/>
  <c r="M38" i="11"/>
  <c r="Q38" i="11" s="1"/>
  <c r="K38" i="11"/>
  <c r="O38" i="11" s="1"/>
  <c r="H136" i="11"/>
  <c r="A279" i="1"/>
  <c r="F280" i="1" s="1"/>
  <c r="F134" i="11"/>
  <c r="I133" i="11"/>
  <c r="J133" i="11" s="1"/>
  <c r="M83" i="11" l="1"/>
  <c r="Q83" i="11" s="1"/>
  <c r="L83" i="11"/>
  <c r="P83" i="11" s="1"/>
  <c r="I84" i="11"/>
  <c r="J83" i="11"/>
  <c r="N83" i="11" s="1"/>
  <c r="K83" i="11"/>
  <c r="O83" i="11" s="1"/>
  <c r="H213" i="1"/>
  <c r="S56" i="12"/>
  <c r="Q57" i="12"/>
  <c r="S57" i="12" s="1"/>
  <c r="Q58" i="12" s="1"/>
  <c r="AA56" i="12"/>
  <c r="Y57" i="12"/>
  <c r="AA57" i="12" s="1"/>
  <c r="Y58" i="12" s="1"/>
  <c r="M57" i="12"/>
  <c r="O57" i="12" s="1"/>
  <c r="M58" i="12" s="1"/>
  <c r="O56" i="12"/>
  <c r="AC57" i="12"/>
  <c r="AE57" i="12" s="1"/>
  <c r="AC58" i="12" s="1"/>
  <c r="AE56" i="12"/>
  <c r="U57" i="12"/>
  <c r="W57" i="12" s="1"/>
  <c r="U58" i="12" s="1"/>
  <c r="W56" i="12"/>
  <c r="K70" i="12"/>
  <c r="I71" i="12"/>
  <c r="K71" i="12" s="1"/>
  <c r="I53" i="5"/>
  <c r="F135" i="11"/>
  <c r="I134" i="11"/>
  <c r="J134" i="11" s="1"/>
  <c r="J109" i="11"/>
  <c r="N109" i="11" s="1"/>
  <c r="M109" i="11"/>
  <c r="Q109" i="11" s="1"/>
  <c r="I110" i="11"/>
  <c r="L109" i="11"/>
  <c r="P109" i="11" s="1"/>
  <c r="K109" i="11"/>
  <c r="O109" i="11" s="1"/>
  <c r="H137" i="11"/>
  <c r="I40" i="11"/>
  <c r="M39" i="11"/>
  <c r="Q39" i="11" s="1"/>
  <c r="J39" i="11"/>
  <c r="K39" i="11"/>
  <c r="L39" i="11"/>
  <c r="P39" i="11" s="1"/>
  <c r="A280" i="1"/>
  <c r="A281" i="1" s="1"/>
  <c r="F281" i="1"/>
  <c r="N108" i="11"/>
  <c r="L84" i="11" l="1"/>
  <c r="P84" i="11" s="1"/>
  <c r="J84" i="11"/>
  <c r="N84" i="11" s="1"/>
  <c r="M84" i="11"/>
  <c r="Q84" i="11" s="1"/>
  <c r="K84" i="11"/>
  <c r="O84" i="11" s="1"/>
  <c r="I85" i="11"/>
  <c r="J139" i="6"/>
  <c r="H116" i="1" s="1"/>
  <c r="AA58" i="12"/>
  <c r="Y59" i="12"/>
  <c r="AA59" i="12" s="1"/>
  <c r="Y60" i="12" s="1"/>
  <c r="S58" i="12"/>
  <c r="Q59" i="12"/>
  <c r="S59" i="12" s="1"/>
  <c r="Q60" i="12" s="1"/>
  <c r="AC59" i="12"/>
  <c r="AE59" i="12" s="1"/>
  <c r="AC60" i="12" s="1"/>
  <c r="AE58" i="12"/>
  <c r="U59" i="12"/>
  <c r="W59" i="12" s="1"/>
  <c r="U60" i="12" s="1"/>
  <c r="W58" i="12"/>
  <c r="M59" i="12"/>
  <c r="O59" i="12" s="1"/>
  <c r="M60" i="12" s="1"/>
  <c r="O58" i="12"/>
  <c r="I72" i="12"/>
  <c r="E52" i="12"/>
  <c r="D13" i="12"/>
  <c r="A283" i="1"/>
  <c r="I41" i="11"/>
  <c r="K40" i="11"/>
  <c r="O40" i="11" s="1"/>
  <c r="L40" i="11"/>
  <c r="P40" i="11" s="1"/>
  <c r="M40" i="11"/>
  <c r="Q40" i="11" s="1"/>
  <c r="J40" i="11"/>
  <c r="N40" i="11" s="1"/>
  <c r="F136" i="11"/>
  <c r="I135" i="11"/>
  <c r="J135" i="11" s="1"/>
  <c r="O39" i="11"/>
  <c r="H138" i="11"/>
  <c r="M110" i="11"/>
  <c r="Q110" i="11" s="1"/>
  <c r="L110" i="11"/>
  <c r="P110" i="11" s="1"/>
  <c r="J110" i="11"/>
  <c r="I111" i="11"/>
  <c r="K110" i="11"/>
  <c r="N39" i="11"/>
  <c r="K85" i="11" l="1"/>
  <c r="O85" i="11" s="1"/>
  <c r="J85" i="11"/>
  <c r="N85" i="11" s="1"/>
  <c r="M85" i="11"/>
  <c r="Q85" i="11" s="1"/>
  <c r="L85" i="11"/>
  <c r="P85" i="11" s="1"/>
  <c r="I86" i="11"/>
  <c r="H120" i="1"/>
  <c r="AE60" i="12"/>
  <c r="AC61" i="12"/>
  <c r="AE61" i="12" s="1"/>
  <c r="AC62" i="12" s="1"/>
  <c r="AA60" i="12"/>
  <c r="Y61" i="12"/>
  <c r="AA61" i="12" s="1"/>
  <c r="Y62" i="12" s="1"/>
  <c r="M61" i="12"/>
  <c r="O61" i="12" s="1"/>
  <c r="M62" i="12" s="1"/>
  <c r="O60" i="12"/>
  <c r="U61" i="12"/>
  <c r="W61" i="12" s="1"/>
  <c r="U62" i="12" s="1"/>
  <c r="W60" i="12"/>
  <c r="S60" i="12"/>
  <c r="Q61" i="12"/>
  <c r="S61" i="12" s="1"/>
  <c r="Q62" i="12" s="1"/>
  <c r="K72" i="12"/>
  <c r="I73" i="12"/>
  <c r="K73" i="12" s="1"/>
  <c r="E53" i="12"/>
  <c r="G53" i="12" s="1"/>
  <c r="G52" i="12"/>
  <c r="O110" i="11"/>
  <c r="N110" i="11"/>
  <c r="F137" i="11"/>
  <c r="I136" i="11"/>
  <c r="J136" i="11" s="1"/>
  <c r="H139" i="11"/>
  <c r="A284" i="1"/>
  <c r="A285" i="1" s="1"/>
  <c r="A286" i="1" s="1"/>
  <c r="J111" i="11"/>
  <c r="N111" i="11" s="1"/>
  <c r="I112" i="11"/>
  <c r="K111" i="11"/>
  <c r="O111" i="11" s="1"/>
  <c r="M111" i="11"/>
  <c r="Q111" i="11" s="1"/>
  <c r="L111" i="11"/>
  <c r="P111" i="11" s="1"/>
  <c r="M41" i="11"/>
  <c r="Q41" i="11" s="1"/>
  <c r="K41" i="11"/>
  <c r="O41" i="11" s="1"/>
  <c r="L41" i="11"/>
  <c r="P41" i="11" s="1"/>
  <c r="J41" i="11"/>
  <c r="I42" i="11"/>
  <c r="J86" i="11" l="1"/>
  <c r="N86" i="11" s="1"/>
  <c r="I87" i="11"/>
  <c r="L86" i="11"/>
  <c r="P86" i="11" s="1"/>
  <c r="M86" i="11"/>
  <c r="Q86" i="11" s="1"/>
  <c r="K86" i="11"/>
  <c r="O86" i="11" s="1"/>
  <c r="F288" i="1"/>
  <c r="Y63" i="12"/>
  <c r="AA63" i="12" s="1"/>
  <c r="Y64" i="12" s="1"/>
  <c r="AA62" i="12"/>
  <c r="U63" i="12"/>
  <c r="W63" i="12" s="1"/>
  <c r="U64" i="12" s="1"/>
  <c r="W62" i="12"/>
  <c r="AE62" i="12"/>
  <c r="AC63" i="12"/>
  <c r="AE63" i="12" s="1"/>
  <c r="AC64" i="12" s="1"/>
  <c r="S62" i="12"/>
  <c r="Q63" i="12"/>
  <c r="S63" i="12" s="1"/>
  <c r="Q64" i="12" s="1"/>
  <c r="M63" i="12"/>
  <c r="O63" i="12" s="1"/>
  <c r="M64" i="12" s="1"/>
  <c r="O62" i="12"/>
  <c r="I74" i="12"/>
  <c r="E54" i="12"/>
  <c r="H140" i="11"/>
  <c r="K42" i="11"/>
  <c r="O42" i="11" s="1"/>
  <c r="L42" i="11"/>
  <c r="P42" i="11" s="1"/>
  <c r="J42" i="11"/>
  <c r="N42" i="11" s="1"/>
  <c r="M42" i="11"/>
  <c r="Q42" i="11" s="1"/>
  <c r="I43" i="11"/>
  <c r="A288" i="1"/>
  <c r="FX286" i="1"/>
  <c r="A155" i="6"/>
  <c r="F138" i="11"/>
  <c r="I137" i="11"/>
  <c r="J137" i="11" s="1"/>
  <c r="N41" i="11"/>
  <c r="M112" i="11"/>
  <c r="Q112" i="11" s="1"/>
  <c r="L112" i="11"/>
  <c r="P112" i="11" s="1"/>
  <c r="I113" i="11"/>
  <c r="J112" i="11"/>
  <c r="K112" i="11"/>
  <c r="O112" i="11" s="1"/>
  <c r="I88" i="11" l="1"/>
  <c r="K87" i="11"/>
  <c r="O87" i="11" s="1"/>
  <c r="L87" i="11"/>
  <c r="P87" i="11" s="1"/>
  <c r="M87" i="11"/>
  <c r="Q87" i="11" s="1"/>
  <c r="J87" i="11"/>
  <c r="N87" i="11" s="1"/>
  <c r="AE64" i="12"/>
  <c r="AC65" i="12"/>
  <c r="AE65" i="12" s="1"/>
  <c r="AC66" i="12" s="1"/>
  <c r="S64" i="12"/>
  <c r="Q65" i="12"/>
  <c r="S65" i="12" s="1"/>
  <c r="Q66" i="12" s="1"/>
  <c r="O64" i="12"/>
  <c r="M65" i="12"/>
  <c r="O65" i="12" s="1"/>
  <c r="M66" i="12" s="1"/>
  <c r="U65" i="12"/>
  <c r="W65" i="12" s="1"/>
  <c r="U66" i="12" s="1"/>
  <c r="W64" i="12"/>
  <c r="AA64" i="12"/>
  <c r="Y65" i="12"/>
  <c r="AA65" i="12" s="1"/>
  <c r="Y66" i="12" s="1"/>
  <c r="K74" i="12"/>
  <c r="I75" i="12"/>
  <c r="K75" i="12" s="1"/>
  <c r="G54" i="12"/>
  <c r="E55" i="12"/>
  <c r="G55" i="12" s="1"/>
  <c r="K43" i="11"/>
  <c r="M43" i="11"/>
  <c r="Q43" i="11" s="1"/>
  <c r="Q44" i="11" s="1"/>
  <c r="Q45" i="11" s="1"/>
  <c r="Q46" i="11" s="1"/>
  <c r="Q48" i="11" s="1"/>
  <c r="L43" i="11"/>
  <c r="P43" i="11" s="1"/>
  <c r="P44" i="11" s="1"/>
  <c r="P45" i="11" s="1"/>
  <c r="J43" i="11"/>
  <c r="N112" i="11"/>
  <c r="J113" i="11"/>
  <c r="N113" i="11" s="1"/>
  <c r="M113" i="11"/>
  <c r="Q113" i="11" s="1"/>
  <c r="Q114" i="11" s="1"/>
  <c r="Q115" i="11" s="1"/>
  <c r="Q116" i="11" s="1"/>
  <c r="Q118" i="11" s="1"/>
  <c r="L113" i="11"/>
  <c r="P113" i="11" s="1"/>
  <c r="P114" i="11" s="1"/>
  <c r="P115" i="11" s="1"/>
  <c r="P118" i="11" s="1"/>
  <c r="K113" i="11"/>
  <c r="F139" i="11"/>
  <c r="I138" i="11"/>
  <c r="J138" i="11" s="1"/>
  <c r="A291" i="1"/>
  <c r="F292" i="1" s="1"/>
  <c r="J88" i="11" l="1"/>
  <c r="K88" i="11"/>
  <c r="L88" i="11"/>
  <c r="P88" i="11" s="1"/>
  <c r="P89" i="11" s="1"/>
  <c r="P90" i="11" s="1"/>
  <c r="M88" i="11"/>
  <c r="Q88" i="11" s="1"/>
  <c r="Q89" i="11" s="1"/>
  <c r="Q90" i="11" s="1"/>
  <c r="Q91" i="11" s="1"/>
  <c r="Q93" i="11" s="1"/>
  <c r="U67" i="12"/>
  <c r="W67" i="12" s="1"/>
  <c r="U68" i="12" s="1"/>
  <c r="W66" i="12"/>
  <c r="O66" i="12"/>
  <c r="M67" i="12"/>
  <c r="O67" i="12" s="1"/>
  <c r="M68" i="12" s="1"/>
  <c r="AE66" i="12"/>
  <c r="AC67" i="12"/>
  <c r="AE67" i="12" s="1"/>
  <c r="AC68" i="12" s="1"/>
  <c r="S66" i="12"/>
  <c r="Q67" i="12"/>
  <c r="S67" i="12" s="1"/>
  <c r="Q68" i="12" s="1"/>
  <c r="AA66" i="12"/>
  <c r="Y67" i="12"/>
  <c r="AA67" i="12" s="1"/>
  <c r="Y68" i="12" s="1"/>
  <c r="E56" i="12"/>
  <c r="N114" i="11"/>
  <c r="N115" i="11" s="1"/>
  <c r="N116" i="11" s="1"/>
  <c r="R116" i="11" s="1"/>
  <c r="H42" i="1" s="1"/>
  <c r="N118" i="11"/>
  <c r="F140" i="11"/>
  <c r="I139" i="11"/>
  <c r="J139" i="11" s="1"/>
  <c r="O43" i="11"/>
  <c r="O44" i="11" s="1"/>
  <c r="O45" i="11" s="1"/>
  <c r="O46" i="11" s="1"/>
  <c r="O48" i="11" s="1"/>
  <c r="K44" i="11"/>
  <c r="N43" i="11"/>
  <c r="N44" i="11" s="1"/>
  <c r="N45" i="11" s="1"/>
  <c r="J44" i="11"/>
  <c r="P47" i="11"/>
  <c r="R47" i="11" s="1"/>
  <c r="P48" i="11"/>
  <c r="A292" i="1"/>
  <c r="A161" i="6"/>
  <c r="O113" i="11"/>
  <c r="O114" i="11" s="1"/>
  <c r="O115" i="11" s="1"/>
  <c r="O116" i="11" s="1"/>
  <c r="O118" i="11" s="1"/>
  <c r="K114" i="11"/>
  <c r="J114" i="11"/>
  <c r="P117" i="11"/>
  <c r="R117" i="11" s="1"/>
  <c r="H79" i="1" s="1"/>
  <c r="O88" i="11" l="1"/>
  <c r="O89" i="11" s="1"/>
  <c r="O90" i="11" s="1"/>
  <c r="O91" i="11" s="1"/>
  <c r="O93" i="11" s="1"/>
  <c r="K89" i="11"/>
  <c r="N88" i="11"/>
  <c r="N89" i="11" s="1"/>
  <c r="N90" i="11" s="1"/>
  <c r="N91" i="11" s="1"/>
  <c r="J89" i="11"/>
  <c r="P92" i="11"/>
  <c r="R92" i="11" s="1"/>
  <c r="P93" i="11"/>
  <c r="O68" i="12"/>
  <c r="M69" i="12"/>
  <c r="O69" i="12" s="1"/>
  <c r="M70" i="12" s="1"/>
  <c r="AE68" i="12"/>
  <c r="AC69" i="12"/>
  <c r="AE69" i="12" s="1"/>
  <c r="AC70" i="12" s="1"/>
  <c r="Q69" i="12"/>
  <c r="S69" i="12" s="1"/>
  <c r="Q70" i="12" s="1"/>
  <c r="S68" i="12"/>
  <c r="AA68" i="12"/>
  <c r="Y69" i="12"/>
  <c r="AA69" i="12" s="1"/>
  <c r="Y70" i="12" s="1"/>
  <c r="U69" i="12"/>
  <c r="W69" i="12" s="1"/>
  <c r="U70" i="12" s="1"/>
  <c r="W68" i="12"/>
  <c r="G56" i="12"/>
  <c r="E57" i="12"/>
  <c r="G57" i="12" s="1"/>
  <c r="H43" i="1"/>
  <c r="F141" i="11"/>
  <c r="I140" i="11"/>
  <c r="J140" i="11" s="1"/>
  <c r="J141" i="11" s="1"/>
  <c r="A294" i="1"/>
  <c r="F294" i="1"/>
  <c r="D50" i="11"/>
  <c r="N46" i="11"/>
  <c r="N93" i="11" l="1"/>
  <c r="R91" i="11"/>
  <c r="AE70" i="12"/>
  <c r="AC71" i="12"/>
  <c r="AE71" i="12" s="1"/>
  <c r="AC72" i="12" s="1"/>
  <c r="O70" i="12"/>
  <c r="M71" i="12"/>
  <c r="O71" i="12" s="1"/>
  <c r="M72" i="12" s="1"/>
  <c r="AA70" i="12"/>
  <c r="Y71" i="12"/>
  <c r="AA71" i="12" s="1"/>
  <c r="Y72" i="12" s="1"/>
  <c r="U71" i="12"/>
  <c r="W71" i="12" s="1"/>
  <c r="U72" i="12" s="1"/>
  <c r="W70" i="12"/>
  <c r="S70" i="12"/>
  <c r="Q71" i="12"/>
  <c r="S71" i="12" s="1"/>
  <c r="Q72" i="12" s="1"/>
  <c r="E58" i="12"/>
  <c r="H53" i="1"/>
  <c r="F144" i="11"/>
  <c r="H144" i="11"/>
  <c r="N48" i="11"/>
  <c r="R46" i="11"/>
  <c r="U73" i="12" l="1"/>
  <c r="W73" i="12" s="1"/>
  <c r="U74" i="12" s="1"/>
  <c r="W72" i="12"/>
  <c r="S72" i="12"/>
  <c r="Q73" i="12"/>
  <c r="S73" i="12" s="1"/>
  <c r="Q74" i="12" s="1"/>
  <c r="AE72" i="12"/>
  <c r="AC73" i="12"/>
  <c r="AE73" i="12" s="1"/>
  <c r="AC74" i="12" s="1"/>
  <c r="O72" i="12"/>
  <c r="M73" i="12"/>
  <c r="O73" i="12" s="1"/>
  <c r="M74" i="12" s="1"/>
  <c r="AA72" i="12"/>
  <c r="Y73" i="12"/>
  <c r="AA73" i="12" s="1"/>
  <c r="Y74" i="12" s="1"/>
  <c r="G58" i="12"/>
  <c r="E59" i="12"/>
  <c r="G59" i="12" s="1"/>
  <c r="H69" i="1"/>
  <c r="H31" i="1"/>
  <c r="I144" i="11"/>
  <c r="F145" i="11" s="1"/>
  <c r="H145" i="11"/>
  <c r="H146" i="11" s="1"/>
  <c r="H147" i="11" s="1"/>
  <c r="H148" i="11" s="1"/>
  <c r="H149" i="11" s="1"/>
  <c r="H150" i="11" s="1"/>
  <c r="H151" i="11" s="1"/>
  <c r="H152" i="11" s="1"/>
  <c r="H153" i="11" s="1"/>
  <c r="H154" i="11" s="1"/>
  <c r="H155" i="11" s="1"/>
  <c r="O74" i="12" l="1"/>
  <c r="M75" i="12"/>
  <c r="O75" i="12" s="1"/>
  <c r="S74" i="12"/>
  <c r="Q75" i="12"/>
  <c r="S75" i="12" s="1"/>
  <c r="AA74" i="12"/>
  <c r="Y75" i="12"/>
  <c r="AA75" i="12" s="1"/>
  <c r="AE74" i="12"/>
  <c r="AC75" i="12"/>
  <c r="AE75" i="12" s="1"/>
  <c r="W74" i="12"/>
  <c r="U75" i="12"/>
  <c r="W75" i="12" s="1"/>
  <c r="E60" i="12"/>
  <c r="H241" i="1"/>
  <c r="H34" i="1"/>
  <c r="H32" i="1"/>
  <c r="C16" i="22" s="1"/>
  <c r="C17" i="22" s="1"/>
  <c r="E17" i="22" s="1"/>
  <c r="H156" i="11"/>
  <c r="I145" i="11"/>
  <c r="F146" i="11" s="1"/>
  <c r="I146" i="11" s="1"/>
  <c r="F147" i="11" s="1"/>
  <c r="I147" i="11" s="1"/>
  <c r="F148" i="11" s="1"/>
  <c r="I148" i="11" s="1"/>
  <c r="F149" i="11" s="1"/>
  <c r="I149" i="11" s="1"/>
  <c r="F150" i="11" s="1"/>
  <c r="I150" i="11" s="1"/>
  <c r="F151" i="11" s="1"/>
  <c r="I151" i="11" s="1"/>
  <c r="F152" i="11" s="1"/>
  <c r="I152" i="11" s="1"/>
  <c r="F153" i="11" s="1"/>
  <c r="I153" i="11" s="1"/>
  <c r="F154" i="11" s="1"/>
  <c r="I154" i="11" s="1"/>
  <c r="F155" i="11" s="1"/>
  <c r="I155" i="11" s="1"/>
  <c r="H158" i="11" l="1"/>
  <c r="H35" i="1"/>
  <c r="H74" i="1"/>
  <c r="G60" i="12"/>
  <c r="E61" i="12"/>
  <c r="G61" i="12" s="1"/>
  <c r="H116" i="6"/>
  <c r="I116" i="6" s="1"/>
  <c r="I118" i="6" s="1"/>
  <c r="H84" i="1" s="1"/>
  <c r="F20" i="3"/>
  <c r="F39" i="3" s="1"/>
  <c r="G39" i="3" s="1"/>
  <c r="D252" i="6" l="1"/>
  <c r="D232" i="6"/>
  <c r="D242" i="6" s="1"/>
  <c r="H76" i="1"/>
  <c r="I69" i="5"/>
  <c r="I70" i="5" s="1"/>
  <c r="H229" i="1"/>
  <c r="H230" i="1" s="1"/>
  <c r="H143" i="1"/>
  <c r="E62" i="12"/>
  <c r="G20" i="3"/>
  <c r="G41" i="3" s="1"/>
  <c r="H172" i="1" s="1"/>
  <c r="D257" i="6" l="1"/>
  <c r="D260" i="6" s="1"/>
  <c r="D244" i="6"/>
  <c r="D250" i="6" s="1"/>
  <c r="D253" i="6" s="1"/>
  <c r="H159" i="11" s="1"/>
  <c r="H160" i="11" s="1"/>
  <c r="H144" i="1"/>
  <c r="G62" i="12"/>
  <c r="E63" i="12"/>
  <c r="G63" i="12" s="1"/>
  <c r="H174" i="1"/>
  <c r="H163" i="11" l="1"/>
  <c r="D167" i="11" s="1"/>
  <c r="D171" i="11" s="1"/>
  <c r="H284" i="1"/>
  <c r="H146" i="1"/>
  <c r="E64" i="12"/>
  <c r="H247" i="1"/>
  <c r="H245" i="1" l="1"/>
  <c r="H98" i="1"/>
  <c r="G64" i="12"/>
  <c r="E65" i="12"/>
  <c r="G65" i="12" s="1"/>
  <c r="H77" i="1"/>
  <c r="H100" i="1" l="1"/>
  <c r="H107" i="1" s="1"/>
  <c r="E66" i="12"/>
  <c r="H109" i="1" l="1"/>
  <c r="H242" i="1"/>
  <c r="G66" i="12"/>
  <c r="E67" i="12"/>
  <c r="G67" i="12" s="1"/>
  <c r="H243" i="1" l="1"/>
  <c r="H215" i="1"/>
  <c r="I16" i="5"/>
  <c r="I55" i="5" s="1"/>
  <c r="I74" i="5" s="1"/>
  <c r="I76" i="5" s="1"/>
  <c r="I9" i="5" s="1"/>
  <c r="H277" i="1" s="1"/>
  <c r="E68" i="12"/>
  <c r="H234" i="1" l="1"/>
  <c r="H248" i="1"/>
  <c r="G68" i="12"/>
  <c r="E69" i="12"/>
  <c r="G69" i="12" s="1"/>
  <c r="H236" i="1" l="1"/>
  <c r="E70" i="12"/>
  <c r="H249" i="1" l="1"/>
  <c r="G70" i="12"/>
  <c r="E71" i="12"/>
  <c r="G71" i="12" s="1"/>
  <c r="H251" i="1" l="1"/>
  <c r="E72" i="12"/>
  <c r="H258" i="1" l="1"/>
  <c r="G72" i="12"/>
  <c r="E73" i="12"/>
  <c r="G73" i="12" s="1"/>
  <c r="BC46" i="12"/>
  <c r="H259" i="1" l="1"/>
  <c r="E74" i="12"/>
  <c r="BB47" i="12"/>
  <c r="H265" i="1" l="1"/>
  <c r="G74" i="12"/>
  <c r="E75" i="12"/>
  <c r="G75" i="12" s="1"/>
  <c r="H276" i="1" l="1"/>
  <c r="H268" i="1"/>
  <c r="H283" i="1"/>
  <c r="H272" i="1" l="1"/>
  <c r="H271" i="1"/>
  <c r="H270" i="1"/>
  <c r="H278" i="1"/>
  <c r="L18" i="12" l="1"/>
  <c r="L12" i="12"/>
  <c r="Q29" i="12" s="1"/>
  <c r="H280" i="1"/>
  <c r="H281" i="1"/>
  <c r="AO29" i="12" l="1"/>
  <c r="AR58" i="12" s="1"/>
  <c r="M29" i="12"/>
  <c r="P64" i="12" s="1"/>
  <c r="T64" i="12"/>
  <c r="T74" i="12"/>
  <c r="T56" i="12"/>
  <c r="E29" i="12"/>
  <c r="H70" i="12" s="1"/>
  <c r="U29" i="12"/>
  <c r="X54" i="12" s="1"/>
  <c r="Y29" i="12"/>
  <c r="AB72" i="12" s="1"/>
  <c r="AC29" i="12"/>
  <c r="AK29" i="12"/>
  <c r="AW29" i="12"/>
  <c r="I29" i="12"/>
  <c r="L54" i="12" s="1"/>
  <c r="AS29" i="12"/>
  <c r="AV56" i="12" s="1"/>
  <c r="AG29" i="12"/>
  <c r="T58" i="12"/>
  <c r="T52" i="12"/>
  <c r="T68" i="12"/>
  <c r="T62" i="12"/>
  <c r="T70" i="12"/>
  <c r="T54" i="12"/>
  <c r="T66" i="12"/>
  <c r="T72" i="12"/>
  <c r="T60" i="12"/>
  <c r="L13" i="12"/>
  <c r="L14" i="12" s="1"/>
  <c r="AJ58" i="12" l="1"/>
  <c r="L68" i="12"/>
  <c r="AN70" i="12"/>
  <c r="P52" i="12"/>
  <c r="AJ66" i="12"/>
  <c r="AZ60" i="12"/>
  <c r="AZ54" i="12"/>
  <c r="X60" i="12"/>
  <c r="X66" i="12"/>
  <c r="AJ70" i="12"/>
  <c r="AB68" i="12"/>
  <c r="X52" i="12"/>
  <c r="AZ62" i="12"/>
  <c r="H54" i="12"/>
  <c r="L64" i="12"/>
  <c r="AN60" i="12"/>
  <c r="AZ70" i="12"/>
  <c r="AV58" i="12"/>
  <c r="P70" i="12"/>
  <c r="AR54" i="12"/>
  <c r="AR60" i="12"/>
  <c r="AF74" i="12"/>
  <c r="X68" i="12"/>
  <c r="X56" i="12"/>
  <c r="AZ52" i="12"/>
  <c r="AZ68" i="12"/>
  <c r="AB60" i="12"/>
  <c r="AB62" i="12"/>
  <c r="AR66" i="12"/>
  <c r="AR68" i="12"/>
  <c r="AR74" i="12"/>
  <c r="AR62" i="12"/>
  <c r="AR52" i="12"/>
  <c r="AB56" i="12"/>
  <c r="L72" i="12"/>
  <c r="AR70" i="12"/>
  <c r="AR64" i="12"/>
  <c r="AR72" i="12"/>
  <c r="X72" i="12"/>
  <c r="X62" i="12"/>
  <c r="X70" i="12"/>
  <c r="AZ56" i="12"/>
  <c r="AZ64" i="12"/>
  <c r="AZ72" i="12"/>
  <c r="H68" i="12"/>
  <c r="H62" i="12"/>
  <c r="L62" i="12"/>
  <c r="AR56" i="12"/>
  <c r="AB70" i="12"/>
  <c r="X58" i="12"/>
  <c r="X74" i="12"/>
  <c r="X64" i="12"/>
  <c r="AN64" i="12"/>
  <c r="AN54" i="12"/>
  <c r="U30" i="12"/>
  <c r="X53" i="12" s="1"/>
  <c r="AZ58" i="12"/>
  <c r="AZ66" i="12"/>
  <c r="AZ74" i="12"/>
  <c r="AV66" i="12"/>
  <c r="AV60" i="12"/>
  <c r="P62" i="12"/>
  <c r="P72" i="12"/>
  <c r="AB64" i="12"/>
  <c r="P68" i="12"/>
  <c r="AF62" i="12"/>
  <c r="AF66" i="12"/>
  <c r="L60" i="12"/>
  <c r="P54" i="12"/>
  <c r="AB74" i="12"/>
  <c r="AV62" i="12"/>
  <c r="AB54" i="12"/>
  <c r="P66" i="12"/>
  <c r="AO30" i="12"/>
  <c r="AF64" i="12"/>
  <c r="AB52" i="12"/>
  <c r="P56" i="12"/>
  <c r="AV72" i="12"/>
  <c r="L52" i="12"/>
  <c r="AF52" i="12"/>
  <c r="L56" i="12"/>
  <c r="P60" i="12"/>
  <c r="P74" i="12"/>
  <c r="L66" i="12"/>
  <c r="P58" i="12"/>
  <c r="H66" i="12"/>
  <c r="H58" i="12"/>
  <c r="H74" i="12"/>
  <c r="AN56" i="12"/>
  <c r="AN66" i="12"/>
  <c r="AN62" i="12"/>
  <c r="AJ52" i="12"/>
  <c r="AJ64" i="12"/>
  <c r="AJ72" i="12"/>
  <c r="H72" i="12"/>
  <c r="H56" i="12"/>
  <c r="AF70" i="12"/>
  <c r="AF58" i="12"/>
  <c r="AF72" i="12"/>
  <c r="H60" i="12"/>
  <c r="AV68" i="12"/>
  <c r="AN68" i="12"/>
  <c r="AN58" i="12"/>
  <c r="AF68" i="12"/>
  <c r="AF54" i="12"/>
  <c r="AF60" i="12"/>
  <c r="AJ56" i="12"/>
  <c r="AJ54" i="12"/>
  <c r="AJ62" i="12"/>
  <c r="AB66" i="12"/>
  <c r="AB58" i="12"/>
  <c r="H64" i="12"/>
  <c r="H52" i="12"/>
  <c r="L74" i="12"/>
  <c r="AV52" i="12"/>
  <c r="L70" i="12"/>
  <c r="AV74" i="12"/>
  <c r="L58" i="12"/>
  <c r="AF56" i="12"/>
  <c r="AV64" i="12"/>
  <c r="AV54" i="12"/>
  <c r="AV70" i="12"/>
  <c r="AN52" i="12"/>
  <c r="AN72" i="12"/>
  <c r="AN74" i="12"/>
  <c r="AJ68" i="12"/>
  <c r="AJ60" i="12"/>
  <c r="AJ74" i="12"/>
  <c r="Q30" i="12"/>
  <c r="T59" i="12" s="1"/>
  <c r="M30" i="12"/>
  <c r="P61" i="12" s="1"/>
  <c r="AW30" i="12"/>
  <c r="AK30" i="12"/>
  <c r="AN71" i="12" s="1"/>
  <c r="AC30" i="12"/>
  <c r="AF69" i="12" s="1"/>
  <c r="AG30" i="12"/>
  <c r="AJ59" i="12" s="1"/>
  <c r="AS30" i="12"/>
  <c r="AV61" i="12" s="1"/>
  <c r="E30" i="12"/>
  <c r="H55" i="12" s="1"/>
  <c r="I30" i="12"/>
  <c r="L71" i="12" s="1"/>
  <c r="Y30" i="12"/>
  <c r="AB57" i="12" s="1"/>
  <c r="X55" i="12" l="1"/>
  <c r="X65" i="12"/>
  <c r="X75" i="12"/>
  <c r="AR55" i="12"/>
  <c r="AR61" i="12"/>
  <c r="AR53" i="12"/>
  <c r="AJ61" i="12"/>
  <c r="T73" i="12"/>
  <c r="X59" i="12"/>
  <c r="X73" i="12"/>
  <c r="L57" i="12"/>
  <c r="T53" i="12"/>
  <c r="X63" i="12"/>
  <c r="X71" i="12"/>
  <c r="AF67" i="12"/>
  <c r="AR59" i="12"/>
  <c r="P65" i="12"/>
  <c r="X69" i="12"/>
  <c r="X67" i="12"/>
  <c r="AR63" i="12"/>
  <c r="BA56" i="12"/>
  <c r="BC56" i="12" s="1"/>
  <c r="BA68" i="12"/>
  <c r="BC68" i="12" s="1"/>
  <c r="AV53" i="12"/>
  <c r="BA52" i="12"/>
  <c r="BC52" i="12" s="1"/>
  <c r="BA62" i="12"/>
  <c r="BC62" i="12" s="1"/>
  <c r="BA72" i="12"/>
  <c r="BC72" i="12" s="1"/>
  <c r="BA66" i="12"/>
  <c r="BC66" i="12" s="1"/>
  <c r="AF61" i="12"/>
  <c r="P73" i="12"/>
  <c r="X57" i="12"/>
  <c r="AV73" i="12"/>
  <c r="X61" i="12"/>
  <c r="BA70" i="12"/>
  <c r="BC70" i="12" s="1"/>
  <c r="BA64" i="12"/>
  <c r="BC64" i="12" s="1"/>
  <c r="BA58" i="12"/>
  <c r="BC58" i="12" s="1"/>
  <c r="T67" i="12"/>
  <c r="L73" i="12"/>
  <c r="L63" i="12"/>
  <c r="AR71" i="12"/>
  <c r="L65" i="12"/>
  <c r="L61" i="12"/>
  <c r="AR65" i="12"/>
  <c r="AR73" i="12"/>
  <c r="BA60" i="12"/>
  <c r="BC60" i="12" s="1"/>
  <c r="BA54" i="12"/>
  <c r="BC54" i="12" s="1"/>
  <c r="AF75" i="12"/>
  <c r="L75" i="12"/>
  <c r="BA74" i="12"/>
  <c r="BC74" i="12" s="1"/>
  <c r="AF57" i="12"/>
  <c r="AF53" i="12"/>
  <c r="AF63" i="12"/>
  <c r="AR69" i="12"/>
  <c r="AR67" i="12"/>
  <c r="AR57" i="12"/>
  <c r="AR75" i="12"/>
  <c r="H63" i="12"/>
  <c r="T63" i="12"/>
  <c r="T57" i="12"/>
  <c r="T65" i="12"/>
  <c r="T71" i="12"/>
  <c r="T69" i="12"/>
  <c r="T61" i="12"/>
  <c r="AJ67" i="12"/>
  <c r="T75" i="12"/>
  <c r="T55" i="12"/>
  <c r="AJ73" i="12"/>
  <c r="AB59" i="12"/>
  <c r="AB61" i="12"/>
  <c r="AV63" i="12"/>
  <c r="H69" i="12"/>
  <c r="AV65" i="12"/>
  <c r="AN67" i="12"/>
  <c r="AV75" i="12"/>
  <c r="H57" i="12"/>
  <c r="AV57" i="12"/>
  <c r="AV67" i="12"/>
  <c r="AJ71" i="12"/>
  <c r="AJ57" i="12"/>
  <c r="AJ53" i="12"/>
  <c r="AB55" i="12"/>
  <c r="AF71" i="12"/>
  <c r="AJ55" i="12"/>
  <c r="AB69" i="12"/>
  <c r="AB67" i="12"/>
  <c r="L59" i="12"/>
  <c r="L55" i="12"/>
  <c r="P75" i="12"/>
  <c r="L53" i="12"/>
  <c r="AB63" i="12"/>
  <c r="P59" i="12"/>
  <c r="P63" i="12"/>
  <c r="AJ65" i="12"/>
  <c r="AB53" i="12"/>
  <c r="AB71" i="12"/>
  <c r="P67" i="12"/>
  <c r="AF55" i="12"/>
  <c r="AF73" i="12"/>
  <c r="AJ75" i="12"/>
  <c r="AF59" i="12"/>
  <c r="AF65" i="12"/>
  <c r="AJ69" i="12"/>
  <c r="AJ63" i="12"/>
  <c r="L69" i="12"/>
  <c r="AB73" i="12"/>
  <c r="AB65" i="12"/>
  <c r="L67" i="12"/>
  <c r="P71" i="12"/>
  <c r="P53" i="12"/>
  <c r="P69" i="12"/>
  <c r="P55" i="12"/>
  <c r="P57" i="12"/>
  <c r="AZ75" i="12"/>
  <c r="AZ73" i="12"/>
  <c r="AZ71" i="12"/>
  <c r="AZ69" i="12"/>
  <c r="AZ67" i="12"/>
  <c r="AZ65" i="12"/>
  <c r="AZ63" i="12"/>
  <c r="AZ61" i="12"/>
  <c r="AZ59" i="12"/>
  <c r="AZ57" i="12"/>
  <c r="AZ55" i="12"/>
  <c r="AZ53" i="12"/>
  <c r="H71" i="12"/>
  <c r="AN73" i="12"/>
  <c r="AN63" i="12"/>
  <c r="AN61" i="12"/>
  <c r="H65" i="12"/>
  <c r="AN59" i="12"/>
  <c r="AN75" i="12"/>
  <c r="AN55" i="12"/>
  <c r="AN53" i="12"/>
  <c r="H73" i="12"/>
  <c r="AN65" i="12"/>
  <c r="H59" i="12"/>
  <c r="H67" i="12"/>
  <c r="H75" i="12"/>
  <c r="H61" i="12"/>
  <c r="H53" i="12"/>
  <c r="AV69" i="12"/>
  <c r="AV71" i="12"/>
  <c r="AN57" i="12"/>
  <c r="AV55" i="12"/>
  <c r="AN69" i="12"/>
  <c r="AB75" i="12"/>
  <c r="AV59" i="12"/>
  <c r="BC78" i="12" l="1"/>
  <c r="BA53" i="12"/>
  <c r="BB53" i="12" s="1"/>
  <c r="H285" i="1" s="1"/>
  <c r="BA65" i="12"/>
  <c r="BB65" i="12" s="1"/>
  <c r="BA63" i="12"/>
  <c r="BB63" i="12" s="1"/>
  <c r="BA55" i="12"/>
  <c r="BB55" i="12" s="1"/>
  <c r="BA57" i="12"/>
  <c r="BB57" i="12" s="1"/>
  <c r="BA73" i="12"/>
  <c r="BB73" i="12" s="1"/>
  <c r="BA61" i="12"/>
  <c r="BB61" i="12" s="1"/>
  <c r="BA69" i="12"/>
  <c r="BB69" i="12" s="1"/>
  <c r="BA67" i="12"/>
  <c r="BB67" i="12" s="1"/>
  <c r="BA75" i="12"/>
  <c r="BB75" i="12" s="1"/>
  <c r="BA59" i="12"/>
  <c r="BB59" i="12" s="1"/>
  <c r="BA71" i="12"/>
  <c r="BB71" i="12" s="1"/>
  <c r="H288" i="1" l="1"/>
  <c r="BB78" i="12"/>
  <c r="H292" i="1" l="1"/>
  <c r="H294" i="1" l="1"/>
</calcChain>
</file>

<file path=xl/sharedStrings.xml><?xml version="1.0" encoding="utf-8"?>
<sst xmlns="http://schemas.openxmlformats.org/spreadsheetml/2006/main" count="1456" uniqueCount="858">
  <si>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</si>
  <si>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</si>
  <si>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</si>
  <si>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</si>
  <si>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</si>
  <si>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</si>
  <si>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t>
  </si>
  <si>
    <t>p207.104g</t>
  </si>
  <si>
    <t>p219.29c</t>
  </si>
  <si>
    <t>p205.5.g &amp; p207.99.g</t>
  </si>
  <si>
    <t xml:space="preserve">p219.28.c </t>
  </si>
  <si>
    <t>p321.112.b</t>
  </si>
  <si>
    <t>p321.96.b</t>
  </si>
  <si>
    <t>p323.197.b</t>
  </si>
  <si>
    <t>p323.185b</t>
  </si>
  <si>
    <t>p323.189b</t>
  </si>
  <si>
    <t>p323.191b</t>
  </si>
  <si>
    <t>p336.10b&amp;c</t>
  </si>
  <si>
    <t>p336.11.b</t>
  </si>
  <si>
    <t>p356 or p336.11d</t>
  </si>
  <si>
    <t>p227.6c &amp; 16.c</t>
  </si>
  <si>
    <t>p112.16c</t>
  </si>
  <si>
    <t>p112.12c</t>
  </si>
  <si>
    <t>BO568 3rd Indian River</t>
  </si>
  <si>
    <t>Costs associated with revenues in line 17a that are included in FERC accounts recovered through the formula times the allocator used to functionalize the amounts in the FERC account to the transmission service at issue.</t>
  </si>
  <si>
    <t>Based on Modified Wisconsin Method</t>
  </si>
  <si>
    <t>(Yes or No)</t>
  </si>
  <si>
    <t xml:space="preserve">For Reconciliation only - remove actual New Transmission Plant Additions for Year 2  </t>
  </si>
  <si>
    <t>Add weighted Cap Adds actually placed in service in Year 2</t>
  </si>
  <si>
    <t>Surcharge (Refund) Owed</t>
  </si>
  <si>
    <t>Allocator.  If the taxes are 100% recovered at retail they will not be included</t>
  </si>
  <si>
    <t>Reg Asset- COPCO Acquisition Adjustment</t>
  </si>
  <si>
    <t>Reg Asset- Other Reg Assets</t>
  </si>
  <si>
    <t>Represents various costs which we are, or will be through a future rate case, getting recovery through rate base.</t>
  </si>
  <si>
    <t>Electric vs Gas</t>
  </si>
  <si>
    <t xml:space="preserve">City License  </t>
  </si>
  <si>
    <t>Total "Other" Taxes (included on p. 263)</t>
  </si>
  <si>
    <t>Total "Taxes Other Than Income Taxes" - acct 408.10 (p. 114.14)</t>
  </si>
  <si>
    <t>Amount offset in line 4 above</t>
  </si>
  <si>
    <t>Total Income Taxes</t>
  </si>
  <si>
    <t>Summary</t>
  </si>
  <si>
    <t>Net Property, Plant &amp; Equipment</t>
  </si>
  <si>
    <t>Taxes Other than Income</t>
  </si>
  <si>
    <t>Common Stock</t>
  </si>
  <si>
    <t>END</t>
  </si>
  <si>
    <t>Revenue Credits</t>
  </si>
  <si>
    <t>C</t>
  </si>
  <si>
    <t>Common Depreciation - Electric Only</t>
  </si>
  <si>
    <t>Gross Plant Allocator</t>
  </si>
  <si>
    <t>Total  Capitalization</t>
  </si>
  <si>
    <t>Total Long Term Debt</t>
  </si>
  <si>
    <t>Total Return ( R )</t>
  </si>
  <si>
    <t>Total Long Term Debt (WCLTD)</t>
  </si>
  <si>
    <t>REVENUE REQUIREMENT</t>
  </si>
  <si>
    <t>I</t>
  </si>
  <si>
    <t>Total Taxes Other than Income</t>
  </si>
  <si>
    <t>J</t>
  </si>
  <si>
    <t>Long Term Interest</t>
  </si>
  <si>
    <t>Long Term Debt</t>
  </si>
  <si>
    <t>p323.160b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</si>
  <si>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</si>
  <si>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</si>
  <si>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</si>
  <si>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</si>
  <si>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</si>
  <si>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</si>
  <si>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</si>
  <si>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</si>
  <si>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</si>
  <si>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</si>
  <si>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</si>
  <si>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</si>
  <si>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</si>
  <si>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</si>
  <si>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Less DE Enviro &amp; Low Income and MD Universal Funds</t>
  </si>
  <si>
    <t>Transmission Related Account 242 Reserves (exclude current year environmental site related reserves)</t>
  </si>
  <si>
    <t xml:space="preserve">  rate base, must reduce its income tax expense by the amount of the Amortized Investment Tax Credit (Form 1, 266.8.f)</t>
  </si>
  <si>
    <t>Schedule 1A</t>
  </si>
  <si>
    <t>Other Taxes</t>
  </si>
  <si>
    <t>p207.58.g</t>
  </si>
  <si>
    <t>p219.25.c</t>
  </si>
  <si>
    <t>p266.h</t>
  </si>
  <si>
    <t>Total Prepayments Allocated to Transmission</t>
  </si>
  <si>
    <t>Total Cash Working Capital Allocated to Transmission</t>
  </si>
  <si>
    <t>Transmission Materials &amp; Supplies</t>
  </si>
  <si>
    <t>General &amp; Common Expenses</t>
  </si>
  <si>
    <t>Directly Assigned A&amp;G</t>
  </si>
  <si>
    <t xml:space="preserve">  "the percentage of federal income tax deductible for state income taxes".  If the utility includes taxes in more than one state, it must explain in </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</si>
  <si>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</si>
  <si>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</si>
  <si>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</si>
  <si>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</si>
  <si>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</si>
  <si>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</si>
  <si>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</si>
  <si>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</si>
  <si>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</si>
  <si>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</si>
  <si>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</si>
  <si>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</si>
  <si>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</si>
  <si>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</si>
  <si>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</si>
  <si>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</si>
  <si>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</si>
  <si>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</si>
  <si>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</si>
  <si>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</si>
  <si>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</si>
  <si>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</si>
  <si>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</si>
  <si>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</si>
  <si>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</si>
  <si>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</si>
  <si>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</si>
  <si>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</si>
  <si>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</si>
  <si>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</si>
  <si>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</si>
  <si>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</si>
  <si>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</si>
  <si>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</si>
  <si>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</si>
  <si>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</si>
  <si>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</si>
  <si>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</si>
  <si>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</si>
  <si>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</si>
  <si>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</si>
  <si>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</si>
  <si>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</si>
  <si>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</si>
  <si>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</si>
  <si>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</si>
  <si>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</si>
  <si>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</si>
  <si>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</si>
  <si>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</si>
  <si>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</si>
  <si>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</si>
  <si>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</si>
  <si>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</si>
  <si>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</si>
  <si>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</si>
  <si>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</si>
  <si>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</si>
  <si>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</si>
  <si>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</si>
  <si>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</si>
  <si>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B0241.3 Red Lion sub reconfiguration</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</si>
  <si>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</si>
  <si>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</si>
  <si>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</si>
  <si>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</si>
  <si>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</si>
  <si>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</si>
  <si>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</si>
  <si>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</si>
  <si>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</si>
  <si>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</si>
  <si>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</si>
  <si>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</si>
  <si>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</si>
  <si>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</si>
  <si>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p336.7b&amp;c</t>
  </si>
  <si>
    <t xml:space="preserve"> enter positive</t>
  </si>
  <si>
    <t xml:space="preserve">     CIT=(T/1-T) * Investment Return * (1-(WCLTD/R)) =</t>
  </si>
  <si>
    <t>Plant Allocation Factors</t>
  </si>
  <si>
    <t>Wage &amp; Salary Allocation Factor</t>
  </si>
  <si>
    <t>p227.8c</t>
  </si>
  <si>
    <t>1/8th Rule</t>
  </si>
  <si>
    <t>Net Plant Carrying Charge</t>
  </si>
  <si>
    <t>Net Plant Carrying Charge Calculation per 100 Basis Point increase in ROE</t>
  </si>
  <si>
    <t xml:space="preserve">Net Plant Carrying Charge  </t>
  </si>
  <si>
    <t>Net Plant Carrying Charge without Depreciation</t>
  </si>
  <si>
    <t>Net Plant Carrying Charge without Depreciation, Return, nor Income Taxes</t>
  </si>
  <si>
    <t>Net Revenue Requirement per 100 Basis Point increase in ROE</t>
  </si>
  <si>
    <t>Net Plant Carrying Charge per 100 Basis Point increase in ROE</t>
  </si>
  <si>
    <t>Net Plant Carrying Charge per 100 Basis Point increase in ROE without Depreciation</t>
  </si>
  <si>
    <t>TOTAL Adjustment to Rate Base</t>
  </si>
  <si>
    <t>General Depreciation</t>
  </si>
  <si>
    <t>Total</t>
  </si>
  <si>
    <t>B</t>
  </si>
  <si>
    <t>Proprietary Capital</t>
  </si>
  <si>
    <t>Operation &amp; Maintenance Expense</t>
  </si>
  <si>
    <t>(Note C)</t>
  </si>
  <si>
    <t>Amortized Investment Tax Credit</t>
  </si>
  <si>
    <t>Total Transmission Allocated</t>
  </si>
  <si>
    <t>Transmission Accumulated Depreciation</t>
  </si>
  <si>
    <t>Electric Plant in Service</t>
  </si>
  <si>
    <t>Investment Return</t>
  </si>
  <si>
    <t>Income Taxes</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</si>
  <si>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</si>
  <si>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</si>
  <si>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</si>
  <si>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</si>
  <si>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</si>
  <si>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</si>
  <si>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</si>
  <si>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</si>
  <si>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</si>
  <si>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</si>
  <si>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</si>
  <si>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</si>
  <si>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</si>
  <si>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x 1/8</t>
  </si>
  <si>
    <t>enter negative</t>
  </si>
  <si>
    <t>Fixed</t>
  </si>
  <si>
    <t>T</t>
  </si>
  <si>
    <t>Net Revenue Requirement</t>
  </si>
  <si>
    <t>O&amp;M</t>
  </si>
  <si>
    <t xml:space="preserve">     Less Account 565</t>
  </si>
  <si>
    <t>p200.21c</t>
  </si>
  <si>
    <t>Electric portion only</t>
  </si>
  <si>
    <t>Transmission Portion Only</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</si>
  <si>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</si>
  <si>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</si>
  <si>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</si>
  <si>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</si>
  <si>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</si>
  <si>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</si>
  <si>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</si>
  <si>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</si>
  <si>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</si>
  <si>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</si>
  <si>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</si>
  <si>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</si>
  <si>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</si>
  <si>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</si>
  <si>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</si>
  <si>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</si>
  <si>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</si>
  <si>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</si>
  <si>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</si>
  <si>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</si>
  <si>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</si>
  <si>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</si>
  <si>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</si>
  <si>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</si>
  <si>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</si>
  <si>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Federal FICA &amp; Unemployment</t>
  </si>
  <si>
    <t>Unemployment</t>
  </si>
  <si>
    <t>Accumulated Deferred Income Taxes</t>
  </si>
  <si>
    <t xml:space="preserve">Safety related advertising included in Account 930.1  </t>
  </si>
  <si>
    <t xml:space="preserve">Education and outreach expenses relating to transmission, for example siting or billing </t>
  </si>
  <si>
    <t xml:space="preserve">Plant </t>
  </si>
  <si>
    <t>Related</t>
  </si>
  <si>
    <t>Labor</t>
  </si>
  <si>
    <t>Gas, Prod</t>
  </si>
  <si>
    <t>Only</t>
  </si>
  <si>
    <t>Instructions for Account 190:</t>
  </si>
  <si>
    <t>Instructions for Account 283:</t>
  </si>
  <si>
    <t>Instructions for Account 282:</t>
  </si>
  <si>
    <t>2.  ADIT items related only to Transmission are directly assigned to Column B</t>
  </si>
  <si>
    <t>Subtotal - p234</t>
  </si>
  <si>
    <t>ADIT</t>
  </si>
  <si>
    <t>1.  ADIT items related only to Non-Electric Operations (e.g., Gas, Water, Sewer) or Production are directly assigned to Column A</t>
  </si>
  <si>
    <t>Plant Related</t>
  </si>
  <si>
    <t>Page 263</t>
  </si>
  <si>
    <t>Col (i)</t>
  </si>
  <si>
    <t>Labor Related</t>
  </si>
  <si>
    <t>Other Included</t>
  </si>
  <si>
    <t>Total Plant Related</t>
  </si>
  <si>
    <t>Total Labor Related</t>
  </si>
  <si>
    <t>Total Other Included</t>
  </si>
  <si>
    <t>Allocated</t>
  </si>
  <si>
    <t>Amount</t>
  </si>
  <si>
    <t>p336.1d&amp;e</t>
  </si>
  <si>
    <t>ADIT net of FASB 106 and 109</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</si>
  <si>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</si>
  <si>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</si>
  <si>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</si>
  <si>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</si>
  <si>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</si>
  <si>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</si>
  <si>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Net Transmission Plant</t>
  </si>
  <si>
    <t>Line #</t>
  </si>
  <si>
    <t>Life</t>
  </si>
  <si>
    <t>CIAC</t>
  </si>
  <si>
    <t>Details</t>
  </si>
  <si>
    <t>Invest Yr</t>
  </si>
  <si>
    <t>No</t>
  </si>
  <si>
    <t>Yes</t>
  </si>
  <si>
    <t>FCR if a CIAC</t>
  </si>
  <si>
    <t>FCR for This Project</t>
  </si>
  <si>
    <t xml:space="preserve">Line B less Line A </t>
  </si>
  <si>
    <t>To Line 45</t>
  </si>
  <si>
    <t>Amount of transmission plant excluded from rates per Attachment 5.</t>
  </si>
  <si>
    <t>Subtotal - p275</t>
  </si>
  <si>
    <t>Total Form No. 1 (p 266 &amp; 267)</t>
  </si>
  <si>
    <t>Investment</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</si>
  <si>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</si>
  <si>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</si>
  <si>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</si>
  <si>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</si>
  <si>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</si>
  <si>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</si>
  <si>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</si>
  <si>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</si>
  <si>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</si>
  <si>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</si>
  <si>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</si>
  <si>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</si>
  <si>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</si>
  <si>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</si>
  <si>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</si>
  <si>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</si>
  <si>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</si>
  <si>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</si>
  <si>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</si>
  <si>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</si>
  <si>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</si>
  <si>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</si>
  <si>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Network Zonal Service Rate</t>
  </si>
  <si>
    <t>Net Zonal Revenue Requirement</t>
  </si>
  <si>
    <t>FERC Form 1  Page # or Instruction</t>
  </si>
  <si>
    <t>Electric Portion</t>
  </si>
  <si>
    <t>EPRI Dues</t>
  </si>
  <si>
    <t>MultiState Workpaper</t>
  </si>
  <si>
    <t>Form 1 Amount</t>
  </si>
  <si>
    <t>Non-electric  Portion</t>
  </si>
  <si>
    <t>Transmission Related</t>
  </si>
  <si>
    <t>Expensed Lease in Form 1 Amount</t>
  </si>
  <si>
    <t>Safety Related</t>
  </si>
  <si>
    <t>Enter Calculation</t>
  </si>
  <si>
    <t>State 1</t>
  </si>
  <si>
    <t>State 2</t>
  </si>
  <si>
    <t>State 3</t>
  </si>
  <si>
    <t>State 4</t>
  </si>
  <si>
    <t>State 5</t>
  </si>
  <si>
    <t>Education &amp; Outreach</t>
  </si>
  <si>
    <t>Other</t>
  </si>
  <si>
    <t>Enter $</t>
  </si>
  <si>
    <t>Description of the Facilities</t>
  </si>
  <si>
    <t>Add more lines if necessary</t>
  </si>
  <si>
    <t>General Description of the Facilities</t>
  </si>
  <si>
    <t>General Description of the Credits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</si>
  <si>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</si>
  <si>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</si>
  <si>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</si>
  <si>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</si>
  <si>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</si>
  <si>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</si>
  <si>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</si>
  <si>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</si>
  <si>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</si>
  <si>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</si>
  <si>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</si>
  <si>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</si>
  <si>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</si>
  <si>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</si>
  <si>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p112.17c through 21c</t>
  </si>
  <si>
    <t>Net Revenue Requirement Less Return and Taxes</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</si>
  <si>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</si>
  <si>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</si>
  <si>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</si>
  <si>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</si>
  <si>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</si>
  <si>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</si>
  <si>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</si>
  <si>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</si>
  <si>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</si>
  <si>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</si>
  <si>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</si>
  <si>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</si>
  <si>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</si>
  <si>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</si>
  <si>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</si>
  <si>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</si>
  <si>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</si>
  <si>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</si>
  <si>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</si>
  <si>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</si>
  <si>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</si>
  <si>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</si>
  <si>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</si>
  <si>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</si>
  <si>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</si>
  <si>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</si>
  <si>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</si>
  <si>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</si>
  <si>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</si>
  <si>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</si>
  <si>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</si>
  <si>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</si>
  <si>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</si>
  <si>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</si>
  <si>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</si>
  <si>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</si>
  <si>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</si>
  <si>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</si>
  <si>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</si>
  <si>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</si>
  <si>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</si>
  <si>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</si>
  <si>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</si>
  <si>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</si>
  <si>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</si>
  <si>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</si>
  <si>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 xml:space="preserve">Real property (State, Municipal or Local) </t>
  </si>
  <si>
    <t>TO adds weighted Cap Adds to plant in service in Formula</t>
  </si>
  <si>
    <t>Rev Req based on Prior Year data</t>
  </si>
  <si>
    <t xml:space="preserve">     Plus Schedule 12 Charges billed to Transmission Owner and booked to Account 565</t>
  </si>
  <si>
    <t>Increased Return and Taxes</t>
  </si>
  <si>
    <t>Interest rate for</t>
  </si>
  <si>
    <t>Plus any increased ROE calculated on Attachment 7 other than PJM Sch. 12 projects</t>
  </si>
  <si>
    <t>Facility Credits under Section 30.9 of the PJM OATT and Facility Credits to Vineland per settlement in ER05-515</t>
  </si>
  <si>
    <t>ATTACHMENT H-3D</t>
  </si>
  <si>
    <t>Attachment 5a - Allocations of Costs to Affiliate</t>
  </si>
  <si>
    <t>Delmarva</t>
  </si>
  <si>
    <t>Atlantic</t>
  </si>
  <si>
    <t>Power</t>
  </si>
  <si>
    <t>City</t>
  </si>
  <si>
    <t>Pepco</t>
  </si>
  <si>
    <t>Non - Regulated</t>
  </si>
  <si>
    <t>Executive Management</t>
  </si>
  <si>
    <t>Building Services</t>
  </si>
  <si>
    <t>Cost of Benefits</t>
  </si>
  <si>
    <t>Legal Services</t>
  </si>
  <si>
    <t>Audit Services</t>
  </si>
  <si>
    <t>Information Technology</t>
  </si>
  <si>
    <t>Internal Consulting Services</t>
  </si>
  <si>
    <t>Interns</t>
  </si>
  <si>
    <t>B0494.1-4 Red Lion-Keeney</t>
  </si>
  <si>
    <t>B0241.1-.2 Red Lion-Keeney</t>
  </si>
  <si>
    <t>The Reconciliation in Step 7</t>
  </si>
  <si>
    <t>As provided for in Section 34.1 of the PJM OATT and the PJM established billing determinants will not be revised or updated in the annual rate reconciliations per settlement in ER05-515.</t>
  </si>
  <si>
    <t>Securitization bonds may be included in the capital structure per settlement in ER05-515.</t>
  </si>
  <si>
    <t>Rent from Electric Property - Transmission Related (Note 3)</t>
  </si>
  <si>
    <t>Account 456 - Other Electric Revenues (Note 1)</t>
  </si>
  <si>
    <t>Net revenues associated with Network Integration Transmission Service (NITS) for which the load is not included in the divisor (difference between NITS credits from PJM and PJM NITS charges paid by Transmission Owner) (Note 4)</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</si>
  <si>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</si>
  <si>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</si>
  <si>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</si>
  <si>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</si>
  <si>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</si>
  <si>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Plus amortized extraordinary property loss</t>
  </si>
  <si>
    <t>Attachment 2</t>
  </si>
  <si>
    <t>p117.62c through 67c</t>
  </si>
  <si>
    <t>p111.81c</t>
  </si>
  <si>
    <t>p113.61c</t>
  </si>
  <si>
    <t>p112.3c</t>
  </si>
  <si>
    <t xml:space="preserve">  elected to use amortization of tax credits against taxable income, rather than book tax credits to Account No. 255 and reduce </t>
  </si>
  <si>
    <t>Subtotal</t>
  </si>
  <si>
    <t>In filling out this attachment, a full and complete description of each item and justification for the allocation to Columns C-F and each separate ADIT item will be listed. Dissimilar items</t>
  </si>
  <si>
    <t>Note: ADIT associated with Gain or Loss on Reacquired Debt is included in Column A here and included in Cost of Debt on Appendix A, Line 111</t>
  </si>
  <si>
    <t>Point to Point Service revenues for which the load is not included in the divisor received by Transmission Owner (Note 4)</t>
  </si>
  <si>
    <t>1.  ADIT items related only to Non-Electric Operations (e.g., Gas, Water, Sewer) or Production are directly assigned to Column C</t>
  </si>
  <si>
    <t>2.  ADIT items related only to Transmission are directly assigned to Column D</t>
  </si>
  <si>
    <t>Total Account 454, 456 and 456.1</t>
  </si>
  <si>
    <t>5. Deferred income taxes arise when items are included in taxable income in different periods than they are included in rates, therefore if the item giving rise to the ADIT is not included in the formula, the associated ADIT amount shall be excluded</t>
  </si>
  <si>
    <t>Fixed Charge Rate (FCR) if not a CIAC</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</si>
  <si>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</si>
  <si>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</si>
  <si>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</si>
  <si>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</si>
  <si>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</si>
  <si>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TO populates the formula with Year 2 data from FERC Form 1 for Year 2 (e.g., 2005)</t>
  </si>
  <si>
    <t>Results of Step 9 go into effect for the Rate Year 2 (e.g., June 1, 2006 - May 31, 2007)</t>
  </si>
  <si>
    <t>(Year 2 data with total of Year 2 Cap Adds removed and monthly weighted average of Year 2 actual Cap Adds added in)</t>
  </si>
  <si>
    <t>Interest rate pursuant to 35.19a for March of the Current Yr</t>
  </si>
  <si>
    <t>March of the Current Yr</t>
  </si>
  <si>
    <t>Amortization over Rate Year</t>
  </si>
  <si>
    <t>Revenues included in lines 1-11 which are subject to 50/50 sharing.</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</si>
  <si>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173 of Appendix A.</t>
  </si>
  <si>
    <t>Other taxes that are assessed based on labor will be allocated based on the Wages and Salary Allocator</t>
  </si>
  <si>
    <t>Excludes prior period adjustments in the first year of the formula's operation and reconciliation for the first year</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</si>
  <si>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the revenues and costs associated with each secondary use (except for the cost of the associated income taxes).</t>
  </si>
  <si>
    <t>(Note J from Appendix A)</t>
  </si>
  <si>
    <t>(Note I from Appendix A)</t>
  </si>
  <si>
    <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</si>
  <si>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Attachment 4 - Calculation of 100 Basis Point Increase in ROE</t>
  </si>
  <si>
    <t>Return and Taxes with 100 Basis Point increase in ROE</t>
  </si>
  <si>
    <t>100 Basis Point increase in ROE and Income Taxes</t>
  </si>
  <si>
    <t>Appendix A % plus 100 Basis Pts</t>
  </si>
  <si>
    <t xml:space="preserve">Pension Liabilities, if any, in Account 242 </t>
  </si>
  <si>
    <t>(adjusted to include any Reconciliation amount from prior year)</t>
  </si>
  <si>
    <t>Increased ROE (Basis Points)</t>
  </si>
  <si>
    <t>W Increased ROE</t>
  </si>
  <si>
    <t>The forecast in Prior Year</t>
  </si>
  <si>
    <t>Total with interest</t>
  </si>
  <si>
    <t>True-up amount</t>
  </si>
  <si>
    <t>Calculation of the above Securitization Adjustments</t>
  </si>
  <si>
    <t xml:space="preserve">Taxes Other than Income                                                    </t>
  </si>
  <si>
    <t>Account 454 - Rent from Electric Property</t>
  </si>
  <si>
    <t>Total Rent Revenues</t>
  </si>
  <si>
    <t>Revenue Adjustment to determine Revenue Credit</t>
  </si>
  <si>
    <t>See Form 1</t>
  </si>
  <si>
    <t>None</t>
  </si>
  <si>
    <t>Shaded cells are input cells</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</si>
  <si>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</si>
  <si>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</si>
  <si>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</si>
  <si>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</si>
  <si>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</si>
  <si>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</si>
  <si>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</si>
  <si>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</si>
  <si>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</si>
  <si>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</si>
  <si>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Allowance for Doubtful Accounts</t>
  </si>
  <si>
    <t>Environmental Expense</t>
  </si>
  <si>
    <t>Merger Costs</t>
  </si>
  <si>
    <t>Deferred Fuel</t>
  </si>
  <si>
    <t>Deferred ITC</t>
  </si>
  <si>
    <t>Reacquired Debt</t>
  </si>
  <si>
    <t>Delmarva Power &amp; Light Company</t>
  </si>
  <si>
    <t>Federal/State Excise</t>
  </si>
  <si>
    <t>Gross Receipts</t>
  </si>
  <si>
    <t>Difference</t>
  </si>
  <si>
    <t>MD</t>
  </si>
  <si>
    <t>PA</t>
  </si>
  <si>
    <t>VA</t>
  </si>
  <si>
    <t>DE</t>
  </si>
  <si>
    <t>DPL zone</t>
  </si>
  <si>
    <t>Less FASB 109 Above if not separately removed</t>
  </si>
  <si>
    <t>Less FASB 106 Above if not separately removed</t>
  </si>
  <si>
    <t>(Sum Lines 2-10)</t>
  </si>
  <si>
    <t>Specific identification based on plant records:  The following plant investments are included:</t>
  </si>
  <si>
    <t>The FCR resulting from Formula in a given year is used for that year only.</t>
  </si>
  <si>
    <t>All EPRI Annual Membership Dues</t>
  </si>
  <si>
    <t xml:space="preserve">Regulatory Commission Expenses directly related to transmission service, RTO filings, or transmission siting itemized in Form 1 at 351.h. </t>
  </si>
  <si>
    <t>Total Revenue Credits</t>
  </si>
  <si>
    <t>(Sum Line 1)</t>
  </si>
  <si>
    <t>Attachment 1 - Accumulated Deferred Income Taxes (ADIT) Worksheet Tax Detail</t>
  </si>
  <si>
    <t>6.  Re:  Form 1-F filer:  Sum of subtotals for Accounts 282 and 283 should tie to Form No. 1-F, p.113.57.c</t>
  </si>
  <si>
    <t>Subtotal - p277  (Form 1-F filer:  see note 6, below)</t>
  </si>
  <si>
    <t>See Form 1, electric only.</t>
  </si>
  <si>
    <t>See FERC Form 2, Page 337, Line 1, Column h for non-electric portion.</t>
  </si>
  <si>
    <t>State Franchise Tax</t>
  </si>
  <si>
    <t>OPEB</t>
  </si>
  <si>
    <t>Instructions:</t>
  </si>
  <si>
    <t>If unable to determine the investment below 69kV in a substation with investment of 69 kV and higher as well as below 69 kV,</t>
  </si>
  <si>
    <t>the following formula will be used:</t>
  </si>
  <si>
    <t>Total investment in substation</t>
  </si>
  <si>
    <t>Amount to be excluded (A x (C / (B + C)))</t>
  </si>
  <si>
    <t>Example</t>
  </si>
  <si>
    <t>Amortization to line 133 of Appendix A</t>
  </si>
  <si>
    <t>Revenue Requirement for Year 3</t>
  </si>
  <si>
    <t>Year 3</t>
  </si>
  <si>
    <t>Remove all Cap Adds placed in service in Year 2</t>
  </si>
  <si>
    <t xml:space="preserve">For Reconciliation only - remove New Transmission Plant Additions for Current Calendar Year  </t>
  </si>
  <si>
    <t>(Line 127 + Line 138)</t>
  </si>
  <si>
    <t>Year 2</t>
  </si>
  <si>
    <t>"(Line 100 - line 101)"</t>
  </si>
  <si>
    <t>Formula Rate - Appendix A</t>
  </si>
  <si>
    <t>3.  ADIT items related to Plant and not in Columns C &amp; D are included in Column E</t>
  </si>
  <si>
    <t>4.  ADIT items related to labor and not in Columns C &amp; D are included in Column F</t>
  </si>
  <si>
    <t>Rev Req based on Year 1 data</t>
  </si>
  <si>
    <t>Year 1</t>
  </si>
  <si>
    <t xml:space="preserve">Must run Appendix A with cap adds in line 21 &amp; line 20 </t>
  </si>
  <si>
    <t>Schedule 12</t>
  </si>
  <si>
    <t>For Reconciliation Only</t>
  </si>
  <si>
    <t>Attachment 6 - Enter Negative</t>
  </si>
  <si>
    <t>Attachment 7</t>
  </si>
  <si>
    <t xml:space="preserve">Exclude Construction Work In Progress and leases that are expensed as O&amp;M (rather than amortized).  New Transmission plant </t>
  </si>
  <si>
    <t>that is expected to be placed in service in the current calendar year weighted by number of months it is expected to be in-service.  New Transmission plant expected</t>
  </si>
  <si>
    <t>to be placed in service in the current calendar year that is not included in the PJM Regional Transmission Plan (RTEP) must be separately detailed on Attachment 5.</t>
  </si>
  <si>
    <t>For the Reconciliation, new transmission plant that was actually placed in service weighted by the number of months it was actually in service</t>
  </si>
  <si>
    <t>Net Revenues  (17a - 17b)</t>
  </si>
  <si>
    <t>50% Share of Net Revenues  (17c / 2)</t>
  </si>
  <si>
    <t>Net Revenue Credit (17d + 17e)</t>
  </si>
  <si>
    <t>Prepaid Pensions if not included in Prepayments</t>
  </si>
  <si>
    <t>Modified Wages &amp; Salaries Allocator</t>
  </si>
  <si>
    <t>Post results of Step 3 on PJM web site</t>
  </si>
  <si>
    <t>Post results of Step 9 on PJM web site</t>
  </si>
  <si>
    <t>Gross Revenue Credits</t>
  </si>
  <si>
    <t>Other taxes that are incurred through ownership of only general or intangible plant will be allocated based on the Wages and Salary</t>
  </si>
  <si>
    <t xml:space="preserve">Other taxes that are incurred through ownership of plant including transmission plant will be allocated based on the Gross Plant </t>
  </si>
  <si>
    <t>Description of the Prepayments</t>
  </si>
  <si>
    <t xml:space="preserve">Sales and Use </t>
  </si>
  <si>
    <t xml:space="preserve">      Less ADIT associated with Gain or Loss</t>
  </si>
  <si>
    <t>Transmission O&amp;M Reserves</t>
  </si>
  <si>
    <t>Enter Negative</t>
  </si>
  <si>
    <t>Total Balance Transmission Related Account 242 Reserves</t>
  </si>
  <si>
    <t>with amounts exceeding $100,000 will be listed separately.</t>
  </si>
  <si>
    <t>Attachment 1- Accumulated Deferred Income Taxes (ADIT) Worksheet</t>
  </si>
  <si>
    <t>ADITC-255</t>
  </si>
  <si>
    <t>Item</t>
  </si>
  <si>
    <t>Amortization</t>
  </si>
  <si>
    <t>Rate Base Treatment</t>
  </si>
  <si>
    <t>Balance to line 41 of Appendix A</t>
  </si>
  <si>
    <t>Difference  /1</t>
  </si>
  <si>
    <t>/1 Difference must be zero</t>
  </si>
  <si>
    <t>Criteria for Allocation:</t>
  </si>
  <si>
    <t xml:space="preserve">Wages &amp; Salary Allocator </t>
  </si>
  <si>
    <t>Attachment 5 - Cost Support</t>
  </si>
  <si>
    <t>Transmission Related Account 242 Reserves</t>
  </si>
  <si>
    <t>Allocation</t>
  </si>
  <si>
    <t>Directly Assignable to Transmission</t>
  </si>
  <si>
    <t>Labor Related, General plant related or Common Plant related</t>
  </si>
  <si>
    <t>Identifiable investment in Transmission (provide workpapers)</t>
  </si>
  <si>
    <t>Identifiable investment in Distribution (provide workpapers)</t>
  </si>
  <si>
    <t>Or</t>
  </si>
  <si>
    <t>17a</t>
  </si>
  <si>
    <t>17b</t>
  </si>
  <si>
    <t>17c</t>
  </si>
  <si>
    <t>17d</t>
  </si>
  <si>
    <t>17e</t>
  </si>
  <si>
    <t>17f</t>
  </si>
  <si>
    <t>Utility Tax for Delmarva</t>
  </si>
  <si>
    <t>Excluded</t>
  </si>
  <si>
    <t xml:space="preserve">Prepayments </t>
  </si>
  <si>
    <t xml:space="preserve">Attachment 5 </t>
  </si>
  <si>
    <t>Total Transmission Related Reserves</t>
  </si>
  <si>
    <t xml:space="preserve">    Less LTD Interest on Securitization Bonds</t>
  </si>
  <si>
    <t>Line 17f less line 17a</t>
  </si>
  <si>
    <t>Costs associated with revenues in line 17a</t>
  </si>
  <si>
    <t xml:space="preserve">Amount </t>
  </si>
  <si>
    <t>17g</t>
  </si>
  <si>
    <t>Less line 17g</t>
  </si>
  <si>
    <t>Attachment A Line #s, Descriptions, Notes, Form 1 Page #s and Instructions</t>
  </si>
  <si>
    <t>Or Other</t>
  </si>
  <si>
    <t>Claims Reserve</t>
  </si>
  <si>
    <t>p335.b</t>
  </si>
  <si>
    <t>Less extraordinary property loss</t>
  </si>
  <si>
    <t>Extraordinary Property Loss</t>
  </si>
  <si>
    <t>Justification</t>
  </si>
  <si>
    <t>Number of years</t>
  </si>
  <si>
    <t>Input to Formula Line 21</t>
  </si>
  <si>
    <t>Input to Formula Line 20</t>
  </si>
  <si>
    <t>B0567 Mt.Pleasant-Townsend</t>
  </si>
  <si>
    <t>B0483.1-.3 Oak Hall-Wattsville</t>
  </si>
  <si>
    <t>B0320 Cool Springs</t>
  </si>
  <si>
    <t>Result of Formula for Reconciliation</t>
  </si>
  <si>
    <t xml:space="preserve">  Attachment 5 the name of each state and how the blended or composite SIT was developed.  Furthermore, a utility that</t>
  </si>
  <si>
    <t>Attachment 6 - Estimate and Reconciliation Worksheet</t>
  </si>
  <si>
    <t>w/ interest</t>
  </si>
  <si>
    <t>Materials Reserve</t>
  </si>
  <si>
    <t>Charitable Contributions</t>
  </si>
  <si>
    <t>Property Taxes</t>
  </si>
  <si>
    <t>Blueprint for the Future</t>
  </si>
  <si>
    <t>p354.21.b</t>
  </si>
  <si>
    <t>p354.28b</t>
  </si>
  <si>
    <t>p354.27b</t>
  </si>
  <si>
    <t>p200.3.c</t>
  </si>
  <si>
    <t>CWIP will be linked to Attachment 6 which shows detail support by project (incentive and non-incentive).</t>
  </si>
  <si>
    <t>Q</t>
  </si>
  <si>
    <t>ACE capital structure is initially fixed at 50% common equity and 50% debt per settlement in ER05-515 subject to moratorium provisions in the settlement.</t>
  </si>
  <si>
    <t>R</t>
  </si>
  <si>
    <t>Per the settlement in ER05-515, the facility credits of $15,000 per month paid to Vineland will increase to $37,500 per month (prorated for partial months)</t>
  </si>
  <si>
    <t>effective on the date FERC approves the settlement in ER05-515.</t>
  </si>
  <si>
    <t>Note 4: SECA revenues booked in Account 447.</t>
  </si>
  <si>
    <t>43a</t>
  </si>
  <si>
    <t>Transmission Related CWIP (Current Year 12 Month weighted average balances)</t>
  </si>
  <si>
    <t>(Note B)</t>
  </si>
  <si>
    <t>p216.43.b as Shown on Attachment 6</t>
  </si>
  <si>
    <t>TO populates the formula with Year 1 data from FERC Form 1 data for Year 1 (e.g., 2004)</t>
  </si>
  <si>
    <t>TO estimates all transmission Cap Adds and CWIP for Year 2 weighted based on Months expected to be in service in Year 2 (e.g., 2005)</t>
  </si>
  <si>
    <t>Results of Step 3 go into effect for the Rate Year 1 (e.g., June 1, 2005 - May 31, 2006)</t>
  </si>
  <si>
    <t>Reconciliation - TO calculates Reconciliation by removing from Year 2 data - the total Cap Adds placed in service in Year 2 and adding weighted average in Year 2 actual Cap Adds and CWIP in Reconciliation</t>
  </si>
  <si>
    <t>TO estimates Cap Adds and CWIP during Year 3 weighted based on Months expected to be in service in Year 3 (e.g., 2006)</t>
  </si>
  <si>
    <t>Reconciliation - TO adds the difference between the Reconciliation in Step 7 and the forecast in Line 5 with interest to the result of Step 7 (this difference is also added to Step 8 in the subsequent year)</t>
  </si>
  <si>
    <t>Must run Appendix A to get this number (without inputs in lines 20, 21 or 43a of Appendix A )</t>
  </si>
  <si>
    <t>(A)</t>
  </si>
  <si>
    <t>(B)</t>
  </si>
  <si>
    <t>(C )</t>
  </si>
  <si>
    <t>(D)</t>
  </si>
  <si>
    <t>(E)</t>
  </si>
  <si>
    <t>(F)</t>
  </si>
  <si>
    <t>(G)</t>
  </si>
  <si>
    <t>(H)</t>
  </si>
  <si>
    <t>(I)</t>
  </si>
  <si>
    <t>(J)</t>
  </si>
  <si>
    <t>(K)</t>
  </si>
  <si>
    <t>(L)</t>
  </si>
  <si>
    <t>(M)</t>
  </si>
  <si>
    <t>Monthly Additions</t>
  </si>
  <si>
    <t>Other Plant In Service</t>
  </si>
  <si>
    <t>MAPP CWIP</t>
  </si>
  <si>
    <t>MAPP In Service</t>
  </si>
  <si>
    <t>Amount (A x E)</t>
  </si>
  <si>
    <t>Amount (B x E)</t>
  </si>
  <si>
    <t>Amount (C x E)</t>
  </si>
  <si>
    <t>Amount (D x E)</t>
  </si>
  <si>
    <t>(F / 12)</t>
  </si>
  <si>
    <t>(G / 12)</t>
  </si>
  <si>
    <t>(H / 12)</t>
  </si>
  <si>
    <t>(I / 12)</t>
  </si>
  <si>
    <t>New Transmission Plant Additions  and CWIP (weighted by months in service)</t>
  </si>
  <si>
    <t>Input to Line 21 of Appendix A</t>
  </si>
  <si>
    <t>Input to Line 43a of Appendix A</t>
  </si>
  <si>
    <t>Month In Service or Month for CWIP</t>
  </si>
  <si>
    <t>Must run Appendix A to get this number (with inputs on lines 21 and 43a of Attachment A)</t>
  </si>
  <si>
    <t>Interest rate from above</t>
  </si>
  <si>
    <t>The difference between the Reconciliation in Step 7 and the forecast in Prior Year with interest</t>
  </si>
  <si>
    <t>Rev Req based on Year 2 data with estimated Cap Adds and CWIP for Year 3 (Step 8)</t>
  </si>
  <si>
    <t>"Yes" if a project under PJM OATT Schedule 12, otherwise "No"</t>
  </si>
  <si>
    <t>Useful life of project</t>
  </si>
  <si>
    <t>"Yes" if the customer has paid a lump sum payment in the amount of the investment on line 18, Otherwise "No"</t>
  </si>
  <si>
    <t>Input the allowed ROE Incentive</t>
  </si>
  <si>
    <t xml:space="preserve">Reflects deferred taxes generated on Delmarva Power &amp; Light Company /Atlantic City Electric Company merger costs deducted for tax purposes.  For books these costs were capitalized. Pension related and therefore labor related. </t>
  </si>
  <si>
    <t>Distribution Related</t>
  </si>
  <si>
    <t>Under the Tax Reform Act of 1986, taxpayers were required to switch from the reserve method for bad debts to the specific write-off method.  The amounts previously accumulated in a reserve were required to be included in taxable income over a four year period.  The reserve method is used for book purposes.  Related to all revenues.</t>
  </si>
  <si>
    <t>PHI's consolidated return is in an NOL situation, therefore, Pepco's charitable contributions are carried forward until such time as PHI is in a taxable income position.  For book purposes, the contributions are expensed when incurred.  Related to all functions.</t>
  </si>
  <si>
    <t>These deferred taxes are the result of a deduction taken for book purposes to set aside a reserve for environmental site clean-up expenses.  For tax no deduction is permitted until the "all events" test is met, typically when economic performance has occurred.</t>
  </si>
  <si>
    <t>Difference between actual fuel expense as compared to the fuel expense computed in accordance with fuel adjustment clause formulas as deferred on books.  In accordance with Section 162 Ordinary and Necessary Business Expenses and Section 461 Rules for Taxable year of Deduction, fuel costs are deductible in the year incurred for federal tax purposes. Rate surcharges are includible in the taxable year the underlying monthly bill is adjusted. Refunds are deductible in the taxable year that the liability is fixed and economic performance has occurred.  These deferred taxes are the result of this book/tax difference.  Generation Related.</t>
  </si>
  <si>
    <t>Federal and State NOL</t>
  </si>
  <si>
    <t>Post 1980</t>
  </si>
  <si>
    <t>Pre 1981</t>
  </si>
  <si>
    <t>ADIT-282</t>
  </si>
  <si>
    <t xml:space="preserve">BO272.1 Keeney 500kV Sub </t>
  </si>
  <si>
    <t>BO751 Keeney - Additional Breakers on 500kV Bus</t>
  </si>
  <si>
    <t xml:space="preserve">BO566 Trappe Tap - Todd </t>
  </si>
  <si>
    <t>Procurement &amp; Administrative Services</t>
  </si>
  <si>
    <t>Financial Services &amp; Corporate Expenses</t>
  </si>
  <si>
    <t>Insurance Coverage and Services</t>
  </si>
  <si>
    <t>Human Resources</t>
  </si>
  <si>
    <t>Customer Services</t>
  </si>
  <si>
    <t>External Affairs</t>
  </si>
  <si>
    <t>Environmental Services</t>
  </si>
  <si>
    <t>Safety Services</t>
  </si>
  <si>
    <t>43b</t>
  </si>
  <si>
    <t>Unamortized Abandoned Transmission Plant</t>
  </si>
  <si>
    <t>86a</t>
  </si>
  <si>
    <t>Amortization of Abandoned Transmission Plant</t>
  </si>
  <si>
    <t>Per FERC Order</t>
  </si>
  <si>
    <t>Months Remaining in Amortization Period</t>
  </si>
  <si>
    <t>Months in Year to be Amortized</t>
  </si>
  <si>
    <t>When a regulatory asset/liability is established, books credit/debit income, which for tax purposes needs to be reversed along with the associated amortization.</t>
  </si>
  <si>
    <t xml:space="preserve">Reflects the deferred taxes generated as a result of the tax deductions taken for the cost to reacquire debt.  For book purposes, these amounts were recorded as an asset in account 189 and are amortized over future periods.  </t>
  </si>
  <si>
    <t>Amortization of COPCO acquisition adjustment. Beginning unamortized balance $40,456,550.00 represents recovery of the regulatory asset per Docket 9093, Order 81518, refers to MD Docket 8583, Order 71719; offset account 114000 Plant Acq Adj.  Amortizing monthly.  Fully amortized in 2010.</t>
  </si>
  <si>
    <t>Reg Asset - Transmission MAPP</t>
  </si>
  <si>
    <t>BO733 Harmony Add 2nd 230/138 Auto Tr</t>
  </si>
  <si>
    <t>For books, Demand Side Management Costs are deferred.   For tax these costs are expensed when paid.  These deferred taxes are the result of this book/tax difference which is retail in nature.</t>
  </si>
  <si>
    <t>check</t>
  </si>
  <si>
    <t>171a</t>
  </si>
  <si>
    <t>MAPP Abandonment recovery pursuant to ER13-607</t>
  </si>
  <si>
    <t>Abandoned Tranmission Plant</t>
  </si>
  <si>
    <t>Beginning Balance of Unamortized Transmission Plant</t>
  </si>
  <si>
    <t>Monthly Ammortization</t>
  </si>
  <si>
    <t>A/B</t>
  </si>
  <si>
    <t>Amortization in Rate Year</t>
  </si>
  <si>
    <t>C*D</t>
  </si>
  <si>
    <t>Line 86a</t>
  </si>
  <si>
    <t>Deductions</t>
  </si>
  <si>
    <t>End of Year Balance in Unamortized Transmission Plant</t>
  </si>
  <si>
    <t>A-E-F</t>
  </si>
  <si>
    <t>Line 43b</t>
  </si>
  <si>
    <t>DPL</t>
  </si>
  <si>
    <t>2013-14 rate period</t>
  </si>
  <si>
    <t>2015-16 rate period</t>
  </si>
  <si>
    <t>2014-15 rate period</t>
  </si>
  <si>
    <t>Utility Communication Services</t>
  </si>
  <si>
    <t>Regulated Electric &amp; Gas T&amp;D</t>
  </si>
  <si>
    <t>Represents deferred taxes on MAPP abandonment costs that are currently deductible for income tax purposes, versus amounts included in the MAPP Regulatory Asset that are amortized to book expense over a longer time period</t>
  </si>
  <si>
    <t>Merrill Creek</t>
  </si>
  <si>
    <t>These deferred taxes are the result of rent being recorded ratably over the life of the lease for book purposes. For tax, rent is deductible when economic performance occurs. This asset is Generation related.
This contra account represents an adjustment to the Merrill Creek Rent deferred tax generated relating to rent deductible for tax purposes upon economic performance.
This represents deferred tax generated as a result of an extraordinary charge deducted for books relating to impaired assets due to the effects of deregulation.  For tax purposes, the impairment did not give rise to a tax deduction.  Deductions for tax are nondeductable.
This contra account represents an adjustment to the Merrill Creek Excess Capacity deferred tax generated relating to impaired assets due to the effects of deregulation.</t>
  </si>
  <si>
    <t>Other (190)</t>
  </si>
  <si>
    <t>Other Labor Related Accruals</t>
  </si>
  <si>
    <t>Reg Liab - FERC Formula Adj.</t>
  </si>
  <si>
    <t>Reg Liab - Other</t>
  </si>
  <si>
    <t>Renewable Energy Credits</t>
  </si>
  <si>
    <t>FAS 109 Deferred Taxes - 190</t>
  </si>
  <si>
    <t>Plant Related - APB 11 Deferred Taxes</t>
  </si>
  <si>
    <t>Pension</t>
  </si>
  <si>
    <t>Reg Asset - DSM</t>
  </si>
  <si>
    <t>Reg Asset - FERC Formula Rate Adj.</t>
  </si>
  <si>
    <t>FAS 109 Deferred Taxes - 283</t>
  </si>
  <si>
    <t>Compliance with FERC Order on the Exelon Merger</t>
  </si>
  <si>
    <t>Non Merger Related</t>
  </si>
  <si>
    <t>ARO Exclusion - Cost Support</t>
  </si>
  <si>
    <t>ARO's</t>
  </si>
  <si>
    <t>Non-ARO's</t>
  </si>
  <si>
    <t>p207.104g (see attachment 5)</t>
  </si>
  <si>
    <t>p219.29c (see attachment 5)</t>
  </si>
  <si>
    <t>p205.5.g &amp; p207.99.g (see attachment 5)</t>
  </si>
  <si>
    <t>p219.28.c  (see attachment 5)</t>
  </si>
  <si>
    <t>p321.112.b (see attachment 5)</t>
  </si>
  <si>
    <t>p323.197.b (see attachment 5)</t>
  </si>
  <si>
    <t>See ARO Exclusion - Cost Support section below for Electric Plant in Servie without AROs</t>
  </si>
  <si>
    <t>B1247 Glasgow - Cecil 138 kV Circuit Rebuild</t>
  </si>
  <si>
    <t>Supporting documentation for FERC Form 1 reconciliation</t>
  </si>
  <si>
    <t>FERC Form 1 page 351 lines 7 (h) and 8 (h)</t>
  </si>
  <si>
    <t>enter</t>
  </si>
  <si>
    <t>enter details</t>
  </si>
  <si>
    <t xml:space="preserve">  Prepaid Pension is recorded in FERC account 186 (see FERC Form 1 page 233).</t>
  </si>
  <si>
    <t>96.973% Electric, 3.027% Non-Electric</t>
  </si>
  <si>
    <t xml:space="preserve">These deferred taxes are the result of a deduction taken for book purposes to set aside a reserve for General and Auto liability claims.  For tax no deduction is permitted until the "all events" test is met, typically when payment is made.  </t>
  </si>
  <si>
    <t>Pursuant to the requirements of FAS 109, DPL’s accumulated deferred taxes must encompass all timing differences regardless of whether the difference is normalized or flowed-through.  These balances primarily represent the deferred taxes on prior flow-through items, including the amount of the required gross-up necessary for full recovery of the prior flow-through amount. Related to all plant.  These items are removed below.</t>
  </si>
  <si>
    <t>FAS No. 106 requires accrual basis instead of cash basis accounting for post retirement health care and life insurance benefits for book purposes.  Amounts paid to participants or funded through the VEBA or 401(h) accounts are currently deductible for tax purposes. Affects company personnel across all functions.</t>
  </si>
  <si>
    <t>Related to Gas, Production or Other.</t>
  </si>
  <si>
    <t>Affects company personnel across all functions.</t>
  </si>
  <si>
    <t>Pursuant to the requirements of FAS 109, DPL’s accumulated deferred taxes must encompass all timing differences regardless of whether the difference is normalized or flowed-through.  These balances primarily represent the deferred taxes on prior flow-through items, including the amount of the required gross-up necessary for full recovery of the prior flow-through amount.  Related entirely to plant.  These items are removed below.</t>
  </si>
  <si>
    <t>PHI's consolidated return is in an NOL situation, therefore NOLs are carried forward until such time as PHI is in a taxable income position.   DPL also has stand alone state taxable losses for 2008 forward.  Also includes MD NOL of 6.6M that was created from an amended return.</t>
  </si>
  <si>
    <t>This deferred tax balance relates to our plant and results from life and method differences.  Related to both T &amp; D plant.</t>
  </si>
  <si>
    <t>CIAC - Non Rate Base</t>
  </si>
  <si>
    <t>Leased Vehicles - Non Rate Base</t>
  </si>
  <si>
    <t>Other Plant Related - FAS109 Deferred Taxes</t>
  </si>
  <si>
    <t xml:space="preserve">Transmission FAS 109 AFUDC Equity Deferred Taxes </t>
  </si>
  <si>
    <t xml:space="preserve">Transmission FAS 109 1/1/2005 Deferred Tax Balance </t>
  </si>
  <si>
    <t>This represents deferred tax generated as a result of a deduction taken for amounts set aside in a reserve for book purposes.  For tax no deduction is permitted until economic performance takes place.  These reserves are related to deregulation of Energy.</t>
  </si>
  <si>
    <t>For book purposes, certain real estate taxes were expensed.  For tax purposes, those taxes were capitalized and are being depreciated.  Unregulated related.</t>
  </si>
  <si>
    <t>FAS 109 Deferred Taxes - 283 (AFUDC Equity)</t>
  </si>
  <si>
    <t>FAS 109 Deferred Taxes - 283 (1/1/2005 Balance)</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</si>
  <si>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</si>
  <si>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</si>
  <si>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</si>
  <si>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</si>
  <si>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</si>
  <si>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</si>
  <si>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</si>
  <si>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The ROE is 10.5% which includes a base ROE of 10.0% ROE per FERC order in Docket No. EL13-48 and a 50 basis point RTO membership adder as authorized by FERC: provided, that the projects identified in Docket Nos. ER08-686 and ER08-1423 have been awarded an additional 150 basis point adder and, thus, their ROE is 12.0%.</t>
  </si>
  <si>
    <t>68a</t>
  </si>
  <si>
    <t xml:space="preserve">    For informational purposes: PBOB expense in FERC Account 926</t>
  </si>
  <si>
    <t>(Note S)</t>
  </si>
  <si>
    <t>S</t>
  </si>
  <si>
    <t>See Attachment 5 - Cost Support, section entitled "PBOP Expense in FERC Account 926" for additional information per FERC orders in Docket Nos. EL13-48 , EL15-27 and ER16-456.</t>
  </si>
  <si>
    <t>NJ</t>
  </si>
  <si>
    <t xml:space="preserve">Costs associated with revenues in line 17a </t>
  </si>
  <si>
    <t xml:space="preserve">Revenue Subject to 50/50 sharing (Attachment 3 - line 17a)  </t>
  </si>
  <si>
    <t xml:space="preserve">Federal Income Tax Rate  </t>
  </si>
  <si>
    <t xml:space="preserve">Net Revenue subject to 50/50 sharing  </t>
  </si>
  <si>
    <t xml:space="preserve">Composite State Income Tax Rate  </t>
  </si>
  <si>
    <t xml:space="preserve">Federal Tax on Revenue subject to 50/50 sharing  </t>
  </si>
  <si>
    <t xml:space="preserve">State Tax on Revenue subject to 50/50 sharing  </t>
  </si>
  <si>
    <t xml:space="preserve">Total Tax on Revenue subject to 50/50 sharing  </t>
  </si>
  <si>
    <t>The actuarially determined amount of OPEB expense in FERC 926 increased $.486 million from the prior year;  the increase reflects a $1.4 million increase in amortization of unrecognized gain/loss from assumption change in mortality table and decrease in the discount rate, offset by ($0.9 million) in amortization of prior service cost from plan amendment.  This increase was offset by a $.430 million increase in OPEB costs directly charged to capital or other income deduction accounts (i.e. below the line).</t>
  </si>
  <si>
    <t>(a)</t>
  </si>
  <si>
    <t>(b)</t>
  </si>
  <si>
    <t>(d)</t>
  </si>
  <si>
    <t>(1)</t>
  </si>
  <si>
    <t>(2)</t>
  </si>
  <si>
    <t>(1) + (2)</t>
  </si>
  <si>
    <t>Step 9 - Reconciliation adjustment to reflect ROE Settlement in FERC Docket Nos. EL13-48 , EL15-27 and ER16-456</t>
  </si>
  <si>
    <t>True-up amount - calculated at 11.3% ROE (Reconciliation Steps 1 - 9)</t>
  </si>
  <si>
    <t>True-up amount - calculated at 10.5% ROE (Reconciliation Steps 1 - 9)</t>
  </si>
  <si>
    <t># of days in rate year at 11.3% ROE (June 1, 2015 to March 7, 2016)</t>
  </si>
  <si>
    <t>(c)</t>
  </si>
  <si>
    <t># of days in rate year at 10.5% ROE (March 8, 2016 to May 31, 2016)</t>
  </si>
  <si>
    <t>(e)</t>
  </si>
  <si>
    <t>11.3% ROE proration factor</t>
  </si>
  <si>
    <t>(f)</t>
  </si>
  <si>
    <t>10.5% ROE proration factor</t>
  </si>
  <si>
    <t>(g)</t>
  </si>
  <si>
    <t>Prorated true-up amount at 11.3% ROE</t>
  </si>
  <si>
    <t>(a) x (f)</t>
  </si>
  <si>
    <t>Prorated true-up amount at 10.5% ROE</t>
  </si>
  <si>
    <t>(b) x (g)</t>
  </si>
  <si>
    <t xml:space="preserve">     Adjusted true-up for prorated ROE's</t>
  </si>
  <si>
    <t>ROE Settlement refund per Article II section 2.2</t>
  </si>
  <si>
    <t>(h)</t>
  </si>
  <si>
    <t>Interest associated with rate-year monthly amortization</t>
  </si>
  <si>
    <t>(i)</t>
  </si>
  <si>
    <t xml:space="preserve">     Total ROE Settlement refund</t>
  </si>
  <si>
    <t xml:space="preserve">    Total true-up amount</t>
  </si>
  <si>
    <t xml:space="preserve">     True-up per attachment 6 (step 9 - 11.3% ROE)</t>
  </si>
  <si>
    <t xml:space="preserve">     True-up adjustment (carry to Attachment 6 - step 9)</t>
  </si>
  <si>
    <t>True-up Summary:</t>
  </si>
  <si>
    <t>Total refund per ROE Settlement</t>
  </si>
  <si>
    <t xml:space="preserve">   Total true-up amount</t>
  </si>
  <si>
    <t xml:space="preserve">True-up Adjustment for ROE Settlement </t>
  </si>
  <si>
    <t>Total true-up amount</t>
  </si>
  <si>
    <t>Relates to accruals for the purchase of state renewable energy credits.</t>
  </si>
  <si>
    <t>Contributions in Aid of Construction (CIAC) are a reduction to Plant for book accounting purposes, but are included in taxable income and depeciated for income tax purposes.  This different book/tax treatment results in deferred income taxes which must be recorded in accordance with SFAS 109.  The company collects an income tax gross-up from the customer which is reimbursement for the time value of money on the additional tax liability inccurred until such time as the amounts are fully depreciated for tax purposes.  The deferred income tax asset on CIAC's is excluded from Rate Base because the underlying plant is not included in Rate Base.</t>
  </si>
  <si>
    <t>The Company leases its vehicles under arrangements that are treated as Operating Leases for book purposes, but financing leases for tax purposes.  The differing income tax treatment between Rent Expense deducted for book purposes and tax depreciation expense deducted for income tax purposes, results in deferred income taxes being recorded on the books.  Since Leased Vehicles are not included in Rate Base, the deferred income taxes are being excluded as well.</t>
  </si>
  <si>
    <t>Under SFAS 109, deferred income taxes must be provided on all book/tax temporary differences, including AFUDC-Equity.  Deferred income taxes on AFUDC-Equity are not recognized for Regulatory purposes and are excluded from Rate Base.</t>
  </si>
  <si>
    <t>Apportioned: PA 0.0043%, VA 0.0109%, DE 5.9121%, MD 2.628%, NJ 0.0005%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</si>
</sst>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_(* #,##0.0_);_(* \(#,##0.0\);_(* &quot;-&quot;??_);_(@_)"/>
    <numFmt numFmtId="176" formatCode="_(* #,##0.000_);_(* \(#,##0.000\);_(* &quot;-&quot;???_);_(@_)"/>
    <numFmt numFmtId="177" formatCode="0.000000"/>
    <numFmt numFmtId="178" formatCode="_(* #,##0.0_);_(* \(#,##0.0\);_(* &quot;-&quot;?_);_(@_)"/>
    <numFmt numFmtId="179" formatCode="_(&quot;$&quot;* #,##0.0_);_(&quot;$&quot;* \(#,##0.0\);_(&quot;$&quot;* &quot;-&quot;?_);_(@_)"/>
    <numFmt numFmtId="180" formatCode="#0._)"/>
    <numFmt numFmtId="181" formatCode="_(* #,##0.00000_);_(* \(#,##0.00000\);_(* &quot;-&quot;_);_(@_)"/>
    <numFmt numFmtId="182" formatCode="_(* #,##0.000000_);_(* \(#,##0.000000\);_(* &quot;-&quot;_);_(@_)"/>
  </numFmts>
  <fonts count="16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2"/>
      <color indexed="12"/>
      <name val="Helv"/>
    </font>
    <font>
      <sz val="12"/>
      <name val="Helv"/>
    </font>
    <font>
      <b/>
      <sz val="12"/>
      <name val="Helv"/>
    </font>
    <font>
      <b/>
      <u/>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b/>
      <sz val="9"/>
      <color indexed="10"/>
      <name val="Helv"/>
    </font>
    <font>
      <sz val="9"/>
      <name val="Arial Narrow"/>
      <family val="2"/>
    </font>
    <font>
      <b/>
      <sz val="9"/>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6"/>
      <name val="Arial"/>
      <family val="2"/>
    </font>
    <font>
      <b/>
      <i/>
      <sz val="14"/>
      <name val="Arial Narrow"/>
      <family val="2"/>
    </font>
    <font>
      <b/>
      <i/>
      <sz val="11"/>
      <name val="Arial Narrow"/>
      <family val="2"/>
    </font>
    <font>
      <sz val="9"/>
      <color indexed="10"/>
      <name val="Arial Narrow"/>
      <family val="2"/>
    </font>
    <font>
      <b/>
      <i/>
      <sz val="12"/>
      <name val="Arial Narrow"/>
      <family val="2"/>
    </font>
    <font>
      <sz val="10"/>
      <name val="Arial"/>
      <family val="2"/>
    </font>
    <font>
      <b/>
      <sz val="12"/>
      <color indexed="13"/>
      <name val="Arial Narrow"/>
      <family val="2"/>
    </font>
    <font>
      <sz val="11"/>
      <color indexed="12"/>
      <name val="Arial"/>
      <family val="2"/>
    </font>
    <font>
      <i/>
      <sz val="10"/>
      <name val="Arial"/>
      <family val="2"/>
    </font>
    <font>
      <sz val="9"/>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8"/>
      <name val="Arial Narrow"/>
      <family val="2"/>
    </font>
    <font>
      <b/>
      <sz val="22"/>
      <name val="Arial"/>
      <family val="2"/>
    </font>
    <font>
      <sz val="12"/>
      <color indexed="9"/>
      <name val="Arial Narrow"/>
      <family val="2"/>
    </font>
    <font>
      <sz val="8"/>
      <name val="Arial"/>
      <family val="2"/>
    </font>
    <font>
      <sz val="11"/>
      <name val="Garamond"/>
      <family val="1"/>
    </font>
    <font>
      <b/>
      <i/>
      <sz val="11"/>
      <name val="Garamond"/>
      <family val="1"/>
    </font>
    <font>
      <b/>
      <sz val="11"/>
      <name val="Garamond"/>
      <family val="1"/>
    </font>
    <font>
      <b/>
      <sz val="11"/>
      <color indexed="10"/>
      <name val="Garamond"/>
      <family val="1"/>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10"/>
      <name val="Times New Roman"/>
      <family val="1"/>
    </font>
    <font>
      <sz val="10"/>
      <color indexed="8"/>
      <name val="Arial"/>
      <family val="2"/>
    </font>
    <font>
      <b/>
      <sz val="11"/>
      <color indexed="8"/>
      <name val="Calibri"/>
      <family val="2"/>
    </font>
    <font>
      <i/>
      <sz val="11"/>
      <color indexed="23"/>
      <name val="Calibri"/>
      <family val="2"/>
    </font>
    <font>
      <i/>
      <sz val="11"/>
      <color rgb="FF7F7F7F"/>
      <name val="Calibri"/>
      <family val="2"/>
      <scheme val="minor"/>
    </font>
    <font>
      <sz val="11"/>
      <color indexed="17"/>
      <name val="Calibri"/>
      <family val="2"/>
    </font>
    <font>
      <sz val="11"/>
      <color rgb="FF006100"/>
      <name val="Calibri"/>
      <family val="2"/>
      <scheme val="minor"/>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10"/>
      <color indexed="12"/>
      <name val="Arial"/>
      <family val="2"/>
    </font>
    <font>
      <sz val="11"/>
      <color indexed="62"/>
      <name val="Calibri"/>
      <family val="2"/>
    </font>
    <font>
      <sz val="11"/>
      <color rgb="FF3F3F76"/>
      <name val="Calibri"/>
      <family val="2"/>
      <scheme val="minor"/>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sz val="7"/>
      <name val="Small Fonts"/>
      <family val="2"/>
    </font>
    <font>
      <sz val="10"/>
      <name val="Arial Unicode MS"/>
      <family val="2"/>
    </font>
    <font>
      <b/>
      <sz val="11"/>
      <color indexed="63"/>
      <name val="Calibri"/>
      <family val="2"/>
    </font>
    <font>
      <b/>
      <sz val="11"/>
      <color rgb="FF3F3F3F"/>
      <name val="Calibri"/>
      <family val="2"/>
      <scheme val="minor"/>
    </font>
    <font>
      <sz val="10"/>
      <color indexed="12"/>
      <name val="MS Sans Serif"/>
      <family val="2"/>
    </font>
    <font>
      <sz val="12"/>
      <name val="Times New Roman"/>
      <family val="1"/>
    </font>
    <font>
      <sz val="10"/>
      <color indexed="39"/>
      <name val="Arial"/>
      <family val="2"/>
    </font>
    <font>
      <b/>
      <sz val="10"/>
      <color indexed="8"/>
      <name val="Arial"/>
      <family val="2"/>
    </font>
    <font>
      <b/>
      <sz val="12"/>
      <color indexed="8"/>
      <name val="Arial"/>
      <family val="2"/>
    </font>
    <font>
      <b/>
      <sz val="8"/>
      <name val="Arial"/>
      <family val="2"/>
    </font>
    <font>
      <b/>
      <sz val="16"/>
      <color indexed="23"/>
      <name val="Arial"/>
      <family val="2"/>
    </font>
    <font>
      <b/>
      <sz val="18"/>
      <color indexed="62"/>
      <name val="Cambria"/>
      <family val="2"/>
    </font>
    <font>
      <b/>
      <sz val="12"/>
      <color indexed="8"/>
      <name val="Times New Roman"/>
      <family val="1"/>
    </font>
    <font>
      <b/>
      <sz val="11"/>
      <color indexed="8"/>
      <name val="Times New Roman"/>
      <family val="1"/>
    </font>
    <font>
      <sz val="12"/>
      <color indexed="8"/>
      <name val="Times New Roman"/>
      <family val="1"/>
    </font>
    <font>
      <b/>
      <sz val="10"/>
      <color indexed="12"/>
      <name val="MS Sans Serif"/>
      <family val="2"/>
    </font>
    <font>
      <b/>
      <sz val="18"/>
      <color theme="3"/>
      <name val="Cambria"/>
      <family val="2"/>
      <scheme val="major"/>
    </font>
    <font>
      <b/>
      <sz val="11"/>
      <color theme="1"/>
      <name val="Calibri"/>
      <family val="2"/>
      <scheme val="minor"/>
    </font>
    <font>
      <sz val="11"/>
      <color indexed="10"/>
      <name val="Calibri"/>
      <family val="2"/>
    </font>
    <font>
      <sz val="11"/>
      <color rgb="FFFF0000"/>
      <name val="Calibri"/>
      <family val="2"/>
      <scheme val="minor"/>
    </font>
    <font>
      <b/>
      <sz val="14"/>
      <color indexed="8"/>
      <name val="Times New Roman"/>
      <family val="1"/>
    </font>
    <font>
      <sz val="14"/>
      <color indexed="8"/>
      <name val="Times New Roman"/>
      <family val="1"/>
    </font>
    <font>
      <sz val="8"/>
      <name val="Helv"/>
    </font>
    <font>
      <b/>
      <sz val="11"/>
      <color rgb="FFFF0000"/>
      <name val="Garamond"/>
      <family val="1"/>
    </font>
    <font>
      <b/>
      <sz val="10"/>
      <color rgb="FFFF0000"/>
      <name val="Arial"/>
      <family val="2"/>
    </font>
    <font>
      <sz val="12"/>
      <color rgb="FFFF0000"/>
      <name val="Arial"/>
      <family val="2"/>
    </font>
    <font>
      <b/>
      <sz val="16"/>
      <color rgb="FFFF0000"/>
      <name val="Arial"/>
      <family val="2"/>
    </font>
    <font>
      <b/>
      <sz val="16"/>
      <name val="Arial"/>
      <family val="2"/>
    </font>
    <font>
      <sz val="10"/>
      <color rgb="FFFF0000"/>
      <name val="Arial"/>
      <family val="2"/>
    </font>
    <font>
      <b/>
      <sz val="10"/>
      <color rgb="FFFF0000"/>
      <name val="Arial Narrow"/>
      <family val="2"/>
    </font>
    <font>
      <sz val="11"/>
      <color rgb="FFFF0000"/>
      <name val="Garamond"/>
      <family val="1"/>
    </font>
    <font>
      <sz val="10"/>
      <color theme="1"/>
      <name val="Arial"/>
      <family val="2"/>
    </font>
    <font>
      <b/>
      <sz val="10"/>
      <color theme="1"/>
      <name val="Arial"/>
      <family val="2"/>
    </font>
    <font>
      <b/>
      <sz val="12"/>
      <color rgb="FFFF0000"/>
      <name val="Arial"/>
      <family val="2"/>
    </font>
    <font>
      <sz val="10"/>
      <name val="Arial"/>
      <family val="2"/>
    </font>
    <font>
      <u val="singleAccounting"/>
      <sz val="9"/>
      <name val="Arial Narrow"/>
      <family val="2"/>
    </font>
    <font>
      <sz val="9"/>
      <color rgb="FFFF0000"/>
      <name val="Arial Narrow"/>
      <family val="2"/>
    </font>
  </fonts>
  <fills count="10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theme="4"/>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theme="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theme="6"/>
      </patternFill>
    </fill>
    <fill>
      <patternFill patternType="solid">
        <fgColor indexed="55"/>
        <bgColor indexed="55"/>
      </patternFill>
    </fill>
    <fill>
      <patternFill patternType="solid">
        <fgColor theme="7"/>
      </patternFill>
    </fill>
    <fill>
      <patternFill patternType="solid">
        <fgColor indexed="41"/>
        <bgColor indexed="41"/>
      </patternFill>
    </fill>
    <fill>
      <patternFill patternType="solid">
        <fgColor indexed="54"/>
        <bgColor indexed="54"/>
      </patternFill>
    </fill>
    <fill>
      <patternFill patternType="solid">
        <fgColor theme="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patternFill>
    </fill>
    <fill>
      <patternFill patternType="solid">
        <fgColor indexed="54"/>
      </patternFill>
    </fill>
    <fill>
      <patternFill patternType="solid">
        <fgColor indexed="26"/>
        <bgColor indexed="64"/>
      </patternFill>
    </fill>
    <fill>
      <patternFill patternType="solid">
        <fgColor indexed="44"/>
        <bgColor indexed="64"/>
      </patternFill>
    </fill>
    <fill>
      <patternFill patternType="solid">
        <fgColor indexed="20"/>
      </patternFill>
    </fill>
    <fill>
      <patternFill patternType="solid">
        <fgColor rgb="FFFFFF99"/>
        <bgColor indexed="64"/>
      </patternFill>
    </fill>
    <fill>
      <patternFill patternType="solid">
        <fgColor rgb="FFFFFF00"/>
        <bgColor indexed="64"/>
      </patternFill>
    </fill>
    <fill>
      <patternFill patternType="solid">
        <fgColor rgb="FFFFFF99"/>
        <bgColor rgb="FF000000"/>
      </patternFill>
    </fill>
    <fill>
      <patternFill patternType="solid">
        <fgColor indexed="47"/>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indexed="12"/>
      </left>
      <right style="double">
        <color indexed="12"/>
      </right>
      <top style="double">
        <color indexed="12"/>
      </top>
      <bottom style="dotted">
        <color indexed="1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48"/>
      </left>
      <right style="thin">
        <color indexed="48"/>
      </right>
      <top style="thin">
        <color indexed="48"/>
      </top>
      <bottom style="thin">
        <color indexed="48"/>
      </bottom>
      <diagonal/>
    </border>
    <border>
      <left style="thick">
        <color indexed="12"/>
      </left>
      <right style="thick">
        <color indexed="12"/>
      </right>
      <top style="thick">
        <color indexed="12"/>
      </top>
      <bottom/>
      <diagonal/>
    </border>
    <border>
      <left/>
      <right/>
      <top style="thin">
        <color theme="4"/>
      </top>
      <bottom style="double">
        <color theme="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double">
        <color indexed="64"/>
      </bottom>
      <diagonal/>
    </border>
  </borders>
  <cellStyleXfs count="9476">
    <xf numFmtId="0" fontId="0"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1" applyNumberFormat="0" applyAlignment="0" applyProtection="0"/>
    <xf numFmtId="0" fontId="73" fillId="21" borderId="2" applyNumberFormat="0" applyAlignment="0" applyProtection="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4" fontId="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7" borderId="1" applyNumberFormat="0" applyAlignment="0" applyProtection="0"/>
    <xf numFmtId="0" fontId="80" fillId="0" borderId="6" applyNumberFormat="0" applyFill="0" applyAlignment="0" applyProtection="0"/>
    <xf numFmtId="0" fontId="81" fillId="22" borderId="0" applyNumberFormat="0" applyBorder="0" applyAlignment="0" applyProtection="0"/>
    <xf numFmtId="0" fontId="18" fillId="0" borderId="0"/>
    <xf numFmtId="0" fontId="18" fillId="0" borderId="0"/>
    <xf numFmtId="165" fontId="11" fillId="0" borderId="0"/>
    <xf numFmtId="170" fontId="19" fillId="0" borderId="0" applyProtection="0"/>
    <xf numFmtId="0" fontId="18" fillId="0" borderId="0"/>
    <xf numFmtId="0" fontId="69" fillId="23" borderId="7" applyNumberFormat="0" applyFont="0" applyAlignment="0" applyProtection="0"/>
    <xf numFmtId="0" fontId="82" fillId="20" borderId="8" applyNumberFormat="0" applyAlignment="0" applyProtection="0"/>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83" fillId="0" borderId="0" applyNumberFormat="0" applyFont="0" applyFill="0" applyBorder="0" applyAlignment="0" applyProtection="0">
      <alignment horizontal="left"/>
    </xf>
    <xf numFmtId="15" fontId="83" fillId="0" borderId="0" applyFont="0" applyFill="0" applyBorder="0" applyAlignment="0" applyProtection="0"/>
    <xf numFmtId="4" fontId="83" fillId="0" borderId="0" applyFont="0" applyFill="0" applyBorder="0" applyAlignment="0" applyProtection="0"/>
    <xf numFmtId="0" fontId="84" fillId="0" borderId="9">
      <alignment horizontal="center"/>
    </xf>
    <xf numFmtId="3" fontId="83" fillId="0" borderId="0" applyFont="0" applyFill="0" applyBorder="0" applyAlignment="0" applyProtection="0"/>
    <xf numFmtId="0" fontId="83" fillId="24"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xf numFmtId="43" fontId="6" fillId="0" borderId="0" applyFont="0" applyFill="0" applyBorder="0" applyAlignment="0" applyProtection="0"/>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69" fillId="2"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5" fillId="30" borderId="0" applyNumberFormat="0" applyBorder="0" applyAlignment="0" applyProtection="0"/>
    <xf numFmtId="0" fontId="96" fillId="2" borderId="0" applyNumberFormat="0" applyBorder="0" applyAlignment="0" applyProtection="0"/>
    <xf numFmtId="0" fontId="5" fillId="30"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96" fillId="2" borderId="0" applyNumberFormat="0" applyBorder="0" applyAlignment="0" applyProtection="0"/>
    <xf numFmtId="0" fontId="5" fillId="30" borderId="0" applyNumberFormat="0" applyBorder="0" applyAlignment="0" applyProtection="0"/>
    <xf numFmtId="0" fontId="96" fillId="2" borderId="0" applyNumberFormat="0" applyBorder="0" applyAlignment="0" applyProtection="0"/>
    <xf numFmtId="0" fontId="5" fillId="30"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69" fillId="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5" fillId="31" borderId="0" applyNumberFormat="0" applyBorder="0" applyAlignment="0" applyProtection="0"/>
    <xf numFmtId="0" fontId="96" fillId="3" borderId="0" applyNumberFormat="0" applyBorder="0" applyAlignment="0" applyProtection="0"/>
    <xf numFmtId="0" fontId="5" fillId="31"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96" fillId="3" borderId="0" applyNumberFormat="0" applyBorder="0" applyAlignment="0" applyProtection="0"/>
    <xf numFmtId="0" fontId="5" fillId="31" borderId="0" applyNumberFormat="0" applyBorder="0" applyAlignment="0" applyProtection="0"/>
    <xf numFmtId="0" fontId="96" fillId="3" borderId="0" applyNumberFormat="0" applyBorder="0" applyAlignment="0" applyProtection="0"/>
    <xf numFmtId="0" fontId="5" fillId="31"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69" fillId="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5" fillId="32" borderId="0" applyNumberFormat="0" applyBorder="0" applyAlignment="0" applyProtection="0"/>
    <xf numFmtId="0" fontId="96" fillId="4" borderId="0" applyNumberFormat="0" applyBorder="0" applyAlignment="0" applyProtection="0"/>
    <xf numFmtId="0" fontId="5" fillId="32"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96" fillId="4" borderId="0" applyNumberFormat="0" applyBorder="0" applyAlignment="0" applyProtection="0"/>
    <xf numFmtId="0" fontId="5" fillId="32" borderId="0" applyNumberFormat="0" applyBorder="0" applyAlignment="0" applyProtection="0"/>
    <xf numFmtId="0" fontId="96" fillId="4" borderId="0" applyNumberFormat="0" applyBorder="0" applyAlignment="0" applyProtection="0"/>
    <xf numFmtId="0" fontId="5" fillId="32"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69" fillId="5"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5" fillId="33" borderId="0" applyNumberFormat="0" applyBorder="0" applyAlignment="0" applyProtection="0"/>
    <xf numFmtId="0" fontId="96" fillId="5" borderId="0" applyNumberFormat="0" applyBorder="0" applyAlignment="0" applyProtection="0"/>
    <xf numFmtId="0" fontId="5" fillId="33"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96" fillId="5" borderId="0" applyNumberFormat="0" applyBorder="0" applyAlignment="0" applyProtection="0"/>
    <xf numFmtId="0" fontId="5" fillId="33" borderId="0" applyNumberFormat="0" applyBorder="0" applyAlignment="0" applyProtection="0"/>
    <xf numFmtId="0" fontId="96" fillId="5" borderId="0" applyNumberFormat="0" applyBorder="0" applyAlignment="0" applyProtection="0"/>
    <xf numFmtId="0" fontId="5" fillId="33"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69" fillId="6"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5" fillId="34" borderId="0" applyNumberFormat="0" applyBorder="0" applyAlignment="0" applyProtection="0"/>
    <xf numFmtId="0" fontId="96" fillId="6" borderId="0" applyNumberFormat="0" applyBorder="0" applyAlignment="0" applyProtection="0"/>
    <xf numFmtId="0" fontId="5" fillId="34"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96" fillId="6" borderId="0" applyNumberFormat="0" applyBorder="0" applyAlignment="0" applyProtection="0"/>
    <xf numFmtId="0" fontId="5" fillId="34" borderId="0" applyNumberFormat="0" applyBorder="0" applyAlignment="0" applyProtection="0"/>
    <xf numFmtId="0" fontId="96" fillId="6" borderId="0" applyNumberFormat="0" applyBorder="0" applyAlignment="0" applyProtection="0"/>
    <xf numFmtId="0" fontId="5" fillId="34"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69" fillId="7"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5" fillId="35" borderId="0" applyNumberFormat="0" applyBorder="0" applyAlignment="0" applyProtection="0"/>
    <xf numFmtId="0" fontId="96" fillId="7" borderId="0" applyNumberFormat="0" applyBorder="0" applyAlignment="0" applyProtection="0"/>
    <xf numFmtId="0" fontId="5" fillId="35"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96" fillId="7" borderId="0" applyNumberFormat="0" applyBorder="0" applyAlignment="0" applyProtection="0"/>
    <xf numFmtId="0" fontId="5" fillId="35" borderId="0" applyNumberFormat="0" applyBorder="0" applyAlignment="0" applyProtection="0"/>
    <xf numFmtId="0" fontId="96" fillId="7" borderId="0" applyNumberFormat="0" applyBorder="0" applyAlignment="0" applyProtection="0"/>
    <xf numFmtId="0" fontId="5" fillId="35"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69" fillId="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5" fillId="36" borderId="0" applyNumberFormat="0" applyBorder="0" applyAlignment="0" applyProtection="0"/>
    <xf numFmtId="0" fontId="96" fillId="8" borderId="0" applyNumberFormat="0" applyBorder="0" applyAlignment="0" applyProtection="0"/>
    <xf numFmtId="0" fontId="5" fillId="36"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96" fillId="8" borderId="0" applyNumberFormat="0" applyBorder="0" applyAlignment="0" applyProtection="0"/>
    <xf numFmtId="0" fontId="5" fillId="36" borderId="0" applyNumberFormat="0" applyBorder="0" applyAlignment="0" applyProtection="0"/>
    <xf numFmtId="0" fontId="96" fillId="8" borderId="0" applyNumberFormat="0" applyBorder="0" applyAlignment="0" applyProtection="0"/>
    <xf numFmtId="0" fontId="5" fillId="36"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69" fillId="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5" fillId="37" borderId="0" applyNumberFormat="0" applyBorder="0" applyAlignment="0" applyProtection="0"/>
    <xf numFmtId="0" fontId="96" fillId="9" borderId="0" applyNumberFormat="0" applyBorder="0" applyAlignment="0" applyProtection="0"/>
    <xf numFmtId="0" fontId="5" fillId="37"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96" fillId="9" borderId="0" applyNumberFormat="0" applyBorder="0" applyAlignment="0" applyProtection="0"/>
    <xf numFmtId="0" fontId="5" fillId="37" borderId="0" applyNumberFormat="0" applyBorder="0" applyAlignment="0" applyProtection="0"/>
    <xf numFmtId="0" fontId="96" fillId="9" borderId="0" applyNumberFormat="0" applyBorder="0" applyAlignment="0" applyProtection="0"/>
    <xf numFmtId="0" fontId="5" fillId="37"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69" fillId="1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5" fillId="38" borderId="0" applyNumberFormat="0" applyBorder="0" applyAlignment="0" applyProtection="0"/>
    <xf numFmtId="0" fontId="96" fillId="10" borderId="0" applyNumberFormat="0" applyBorder="0" applyAlignment="0" applyProtection="0"/>
    <xf numFmtId="0" fontId="5" fillId="38"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96" fillId="10" borderId="0" applyNumberFormat="0" applyBorder="0" applyAlignment="0" applyProtection="0"/>
    <xf numFmtId="0" fontId="5" fillId="38" borderId="0" applyNumberFormat="0" applyBorder="0" applyAlignment="0" applyProtection="0"/>
    <xf numFmtId="0" fontId="96" fillId="10" borderId="0" applyNumberFormat="0" applyBorder="0" applyAlignment="0" applyProtection="0"/>
    <xf numFmtId="0" fontId="5" fillId="38"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69" fillId="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5" fillId="39" borderId="0" applyNumberFormat="0" applyBorder="0" applyAlignment="0" applyProtection="0"/>
    <xf numFmtId="0" fontId="96" fillId="5" borderId="0" applyNumberFormat="0" applyBorder="0" applyAlignment="0" applyProtection="0"/>
    <xf numFmtId="0" fontId="5" fillId="39"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96" fillId="5" borderId="0" applyNumberFormat="0" applyBorder="0" applyAlignment="0" applyProtection="0"/>
    <xf numFmtId="0" fontId="5" fillId="39" borderId="0" applyNumberFormat="0" applyBorder="0" applyAlignment="0" applyProtection="0"/>
    <xf numFmtId="0" fontId="96" fillId="5" borderId="0" applyNumberFormat="0" applyBorder="0" applyAlignment="0" applyProtection="0"/>
    <xf numFmtId="0" fontId="5" fillId="39"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5"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69" fillId="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5" fillId="40" borderId="0" applyNumberFormat="0" applyBorder="0" applyAlignment="0" applyProtection="0"/>
    <xf numFmtId="0" fontId="96" fillId="8" borderId="0" applyNumberFormat="0" applyBorder="0" applyAlignment="0" applyProtection="0"/>
    <xf numFmtId="0" fontId="5" fillId="40"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96" fillId="8" borderId="0" applyNumberFormat="0" applyBorder="0" applyAlignment="0" applyProtection="0"/>
    <xf numFmtId="0" fontId="5" fillId="40" borderId="0" applyNumberFormat="0" applyBorder="0" applyAlignment="0" applyProtection="0"/>
    <xf numFmtId="0" fontId="96" fillId="8" borderId="0" applyNumberFormat="0" applyBorder="0" applyAlignment="0" applyProtection="0"/>
    <xf numFmtId="0" fontId="5" fillId="40"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69" fillId="1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5" fillId="41" borderId="0" applyNumberFormat="0" applyBorder="0" applyAlignment="0" applyProtection="0"/>
    <xf numFmtId="0" fontId="96" fillId="11" borderId="0" applyNumberFormat="0" applyBorder="0" applyAlignment="0" applyProtection="0"/>
    <xf numFmtId="0" fontId="5" fillId="4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96" fillId="11" borderId="0" applyNumberFormat="0" applyBorder="0" applyAlignment="0" applyProtection="0"/>
    <xf numFmtId="0" fontId="5" fillId="41" borderId="0" applyNumberFormat="0" applyBorder="0" applyAlignment="0" applyProtection="0"/>
    <xf numFmtId="0" fontId="96" fillId="11" borderId="0" applyNumberFormat="0" applyBorder="0" applyAlignment="0" applyProtection="0"/>
    <xf numFmtId="0" fontId="5" fillId="4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6" fillId="11"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70" fillId="12" borderId="0" applyNumberFormat="0" applyBorder="0" applyAlignment="0" applyProtection="0"/>
    <xf numFmtId="0" fontId="97" fillId="12" borderId="0" applyNumberFormat="0" applyBorder="0" applyAlignment="0" applyProtection="0"/>
    <xf numFmtId="0" fontId="98" fillId="4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12"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70" fillId="9" borderId="0" applyNumberFormat="0" applyBorder="0" applyAlignment="0" applyProtection="0"/>
    <xf numFmtId="0" fontId="97" fillId="9" borderId="0" applyNumberFormat="0" applyBorder="0" applyAlignment="0" applyProtection="0"/>
    <xf numFmtId="0" fontId="98" fillId="43"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70" fillId="10" borderId="0" applyNumberFormat="0" applyBorder="0" applyAlignment="0" applyProtection="0"/>
    <xf numFmtId="0" fontId="97" fillId="10" borderId="0" applyNumberFormat="0" applyBorder="0" applyAlignment="0" applyProtection="0"/>
    <xf numFmtId="0" fontId="98" fillId="44"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0"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70" fillId="13" borderId="0" applyNumberFormat="0" applyBorder="0" applyAlignment="0" applyProtection="0"/>
    <xf numFmtId="0" fontId="97" fillId="13" borderId="0" applyNumberFormat="0" applyBorder="0" applyAlignment="0" applyProtection="0"/>
    <xf numFmtId="0" fontId="98" fillId="45"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70" fillId="14" borderId="0" applyNumberFormat="0" applyBorder="0" applyAlignment="0" applyProtection="0"/>
    <xf numFmtId="0" fontId="97" fillId="14" borderId="0" applyNumberFormat="0" applyBorder="0" applyAlignment="0" applyProtection="0"/>
    <xf numFmtId="0" fontId="98" fillId="46"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70" fillId="15" borderId="0" applyNumberFormat="0" applyBorder="0" applyAlignment="0" applyProtection="0"/>
    <xf numFmtId="0" fontId="97" fillId="15" borderId="0" applyNumberFormat="0" applyBorder="0" applyAlignment="0" applyProtection="0"/>
    <xf numFmtId="0" fontId="98" fillId="47"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7" fillId="15" borderId="0" applyNumberFormat="0" applyBorder="0" applyAlignment="0" applyProtection="0"/>
    <xf numFmtId="0" fontId="96" fillId="48" borderId="0" applyNumberFormat="0" applyBorder="0" applyAlignment="0" applyProtection="0"/>
    <xf numFmtId="0" fontId="96" fillId="49" borderId="0" applyNumberFormat="0" applyBorder="0" applyAlignment="0" applyProtection="0"/>
    <xf numFmtId="0" fontId="97" fillId="50"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70" fillId="16" borderId="0" applyNumberFormat="0" applyBorder="0" applyAlignment="0" applyProtection="0"/>
    <xf numFmtId="0" fontId="97" fillId="16" borderId="0" applyNumberFormat="0" applyBorder="0" applyAlignment="0" applyProtection="0"/>
    <xf numFmtId="0" fontId="98" fillId="51"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8" fillId="51"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7" fillId="16" borderId="0" applyNumberFormat="0" applyBorder="0" applyAlignment="0" applyProtection="0"/>
    <xf numFmtId="0" fontId="96" fillId="52" borderId="0" applyNumberFormat="0" applyBorder="0" applyAlignment="0" applyProtection="0"/>
    <xf numFmtId="0" fontId="96" fillId="53" borderId="0" applyNumberFormat="0" applyBorder="0" applyAlignment="0" applyProtection="0"/>
    <xf numFmtId="0" fontId="97" fillId="54"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70" fillId="17" borderId="0" applyNumberFormat="0" applyBorder="0" applyAlignment="0" applyProtection="0"/>
    <xf numFmtId="0" fontId="97" fillId="17" borderId="0" applyNumberFormat="0" applyBorder="0" applyAlignment="0" applyProtection="0"/>
    <xf numFmtId="0" fontId="98" fillId="55"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8" fillId="55"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8" fillId="55"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7" fillId="17" borderId="0" applyNumberFormat="0" applyBorder="0" applyAlignment="0" applyProtection="0"/>
    <xf numFmtId="0" fontId="96" fillId="56" borderId="0" applyNumberFormat="0" applyBorder="0" applyAlignment="0" applyProtection="0"/>
    <xf numFmtId="0" fontId="96" fillId="57" borderId="0" applyNumberFormat="0" applyBorder="0" applyAlignment="0" applyProtection="0"/>
    <xf numFmtId="0" fontId="97" fillId="5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70" fillId="18" borderId="0" applyNumberFormat="0" applyBorder="0" applyAlignment="0" applyProtection="0"/>
    <xf numFmtId="0" fontId="97" fillId="18" borderId="0" applyNumberFormat="0" applyBorder="0" applyAlignment="0" applyProtection="0"/>
    <xf numFmtId="0" fontId="98" fillId="59"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8" fillId="59"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8" fillId="59"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7" fillId="18" borderId="0" applyNumberFormat="0" applyBorder="0" applyAlignment="0" applyProtection="0"/>
    <xf numFmtId="0" fontId="96" fillId="52" borderId="0" applyNumberFormat="0" applyBorder="0" applyAlignment="0" applyProtection="0"/>
    <xf numFmtId="0" fontId="96" fillId="60" borderId="0" applyNumberFormat="0" applyBorder="0" applyAlignment="0" applyProtection="0"/>
    <xf numFmtId="0" fontId="97" fillId="5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70" fillId="13" borderId="0" applyNumberFormat="0" applyBorder="0" applyAlignment="0" applyProtection="0"/>
    <xf numFmtId="0" fontId="97" fillId="13" borderId="0" applyNumberFormat="0" applyBorder="0" applyAlignment="0" applyProtection="0"/>
    <xf numFmtId="0" fontId="98" fillId="61"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8" fillId="61"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8" fillId="61"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7" fillId="13" borderId="0" applyNumberFormat="0" applyBorder="0" applyAlignment="0" applyProtection="0"/>
    <xf numFmtId="0" fontId="96" fillId="62" borderId="0" applyNumberFormat="0" applyBorder="0" applyAlignment="0" applyProtection="0"/>
    <xf numFmtId="0" fontId="96" fillId="63" borderId="0" applyNumberFormat="0" applyBorder="0" applyAlignment="0" applyProtection="0"/>
    <xf numFmtId="0" fontId="97" fillId="50"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70" fillId="14" borderId="0" applyNumberFormat="0" applyBorder="0" applyAlignment="0" applyProtection="0"/>
    <xf numFmtId="0" fontId="97" fillId="14" borderId="0" applyNumberFormat="0" applyBorder="0" applyAlignment="0" applyProtection="0"/>
    <xf numFmtId="0" fontId="98" fillId="6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8" fillId="6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8" fillId="6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7" fillId="14" borderId="0" applyNumberFormat="0" applyBorder="0" applyAlignment="0" applyProtection="0"/>
    <xf numFmtId="0" fontId="96" fillId="65" borderId="0" applyNumberFormat="0" applyBorder="0" applyAlignment="0" applyProtection="0"/>
    <xf numFmtId="0" fontId="96" fillId="66" borderId="0" applyNumberFormat="0" applyBorder="0" applyAlignment="0" applyProtection="0"/>
    <xf numFmtId="0" fontId="97" fillId="67"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70" fillId="19" borderId="0" applyNumberFormat="0" applyBorder="0" applyAlignment="0" applyProtection="0"/>
    <xf numFmtId="0" fontId="97" fillId="19" borderId="0" applyNumberFormat="0" applyBorder="0" applyAlignment="0" applyProtection="0"/>
    <xf numFmtId="0" fontId="98" fillId="68"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8" fillId="68"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8" fillId="68"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7" fillId="19"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71" fillId="3" borderId="0" applyNumberFormat="0" applyBorder="0" applyAlignment="0" applyProtection="0"/>
    <xf numFmtId="0" fontId="99" fillId="3" borderId="0" applyNumberFormat="0" applyBorder="0" applyAlignment="0" applyProtection="0"/>
    <xf numFmtId="0" fontId="100" fillId="69"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72" fillId="20" borderId="1" applyNumberFormat="0" applyAlignment="0" applyProtection="0"/>
    <xf numFmtId="0" fontId="101" fillId="20" borderId="1" applyNumberFormat="0" applyAlignment="0" applyProtection="0"/>
    <xf numFmtId="0" fontId="102" fillId="70" borderId="33"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1" fillId="20" borderId="1"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73" fillId="21" borderId="2" applyNumberFormat="0" applyAlignment="0" applyProtection="0"/>
    <xf numFmtId="0" fontId="103" fillId="21" borderId="2" applyNumberFormat="0" applyAlignment="0" applyProtection="0"/>
    <xf numFmtId="0" fontId="104" fillId="71" borderId="34"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0" fontId="103" fillId="21" borderId="2" applyNumberFormat="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41"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106" fillId="0" borderId="0" applyFont="0" applyFill="0" applyBorder="0" applyAlignment="0" applyProtection="0"/>
    <xf numFmtId="43" fontId="96" fillId="0" borderId="0" applyFont="0" applyFill="0" applyBorder="0" applyAlignment="0" applyProtection="0"/>
    <xf numFmtId="43" fontId="10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106" fillId="0" borderId="0" applyFont="0" applyFill="0" applyBorder="0" applyAlignment="0" applyProtection="0"/>
    <xf numFmtId="4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07" fillId="72" borderId="0" applyNumberFormat="0" applyBorder="0" applyAlignment="0" applyProtection="0"/>
    <xf numFmtId="0" fontId="107" fillId="73" borderId="0" applyNumberFormat="0" applyBorder="0" applyAlignment="0" applyProtection="0"/>
    <xf numFmtId="0" fontId="107" fillId="74" borderId="0" applyNumberFormat="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74"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75" fillId="4" borderId="0" applyNumberFormat="0" applyBorder="0" applyAlignment="0" applyProtection="0"/>
    <xf numFmtId="0" fontId="110" fillId="4" borderId="0" applyNumberFormat="0" applyBorder="0" applyAlignment="0" applyProtection="0"/>
    <xf numFmtId="0" fontId="111" fillId="75"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0" fillId="4" borderId="0" applyNumberFormat="0" applyBorder="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76" fillId="0" borderId="3" applyNumberFormat="0" applyFill="0" applyAlignment="0" applyProtection="0"/>
    <xf numFmtId="0" fontId="112" fillId="0" borderId="3" applyNumberFormat="0" applyFill="0" applyAlignment="0" applyProtection="0"/>
    <xf numFmtId="0" fontId="113" fillId="0" borderId="35"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2" fillId="0" borderId="3"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77" fillId="0" borderId="4" applyNumberFormat="0" applyFill="0" applyAlignment="0" applyProtection="0"/>
    <xf numFmtId="0" fontId="114" fillId="0" borderId="4" applyNumberFormat="0" applyFill="0" applyAlignment="0" applyProtection="0"/>
    <xf numFmtId="0" fontId="115" fillId="0" borderId="36"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4" fillId="0" borderId="4"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78" fillId="0" borderId="5" applyNumberFormat="0" applyFill="0" applyAlignment="0" applyProtection="0"/>
    <xf numFmtId="0" fontId="116" fillId="0" borderId="5" applyNumberFormat="0" applyFill="0" applyAlignment="0" applyProtection="0"/>
    <xf numFmtId="0" fontId="117" fillId="0" borderId="37"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78"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79" fillId="7" borderId="1" applyNumberFormat="0" applyAlignment="0" applyProtection="0"/>
    <xf numFmtId="0" fontId="119" fillId="7" borderId="1" applyNumberFormat="0" applyAlignment="0" applyProtection="0"/>
    <xf numFmtId="0" fontId="120" fillId="76" borderId="33"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19" fillId="7" borderId="1" applyNumberFormat="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80" fillId="0" borderId="6" applyNumberFormat="0" applyFill="0" applyAlignment="0" applyProtection="0"/>
    <xf numFmtId="0" fontId="121" fillId="0" borderId="6" applyNumberFormat="0" applyFill="0" applyAlignment="0" applyProtection="0"/>
    <xf numFmtId="0" fontId="122" fillId="0" borderId="38"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81" fillId="22" borderId="0" applyNumberFormat="0" applyBorder="0" applyAlignment="0" applyProtection="0"/>
    <xf numFmtId="0" fontId="123" fillId="22" borderId="0" applyNumberFormat="0" applyBorder="0" applyAlignment="0" applyProtection="0"/>
    <xf numFmtId="0" fontId="124" fillId="77"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0" fontId="123" fillId="22" borderId="0" applyNumberFormat="0" applyBorder="0" applyAlignment="0" applyProtection="0"/>
    <xf numFmtId="37" fontId="125" fillId="0" borderId="0"/>
    <xf numFmtId="0" fontId="10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0" borderId="0"/>
    <xf numFmtId="0" fontId="10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xf numFmtId="0" fontId="6" fillId="0" borderId="0"/>
    <xf numFmtId="0" fontId="96" fillId="0" borderId="0"/>
    <xf numFmtId="0" fontId="10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96" fillId="0" borderId="0"/>
    <xf numFmtId="0" fontId="6" fillId="0" borderId="0"/>
    <xf numFmtId="0" fontId="6" fillId="0" borderId="0"/>
    <xf numFmtId="0" fontId="6" fillId="0" borderId="0"/>
    <xf numFmtId="0" fontId="6" fillId="0" borderId="0"/>
    <xf numFmtId="0" fontId="83" fillId="0" borderId="0"/>
    <xf numFmtId="0" fontId="6" fillId="0" borderId="0"/>
    <xf numFmtId="0" fontId="6" fillId="0" borderId="0"/>
    <xf numFmtId="0" fontId="6" fillId="0" borderId="0"/>
    <xf numFmtId="37" fontId="10" fillId="0" borderId="0"/>
    <xf numFmtId="37" fontId="10" fillId="0" borderId="0"/>
    <xf numFmtId="0" fontId="6" fillId="0" borderId="0"/>
    <xf numFmtId="37"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xf numFmtId="0" fontId="6" fillId="0" borderId="0"/>
    <xf numFmtId="0" fontId="6" fillId="0" borderId="0"/>
    <xf numFmtId="0" fontId="9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0" borderId="0"/>
    <xf numFmtId="0" fontId="6" fillId="0" borderId="0"/>
    <xf numFmtId="0" fontId="12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9"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96" fillId="78" borderId="39" applyNumberFormat="0" applyFont="0" applyAlignment="0" applyProtection="0"/>
    <xf numFmtId="0" fontId="96" fillId="78" borderId="39"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96" fillId="78" borderId="39"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96" fillId="78" borderId="39" applyNumberFormat="0" applyFont="0" applyAlignment="0" applyProtection="0"/>
    <xf numFmtId="0" fontId="96" fillId="78" borderId="39"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96" fillId="78" borderId="39"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82" fillId="20" borderId="8" applyNumberFormat="0" applyAlignment="0" applyProtection="0"/>
    <xf numFmtId="0" fontId="127" fillId="20" borderId="8" applyNumberFormat="0" applyAlignment="0" applyProtection="0"/>
    <xf numFmtId="0" fontId="128" fillId="70" borderId="40"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0" fontId="127" fillId="20" borderId="8" applyNumberFormat="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6" fillId="0" borderId="0" applyFont="0" applyFill="0" applyBorder="0" applyAlignment="0" applyProtection="0"/>
    <xf numFmtId="9" fontId="9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6" fillId="0" borderId="0" applyFont="0" applyBorder="0" applyAlignment="0" applyProtection="0"/>
    <xf numFmtId="10" fontId="6" fillId="0" borderId="0" applyFont="0" applyBorder="0" applyAlignment="0" applyProtection="0"/>
    <xf numFmtId="10" fontId="6" fillId="0" borderId="0" applyFont="0" applyBorder="0" applyAlignment="0" applyProtection="0"/>
    <xf numFmtId="10" fontId="6" fillId="0" borderId="0" applyFont="0" applyBorder="0" applyAlignment="0" applyProtection="0"/>
    <xf numFmtId="10" fontId="6" fillId="0" borderId="0" applyFont="0" applyBorder="0" applyAlignment="0" applyProtection="0"/>
    <xf numFmtId="10" fontId="6" fillId="0" borderId="0" applyFont="0" applyBorder="0" applyAlignment="0" applyProtection="0"/>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129" fillId="0" borderId="41"/>
    <xf numFmtId="0" fontId="129" fillId="0" borderId="41"/>
    <xf numFmtId="0" fontId="129" fillId="0" borderId="41"/>
    <xf numFmtId="0" fontId="129" fillId="0" borderId="41"/>
    <xf numFmtId="0" fontId="129" fillId="0" borderId="41"/>
    <xf numFmtId="180" fontId="130" fillId="0" borderId="0" applyFont="0" applyBorder="0" applyAlignment="0" applyProtection="0"/>
    <xf numFmtId="4" fontId="106" fillId="25" borderId="8" applyNumberFormat="0" applyProtection="0">
      <alignment vertical="center"/>
    </xf>
    <xf numFmtId="4" fontId="131" fillId="25" borderId="8" applyNumberFormat="0" applyProtection="0">
      <alignment vertical="center"/>
    </xf>
    <xf numFmtId="4" fontId="106" fillId="25" borderId="8" applyNumberFormat="0" applyProtection="0">
      <alignment horizontal="left" vertical="center" indent="1"/>
    </xf>
    <xf numFmtId="4" fontId="106" fillId="25"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4" fontId="106" fillId="80" borderId="8" applyNumberFormat="0" applyProtection="0">
      <alignment horizontal="right" vertical="center"/>
    </xf>
    <xf numFmtId="4" fontId="106" fillId="81" borderId="8" applyNumberFormat="0" applyProtection="0">
      <alignment horizontal="right" vertical="center"/>
    </xf>
    <xf numFmtId="4" fontId="106" fillId="82" borderId="8" applyNumberFormat="0" applyProtection="0">
      <alignment horizontal="right" vertical="center"/>
    </xf>
    <xf numFmtId="4" fontId="106" fillId="83" borderId="8" applyNumberFormat="0" applyProtection="0">
      <alignment horizontal="right" vertical="center"/>
    </xf>
    <xf numFmtId="4" fontId="106" fillId="84" borderId="8" applyNumberFormat="0" applyProtection="0">
      <alignment horizontal="right" vertical="center"/>
    </xf>
    <xf numFmtId="4" fontId="106" fillId="85" borderId="8" applyNumberFormat="0" applyProtection="0">
      <alignment horizontal="right" vertical="center"/>
    </xf>
    <xf numFmtId="4" fontId="106" fillId="86" borderId="8" applyNumberFormat="0" applyProtection="0">
      <alignment horizontal="right" vertical="center"/>
    </xf>
    <xf numFmtId="4" fontId="106" fillId="87" borderId="8" applyNumberFormat="0" applyProtection="0">
      <alignment horizontal="right" vertical="center"/>
    </xf>
    <xf numFmtId="4" fontId="106" fillId="88" borderId="8" applyNumberFormat="0" applyProtection="0">
      <alignment horizontal="right" vertical="center"/>
    </xf>
    <xf numFmtId="4" fontId="132" fillId="89" borderId="8" applyNumberFormat="0" applyProtection="0">
      <alignment horizontal="left" vertical="center" indent="1"/>
    </xf>
    <xf numFmtId="4" fontId="106" fillId="90" borderId="42" applyNumberFormat="0" applyProtection="0">
      <alignment horizontal="left" vertical="center" indent="1"/>
    </xf>
    <xf numFmtId="4" fontId="133" fillId="91" borderId="0" applyNumberFormat="0" applyProtection="0">
      <alignment horizontal="left" vertical="center" indent="1"/>
    </xf>
    <xf numFmtId="4" fontId="133" fillId="91" borderId="0"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4" fontId="106" fillId="90" borderId="8" applyNumberFormat="0" applyProtection="0">
      <alignment horizontal="left" vertical="center" indent="1"/>
    </xf>
    <xf numFmtId="4" fontId="106" fillId="90" borderId="8" applyNumberFormat="0" applyProtection="0">
      <alignment horizontal="left" vertical="center" indent="1"/>
    </xf>
    <xf numFmtId="4" fontId="106" fillId="90" borderId="8" applyNumberFormat="0" applyProtection="0">
      <alignment horizontal="left" vertical="center" indent="1"/>
    </xf>
    <xf numFmtId="4" fontId="106" fillId="90" borderId="8" applyNumberFormat="0" applyProtection="0">
      <alignment horizontal="left" vertical="center" indent="1"/>
    </xf>
    <xf numFmtId="4" fontId="106" fillId="92" borderId="8" applyNumberFormat="0" applyProtection="0">
      <alignment horizontal="left" vertical="center" indent="1"/>
    </xf>
    <xf numFmtId="4" fontId="106" fillId="92" borderId="8" applyNumberFormat="0" applyProtection="0">
      <alignment horizontal="left" vertical="center" indent="1"/>
    </xf>
    <xf numFmtId="4" fontId="106" fillId="92" borderId="8" applyNumberFormat="0" applyProtection="0">
      <alignment horizontal="left" vertical="center" indent="1"/>
    </xf>
    <xf numFmtId="4" fontId="10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2"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3"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94"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91" fillId="95" borderId="43" applyNumberFormat="0">
      <protection locked="0"/>
    </xf>
    <xf numFmtId="0" fontId="134" fillId="96" borderId="44" applyBorder="0"/>
    <xf numFmtId="4" fontId="106" fillId="97" borderId="8" applyNumberFormat="0" applyProtection="0">
      <alignment vertical="center"/>
    </xf>
    <xf numFmtId="4" fontId="131" fillId="97" borderId="8" applyNumberFormat="0" applyProtection="0">
      <alignment vertical="center"/>
    </xf>
    <xf numFmtId="4" fontId="106" fillId="97" borderId="8" applyNumberFormat="0" applyProtection="0">
      <alignment horizontal="left" vertical="center" indent="1"/>
    </xf>
    <xf numFmtId="4" fontId="106" fillId="97" borderId="8" applyNumberFormat="0" applyProtection="0">
      <alignment horizontal="left" vertical="center" indent="1"/>
    </xf>
    <xf numFmtId="4" fontId="106" fillId="90" borderId="8" applyNumberFormat="0" applyProtection="0">
      <alignment horizontal="right" vertical="center"/>
    </xf>
    <xf numFmtId="4" fontId="131" fillId="90" borderId="8" applyNumberFormat="0" applyProtection="0">
      <alignment horizontal="right" vertical="center"/>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6" fillId="79" borderId="8" applyNumberFormat="0" applyProtection="0">
      <alignment horizontal="left" vertical="center" indent="1"/>
    </xf>
    <xf numFmtId="0" fontId="135" fillId="0" borderId="0"/>
    <xf numFmtId="0" fontId="91" fillId="99" borderId="26"/>
    <xf numFmtId="4" fontId="9" fillId="90" borderId="8" applyNumberFormat="0" applyProtection="0">
      <alignment horizontal="right" vertical="center"/>
    </xf>
    <xf numFmtId="0" fontId="136" fillId="0" borderId="0" applyNumberFormat="0" applyFill="0" applyBorder="0" applyAlignment="0" applyProtection="0"/>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177" fontId="6" fillId="0" borderId="0">
      <alignment horizontal="left" wrapText="1"/>
    </xf>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37" fillId="0" borderId="0" applyNumberFormat="0" applyBorder="0" applyAlignment="0"/>
    <xf numFmtId="0" fontId="138" fillId="0" borderId="0" applyNumberFormat="0" applyBorder="0" applyAlignment="0"/>
    <xf numFmtId="0" fontId="139" fillId="0" borderId="0" applyNumberFormat="0" applyBorder="0" applyAlignment="0"/>
    <xf numFmtId="0" fontId="137" fillId="0" borderId="0" applyNumberFormat="0" applyBorder="0" applyAlignment="0"/>
    <xf numFmtId="0" fontId="140" fillId="0" borderId="46"/>
    <xf numFmtId="0" fontId="140" fillId="0" borderId="46"/>
    <xf numFmtId="0" fontId="140" fillId="0" borderId="46"/>
    <xf numFmtId="0" fontId="140" fillId="0" borderId="46"/>
    <xf numFmtId="0" fontId="140" fillId="0" borderId="4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41"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86" fillId="0" borderId="10" applyNumberFormat="0" applyFill="0" applyAlignment="0" applyProtection="0"/>
    <xf numFmtId="0" fontId="107" fillId="0" borderId="10" applyNumberFormat="0" applyFill="0" applyAlignment="0" applyProtection="0"/>
    <xf numFmtId="0" fontId="142" fillId="0" borderId="47"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07" fillId="0" borderId="10"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87"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41" fontId="6" fillId="0" borderId="0" applyFont="0" applyFill="0" applyBorder="0" applyAlignment="0" applyProtection="0"/>
    <xf numFmtId="41" fontId="4"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4"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0" fontId="118"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0" fontId="83" fillId="0" borderId="0" applyNumberFormat="0" applyFont="0" applyFill="0" applyBorder="0" applyAlignment="0" applyProtection="0">
      <alignment horizontal="left"/>
    </xf>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15"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4" fontId="83" fillId="0" borderId="0" applyFont="0" applyFill="0" applyBorder="0" applyAlignment="0" applyProtection="0"/>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0" fontId="84" fillId="0" borderId="9">
      <alignment horizontal="center"/>
    </xf>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83" fillId="24" borderId="0" applyNumberFormat="0" applyFont="0" applyBorder="0" applyAlignment="0" applyProtection="0"/>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129" fillId="0" borderId="41"/>
    <xf numFmtId="0" fontId="6" fillId="0" borderId="0" applyNumberFormat="0" applyFill="0" applyBorder="0" applyAlignment="0" applyProtection="0"/>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4" fontId="133" fillId="98" borderId="45" applyNumberFormat="0" applyProtection="0">
      <alignment horizontal="left" vertical="center" indent="1"/>
    </xf>
    <xf numFmtId="0" fontId="135" fillId="0" borderId="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06" fillId="0" borderId="0" applyNumberFormat="0" applyBorder="0" applyAlignment="0"/>
    <xf numFmtId="0" fontId="145" fillId="0" borderId="0" applyNumberFormat="0" applyBorder="0" applyAlignment="0"/>
    <xf numFmtId="0" fontId="146" fillId="0" borderId="0" applyNumberFormat="0" applyBorder="0" applyAlignment="0"/>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140" fillId="0" borderId="46"/>
    <xf numFmtId="0" fontId="6" fillId="0" borderId="0"/>
    <xf numFmtId="0" fontId="6" fillId="0" borderId="0"/>
    <xf numFmtId="0" fontId="6" fillId="0" borderId="0"/>
    <xf numFmtId="0" fontId="140" fillId="0" borderId="46"/>
    <xf numFmtId="0" fontId="140" fillId="0" borderId="46"/>
    <xf numFmtId="0" fontId="6" fillId="0" borderId="0"/>
    <xf numFmtId="0" fontId="140" fillId="0" borderId="46"/>
    <xf numFmtId="0" fontId="140" fillId="0" borderId="46"/>
    <xf numFmtId="0" fontId="6" fillId="0" borderId="0"/>
    <xf numFmtId="0" fontId="6" fillId="0" borderId="0"/>
    <xf numFmtId="0" fontId="6" fillId="0" borderId="0"/>
    <xf numFmtId="0" fontId="140" fillId="0" borderId="46"/>
    <xf numFmtId="0" fontId="140" fillId="0" borderId="46"/>
    <xf numFmtId="0" fontId="6" fillId="0" borderId="0"/>
    <xf numFmtId="0" fontId="140" fillId="0" borderId="46"/>
    <xf numFmtId="0" fontId="140" fillId="0" borderId="46"/>
    <xf numFmtId="0" fontId="6" fillId="0" borderId="0"/>
    <xf numFmtId="0" fontId="6" fillId="0" borderId="0"/>
    <xf numFmtId="0" fontId="6" fillId="0" borderId="0"/>
    <xf numFmtId="0" fontId="140" fillId="0" borderId="46"/>
    <xf numFmtId="0" fontId="140" fillId="0" borderId="46"/>
    <xf numFmtId="0" fontId="6" fillId="0" borderId="0"/>
    <xf numFmtId="0" fontId="140" fillId="0" borderId="46"/>
    <xf numFmtId="0" fontId="140" fillId="0" borderId="46"/>
    <xf numFmtId="0" fontId="6" fillId="0" borderId="0"/>
    <xf numFmtId="0" fontId="6" fillId="0" borderId="0"/>
    <xf numFmtId="0" fontId="6" fillId="0" borderId="0"/>
    <xf numFmtId="0" fontId="140" fillId="0" borderId="46"/>
    <xf numFmtId="0" fontId="140" fillId="0" borderId="46"/>
    <xf numFmtId="0" fontId="6" fillId="0" borderId="0"/>
    <xf numFmtId="0" fontId="140" fillId="0" borderId="46"/>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6" fillId="0" borderId="0"/>
    <xf numFmtId="0" fontId="140" fillId="0" borderId="46"/>
    <xf numFmtId="0" fontId="6" fillId="0" borderId="0"/>
    <xf numFmtId="0" fontId="140" fillId="0" borderId="46"/>
    <xf numFmtId="0" fontId="6" fillId="0" borderId="0"/>
    <xf numFmtId="0" fontId="140" fillId="0" borderId="46"/>
    <xf numFmtId="0" fontId="6" fillId="0" borderId="0"/>
    <xf numFmtId="0" fontId="140" fillId="0" borderId="46"/>
    <xf numFmtId="0" fontId="85" fillId="0" borderId="0" applyNumberFormat="0" applyFill="0" applyBorder="0" applyAlignment="0" applyProtection="0"/>
    <xf numFmtId="0" fontId="147"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1" applyNumberFormat="0" applyAlignment="0" applyProtection="0"/>
    <xf numFmtId="0" fontId="73" fillId="21" borderId="2" applyNumberFormat="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56" fillId="0" borderId="0" applyFont="0" applyFill="0" applyBorder="0" applyAlignment="0" applyProtection="0"/>
    <xf numFmtId="0" fontId="74" fillId="0" borderId="0" applyNumberFormat="0" applyFill="0" applyBorder="0" applyAlignment="0" applyProtection="0"/>
    <xf numFmtId="0" fontId="75" fillId="4"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7" borderId="1" applyNumberFormat="0" applyAlignment="0" applyProtection="0"/>
    <xf numFmtId="0" fontId="80" fillId="0" borderId="6" applyNumberFormat="0" applyFill="0" applyAlignment="0" applyProtection="0"/>
    <xf numFmtId="0" fontId="81" fillId="22" borderId="0" applyNumberFormat="0" applyBorder="0" applyAlignment="0" applyProtection="0"/>
    <xf numFmtId="0" fontId="6" fillId="0" borderId="0"/>
    <xf numFmtId="0" fontId="2" fillId="0" borderId="0"/>
    <xf numFmtId="0" fontId="2" fillId="0" borderId="0"/>
    <xf numFmtId="0" fontId="2" fillId="0" borderId="0"/>
    <xf numFmtId="0" fontId="2" fillId="0" borderId="0"/>
    <xf numFmtId="0" fontId="69" fillId="23" borderId="7" applyNumberFormat="0" applyFont="0" applyAlignment="0" applyProtection="0"/>
    <xf numFmtId="0" fontId="69" fillId="23" borderId="7" applyNumberFormat="0" applyFont="0" applyAlignment="0" applyProtection="0"/>
    <xf numFmtId="0" fontId="69" fillId="23" borderId="7" applyNumberFormat="0" applyFont="0" applyAlignment="0" applyProtection="0"/>
    <xf numFmtId="0" fontId="82" fillId="20" borderId="8" applyNumberFormat="0" applyAlignment="0" applyProtection="0"/>
    <xf numFmtId="9" fontId="6"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xf numFmtId="0" fontId="159" fillId="0" borderId="0"/>
    <xf numFmtId="0" fontId="1" fillId="0" borderId="0"/>
    <xf numFmtId="0" fontId="1" fillId="0" borderId="0"/>
    <xf numFmtId="0" fontId="1" fillId="0" borderId="0"/>
    <xf numFmtId="43" fontId="6" fillId="0" borderId="0" applyFont="0" applyFill="0" applyBorder="0" applyAlignment="0" applyProtection="0"/>
  </cellStyleXfs>
  <cellXfs count="1261">
    <xf numFmtId="0" fontId="0" fillId="0" borderId="0" xfId="0"/>
    <xf numFmtId="0" fontId="8" fillId="0" borderId="0" xfId="0" applyFont="1"/>
    <xf numFmtId="0" fontId="0" fillId="0" borderId="0" xfId="0" applyFill="1"/>
    <xf numFmtId="0" fontId="12" fillId="0" borderId="0" xfId="0" applyNumberFormat="1" applyFont="1" applyAlignment="1"/>
    <xf numFmtId="0" fontId="12" fillId="0" borderId="0" xfId="0" applyNumberFormat="1" applyFont="1" applyAlignment="1">
      <alignment horizontal="left"/>
    </xf>
    <xf numFmtId="3" fontId="12" fillId="0" borderId="0" xfId="0" applyNumberFormat="1" applyFont="1" applyAlignment="1"/>
    <xf numFmtId="0" fontId="12" fillId="0" borderId="0" xfId="0" applyNumberFormat="1" applyFont="1" applyAlignment="1">
      <alignment horizontal="center"/>
    </xf>
    <xf numFmtId="3" fontId="12" fillId="0" borderId="0" xfId="0" applyNumberFormat="1" applyFont="1"/>
    <xf numFmtId="169" fontId="12" fillId="0" borderId="0" xfId="0" applyNumberFormat="1" applyFont="1" applyAlignment="1"/>
    <xf numFmtId="3" fontId="12" fillId="0" borderId="0" xfId="0" applyNumberFormat="1" applyFont="1" applyFill="1" applyBorder="1"/>
    <xf numFmtId="3" fontId="12" fillId="25" borderId="0" xfId="0" applyNumberFormat="1" applyFont="1" applyFill="1" applyAlignment="1"/>
    <xf numFmtId="0" fontId="12" fillId="0" borderId="0" xfId="0" applyFont="1" applyAlignment="1"/>
    <xf numFmtId="3" fontId="12" fillId="0" borderId="0" xfId="0" applyNumberFormat="1" applyFont="1" applyFill="1" applyAlignment="1"/>
    <xf numFmtId="0" fontId="8" fillId="0" borderId="0" xfId="0" applyNumberFormat="1" applyFont="1" applyAlignment="1">
      <alignment horizontal="center"/>
    </xf>
    <xf numFmtId="3" fontId="8" fillId="0" borderId="0" xfId="0" applyNumberFormat="1" applyFont="1" applyAlignment="1"/>
    <xf numFmtId="0" fontId="8" fillId="0" borderId="0" xfId="0" applyNumberFormat="1" applyFont="1" applyAlignment="1"/>
    <xf numFmtId="168" fontId="12" fillId="0" borderId="0" xfId="0" applyNumberFormat="1" applyFont="1" applyAlignment="1">
      <alignment horizontal="center"/>
    </xf>
    <xf numFmtId="168" fontId="12" fillId="0" borderId="0" xfId="0" applyNumberFormat="1" applyFont="1" applyAlignment="1">
      <alignment horizontal="left"/>
    </xf>
    <xf numFmtId="169" fontId="12" fillId="0" borderId="0" xfId="0" applyNumberFormat="1" applyFont="1" applyAlignment="1">
      <alignment horizontal="center"/>
    </xf>
    <xf numFmtId="10"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Alignment="1">
      <alignment horizontal="center"/>
    </xf>
    <xf numFmtId="3" fontId="12" fillId="0" borderId="0" xfId="0" applyNumberFormat="1" applyFont="1" applyBorder="1" applyAlignment="1">
      <alignment horizontal="center"/>
    </xf>
    <xf numFmtId="166" fontId="12" fillId="0" borderId="0" xfId="0" applyNumberFormat="1" applyFont="1" applyAlignment="1"/>
    <xf numFmtId="170" fontId="12" fillId="0" borderId="0" xfId="0" applyNumberFormat="1" applyFont="1" applyAlignment="1"/>
    <xf numFmtId="0" fontId="8" fillId="0" borderId="0" xfId="0" applyNumberFormat="1" applyFont="1" applyAlignment="1">
      <alignment horizontal="right"/>
    </xf>
    <xf numFmtId="0" fontId="8" fillId="0" borderId="0" xfId="0" applyNumberFormat="1" applyFont="1" applyFill="1" applyAlignment="1"/>
    <xf numFmtId="3" fontId="12" fillId="0" borderId="0" xfId="0" applyNumberFormat="1" applyFont="1" applyBorder="1" applyAlignment="1"/>
    <xf numFmtId="0" fontId="12" fillId="0" borderId="0" xfId="0" applyNumberFormat="1" applyFont="1" applyFill="1" applyAlignment="1"/>
    <xf numFmtId="0" fontId="12" fillId="0" borderId="0" xfId="0" applyFont="1" applyFill="1" applyAlignment="1"/>
    <xf numFmtId="3" fontId="12" fillId="0" borderId="0" xfId="0" applyNumberFormat="1" applyFont="1" applyFill="1" applyAlignment="1">
      <alignment horizontal="center"/>
    </xf>
    <xf numFmtId="0" fontId="12" fillId="0" borderId="0" xfId="0" applyNumberFormat="1" applyFont="1" applyFill="1" applyAlignment="1">
      <alignment horizontal="center"/>
    </xf>
    <xf numFmtId="3" fontId="12" fillId="0" borderId="0" xfId="0" quotePrefix="1" applyNumberFormat="1" applyFont="1" applyAlignment="1">
      <alignment horizontal="right"/>
    </xf>
    <xf numFmtId="0" fontId="10" fillId="0" borderId="0" xfId="0" applyNumberFormat="1" applyFont="1" applyAlignment="1">
      <alignment horizontal="center"/>
    </xf>
    <xf numFmtId="0" fontId="10" fillId="0" borderId="0" xfId="0" applyFont="1" applyAlignment="1"/>
    <xf numFmtId="0" fontId="19" fillId="0" borderId="0" xfId="0" applyNumberFormat="1" applyFont="1" applyFill="1"/>
    <xf numFmtId="0" fontId="15" fillId="0" borderId="0" xfId="0" applyNumberFormat="1" applyFont="1" applyFill="1" applyAlignment="1"/>
    <xf numFmtId="3" fontId="12" fillId="0" borderId="11" xfId="0" applyNumberFormat="1" applyFont="1" applyBorder="1" applyAlignment="1"/>
    <xf numFmtId="0" fontId="12" fillId="0" borderId="0" xfId="0" applyFont="1"/>
    <xf numFmtId="0" fontId="12" fillId="0" borderId="0" xfId="0" applyFont="1" applyFill="1" applyBorder="1" applyAlignment="1"/>
    <xf numFmtId="0" fontId="8" fillId="0" borderId="11" xfId="0" applyFont="1" applyBorder="1"/>
    <xf numFmtId="0" fontId="12" fillId="0" borderId="0" xfId="0" applyFont="1" applyBorder="1" applyAlignment="1"/>
    <xf numFmtId="0" fontId="12" fillId="0" borderId="0" xfId="0" applyFont="1" applyBorder="1"/>
    <xf numFmtId="0" fontId="12" fillId="0" borderId="11" xfId="0" applyNumberFormat="1" applyFont="1" applyBorder="1" applyAlignment="1"/>
    <xf numFmtId="172" fontId="8" fillId="0" borderId="0" xfId="51" applyNumberFormat="1" applyFont="1" applyAlignment="1"/>
    <xf numFmtId="0" fontId="8" fillId="0" borderId="11" xfId="0" applyNumberFormat="1" applyFont="1" applyFill="1" applyBorder="1" applyAlignment="1"/>
    <xf numFmtId="0" fontId="8" fillId="0" borderId="12" xfId="0" applyNumberFormat="1" applyFont="1" applyFill="1" applyBorder="1" applyAlignment="1"/>
    <xf numFmtId="3" fontId="12" fillId="0" borderId="12" xfId="0" applyNumberFormat="1" applyFont="1" applyBorder="1" applyAlignment="1"/>
    <xf numFmtId="3" fontId="8" fillId="0" borderId="12" xfId="0" applyNumberFormat="1" applyFont="1" applyBorder="1" applyAlignment="1"/>
    <xf numFmtId="3" fontId="12" fillId="0" borderId="0" xfId="0" applyNumberFormat="1" applyFont="1" applyFill="1" applyBorder="1" applyAlignment="1"/>
    <xf numFmtId="3" fontId="12" fillId="25" borderId="0" xfId="0" applyNumberFormat="1" applyFont="1" applyFill="1" applyBorder="1" applyAlignment="1"/>
    <xf numFmtId="0" fontId="8" fillId="0" borderId="12" xfId="0" applyFont="1" applyBorder="1"/>
    <xf numFmtId="3" fontId="8" fillId="0" borderId="12" xfId="0" applyNumberFormat="1" applyFont="1" applyBorder="1"/>
    <xf numFmtId="0" fontId="8" fillId="0" borderId="0" xfId="0" applyNumberFormat="1" applyFont="1" applyFill="1" applyAlignment="1">
      <alignment horizontal="center"/>
    </xf>
    <xf numFmtId="0" fontId="12" fillId="0" borderId="0" xfId="0" applyNumberFormat="1" applyFont="1" applyFill="1" applyBorder="1" applyAlignment="1"/>
    <xf numFmtId="0" fontId="12" fillId="0" borderId="11" xfId="0" applyNumberFormat="1" applyFont="1" applyFill="1" applyBorder="1" applyAlignment="1"/>
    <xf numFmtId="0" fontId="12" fillId="0" borderId="11" xfId="0" applyFont="1" applyFill="1" applyBorder="1"/>
    <xf numFmtId="0" fontId="8" fillId="0" borderId="0" xfId="0" applyNumberFormat="1" applyFont="1" applyFill="1" applyBorder="1" applyAlignment="1"/>
    <xf numFmtId="0" fontId="10" fillId="0" borderId="0" xfId="0" applyFont="1"/>
    <xf numFmtId="0" fontId="10" fillId="0" borderId="0" xfId="0" applyNumberFormat="1" applyFont="1" applyAlignment="1">
      <alignment horizontal="right"/>
    </xf>
    <xf numFmtId="0" fontId="10" fillId="0" borderId="0" xfId="0" applyNumberFormat="1" applyFont="1" applyAlignment="1">
      <alignment horizontal="left"/>
    </xf>
    <xf numFmtId="0" fontId="10" fillId="0" borderId="0" xfId="0" applyNumberFormat="1" applyFont="1" applyFill="1" applyAlignment="1">
      <alignment horizontal="right"/>
    </xf>
    <xf numFmtId="0" fontId="10" fillId="0" borderId="0" xfId="0" applyNumberFormat="1" applyFont="1" applyFill="1" applyAlignment="1">
      <alignment horizontal="left"/>
    </xf>
    <xf numFmtId="0" fontId="10" fillId="0" borderId="0" xfId="0" applyFont="1" applyFill="1" applyAlignment="1"/>
    <xf numFmtId="0" fontId="10" fillId="0" borderId="0" xfId="0" applyFont="1" applyFill="1"/>
    <xf numFmtId="3" fontId="22" fillId="0" borderId="0" xfId="0" applyNumberFormat="1" applyFont="1" applyFill="1" applyAlignment="1">
      <alignment horizontal="right"/>
    </xf>
    <xf numFmtId="0" fontId="10" fillId="0" borderId="11" xfId="0" applyNumberFormat="1" applyFont="1" applyFill="1" applyBorder="1" applyAlignment="1">
      <alignment horizontal="left"/>
    </xf>
    <xf numFmtId="0" fontId="10" fillId="0" borderId="11" xfId="0" applyFont="1" applyFill="1" applyBorder="1" applyAlignment="1"/>
    <xf numFmtId="0" fontId="10" fillId="0" borderId="11" xfId="0" applyFont="1" applyBorder="1"/>
    <xf numFmtId="0" fontId="10" fillId="0" borderId="11" xfId="0" applyFont="1" applyFill="1" applyBorder="1"/>
    <xf numFmtId="3" fontId="12" fillId="0" borderId="11" xfId="0" applyNumberFormat="1" applyFont="1" applyFill="1" applyBorder="1" applyAlignment="1"/>
    <xf numFmtId="0" fontId="24" fillId="0" borderId="0" xfId="0" applyNumberFormat="1" applyFont="1" applyFill="1" applyAlignment="1">
      <alignment horizontal="left"/>
    </xf>
    <xf numFmtId="0" fontId="10" fillId="0" borderId="11" xfId="0" applyFont="1" applyBorder="1" applyAlignment="1"/>
    <xf numFmtId="0" fontId="12" fillId="0" borderId="0" xfId="0" applyFont="1" applyFill="1" applyBorder="1"/>
    <xf numFmtId="0" fontId="23" fillId="0" borderId="0" xfId="0" applyNumberFormat="1" applyFont="1" applyFill="1" applyAlignment="1">
      <alignment horizontal="left"/>
    </xf>
    <xf numFmtId="3" fontId="21" fillId="0" borderId="0" xfId="0" applyNumberFormat="1" applyFont="1" applyAlignment="1">
      <alignment horizontal="right"/>
    </xf>
    <xf numFmtId="10" fontId="10" fillId="0" borderId="0" xfId="0" applyNumberFormat="1" applyFont="1" applyFill="1" applyAlignment="1">
      <alignment horizontal="right"/>
    </xf>
    <xf numFmtId="0" fontId="10" fillId="0" borderId="0" xfId="0" applyFont="1" applyBorder="1" applyAlignment="1"/>
    <xf numFmtId="172" fontId="10" fillId="0" borderId="0" xfId="0" applyNumberFormat="1" applyFont="1" applyAlignment="1">
      <alignment horizontal="right"/>
    </xf>
    <xf numFmtId="10" fontId="10" fillId="0" borderId="0" xfId="0" applyNumberFormat="1" applyFont="1" applyAlignment="1">
      <alignment horizontal="right"/>
    </xf>
    <xf numFmtId="3" fontId="22" fillId="0" borderId="0" xfId="0" applyNumberFormat="1" applyFont="1" applyBorder="1" applyAlignment="1">
      <alignment horizontal="right"/>
    </xf>
    <xf numFmtId="0" fontId="10" fillId="0" borderId="0" xfId="0" applyFont="1" applyFill="1" applyAlignment="1">
      <alignment horizontal="left"/>
    </xf>
    <xf numFmtId="0" fontId="22" fillId="0" borderId="0" xfId="0" applyNumberFormat="1" applyFont="1" applyFill="1" applyAlignment="1">
      <alignment horizontal="left"/>
    </xf>
    <xf numFmtId="0" fontId="10" fillId="0" borderId="0" xfId="0" applyFont="1" applyAlignment="1">
      <alignment horizontal="left"/>
    </xf>
    <xf numFmtId="3" fontId="10" fillId="0" borderId="11" xfId="0" applyNumberFormat="1" applyFont="1" applyBorder="1" applyAlignment="1">
      <alignment horizontal="right"/>
    </xf>
    <xf numFmtId="0" fontId="16" fillId="0" borderId="11" xfId="0" applyFont="1" applyBorder="1"/>
    <xf numFmtId="0" fontId="16" fillId="0" borderId="11" xfId="0" applyFont="1" applyBorder="1" applyAlignment="1"/>
    <xf numFmtId="3" fontId="26" fillId="0" borderId="11" xfId="0" applyNumberFormat="1" applyFont="1" applyBorder="1" applyAlignment="1">
      <alignment horizontal="right"/>
    </xf>
    <xf numFmtId="3" fontId="16" fillId="0" borderId="11" xfId="0" applyNumberFormat="1" applyFont="1" applyBorder="1"/>
    <xf numFmtId="0" fontId="16" fillId="0" borderId="11" xfId="0" applyFont="1" applyBorder="1" applyAlignment="1">
      <alignment horizontal="left"/>
    </xf>
    <xf numFmtId="0" fontId="16" fillId="0" borderId="0" xfId="0" applyFont="1"/>
    <xf numFmtId="3" fontId="23" fillId="0" borderId="11" xfId="0" applyNumberFormat="1" applyFont="1" applyBorder="1" applyAlignment="1">
      <alignment horizontal="right"/>
    </xf>
    <xf numFmtId="3" fontId="8" fillId="0" borderId="11" xfId="0" applyNumberFormat="1" applyFont="1" applyBorder="1" applyAlignment="1">
      <alignment horizontal="right"/>
    </xf>
    <xf numFmtId="0" fontId="10" fillId="0" borderId="0" xfId="0" applyFont="1" applyAlignment="1">
      <alignment horizontal="right"/>
    </xf>
    <xf numFmtId="172" fontId="21" fillId="0" borderId="0" xfId="0" applyNumberFormat="1" applyFont="1" applyAlignment="1">
      <alignment horizontal="right"/>
    </xf>
    <xf numFmtId="3" fontId="22" fillId="0" borderId="0" xfId="0" applyNumberFormat="1" applyFont="1" applyAlignment="1">
      <alignment horizontal="right"/>
    </xf>
    <xf numFmtId="3" fontId="16" fillId="0" borderId="12" xfId="0" applyNumberFormat="1" applyFont="1" applyBorder="1" applyAlignment="1">
      <alignment horizontal="right"/>
    </xf>
    <xf numFmtId="166" fontId="8" fillId="0" borderId="0" xfId="0" applyNumberFormat="1" applyFont="1" applyAlignment="1"/>
    <xf numFmtId="0" fontId="10" fillId="0" borderId="0" xfId="0" applyNumberFormat="1" applyFont="1" applyFill="1" applyAlignment="1">
      <alignment horizontal="center"/>
    </xf>
    <xf numFmtId="0" fontId="10" fillId="0" borderId="0" xfId="0" applyNumberFormat="1" applyFont="1" applyBorder="1" applyAlignment="1">
      <alignment horizontal="center"/>
    </xf>
    <xf numFmtId="0" fontId="10" fillId="0" borderId="0" xfId="0" applyNumberFormat="1" applyFont="1" applyBorder="1" applyAlignment="1">
      <alignment horizontal="left"/>
    </xf>
    <xf numFmtId="0" fontId="10" fillId="0" borderId="0" xfId="0" applyFont="1" applyFill="1" applyBorder="1" applyAlignment="1"/>
    <xf numFmtId="3" fontId="21" fillId="0" borderId="0" xfId="0" applyNumberFormat="1" applyFont="1" applyBorder="1" applyAlignment="1">
      <alignment horizontal="right"/>
    </xf>
    <xf numFmtId="0" fontId="10" fillId="0" borderId="0" xfId="0" applyFont="1" applyBorder="1"/>
    <xf numFmtId="3" fontId="21" fillId="0" borderId="11" xfId="0" applyNumberFormat="1" applyFont="1" applyBorder="1" applyAlignment="1">
      <alignment horizontal="right"/>
    </xf>
    <xf numFmtId="0" fontId="8" fillId="0" borderId="0" xfId="0" applyNumberFormat="1" applyFont="1" applyBorder="1" applyAlignment="1"/>
    <xf numFmtId="3" fontId="8" fillId="0" borderId="0" xfId="0" applyNumberFormat="1" applyFont="1" applyBorder="1" applyAlignment="1"/>
    <xf numFmtId="3" fontId="8" fillId="0" borderId="0" xfId="0" quotePrefix="1" applyNumberFormat="1" applyFont="1" applyBorder="1" applyAlignment="1">
      <alignment horizontal="right"/>
    </xf>
    <xf numFmtId="168" fontId="12" fillId="0" borderId="0" xfId="0" applyNumberFormat="1" applyFont="1" applyBorder="1" applyAlignment="1">
      <alignment horizontal="left"/>
    </xf>
    <xf numFmtId="3" fontId="10" fillId="0" borderId="0" xfId="0" applyNumberFormat="1" applyFont="1"/>
    <xf numFmtId="0" fontId="8" fillId="0" borderId="11" xfId="0" applyNumberFormat="1" applyFont="1" applyBorder="1" applyAlignment="1"/>
    <xf numFmtId="0" fontId="28" fillId="26" borderId="0" xfId="0" applyFont="1" applyFill="1" applyBorder="1" applyAlignment="1"/>
    <xf numFmtId="0" fontId="23" fillId="0" borderId="0" xfId="0" applyNumberFormat="1" applyFont="1" applyFill="1" applyBorder="1" applyAlignment="1">
      <alignment horizontal="left"/>
    </xf>
    <xf numFmtId="0" fontId="23" fillId="0" borderId="11" xfId="0" applyNumberFormat="1" applyFont="1" applyFill="1" applyBorder="1" applyAlignment="1">
      <alignment horizontal="left"/>
    </xf>
    <xf numFmtId="0" fontId="28" fillId="26" borderId="0" xfId="0" applyFont="1" applyFill="1" applyBorder="1" applyAlignment="1">
      <alignment horizontal="left"/>
    </xf>
    <xf numFmtId="0" fontId="10" fillId="0" borderId="0" xfId="0" applyFont="1" applyAlignment="1">
      <alignment horizontal="center"/>
    </xf>
    <xf numFmtId="0" fontId="12" fillId="0" borderId="0" xfId="0" applyFont="1" applyAlignment="1">
      <alignment horizontal="center"/>
    </xf>
    <xf numFmtId="0" fontId="10" fillId="0" borderId="0" xfId="0" applyFont="1" applyFill="1" applyAlignment="1">
      <alignment horizontal="center"/>
    </xf>
    <xf numFmtId="0" fontId="22" fillId="0" borderId="14" xfId="0" applyNumberFormat="1" applyFont="1" applyFill="1" applyBorder="1" applyAlignment="1">
      <alignment horizontal="left"/>
    </xf>
    <xf numFmtId="0" fontId="10" fillId="0" borderId="14" xfId="0" applyFont="1" applyFill="1" applyBorder="1" applyAlignment="1">
      <alignment horizontal="left"/>
    </xf>
    <xf numFmtId="0" fontId="10" fillId="0" borderId="14" xfId="0" applyNumberFormat="1" applyFont="1" applyBorder="1" applyAlignment="1">
      <alignment horizontal="left"/>
    </xf>
    <xf numFmtId="3" fontId="21" fillId="0" borderId="14" xfId="0" applyNumberFormat="1" applyFont="1" applyBorder="1" applyAlignment="1">
      <alignment horizontal="right"/>
    </xf>
    <xf numFmtId="0" fontId="23" fillId="0" borderId="0" xfId="0" applyNumberFormat="1" applyFont="1" applyAlignment="1">
      <alignment horizontal="left"/>
    </xf>
    <xf numFmtId="0" fontId="22" fillId="0" borderId="0" xfId="0" applyNumberFormat="1" applyFont="1" applyFill="1" applyBorder="1" applyAlignment="1">
      <alignment horizontal="left"/>
    </xf>
    <xf numFmtId="0" fontId="10" fillId="0" borderId="0" xfId="0" applyFont="1" applyFill="1" applyBorder="1" applyAlignment="1">
      <alignment horizontal="left"/>
    </xf>
    <xf numFmtId="3" fontId="23" fillId="0" borderId="11" xfId="0" applyNumberFormat="1" applyFont="1" applyFill="1" applyBorder="1" applyAlignment="1">
      <alignment horizontal="right"/>
    </xf>
    <xf numFmtId="0" fontId="12" fillId="0" borderId="0" xfId="0" applyFont="1" applyFill="1" applyAlignment="1">
      <alignment horizontal="center"/>
    </xf>
    <xf numFmtId="0" fontId="10" fillId="0" borderId="14" xfId="0" applyFont="1" applyBorder="1" applyAlignment="1"/>
    <xf numFmtId="172" fontId="10" fillId="0" borderId="14" xfId="0" applyNumberFormat="1" applyFont="1" applyBorder="1" applyAlignment="1">
      <alignment horizontal="right"/>
    </xf>
    <xf numFmtId="0" fontId="23" fillId="0" borderId="12" xfId="0" applyNumberFormat="1" applyFont="1" applyBorder="1" applyAlignment="1">
      <alignment horizontal="left"/>
    </xf>
    <xf numFmtId="0" fontId="16" fillId="0" borderId="12" xfId="0" applyFont="1" applyBorder="1" applyAlignment="1"/>
    <xf numFmtId="0" fontId="16" fillId="0" borderId="12" xfId="0" applyFont="1" applyBorder="1" applyAlignment="1">
      <alignment horizontal="right"/>
    </xf>
    <xf numFmtId="0" fontId="8" fillId="0" borderId="0" xfId="0" applyNumberFormat="1" applyFont="1" applyAlignment="1">
      <alignment horizontal="left"/>
    </xf>
    <xf numFmtId="0" fontId="15" fillId="0" borderId="0" xfId="0" applyNumberFormat="1" applyFont="1" applyFill="1" applyAlignment="1">
      <alignment horizontal="center"/>
    </xf>
    <xf numFmtId="0" fontId="16" fillId="0" borderId="11" xfId="0" applyFont="1" applyFill="1" applyBorder="1"/>
    <xf numFmtId="0" fontId="10" fillId="0" borderId="0" xfId="0" applyFont="1" applyFill="1" applyAlignment="1">
      <alignment horizontal="right"/>
    </xf>
    <xf numFmtId="0" fontId="10" fillId="0" borderId="0" xfId="0" applyFont="1" applyFill="1" applyBorder="1"/>
    <xf numFmtId="0" fontId="8" fillId="0" borderId="12" xfId="0" applyFont="1" applyBorder="1" applyAlignment="1"/>
    <xf numFmtId="172" fontId="8" fillId="0" borderId="12" xfId="51" applyNumberFormat="1" applyFont="1" applyBorder="1" applyAlignment="1"/>
    <xf numFmtId="0" fontId="10" fillId="0" borderId="12" xfId="0" applyFont="1" applyBorder="1"/>
    <xf numFmtId="3" fontId="12" fillId="0" borderId="14" xfId="0" applyNumberFormat="1" applyFont="1" applyBorder="1" applyAlignment="1"/>
    <xf numFmtId="3" fontId="12" fillId="0" borderId="14" xfId="0" applyNumberFormat="1" applyFont="1" applyBorder="1" applyAlignment="1">
      <alignment horizontal="right"/>
    </xf>
    <xf numFmtId="3" fontId="12" fillId="0" borderId="14" xfId="0" applyNumberFormat="1" applyFont="1" applyFill="1" applyBorder="1" applyAlignment="1"/>
    <xf numFmtId="3" fontId="12" fillId="25" borderId="14" xfId="0" applyNumberFormat="1" applyFont="1" applyFill="1" applyBorder="1" applyAlignment="1"/>
    <xf numFmtId="168" fontId="8" fillId="0" borderId="12" xfId="0" applyNumberFormat="1" applyFont="1" applyBorder="1" applyAlignment="1">
      <alignment horizontal="left"/>
    </xf>
    <xf numFmtId="169" fontId="8" fillId="0" borderId="12" xfId="0" applyNumberFormat="1" applyFont="1" applyBorder="1" applyAlignment="1">
      <alignment horizontal="center"/>
    </xf>
    <xf numFmtId="0" fontId="10" fillId="0" borderId="0" xfId="0" applyFont="1" applyFill="1" applyBorder="1" applyAlignment="1">
      <alignment horizontal="center" wrapText="1"/>
    </xf>
    <xf numFmtId="0" fontId="10" fillId="26" borderId="0" xfId="0" applyFont="1" applyFill="1" applyBorder="1" applyAlignment="1"/>
    <xf numFmtId="0" fontId="10" fillId="26" borderId="0" xfId="0" applyFont="1" applyFill="1" applyBorder="1"/>
    <xf numFmtId="0" fontId="10" fillId="0" borderId="12" xfId="0" applyFont="1" applyFill="1" applyBorder="1" applyAlignment="1"/>
    <xf numFmtId="0" fontId="10" fillId="0" borderId="12" xfId="0" applyFont="1" applyBorder="1" applyAlignment="1"/>
    <xf numFmtId="0" fontId="27" fillId="0" borderId="0" xfId="0" applyFont="1" applyFill="1" applyBorder="1" applyAlignment="1">
      <alignment horizontal="center"/>
    </xf>
    <xf numFmtId="0" fontId="28" fillId="0" borderId="0" xfId="0" applyFont="1" applyFill="1" applyBorder="1" applyAlignment="1"/>
    <xf numFmtId="0" fontId="29" fillId="26" borderId="0" xfId="0" applyFont="1" applyFill="1" applyAlignment="1">
      <alignment horizontal="left"/>
    </xf>
    <xf numFmtId="0" fontId="29" fillId="26" borderId="0" xfId="0" applyFont="1" applyFill="1" applyAlignment="1"/>
    <xf numFmtId="0" fontId="23" fillId="26" borderId="0" xfId="0" applyNumberFormat="1" applyFont="1" applyFill="1" applyAlignment="1">
      <alignment horizontal="left"/>
    </xf>
    <xf numFmtId="0" fontId="10" fillId="26" borderId="0" xfId="0" applyFont="1" applyFill="1" applyAlignment="1"/>
    <xf numFmtId="0" fontId="10" fillId="26" borderId="0" xfId="0" applyFont="1" applyFill="1"/>
    <xf numFmtId="0" fontId="10" fillId="26" borderId="0" xfId="0" applyFont="1" applyFill="1" applyBorder="1" applyAlignment="1">
      <alignment horizontal="center" wrapText="1"/>
    </xf>
    <xf numFmtId="164" fontId="10" fillId="25" borderId="0" xfId="28" applyNumberFormat="1" applyFont="1" applyFill="1" applyBorder="1"/>
    <xf numFmtId="0" fontId="10" fillId="0" borderId="0" xfId="0" applyNumberFormat="1" applyFont="1" applyBorder="1"/>
    <xf numFmtId="0" fontId="8" fillId="0" borderId="0" xfId="0" applyFont="1" applyBorder="1" applyAlignment="1"/>
    <xf numFmtId="172" fontId="10" fillId="0" borderId="0" xfId="0" applyNumberFormat="1" applyFont="1" applyBorder="1" applyAlignment="1">
      <alignment horizontal="right"/>
    </xf>
    <xf numFmtId="0" fontId="22" fillId="0" borderId="0" xfId="0" applyFont="1" applyAlignment="1"/>
    <xf numFmtId="37" fontId="23" fillId="0" borderId="0" xfId="0" applyNumberFormat="1" applyFont="1" applyBorder="1" applyAlignment="1">
      <alignment horizontal="right"/>
    </xf>
    <xf numFmtId="3" fontId="8" fillId="0" borderId="0" xfId="0" applyNumberFormat="1" applyFont="1" applyFill="1" applyBorder="1" applyAlignment="1"/>
    <xf numFmtId="169" fontId="8" fillId="0" borderId="12" xfId="0" applyNumberFormat="1" applyFont="1" applyBorder="1" applyAlignment="1"/>
    <xf numFmtId="168" fontId="8" fillId="0" borderId="0" xfId="0" applyNumberFormat="1" applyFont="1" applyBorder="1" applyAlignment="1">
      <alignment horizontal="left"/>
    </xf>
    <xf numFmtId="173" fontId="12" fillId="0" borderId="0" xfId="51" applyNumberFormat="1" applyFont="1" applyFill="1" applyAlignment="1">
      <alignment horizontal="right"/>
    </xf>
    <xf numFmtId="43" fontId="10" fillId="0" borderId="0" xfId="0" applyNumberFormat="1" applyFont="1"/>
    <xf numFmtId="174" fontId="10" fillId="0" borderId="0" xfId="51" applyNumberFormat="1" applyFont="1"/>
    <xf numFmtId="43" fontId="10" fillId="0" borderId="0" xfId="28" applyFont="1"/>
    <xf numFmtId="0" fontId="8" fillId="0" borderId="11" xfId="0" applyNumberFormat="1" applyFont="1" applyBorder="1" applyAlignment="1">
      <alignment horizontal="left"/>
    </xf>
    <xf numFmtId="0" fontId="8" fillId="0" borderId="11" xfId="0" applyFont="1" applyFill="1" applyBorder="1" applyAlignment="1"/>
    <xf numFmtId="0" fontId="8" fillId="0" borderId="11" xfId="0" applyFont="1" applyBorder="1" applyAlignment="1"/>
    <xf numFmtId="3" fontId="8" fillId="0" borderId="11" xfId="0" applyNumberFormat="1" applyFont="1" applyBorder="1"/>
    <xf numFmtId="37" fontId="22" fillId="0" borderId="0" xfId="0" applyNumberFormat="1" applyFont="1" applyBorder="1" applyAlignment="1">
      <alignment horizontal="left"/>
    </xf>
    <xf numFmtId="0" fontId="10" fillId="26" borderId="0" xfId="0" applyNumberFormat="1" applyFont="1" applyFill="1" applyAlignment="1">
      <alignment horizontal="center"/>
    </xf>
    <xf numFmtId="0" fontId="28" fillId="26" borderId="0" xfId="0" applyNumberFormat="1" applyFont="1" applyFill="1" applyAlignment="1">
      <alignment horizontal="left"/>
    </xf>
    <xf numFmtId="0" fontId="16" fillId="0" borderId="0" xfId="0" applyFont="1" applyFill="1" applyBorder="1"/>
    <xf numFmtId="3" fontId="23" fillId="0" borderId="0" xfId="0" applyNumberFormat="1" applyFont="1" applyBorder="1" applyAlignment="1">
      <alignment horizontal="right"/>
    </xf>
    <xf numFmtId="0" fontId="9" fillId="0" borderId="0" xfId="0" applyFont="1"/>
    <xf numFmtId="0" fontId="30" fillId="0" borderId="15" xfId="0" applyNumberFormat="1" applyFont="1" applyBorder="1" applyAlignment="1">
      <alignment horizontal="center"/>
    </xf>
    <xf numFmtId="0" fontId="31" fillId="0" borderId="15" xfId="0" applyNumberFormat="1" applyFont="1" applyFill="1" applyBorder="1" applyAlignment="1"/>
    <xf numFmtId="0" fontId="31" fillId="0" borderId="15" xfId="0" applyFont="1" applyFill="1" applyBorder="1" applyAlignment="1"/>
    <xf numFmtId="0" fontId="30" fillId="0" borderId="15" xfId="0" applyFont="1" applyBorder="1" applyAlignment="1"/>
    <xf numFmtId="0" fontId="20" fillId="0" borderId="16" xfId="0" applyNumberFormat="1" applyFont="1" applyBorder="1" applyAlignment="1">
      <alignment horizontal="center"/>
    </xf>
    <xf numFmtId="0" fontId="20" fillId="0" borderId="15" xfId="0" applyNumberFormat="1" applyFont="1" applyBorder="1" applyAlignment="1">
      <alignment horizontal="left"/>
    </xf>
    <xf numFmtId="0" fontId="20" fillId="0" borderId="15" xfId="0" applyFont="1" applyFill="1" applyBorder="1"/>
    <xf numFmtId="0" fontId="20" fillId="0" borderId="15" xfId="0" applyFont="1" applyBorder="1" applyAlignment="1"/>
    <xf numFmtId="164" fontId="10" fillId="0" borderId="0" xfId="28" applyNumberFormat="1" applyFont="1"/>
    <xf numFmtId="3" fontId="21" fillId="0" borderId="0" xfId="0" applyNumberFormat="1" applyFont="1" applyFill="1" applyAlignment="1">
      <alignment horizontal="right"/>
    </xf>
    <xf numFmtId="0" fontId="10" fillId="0" borderId="14" xfId="0" applyNumberFormat="1" applyFont="1" applyFill="1" applyBorder="1" applyAlignment="1">
      <alignment horizontal="left"/>
    </xf>
    <xf numFmtId="10" fontId="12" fillId="0" borderId="0" xfId="51" applyNumberFormat="1" applyFont="1" applyAlignment="1"/>
    <xf numFmtId="0" fontId="8" fillId="0" borderId="15" xfId="0" applyFont="1" applyBorder="1"/>
    <xf numFmtId="0" fontId="22" fillId="0" borderId="0" xfId="0" applyFont="1" applyBorder="1" applyAlignment="1"/>
    <xf numFmtId="0" fontId="20" fillId="0" borderId="0" xfId="0" applyNumberFormat="1" applyFont="1" applyBorder="1" applyAlignment="1">
      <alignment horizontal="center"/>
    </xf>
    <xf numFmtId="0" fontId="20" fillId="0" borderId="15" xfId="0" applyNumberFormat="1" applyFont="1" applyBorder="1" applyAlignment="1">
      <alignment horizontal="center"/>
    </xf>
    <xf numFmtId="0" fontId="8" fillId="0" borderId="0" xfId="0" applyNumberFormat="1" applyFont="1" applyBorder="1" applyAlignment="1">
      <alignment horizontal="left"/>
    </xf>
    <xf numFmtId="0" fontId="12" fillId="0" borderId="0" xfId="0" applyNumberFormat="1" applyFont="1" applyFill="1" applyAlignment="1">
      <alignment horizontal="left"/>
    </xf>
    <xf numFmtId="0" fontId="12" fillId="0" borderId="14" xfId="0" applyNumberFormat="1" applyFont="1" applyFill="1" applyBorder="1" applyAlignment="1"/>
    <xf numFmtId="0" fontId="12" fillId="0" borderId="0" xfId="0" applyNumberFormat="1" applyFont="1" applyBorder="1" applyAlignment="1">
      <alignment horizontal="left"/>
    </xf>
    <xf numFmtId="3" fontId="12" fillId="0" borderId="0" xfId="0" applyNumberFormat="1" applyFont="1" applyAlignment="1">
      <alignment horizontal="left"/>
    </xf>
    <xf numFmtId="164" fontId="8" fillId="0" borderId="12" xfId="28" applyNumberFormat="1" applyFont="1" applyFill="1" applyBorder="1" applyAlignment="1">
      <alignment horizontal="right"/>
    </xf>
    <xf numFmtId="0" fontId="10" fillId="0" borderId="14" xfId="0" applyNumberFormat="1" applyFont="1" applyBorder="1" applyAlignment="1">
      <alignment horizontal="center"/>
    </xf>
    <xf numFmtId="0" fontId="12" fillId="0" borderId="14" xfId="0" applyNumberFormat="1" applyFont="1" applyBorder="1" applyAlignment="1">
      <alignment horizontal="left"/>
    </xf>
    <xf numFmtId="0" fontId="12" fillId="0" borderId="14" xfId="0" applyNumberFormat="1" applyFont="1" applyBorder="1" applyAlignment="1"/>
    <xf numFmtId="166" fontId="12" fillId="0" borderId="14" xfId="0" applyNumberFormat="1" applyFont="1" applyBorder="1" applyAlignment="1"/>
    <xf numFmtId="0" fontId="15" fillId="0" borderId="0" xfId="0" applyFont="1" applyFill="1" applyAlignment="1">
      <alignment horizontal="center"/>
    </xf>
    <xf numFmtId="0" fontId="23" fillId="0" borderId="0" xfId="0" applyNumberFormat="1" applyFont="1" applyFill="1" applyBorder="1" applyAlignment="1">
      <alignment horizontal="center"/>
    </xf>
    <xf numFmtId="0" fontId="23" fillId="26" borderId="0" xfId="0" applyNumberFormat="1" applyFont="1" applyFill="1" applyBorder="1" applyAlignment="1">
      <alignment horizontal="center"/>
    </xf>
    <xf numFmtId="0" fontId="10" fillId="0" borderId="0" xfId="0" applyFont="1" applyBorder="1" applyAlignment="1">
      <alignment horizontal="center"/>
    </xf>
    <xf numFmtId="3" fontId="12" fillId="0" borderId="11" xfId="0" applyNumberFormat="1" applyFont="1" applyBorder="1" applyAlignment="1">
      <alignment horizontal="center"/>
    </xf>
    <xf numFmtId="3" fontId="12" fillId="0" borderId="12" xfId="0" applyNumberFormat="1" applyFont="1" applyFill="1" applyBorder="1" applyAlignment="1">
      <alignment horizontal="center"/>
    </xf>
    <xf numFmtId="0" fontId="13" fillId="0" borderId="0" xfId="0" applyFont="1" applyFill="1" applyAlignment="1">
      <alignment horizontal="center"/>
    </xf>
    <xf numFmtId="0" fontId="12" fillId="0" borderId="0" xfId="0" applyFont="1" applyFill="1" applyBorder="1" applyAlignment="1">
      <alignment horizontal="center"/>
    </xf>
    <xf numFmtId="0" fontId="12" fillId="0" borderId="11" xfId="0" applyFont="1" applyFill="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3" fontId="12" fillId="0" borderId="11" xfId="0" applyNumberFormat="1" applyFont="1" applyFill="1" applyBorder="1" applyAlignment="1">
      <alignment horizontal="center"/>
    </xf>
    <xf numFmtId="0" fontId="8" fillId="0" borderId="12" xfId="0" applyFont="1" applyBorder="1" applyAlignment="1">
      <alignment horizontal="center"/>
    </xf>
    <xf numFmtId="0" fontId="10" fillId="0" borderId="11" xfId="0" applyNumberFormat="1" applyFont="1" applyBorder="1" applyAlignment="1">
      <alignment horizontal="center"/>
    </xf>
    <xf numFmtId="0" fontId="10" fillId="0" borderId="14" xfId="0" applyNumberFormat="1" applyFont="1" applyFill="1" applyBorder="1" applyAlignment="1">
      <alignment horizontal="center"/>
    </xf>
    <xf numFmtId="0" fontId="16" fillId="0" borderId="11" xfId="0" applyNumberFormat="1" applyFont="1" applyBorder="1" applyAlignment="1">
      <alignment horizontal="center"/>
    </xf>
    <xf numFmtId="0" fontId="16" fillId="0" borderId="11" xfId="0" applyFont="1" applyBorder="1" applyAlignment="1">
      <alignment horizontal="center"/>
    </xf>
    <xf numFmtId="0" fontId="23" fillId="26" borderId="0" xfId="0" applyNumberFormat="1" applyFont="1" applyFill="1" applyAlignment="1">
      <alignment horizontal="center"/>
    </xf>
    <xf numFmtId="0" fontId="23" fillId="0" borderId="0" xfId="0" applyNumberFormat="1" applyFont="1" applyFill="1" applyAlignment="1">
      <alignment horizontal="center"/>
    </xf>
    <xf numFmtId="0" fontId="12" fillId="0" borderId="0" xfId="0" applyNumberFormat="1" applyFont="1" applyFill="1" applyBorder="1" applyAlignment="1">
      <alignment horizontal="center"/>
    </xf>
    <xf numFmtId="0" fontId="10" fillId="0" borderId="11" xfId="0" applyFont="1" applyFill="1" applyBorder="1" applyAlignment="1">
      <alignment horizontal="center"/>
    </xf>
    <xf numFmtId="3" fontId="12" fillId="0" borderId="12" xfId="0" applyNumberFormat="1" applyFont="1" applyBorder="1" applyAlignment="1">
      <alignment horizontal="center"/>
    </xf>
    <xf numFmtId="0" fontId="10" fillId="0" borderId="14" xfId="0" applyFont="1" applyBorder="1" applyAlignment="1">
      <alignment horizontal="center"/>
    </xf>
    <xf numFmtId="0" fontId="16" fillId="0" borderId="12" xfId="0" applyNumberFormat="1" applyFont="1" applyBorder="1" applyAlignment="1">
      <alignment horizontal="center"/>
    </xf>
    <xf numFmtId="0" fontId="16" fillId="0" borderId="0" xfId="0" applyFont="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xf>
    <xf numFmtId="3" fontId="8" fillId="0" borderId="12" xfId="0" applyNumberFormat="1" applyFont="1" applyBorder="1" applyAlignment="1">
      <alignment horizontal="center"/>
    </xf>
    <xf numFmtId="0" fontId="10" fillId="0" borderId="0" xfId="0" applyNumberFormat="1" applyFont="1" applyFill="1" applyBorder="1" applyAlignment="1">
      <alignment horizontal="center"/>
    </xf>
    <xf numFmtId="3" fontId="8" fillId="0" borderId="11" xfId="0" applyNumberFormat="1" applyFont="1" applyBorder="1" applyAlignment="1">
      <alignment horizontal="center"/>
    </xf>
    <xf numFmtId="3" fontId="31" fillId="0" borderId="15" xfId="0" applyNumberFormat="1" applyFont="1" applyBorder="1" applyAlignment="1">
      <alignment horizontal="center"/>
    </xf>
    <xf numFmtId="0" fontId="20" fillId="0" borderId="15" xfId="0" applyFont="1" applyBorder="1" applyAlignment="1">
      <alignment horizontal="center"/>
    </xf>
    <xf numFmtId="0" fontId="25" fillId="0" borderId="0" xfId="0" applyFont="1" applyBorder="1" applyAlignment="1">
      <alignment horizontal="center"/>
    </xf>
    <xf numFmtId="3" fontId="12" fillId="26" borderId="0" xfId="0" applyNumberFormat="1" applyFont="1" applyFill="1" applyAlignment="1">
      <alignment horizontal="center"/>
    </xf>
    <xf numFmtId="0" fontId="12" fillId="0" borderId="0" xfId="0" applyNumberFormat="1" applyFont="1" applyBorder="1" applyAlignment="1"/>
    <xf numFmtId="0" fontId="10" fillId="0" borderId="14" xfId="0" applyFont="1" applyFill="1" applyBorder="1" applyAlignment="1"/>
    <xf numFmtId="0" fontId="13" fillId="0" borderId="0" xfId="0" applyFont="1" applyFill="1" applyBorder="1" applyAlignment="1">
      <alignment horizontal="center"/>
    </xf>
    <xf numFmtId="0" fontId="32" fillId="0" borderId="0" xfId="0" applyFont="1" applyBorder="1" applyAlignment="1"/>
    <xf numFmtId="0" fontId="33" fillId="0" borderId="0" xfId="0" applyFont="1" applyBorder="1" applyAlignment="1">
      <alignment horizontal="center"/>
    </xf>
    <xf numFmtId="37" fontId="32" fillId="0" borderId="0" xfId="0" applyNumberFormat="1" applyFont="1" applyBorder="1" applyAlignment="1">
      <alignment horizontal="left"/>
    </xf>
    <xf numFmtId="0" fontId="32" fillId="0" borderId="0" xfId="0" applyFont="1" applyFill="1" applyAlignment="1">
      <alignment horizontal="left"/>
    </xf>
    <xf numFmtId="0" fontId="32" fillId="0" borderId="0" xfId="0" applyNumberFormat="1" applyFont="1" applyFill="1"/>
    <xf numFmtId="0" fontId="32" fillId="0" borderId="0" xfId="0" applyFont="1" applyFill="1" applyAlignment="1"/>
    <xf numFmtId="0" fontId="13" fillId="0" borderId="11" xfId="0" applyFont="1" applyFill="1" applyBorder="1" applyAlignment="1"/>
    <xf numFmtId="0" fontId="13" fillId="0" borderId="14" xfId="0" applyFont="1" applyFill="1" applyBorder="1" applyAlignment="1"/>
    <xf numFmtId="0" fontId="13" fillId="0" borderId="14" xfId="0" applyFont="1" applyFill="1" applyBorder="1" applyAlignment="1">
      <alignment horizontal="center"/>
    </xf>
    <xf numFmtId="173" fontId="12" fillId="0" borderId="0" xfId="51" applyNumberFormat="1" applyFont="1" applyAlignment="1"/>
    <xf numFmtId="171" fontId="22" fillId="0" borderId="0" xfId="51" applyNumberFormat="1" applyFont="1" applyAlignment="1">
      <alignment horizontal="right"/>
    </xf>
    <xf numFmtId="3" fontId="12" fillId="0" borderId="14" xfId="0" applyNumberFormat="1" applyFont="1" applyFill="1" applyBorder="1" applyAlignment="1">
      <alignment horizontal="center"/>
    </xf>
    <xf numFmtId="0" fontId="10" fillId="0" borderId="0" xfId="0" applyFont="1" applyFill="1" applyBorder="1" applyAlignment="1">
      <alignment horizontal="center"/>
    </xf>
    <xf numFmtId="0" fontId="13" fillId="0" borderId="0" xfId="0" applyFont="1" applyFill="1" applyAlignment="1">
      <alignment horizontal="left"/>
    </xf>
    <xf numFmtId="0" fontId="30" fillId="0" borderId="0" xfId="0" applyNumberFormat="1" applyFont="1" applyBorder="1" applyAlignment="1">
      <alignment horizontal="center"/>
    </xf>
    <xf numFmtId="0" fontId="31" fillId="0" borderId="0" xfId="0" applyNumberFormat="1" applyFont="1" applyFill="1" applyBorder="1" applyAlignment="1"/>
    <xf numFmtId="0" fontId="31" fillId="0" borderId="0" xfId="0" applyFont="1" applyFill="1" applyBorder="1" applyAlignment="1"/>
    <xf numFmtId="3" fontId="31" fillId="0" borderId="0" xfId="0" applyNumberFormat="1" applyFont="1" applyBorder="1" applyAlignment="1">
      <alignment horizontal="center"/>
    </xf>
    <xf numFmtId="0" fontId="30" fillId="0" borderId="0" xfId="0" applyFont="1" applyBorder="1" applyAlignment="1"/>
    <xf numFmtId="0" fontId="31" fillId="0" borderId="14" xfId="0" applyFont="1" applyFill="1" applyBorder="1" applyAlignment="1"/>
    <xf numFmtId="3" fontId="31" fillId="0" borderId="14" xfId="0" applyNumberFormat="1" applyFont="1" applyBorder="1" applyAlignment="1">
      <alignment horizontal="center"/>
    </xf>
    <xf numFmtId="3" fontId="31" fillId="0" borderId="0" xfId="0" applyNumberFormat="1" applyFont="1" applyFill="1" applyBorder="1" applyAlignment="1">
      <alignment horizontal="center"/>
    </xf>
    <xf numFmtId="0" fontId="32" fillId="0" borderId="0" xfId="0" applyFont="1" applyAlignment="1"/>
    <xf numFmtId="10" fontId="12" fillId="0" borderId="0" xfId="51" applyNumberFormat="1" applyFont="1" applyFill="1" applyBorder="1"/>
    <xf numFmtId="3" fontId="12" fillId="0" borderId="14" xfId="0" applyNumberFormat="1" applyFont="1" applyFill="1" applyBorder="1"/>
    <xf numFmtId="0" fontId="8" fillId="0" borderId="0" xfId="0" applyFont="1" applyFill="1"/>
    <xf numFmtId="0" fontId="16" fillId="0" borderId="0" xfId="0" applyNumberFormat="1" applyFont="1" applyFill="1" applyAlignment="1">
      <alignment horizontal="right"/>
    </xf>
    <xf numFmtId="0" fontId="16" fillId="0" borderId="11" xfId="0" applyNumberFormat="1" applyFont="1" applyFill="1" applyBorder="1" applyAlignment="1">
      <alignment horizontal="left"/>
    </xf>
    <xf numFmtId="0" fontId="8" fillId="0" borderId="0" xfId="0" applyFont="1" applyFill="1" applyBorder="1"/>
    <xf numFmtId="3" fontId="8" fillId="0" borderId="0" xfId="0" applyNumberFormat="1" applyFont="1" applyFill="1" applyBorder="1"/>
    <xf numFmtId="10" fontId="12" fillId="0" borderId="0" xfId="51" applyNumberFormat="1" applyFont="1" applyFill="1" applyAlignment="1"/>
    <xf numFmtId="3" fontId="12" fillId="25" borderId="14" xfId="0" applyNumberFormat="1" applyFont="1" applyFill="1" applyBorder="1" applyAlignment="1">
      <alignment horizontal="right"/>
    </xf>
    <xf numFmtId="10" fontId="14" fillId="0" borderId="0" xfId="0" applyNumberFormat="1" applyFont="1" applyFill="1" applyAlignment="1">
      <alignment horizontal="right"/>
    </xf>
    <xf numFmtId="3" fontId="15" fillId="0" borderId="0" xfId="0" applyNumberFormat="1" applyFont="1" applyBorder="1" applyAlignment="1"/>
    <xf numFmtId="3" fontId="35" fillId="0" borderId="0" xfId="0" applyNumberFormat="1" applyFont="1" applyBorder="1" applyAlignment="1">
      <alignment horizontal="right"/>
    </xf>
    <xf numFmtId="3" fontId="25" fillId="0" borderId="0" xfId="0" applyNumberFormat="1" applyFont="1" applyBorder="1" applyAlignment="1">
      <alignment horizontal="right"/>
    </xf>
    <xf numFmtId="0" fontId="15" fillId="0" borderId="0" xfId="0" applyNumberFormat="1" applyFont="1" applyFill="1" applyBorder="1" applyAlignment="1">
      <alignment horizontal="center"/>
    </xf>
    <xf numFmtId="0" fontId="0" fillId="25" borderId="0" xfId="0" applyFill="1"/>
    <xf numFmtId="0" fontId="36"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8" fillId="0" borderId="0" xfId="0" applyFont="1" applyFill="1"/>
    <xf numFmtId="0" fontId="0" fillId="0" borderId="0" xfId="0" applyAlignment="1">
      <alignment wrapText="1"/>
    </xf>
    <xf numFmtId="0" fontId="0" fillId="0" borderId="0" xfId="0" applyAlignment="1"/>
    <xf numFmtId="164" fontId="6" fillId="0" borderId="0" xfId="28" applyNumberFormat="1" applyAlignment="1"/>
    <xf numFmtId="0" fontId="36" fillId="0" borderId="0" xfId="0" applyFont="1" applyFill="1" applyAlignment="1">
      <alignment horizontal="center"/>
    </xf>
    <xf numFmtId="0" fontId="38" fillId="0" borderId="0" xfId="0" applyFont="1" applyAlignment="1">
      <alignment horizontal="left"/>
    </xf>
    <xf numFmtId="0" fontId="38" fillId="0" borderId="0" xfId="0" applyFont="1"/>
    <xf numFmtId="0" fontId="40" fillId="0" borderId="0" xfId="0" applyFont="1"/>
    <xf numFmtId="0" fontId="40" fillId="0" borderId="0" xfId="0" applyFont="1" applyBorder="1"/>
    <xf numFmtId="0" fontId="40" fillId="0" borderId="0" xfId="0" applyFont="1" applyFill="1" applyBorder="1"/>
    <xf numFmtId="0" fontId="39" fillId="0" borderId="0" xfId="0" applyFont="1" applyBorder="1"/>
    <xf numFmtId="0" fontId="36" fillId="0" borderId="0" xfId="0" applyFont="1" applyAlignment="1">
      <alignment horizontal="center"/>
    </xf>
    <xf numFmtId="0" fontId="0" fillId="0" borderId="0" xfId="0" applyAlignment="1">
      <alignment horizontal="right"/>
    </xf>
    <xf numFmtId="0" fontId="36" fillId="0" borderId="0" xfId="0" applyFont="1" applyFill="1" applyAlignment="1">
      <alignment horizontal="right"/>
    </xf>
    <xf numFmtId="0" fontId="0" fillId="25" borderId="0" xfId="0" applyFill="1" applyAlignment="1">
      <alignment horizontal="right" wrapText="1"/>
    </xf>
    <xf numFmtId="0" fontId="0" fillId="0" borderId="0" xfId="0" applyAlignment="1">
      <alignment horizontal="right" wrapText="1"/>
    </xf>
    <xf numFmtId="0" fontId="0" fillId="25" borderId="0" xfId="0" applyFill="1" applyAlignment="1">
      <alignment horizontal="right"/>
    </xf>
    <xf numFmtId="0" fontId="18" fillId="25" borderId="0" xfId="0" applyFont="1" applyFill="1"/>
    <xf numFmtId="0" fontId="17" fillId="0" borderId="0" xfId="0" applyFont="1"/>
    <xf numFmtId="0" fontId="36" fillId="0" borderId="0" xfId="0" applyNumberFormat="1" applyFont="1" applyFill="1" applyBorder="1" applyAlignment="1">
      <alignment horizontal="center"/>
    </xf>
    <xf numFmtId="0" fontId="36" fillId="0" borderId="0" xfId="0" applyFont="1" applyBorder="1" applyAlignment="1">
      <alignment horizontal="center"/>
    </xf>
    <xf numFmtId="0" fontId="42" fillId="0" borderId="0" xfId="0" applyFont="1" applyAlignment="1">
      <alignment horizontal="center"/>
    </xf>
    <xf numFmtId="0" fontId="17" fillId="0" borderId="0" xfId="0" applyFont="1" applyFill="1"/>
    <xf numFmtId="164" fontId="8" fillId="0" borderId="0" xfId="28" applyNumberFormat="1" applyFont="1" applyAlignment="1"/>
    <xf numFmtId="164" fontId="8" fillId="25" borderId="0" xfId="28" applyNumberFormat="1" applyFont="1" applyFill="1"/>
    <xf numFmtId="37" fontId="23" fillId="25" borderId="0" xfId="0" applyNumberFormat="1" applyFont="1" applyFill="1" applyBorder="1" applyAlignment="1">
      <alignment horizontal="right"/>
    </xf>
    <xf numFmtId="0" fontId="34" fillId="0" borderId="0" xfId="0" applyFont="1" applyFill="1" applyBorder="1" applyAlignment="1">
      <alignment horizontal="left"/>
    </xf>
    <xf numFmtId="0" fontId="23" fillId="0" borderId="0" xfId="0" applyFont="1" applyFill="1" applyBorder="1" applyAlignment="1"/>
    <xf numFmtId="0" fontId="16" fillId="0" borderId="0" xfId="0" applyFont="1" applyFill="1" applyBorder="1" applyAlignment="1"/>
    <xf numFmtId="0" fontId="8" fillId="0" borderId="0" xfId="0" applyFont="1" applyFill="1" applyBorder="1" applyAlignment="1">
      <alignment horizontal="center" wrapText="1"/>
    </xf>
    <xf numFmtId="0" fontId="16" fillId="0" borderId="0" xfId="0" applyFont="1" applyFill="1" applyBorder="1" applyAlignment="1">
      <alignment horizontal="center" wrapText="1"/>
    </xf>
    <xf numFmtId="0" fontId="16" fillId="0" borderId="0" xfId="0" applyFont="1" applyFill="1"/>
    <xf numFmtId="0" fontId="10" fillId="0" borderId="0" xfId="0" applyFont="1" applyAlignment="1">
      <alignment wrapText="1"/>
    </xf>
    <xf numFmtId="0" fontId="10" fillId="25" borderId="0" xfId="0" applyFont="1" applyFill="1"/>
    <xf numFmtId="0" fontId="10" fillId="0" borderId="14" xfId="0" applyFont="1" applyBorder="1"/>
    <xf numFmtId="10" fontId="10" fillId="0" borderId="0" xfId="51" applyNumberFormat="1" applyFont="1" applyFill="1"/>
    <xf numFmtId="43" fontId="0" fillId="0" borderId="0" xfId="0" applyNumberFormat="1"/>
    <xf numFmtId="0" fontId="0" fillId="0" borderId="17" xfId="0" applyBorder="1"/>
    <xf numFmtId="0" fontId="0" fillId="0" borderId="0" xfId="0" applyBorder="1"/>
    <xf numFmtId="0" fontId="0" fillId="0" borderId="18" xfId="0" applyBorder="1"/>
    <xf numFmtId="0" fontId="0" fillId="0" borderId="9" xfId="0" applyBorder="1"/>
    <xf numFmtId="0" fontId="0" fillId="0" borderId="19" xfId="0" applyBorder="1"/>
    <xf numFmtId="0" fontId="7" fillId="0" borderId="0" xfId="0" applyFont="1" applyAlignment="1">
      <alignment horizontal="left"/>
    </xf>
    <xf numFmtId="0" fontId="16" fillId="0" borderId="0" xfId="0" applyNumberFormat="1" applyFont="1" applyFill="1" applyBorder="1" applyAlignment="1">
      <alignment horizontal="left"/>
    </xf>
    <xf numFmtId="0" fontId="16" fillId="0" borderId="0" xfId="0" applyFont="1" applyBorder="1" applyAlignment="1">
      <alignment horizontal="left"/>
    </xf>
    <xf numFmtId="0" fontId="16" fillId="0" borderId="0" xfId="0" applyFont="1" applyBorder="1"/>
    <xf numFmtId="0" fontId="10" fillId="25" borderId="14" xfId="0" applyFont="1" applyFill="1" applyBorder="1"/>
    <xf numFmtId="3" fontId="8" fillId="0" borderId="11" xfId="0" applyNumberFormat="1" applyFont="1" applyFill="1" applyBorder="1" applyAlignment="1">
      <alignment horizontal="right"/>
    </xf>
    <xf numFmtId="3" fontId="8" fillId="0" borderId="11" xfId="0" applyNumberFormat="1" applyFont="1" applyBorder="1" applyAlignment="1"/>
    <xf numFmtId="3" fontId="8" fillId="25" borderId="11" xfId="0" applyNumberFormat="1" applyFont="1" applyFill="1" applyBorder="1" applyAlignment="1"/>
    <xf numFmtId="3" fontId="8" fillId="0" borderId="11" xfId="0" applyNumberFormat="1" applyFont="1" applyFill="1" applyBorder="1" applyAlignment="1"/>
    <xf numFmtId="164" fontId="8" fillId="0" borderId="0" xfId="28" applyNumberFormat="1" applyFont="1" applyFill="1" applyAlignment="1"/>
    <xf numFmtId="164" fontId="12" fillId="25" borderId="0" xfId="28" applyNumberFormat="1" applyFont="1" applyFill="1" applyAlignment="1"/>
    <xf numFmtId="170" fontId="32" fillId="0" borderId="0" xfId="47" applyFont="1" applyFill="1" applyAlignment="1" applyProtection="1">
      <protection locked="0"/>
    </xf>
    <xf numFmtId="3" fontId="23" fillId="0" borderId="0" xfId="0" applyNumberFormat="1" applyFont="1" applyFill="1" applyAlignment="1">
      <alignment horizontal="right"/>
    </xf>
    <xf numFmtId="3" fontId="20" fillId="0" borderId="15" xfId="0" applyNumberFormat="1" applyFont="1" applyBorder="1" applyAlignment="1"/>
    <xf numFmtId="3" fontId="22" fillId="25" borderId="14" xfId="0" applyNumberFormat="1" applyFont="1" applyFill="1" applyBorder="1" applyAlignment="1">
      <alignment horizontal="right"/>
    </xf>
    <xf numFmtId="10" fontId="19" fillId="0" borderId="0" xfId="0" applyNumberFormat="1" applyFont="1" applyFill="1"/>
    <xf numFmtId="0" fontId="41" fillId="0" borderId="0" xfId="0" applyFont="1" applyFill="1" applyAlignment="1">
      <alignment horizontal="center"/>
    </xf>
    <xf numFmtId="0" fontId="10" fillId="0" borderId="14" xfId="0" applyFont="1" applyFill="1" applyBorder="1" applyAlignment="1">
      <alignment horizontal="center"/>
    </xf>
    <xf numFmtId="0" fontId="18" fillId="0" borderId="0" xfId="0" applyNumberFormat="1" applyFont="1" applyFill="1" applyBorder="1" applyAlignment="1">
      <alignment horizontal="left"/>
    </xf>
    <xf numFmtId="0" fontId="43" fillId="0" borderId="0" xfId="0" applyFont="1" applyBorder="1" applyAlignment="1">
      <alignment horizontal="center"/>
    </xf>
    <xf numFmtId="0" fontId="43" fillId="0" borderId="0" xfId="0" applyNumberFormat="1" applyFont="1" applyBorder="1" applyAlignment="1">
      <alignment horizontal="left"/>
    </xf>
    <xf numFmtId="0" fontId="32" fillId="0" borderId="0" xfId="0" applyFont="1" applyFill="1" applyBorder="1"/>
    <xf numFmtId="0" fontId="32" fillId="0" borderId="0" xfId="0" applyFont="1" applyBorder="1" applyAlignment="1">
      <alignment horizontal="center"/>
    </xf>
    <xf numFmtId="0" fontId="46" fillId="0" borderId="0" xfId="0" applyFont="1" applyFill="1" applyBorder="1" applyAlignment="1">
      <alignment horizontal="center"/>
    </xf>
    <xf numFmtId="0" fontId="32" fillId="0" borderId="0" xfId="0" applyFont="1" applyFill="1" applyBorder="1" applyAlignment="1"/>
    <xf numFmtId="3" fontId="32" fillId="0" borderId="0" xfId="0" applyNumberFormat="1" applyFont="1" applyBorder="1" applyAlignment="1">
      <alignment horizontal="center"/>
    </xf>
    <xf numFmtId="0" fontId="45" fillId="0" borderId="0" xfId="0" applyNumberFormat="1" applyFont="1" applyFill="1" applyBorder="1" applyAlignment="1">
      <alignment horizontal="left"/>
    </xf>
    <xf numFmtId="3" fontId="32" fillId="0" borderId="0" xfId="0" applyNumberFormat="1" applyFont="1" applyFill="1" applyBorder="1" applyAlignment="1"/>
    <xf numFmtId="0" fontId="32" fillId="0" borderId="0" xfId="0" applyNumberFormat="1" applyFont="1" applyFill="1" applyBorder="1" applyAlignment="1"/>
    <xf numFmtId="0" fontId="46" fillId="0" borderId="0" xfId="0" applyFont="1" applyFill="1" applyBorder="1"/>
    <xf numFmtId="3" fontId="46" fillId="0" borderId="0" xfId="0" applyNumberFormat="1" applyFont="1" applyFill="1" applyBorder="1" applyAlignment="1">
      <alignment horizontal="center"/>
    </xf>
    <xf numFmtId="0" fontId="32" fillId="0" borderId="0" xfId="0" applyFont="1" applyFill="1" applyBorder="1" applyAlignment="1">
      <alignment horizontal="left"/>
    </xf>
    <xf numFmtId="0" fontId="32" fillId="0" borderId="0" xfId="0" applyNumberFormat="1" applyFont="1" applyBorder="1" applyAlignment="1">
      <alignment horizontal="center"/>
    </xf>
    <xf numFmtId="0" fontId="45" fillId="0" borderId="0" xfId="0" applyFont="1" applyBorder="1" applyAlignment="1">
      <alignment horizontal="left"/>
    </xf>
    <xf numFmtId="0" fontId="32" fillId="0" borderId="0" xfId="0" applyNumberFormat="1" applyFont="1" applyFill="1" applyBorder="1" applyAlignment="1">
      <alignment horizontal="left"/>
    </xf>
    <xf numFmtId="0" fontId="32" fillId="0" borderId="0" xfId="0" applyNumberFormat="1" applyFont="1" applyBorder="1" applyAlignment="1">
      <alignment horizontal="left"/>
    </xf>
    <xf numFmtId="168" fontId="45" fillId="0" borderId="0" xfId="0" applyNumberFormat="1" applyFont="1" applyBorder="1" applyAlignment="1">
      <alignment horizontal="left"/>
    </xf>
    <xf numFmtId="0" fontId="32" fillId="0" borderId="0" xfId="0" applyFont="1" applyBorder="1"/>
    <xf numFmtId="0" fontId="47" fillId="0" borderId="0" xfId="0" applyNumberFormat="1" applyFont="1" applyBorder="1" applyAlignment="1">
      <alignment horizontal="center"/>
    </xf>
    <xf numFmtId="0" fontId="45" fillId="0" borderId="0" xfId="0" applyNumberFormat="1" applyFont="1" applyBorder="1" applyAlignment="1">
      <alignment horizontal="left"/>
    </xf>
    <xf numFmtId="0" fontId="47" fillId="0" borderId="0" xfId="0" applyNumberFormat="1" applyFont="1" applyFill="1" applyBorder="1" applyAlignment="1"/>
    <xf numFmtId="0" fontId="47" fillId="0" borderId="0" xfId="0" applyFont="1" applyFill="1" applyBorder="1" applyAlignment="1"/>
    <xf numFmtId="3" fontId="47" fillId="0" borderId="0" xfId="0" applyNumberFormat="1" applyFont="1" applyBorder="1" applyAlignment="1">
      <alignment horizontal="center"/>
    </xf>
    <xf numFmtId="0" fontId="32" fillId="0" borderId="0" xfId="0" applyNumberFormat="1" applyFont="1" applyFill="1" applyBorder="1" applyAlignment="1">
      <alignment horizontal="center"/>
    </xf>
    <xf numFmtId="0" fontId="45" fillId="0" borderId="0" xfId="0" applyNumberFormat="1" applyFont="1" applyFill="1" applyBorder="1" applyAlignment="1"/>
    <xf numFmtId="0" fontId="46" fillId="0" borderId="0" xfId="0" applyFont="1" applyBorder="1" applyAlignment="1">
      <alignment horizontal="center"/>
    </xf>
    <xf numFmtId="3" fontId="32" fillId="0" borderId="20" xfId="0" applyNumberFormat="1" applyFont="1" applyBorder="1" applyAlignment="1"/>
    <xf numFmtId="0" fontId="32" fillId="0" borderId="17" xfId="0" applyNumberFormat="1" applyFont="1" applyBorder="1" applyAlignment="1">
      <alignment horizontal="center"/>
    </xf>
    <xf numFmtId="0" fontId="32" fillId="0" borderId="17" xfId="0" applyFont="1" applyBorder="1" applyAlignment="1">
      <alignment horizontal="center"/>
    </xf>
    <xf numFmtId="0" fontId="32" fillId="0" borderId="20" xfId="0" applyFont="1" applyBorder="1"/>
    <xf numFmtId="0" fontId="32" fillId="0" borderId="20" xfId="0" applyFont="1" applyBorder="1" applyAlignment="1"/>
    <xf numFmtId="3" fontId="32" fillId="0" borderId="0" xfId="0" applyNumberFormat="1" applyFont="1" applyFill="1" applyBorder="1" applyAlignment="1">
      <alignment horizontal="center"/>
    </xf>
    <xf numFmtId="0" fontId="32" fillId="0" borderId="17" xfId="0" applyNumberFormat="1" applyFont="1" applyFill="1" applyBorder="1" applyAlignment="1">
      <alignment horizontal="center"/>
    </xf>
    <xf numFmtId="3" fontId="32" fillId="0" borderId="20" xfId="0" applyNumberFormat="1" applyFont="1" applyFill="1" applyBorder="1" applyAlignment="1"/>
    <xf numFmtId="0" fontId="32" fillId="0" borderId="17" xfId="0" applyFont="1" applyFill="1" applyBorder="1" applyAlignment="1">
      <alignment horizontal="center"/>
    </xf>
    <xf numFmtId="0" fontId="32" fillId="0" borderId="0" xfId="0" applyNumberFormat="1" applyFont="1" applyFill="1" applyBorder="1" applyAlignment="1">
      <alignment horizontal="right"/>
    </xf>
    <xf numFmtId="0" fontId="32" fillId="0" borderId="20" xfId="0" applyNumberFormat="1" applyFont="1" applyFill="1" applyBorder="1" applyAlignment="1">
      <alignment horizontal="left"/>
    </xf>
    <xf numFmtId="0" fontId="32" fillId="0" borderId="0" xfId="0" applyFont="1" applyBorder="1" applyAlignment="1">
      <alignment horizontal="left"/>
    </xf>
    <xf numFmtId="0" fontId="45" fillId="0" borderId="17" xfId="0" applyFont="1" applyBorder="1"/>
    <xf numFmtId="0" fontId="45" fillId="0" borderId="0" xfId="0" applyFont="1" applyBorder="1"/>
    <xf numFmtId="3" fontId="46" fillId="0" borderId="0" xfId="0" applyNumberFormat="1" applyFont="1" applyBorder="1" applyAlignment="1">
      <alignment horizontal="center"/>
    </xf>
    <xf numFmtId="0" fontId="32" fillId="0" borderId="20" xfId="0" applyFont="1" applyFill="1" applyBorder="1" applyAlignment="1"/>
    <xf numFmtId="0" fontId="32" fillId="0" borderId="20" xfId="0" applyNumberFormat="1" applyFont="1" applyFill="1" applyBorder="1" applyAlignment="1"/>
    <xf numFmtId="0" fontId="32" fillId="0" borderId="0" xfId="0" applyNumberFormat="1" applyFont="1" applyBorder="1" applyAlignment="1">
      <alignment horizontal="right"/>
    </xf>
    <xf numFmtId="0" fontId="46" fillId="0" borderId="0" xfId="0" applyNumberFormat="1" applyFont="1" applyFill="1" applyBorder="1" applyAlignment="1">
      <alignment horizontal="center"/>
    </xf>
    <xf numFmtId="0" fontId="32" fillId="0" borderId="20" xfId="0" applyNumberFormat="1" applyFont="1" applyBorder="1" applyAlignment="1"/>
    <xf numFmtId="0" fontId="47" fillId="0" borderId="17" xfId="0" applyNumberFormat="1" applyFont="1" applyBorder="1" applyAlignment="1">
      <alignment horizontal="center"/>
    </xf>
    <xf numFmtId="3" fontId="45" fillId="0" borderId="20" xfId="0" applyNumberFormat="1" applyFont="1" applyBorder="1" applyAlignment="1"/>
    <xf numFmtId="0" fontId="46" fillId="0" borderId="0" xfId="0" applyFont="1" applyFill="1" applyBorder="1" applyAlignment="1"/>
    <xf numFmtId="0" fontId="46" fillId="0" borderId="0" xfId="0" applyNumberFormat="1" applyFont="1" applyBorder="1" applyAlignment="1">
      <alignment horizontal="center"/>
    </xf>
    <xf numFmtId="0" fontId="32" fillId="0" borderId="18" xfId="0" applyNumberFormat="1" applyFont="1" applyFill="1" applyBorder="1" applyAlignment="1">
      <alignment horizontal="center"/>
    </xf>
    <xf numFmtId="0" fontId="32" fillId="0" borderId="9" xfId="0" applyNumberFormat="1" applyFont="1" applyBorder="1" applyAlignment="1">
      <alignment horizontal="center"/>
    </xf>
    <xf numFmtId="0" fontId="32" fillId="0" borderId="9" xfId="0" applyFont="1" applyBorder="1" applyAlignment="1"/>
    <xf numFmtId="0" fontId="32" fillId="0" borderId="9" xfId="0" applyNumberFormat="1" applyFont="1" applyFill="1" applyBorder="1" applyAlignment="1">
      <alignment horizontal="center"/>
    </xf>
    <xf numFmtId="0" fontId="32" fillId="0" borderId="9" xfId="0" applyFont="1" applyFill="1" applyBorder="1" applyAlignment="1"/>
    <xf numFmtId="0" fontId="49" fillId="0" borderId="0" xfId="0" applyFont="1" applyFill="1" applyBorder="1" applyAlignment="1">
      <alignment horizontal="left"/>
    </xf>
    <xf numFmtId="0" fontId="32" fillId="0" borderId="9" xfId="0" applyNumberFormat="1" applyFont="1" applyFill="1" applyBorder="1" applyAlignment="1">
      <alignment horizontal="right"/>
    </xf>
    <xf numFmtId="0" fontId="32" fillId="0" borderId="9" xfId="0" applyNumberFormat="1" applyFont="1" applyFill="1" applyBorder="1" applyAlignment="1">
      <alignment horizontal="left"/>
    </xf>
    <xf numFmtId="0" fontId="46" fillId="0" borderId="9" xfId="0" applyNumberFormat="1" applyFont="1" applyFill="1" applyBorder="1" applyAlignment="1">
      <alignment horizontal="center"/>
    </xf>
    <xf numFmtId="0" fontId="32" fillId="0" borderId="19" xfId="0" applyNumberFormat="1" applyFont="1" applyFill="1" applyBorder="1" applyAlignment="1">
      <alignment horizontal="left"/>
    </xf>
    <xf numFmtId="0" fontId="46" fillId="0" borderId="9" xfId="0" applyFont="1" applyFill="1" applyBorder="1" applyAlignment="1">
      <alignment horizontal="center"/>
    </xf>
    <xf numFmtId="0" fontId="32" fillId="0" borderId="9" xfId="0" applyFont="1" applyBorder="1"/>
    <xf numFmtId="0" fontId="32" fillId="0" borderId="19" xfId="0" applyNumberFormat="1" applyFont="1" applyFill="1" applyBorder="1" applyAlignment="1"/>
    <xf numFmtId="0" fontId="32" fillId="0" borderId="18" xfId="0" applyNumberFormat="1" applyFont="1" applyBorder="1" applyAlignment="1">
      <alignment horizontal="center"/>
    </xf>
    <xf numFmtId="170" fontId="32" fillId="0" borderId="9" xfId="0" applyNumberFormat="1" applyFont="1" applyBorder="1" applyAlignment="1"/>
    <xf numFmtId="0" fontId="46" fillId="0" borderId="9" xfId="0" applyFont="1" applyFill="1" applyBorder="1" applyAlignment="1"/>
    <xf numFmtId="0" fontId="32" fillId="0" borderId="20" xfId="0" applyNumberFormat="1" applyFont="1" applyFill="1" applyBorder="1" applyAlignment="1">
      <alignment horizontal="center"/>
    </xf>
    <xf numFmtId="0" fontId="32" fillId="0" borderId="19" xfId="0" applyNumberFormat="1" applyFont="1" applyFill="1" applyBorder="1" applyAlignment="1">
      <alignment horizontal="center"/>
    </xf>
    <xf numFmtId="0" fontId="40" fillId="0" borderId="20" xfId="0" applyFont="1" applyBorder="1"/>
    <xf numFmtId="0" fontId="40" fillId="0" borderId="9" xfId="0" applyFont="1" applyBorder="1"/>
    <xf numFmtId="0" fontId="40" fillId="0" borderId="17" xfId="0" applyFont="1" applyBorder="1"/>
    <xf numFmtId="0" fontId="40" fillId="0" borderId="0" xfId="0" applyFont="1" applyFill="1" applyBorder="1" applyAlignment="1">
      <alignment horizontal="center" wrapText="1"/>
    </xf>
    <xf numFmtId="0" fontId="43" fillId="0" borderId="0" xfId="0" applyFont="1" applyFill="1" applyBorder="1" applyAlignment="1">
      <alignment horizontal="center" wrapText="1"/>
    </xf>
    <xf numFmtId="0" fontId="40" fillId="0" borderId="18" xfId="0" applyFont="1" applyBorder="1"/>
    <xf numFmtId="0" fontId="40" fillId="0" borderId="19" xfId="0" applyFont="1" applyBorder="1"/>
    <xf numFmtId="0" fontId="50" fillId="0" borderId="0" xfId="0" applyFont="1"/>
    <xf numFmtId="0" fontId="39" fillId="27" borderId="13" xfId="0" applyFont="1" applyFill="1" applyBorder="1" applyAlignment="1">
      <alignment horizontal="center" wrapText="1"/>
    </xf>
    <xf numFmtId="0" fontId="39" fillId="0" borderId="9" xfId="0" applyFont="1" applyBorder="1"/>
    <xf numFmtId="0" fontId="48" fillId="27" borderId="21" xfId="0" applyFont="1" applyFill="1" applyBorder="1" applyAlignment="1">
      <alignment horizontal="center"/>
    </xf>
    <xf numFmtId="0" fontId="48" fillId="27" borderId="13" xfId="0" applyFont="1" applyFill="1" applyBorder="1" applyAlignment="1">
      <alignment horizontal="center"/>
    </xf>
    <xf numFmtId="0" fontId="28" fillId="26" borderId="0" xfId="0" applyFont="1" applyFill="1" applyBorder="1" applyAlignment="1">
      <alignment horizontal="center"/>
    </xf>
    <xf numFmtId="0" fontId="44" fillId="27" borderId="13" xfId="0" applyFont="1" applyFill="1" applyBorder="1" applyAlignment="1">
      <alignment horizontal="center"/>
    </xf>
    <xf numFmtId="0" fontId="44" fillId="27" borderId="22" xfId="0" applyFont="1" applyFill="1" applyBorder="1" applyAlignment="1">
      <alignment horizontal="center"/>
    </xf>
    <xf numFmtId="0" fontId="40" fillId="0" borderId="0" xfId="0" applyFont="1" applyBorder="1" applyAlignment="1"/>
    <xf numFmtId="0" fontId="40" fillId="0" borderId="20" xfId="0" applyFont="1" applyBorder="1" applyAlignment="1"/>
    <xf numFmtId="0" fontId="40" fillId="0" borderId="0" xfId="0" applyFont="1" applyFill="1" applyBorder="1" applyAlignment="1">
      <alignment horizontal="center"/>
    </xf>
    <xf numFmtId="0" fontId="40" fillId="0" borderId="20" xfId="0" applyFont="1" applyFill="1" applyBorder="1" applyAlignment="1">
      <alignment horizontal="center"/>
    </xf>
    <xf numFmtId="0" fontId="40" fillId="0" borderId="9" xfId="0" applyFont="1" applyBorder="1" applyAlignment="1"/>
    <xf numFmtId="0" fontId="40" fillId="0" borderId="19" xfId="0" applyFont="1" applyBorder="1" applyAlignment="1"/>
    <xf numFmtId="0" fontId="14" fillId="27" borderId="13" xfId="0" applyFont="1" applyFill="1" applyBorder="1" applyAlignment="1">
      <alignment horizontal="center"/>
    </xf>
    <xf numFmtId="2" fontId="32" fillId="0" borderId="0" xfId="0" applyNumberFormat="1" applyFont="1" applyFill="1" applyBorder="1" applyAlignment="1">
      <alignment horizontal="center"/>
    </xf>
    <xf numFmtId="0" fontId="45" fillId="0" borderId="0" xfId="0" applyFont="1" applyFill="1" applyBorder="1" applyAlignment="1">
      <alignment horizontal="center"/>
    </xf>
    <xf numFmtId="2" fontId="45" fillId="0" borderId="17" xfId="0" applyNumberFormat="1" applyFont="1" applyFill="1" applyBorder="1" applyAlignment="1">
      <alignment horizontal="center"/>
    </xf>
    <xf numFmtId="0" fontId="43" fillId="0" borderId="0" xfId="0" applyFont="1" applyBorder="1"/>
    <xf numFmtId="0" fontId="12" fillId="0" borderId="0" xfId="0" applyFont="1" applyFill="1" applyBorder="1" applyAlignment="1">
      <alignment horizontal="left"/>
    </xf>
    <xf numFmtId="0" fontId="33" fillId="0" borderId="0" xfId="0" applyFont="1" applyFill="1" applyBorder="1" applyAlignment="1">
      <alignment horizontal="center"/>
    </xf>
    <xf numFmtId="37" fontId="32" fillId="0" borderId="0" xfId="0" applyNumberFormat="1" applyFont="1" applyFill="1" applyBorder="1" applyAlignment="1">
      <alignment horizontal="left"/>
    </xf>
    <xf numFmtId="0" fontId="51" fillId="0" borderId="0" xfId="0" applyFont="1" applyFill="1" applyAlignment="1"/>
    <xf numFmtId="0" fontId="25" fillId="0" borderId="0" xfId="0" applyFont="1" applyFill="1" applyBorder="1" applyAlignment="1">
      <alignment horizontal="center"/>
    </xf>
    <xf numFmtId="0" fontId="10" fillId="0" borderId="14" xfId="0" applyFont="1" applyFill="1" applyBorder="1"/>
    <xf numFmtId="0" fontId="14" fillId="0" borderId="0" xfId="0" applyFont="1"/>
    <xf numFmtId="0" fontId="40" fillId="0" borderId="21" xfId="0" applyFont="1" applyBorder="1"/>
    <xf numFmtId="0" fontId="43" fillId="0" borderId="21" xfId="0" applyFont="1"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xf numFmtId="0" fontId="40" fillId="0" borderId="0" xfId="0" applyFont="1" applyBorder="1" applyAlignment="1">
      <alignment horizontal="center"/>
    </xf>
    <xf numFmtId="0" fontId="40" fillId="0" borderId="20" xfId="0" applyFont="1" applyBorder="1" applyAlignment="1">
      <alignment horizontal="center"/>
    </xf>
    <xf numFmtId="0" fontId="40" fillId="0" borderId="9" xfId="0" applyFont="1" applyBorder="1" applyAlignment="1">
      <alignment horizontal="center"/>
    </xf>
    <xf numFmtId="0" fontId="43" fillId="0" borderId="23" xfId="0" applyFont="1" applyBorder="1" applyAlignment="1">
      <alignment horizontal="center"/>
    </xf>
    <xf numFmtId="0" fontId="40" fillId="0" borderId="24" xfId="0" applyFont="1" applyBorder="1" applyAlignment="1">
      <alignment horizontal="center"/>
    </xf>
    <xf numFmtId="164" fontId="40" fillId="0" borderId="0" xfId="0" applyNumberFormat="1" applyFont="1" applyBorder="1"/>
    <xf numFmtId="167" fontId="40" fillId="0" borderId="20" xfId="0" applyNumberFormat="1" applyFont="1" applyBorder="1"/>
    <xf numFmtId="167" fontId="40" fillId="0" borderId="0" xfId="0" applyNumberFormat="1" applyFont="1" applyBorder="1"/>
    <xf numFmtId="164" fontId="40" fillId="0" borderId="17" xfId="0" applyNumberFormat="1" applyFont="1" applyBorder="1"/>
    <xf numFmtId="164" fontId="43" fillId="0" borderId="24" xfId="0" applyNumberFormat="1" applyFont="1" applyBorder="1"/>
    <xf numFmtId="164" fontId="43" fillId="0" borderId="0" xfId="0" applyNumberFormat="1" applyFont="1" applyBorder="1"/>
    <xf numFmtId="164" fontId="43" fillId="0" borderId="25" xfId="0" applyNumberFormat="1" applyFont="1" applyBorder="1"/>
    <xf numFmtId="164" fontId="43" fillId="0" borderId="9" xfId="0" applyNumberFormat="1" applyFont="1" applyBorder="1"/>
    <xf numFmtId="167" fontId="40" fillId="0" borderId="9" xfId="0" applyNumberFormat="1" applyFont="1" applyBorder="1"/>
    <xf numFmtId="0" fontId="40" fillId="0" borderId="0" xfId="0" applyFont="1" applyAlignment="1">
      <alignment horizontal="center"/>
    </xf>
    <xf numFmtId="0" fontId="43" fillId="0" borderId="23" xfId="0" applyFont="1" applyFill="1" applyBorder="1" applyAlignment="1">
      <alignment horizontal="center"/>
    </xf>
    <xf numFmtId="0" fontId="40" fillId="0" borderId="17" xfId="0" applyFont="1" applyFill="1" applyBorder="1"/>
    <xf numFmtId="37" fontId="22" fillId="0" borderId="0" xfId="0" applyNumberFormat="1" applyFont="1" applyFill="1" applyBorder="1" applyAlignment="1">
      <alignment horizontal="left"/>
    </xf>
    <xf numFmtId="0" fontId="22" fillId="0" borderId="0" xfId="0" applyFont="1" applyFill="1" applyBorder="1" applyAlignment="1"/>
    <xf numFmtId="0" fontId="8"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40" fillId="0" borderId="22" xfId="0" applyFont="1" applyBorder="1"/>
    <xf numFmtId="0" fontId="40" fillId="0" borderId="20" xfId="0" applyFont="1" applyFill="1" applyBorder="1"/>
    <xf numFmtId="164" fontId="52" fillId="25" borderId="0" xfId="28" applyNumberFormat="1" applyFont="1" applyFill="1"/>
    <xf numFmtId="0" fontId="54" fillId="26" borderId="0" xfId="0" applyFont="1" applyFill="1"/>
    <xf numFmtId="0" fontId="55" fillId="0" borderId="0" xfId="0" applyNumberFormat="1" applyFont="1" applyFill="1" applyBorder="1" applyAlignment="1">
      <alignment horizontal="center"/>
    </xf>
    <xf numFmtId="3" fontId="10" fillId="0" borderId="0" xfId="0" applyNumberFormat="1" applyFont="1" applyAlignment="1">
      <alignment horizontal="center"/>
    </xf>
    <xf numFmtId="0" fontId="47" fillId="0" borderId="0" xfId="0" applyFont="1" applyAlignment="1">
      <alignment horizontal="center"/>
    </xf>
    <xf numFmtId="0" fontId="40" fillId="0" borderId="0" xfId="0" applyFont="1" applyAlignment="1">
      <alignment horizontal="right"/>
    </xf>
    <xf numFmtId="0" fontId="16" fillId="0" borderId="20" xfId="0" applyFont="1" applyBorder="1"/>
    <xf numFmtId="0" fontId="10" fillId="28" borderId="13" xfId="0" applyFont="1" applyFill="1" applyBorder="1" applyAlignment="1"/>
    <xf numFmtId="0" fontId="10" fillId="28" borderId="13" xfId="0" applyFont="1" applyFill="1" applyBorder="1" applyAlignment="1">
      <alignment horizontal="center"/>
    </xf>
    <xf numFmtId="0" fontId="10" fillId="28" borderId="22" xfId="0" applyFont="1" applyFill="1" applyBorder="1"/>
    <xf numFmtId="0" fontId="34" fillId="28" borderId="18" xfId="0" applyFont="1" applyFill="1" applyBorder="1" applyAlignment="1">
      <alignment horizontal="left"/>
    </xf>
    <xf numFmtId="0" fontId="23" fillId="28" borderId="9" xfId="0" applyFont="1" applyFill="1" applyBorder="1" applyAlignment="1"/>
    <xf numFmtId="0" fontId="16" fillId="28" borderId="9" xfId="0" applyFont="1" applyFill="1" applyBorder="1" applyAlignment="1"/>
    <xf numFmtId="0" fontId="23" fillId="28" borderId="9" xfId="0" applyNumberFormat="1" applyFont="1" applyFill="1" applyBorder="1" applyAlignment="1">
      <alignment horizontal="center"/>
    </xf>
    <xf numFmtId="0" fontId="8" fillId="28" borderId="19" xfId="0" applyFont="1" applyFill="1" applyBorder="1" applyAlignment="1">
      <alignment horizontal="center" wrapText="1"/>
    </xf>
    <xf numFmtId="0" fontId="34" fillId="28" borderId="21" xfId="0" applyFont="1" applyFill="1" applyBorder="1" applyAlignment="1">
      <alignment horizontal="left"/>
    </xf>
    <xf numFmtId="0" fontId="20" fillId="0" borderId="0" xfId="0" applyFont="1" applyAlignment="1">
      <alignment horizontal="center"/>
    </xf>
    <xf numFmtId="165" fontId="12" fillId="0" borderId="14" xfId="46" applyFont="1" applyFill="1" applyBorder="1" applyAlignment="1">
      <alignment vertical="center"/>
    </xf>
    <xf numFmtId="0" fontId="12" fillId="0" borderId="14" xfId="0" applyFont="1" applyFill="1" applyBorder="1" applyAlignment="1"/>
    <xf numFmtId="0" fontId="12" fillId="0" borderId="0" xfId="0" applyFont="1" applyFill="1"/>
    <xf numFmtId="0" fontId="22" fillId="0" borderId="0" xfId="0" applyFont="1" applyFill="1" applyAlignment="1"/>
    <xf numFmtId="3" fontId="8" fillId="0" borderId="0" xfId="0" applyNumberFormat="1" applyFont="1" applyFill="1" applyAlignment="1"/>
    <xf numFmtId="173" fontId="12" fillId="0" borderId="0" xfId="51" applyNumberFormat="1" applyFont="1" applyBorder="1" applyAlignment="1"/>
    <xf numFmtId="0" fontId="0" fillId="0" borderId="0" xfId="0" applyFill="1" applyAlignment="1">
      <alignment wrapText="1"/>
    </xf>
    <xf numFmtId="37" fontId="0" fillId="0" borderId="0" xfId="0" applyNumberFormat="1" applyFill="1"/>
    <xf numFmtId="37" fontId="0" fillId="0" borderId="0" xfId="0" applyNumberFormat="1" applyAlignment="1">
      <alignment horizontal="right" wrapText="1"/>
    </xf>
    <xf numFmtId="172" fontId="0" fillId="25" borderId="0" xfId="0" applyNumberFormat="1" applyFill="1" applyAlignment="1">
      <alignment horizontal="center" wrapText="1"/>
    </xf>
    <xf numFmtId="37" fontId="0" fillId="0" borderId="0" xfId="0" applyNumberFormat="1" applyFill="1" applyAlignment="1">
      <alignment horizontal="right" wrapText="1"/>
    </xf>
    <xf numFmtId="0" fontId="9" fillId="0" borderId="0" xfId="0" applyFont="1" applyFill="1"/>
    <xf numFmtId="0" fontId="42" fillId="0" borderId="0" xfId="0" applyFont="1" applyAlignment="1">
      <alignment horizontal="right"/>
    </xf>
    <xf numFmtId="0" fontId="7" fillId="0" borderId="0" xfId="0" applyFont="1" applyAlignment="1"/>
    <xf numFmtId="0" fontId="0" fillId="0" borderId="0" xfId="0" applyAlignment="1">
      <alignment horizontal="left"/>
    </xf>
    <xf numFmtId="0" fontId="57" fillId="0" borderId="0" xfId="0" applyFont="1"/>
    <xf numFmtId="0" fontId="57" fillId="0" borderId="0" xfId="0" applyFont="1" applyAlignment="1"/>
    <xf numFmtId="0" fontId="0" fillId="0" borderId="0" xfId="0" applyAlignment="1">
      <alignment horizontal="left" vertical="center"/>
    </xf>
    <xf numFmtId="0" fontId="58" fillId="0" borderId="0" xfId="0" applyFont="1" applyAlignment="1"/>
    <xf numFmtId="0" fontId="18" fillId="0" borderId="0" xfId="0" applyFont="1" applyFill="1" applyAlignment="1"/>
    <xf numFmtId="0" fontId="18" fillId="0" borderId="0" xfId="0" applyFont="1"/>
    <xf numFmtId="0" fontId="18" fillId="0" borderId="0" xfId="0" applyFont="1" applyAlignment="1"/>
    <xf numFmtId="0" fontId="0" fillId="0" borderId="0" xfId="0" applyAlignment="1">
      <alignment vertical="top"/>
    </xf>
    <xf numFmtId="164" fontId="0" fillId="0" borderId="0" xfId="28" applyNumberFormat="1" applyFont="1" applyAlignment="1"/>
    <xf numFmtId="164" fontId="6" fillId="25" borderId="0" xfId="28" applyNumberFormat="1" applyFill="1" applyAlignment="1"/>
    <xf numFmtId="164" fontId="6" fillId="25" borderId="0" xfId="28" applyNumberFormat="1" applyFont="1" applyFill="1" applyAlignment="1">
      <alignment wrapText="1"/>
    </xf>
    <xf numFmtId="164" fontId="18" fillId="25" borderId="0" xfId="28" applyNumberFormat="1" applyFont="1" applyFill="1" applyBorder="1" applyAlignment="1">
      <alignment wrapText="1"/>
    </xf>
    <xf numFmtId="164" fontId="6" fillId="0" borderId="0" xfId="28" applyNumberFormat="1" applyFill="1" applyBorder="1" applyAlignment="1">
      <alignment wrapText="1"/>
    </xf>
    <xf numFmtId="164" fontId="0" fillId="0" borderId="0" xfId="28" applyNumberFormat="1" applyFont="1" applyAlignment="1">
      <alignment vertical="center" wrapText="1"/>
    </xf>
    <xf numFmtId="164" fontId="6" fillId="25" borderId="0" xfId="28" applyNumberFormat="1" applyFill="1" applyAlignment="1">
      <alignment wrapText="1"/>
    </xf>
    <xf numFmtId="164" fontId="0" fillId="25" borderId="0" xfId="28" applyNumberFormat="1" applyFont="1" applyFill="1" applyAlignment="1">
      <alignment wrapText="1"/>
    </xf>
    <xf numFmtId="164" fontId="6" fillId="25" borderId="0" xfId="28" applyNumberFormat="1" applyFill="1" applyAlignment="1">
      <alignment vertical="center" wrapText="1"/>
    </xf>
    <xf numFmtId="164" fontId="0" fillId="25" borderId="0" xfId="28" applyNumberFormat="1" applyFont="1" applyFill="1" applyAlignment="1"/>
    <xf numFmtId="164" fontId="0" fillId="0" borderId="0" xfId="28" applyNumberFormat="1" applyFont="1" applyFill="1" applyAlignment="1"/>
    <xf numFmtId="164" fontId="0" fillId="0" borderId="0" xfId="28" applyNumberFormat="1" applyFont="1" applyFill="1" applyBorder="1" applyAlignment="1"/>
    <xf numFmtId="164" fontId="0" fillId="0" borderId="0" xfId="28" applyNumberFormat="1" applyFont="1" applyBorder="1" applyAlignment="1"/>
    <xf numFmtId="3" fontId="40" fillId="0" borderId="0" xfId="0" applyNumberFormat="1" applyFont="1" applyBorder="1" applyAlignment="1">
      <alignment horizontal="center"/>
    </xf>
    <xf numFmtId="3" fontId="40" fillId="0" borderId="9" xfId="0" applyNumberFormat="1" applyFont="1" applyBorder="1" applyAlignment="1">
      <alignment horizontal="center"/>
    </xf>
    <xf numFmtId="0" fontId="13" fillId="0" borderId="14" xfId="0" applyFont="1" applyBorder="1" applyAlignment="1">
      <alignment horizontal="center"/>
    </xf>
    <xf numFmtId="0" fontId="12" fillId="0" borderId="0" xfId="0" applyNumberFormat="1" applyFont="1" applyFill="1" applyBorder="1" applyAlignment="1">
      <alignment horizontal="left"/>
    </xf>
    <xf numFmtId="0" fontId="12" fillId="0" borderId="14" xfId="0" applyNumberFormat="1" applyFont="1" applyFill="1" applyBorder="1" applyAlignment="1">
      <alignment horizontal="left"/>
    </xf>
    <xf numFmtId="0" fontId="0" fillId="0" borderId="9" xfId="0" applyFill="1" applyBorder="1"/>
    <xf numFmtId="0" fontId="43" fillId="0" borderId="0" xfId="0" applyFont="1" applyFill="1" applyBorder="1" applyAlignment="1">
      <alignment horizontal="center"/>
    </xf>
    <xf numFmtId="0" fontId="40" fillId="0" borderId="9" xfId="0" applyFont="1" applyFill="1" applyBorder="1"/>
    <xf numFmtId="0" fontId="36" fillId="0" borderId="0" xfId="0" applyFont="1" applyFill="1"/>
    <xf numFmtId="0" fontId="12" fillId="0" borderId="0" xfId="0" applyFont="1" applyFill="1" applyAlignment="1">
      <alignment horizontal="left"/>
    </xf>
    <xf numFmtId="0" fontId="12" fillId="0" borderId="14" xfId="0" applyFont="1" applyFill="1" applyBorder="1" applyAlignment="1">
      <alignment horizontal="left"/>
    </xf>
    <xf numFmtId="164" fontId="0" fillId="0" borderId="0" xfId="28" applyNumberFormat="1" applyFont="1" applyAlignment="1">
      <alignment horizontal="right"/>
    </xf>
    <xf numFmtId="0" fontId="40" fillId="0" borderId="0" xfId="0" applyFont="1" applyBorder="1" applyAlignment="1">
      <alignment horizontal="left" wrapText="1"/>
    </xf>
    <xf numFmtId="0" fontId="40" fillId="0" borderId="0" xfId="0" applyFont="1" applyBorder="1" applyAlignment="1">
      <alignment wrapText="1"/>
    </xf>
    <xf numFmtId="168" fontId="40" fillId="0" borderId="9" xfId="51" applyNumberFormat="1" applyFont="1" applyBorder="1" applyAlignment="1">
      <alignment horizontal="center"/>
    </xf>
    <xf numFmtId="2" fontId="6" fillId="0" borderId="0" xfId="0" applyNumberFormat="1" applyFont="1" applyFill="1" applyBorder="1" applyAlignment="1">
      <alignment horizontal="center"/>
    </xf>
    <xf numFmtId="0" fontId="6" fillId="0" borderId="0" xfId="0" applyFont="1" applyFill="1" applyBorder="1" applyAlignment="1">
      <alignment horizontal="center"/>
    </xf>
    <xf numFmtId="3" fontId="46" fillId="0" borderId="20" xfId="0" applyNumberFormat="1" applyFont="1" applyFill="1" applyBorder="1" applyAlignment="1"/>
    <xf numFmtId="0" fontId="46" fillId="0" borderId="0" xfId="0" applyFont="1" applyFill="1" applyBorder="1" applyAlignment="1">
      <alignment horizontal="right"/>
    </xf>
    <xf numFmtId="3" fontId="32" fillId="0" borderId="20" xfId="0" applyNumberFormat="1" applyFont="1" applyFill="1" applyBorder="1" applyAlignment="1">
      <alignment horizontal="left"/>
    </xf>
    <xf numFmtId="0" fontId="32" fillId="0" borderId="20" xfId="0" applyFont="1" applyBorder="1" applyAlignment="1">
      <alignment horizontal="left"/>
    </xf>
    <xf numFmtId="3" fontId="32" fillId="0" borderId="20" xfId="0" applyNumberFormat="1" applyFont="1" applyBorder="1" applyAlignment="1">
      <alignment horizontal="left"/>
    </xf>
    <xf numFmtId="0" fontId="32" fillId="0" borderId="9" xfId="0" applyNumberFormat="1" applyFont="1" applyBorder="1" applyAlignment="1">
      <alignment horizontal="left"/>
    </xf>
    <xf numFmtId="0" fontId="32" fillId="0" borderId="19" xfId="0" applyNumberFormat="1" applyFont="1" applyBorder="1" applyAlignment="1">
      <alignment horizontal="left"/>
    </xf>
    <xf numFmtId="0" fontId="46" fillId="0" borderId="9" xfId="0" applyNumberFormat="1" applyFont="1" applyBorder="1" applyAlignment="1">
      <alignment horizontal="center"/>
    </xf>
    <xf numFmtId="164" fontId="40" fillId="0" borderId="9" xfId="0" applyNumberFormat="1" applyFont="1" applyBorder="1" applyAlignment="1">
      <alignment horizontal="center"/>
    </xf>
    <xf numFmtId="167" fontId="0" fillId="25" borderId="0" xfId="0" applyNumberFormat="1" applyFill="1"/>
    <xf numFmtId="164" fontId="18" fillId="0" borderId="0" xfId="0" applyNumberFormat="1" applyFont="1"/>
    <xf numFmtId="37" fontId="0" fillId="25" borderId="0" xfId="0" applyNumberFormat="1" applyFill="1" applyAlignment="1">
      <alignment horizontal="left" wrapText="1"/>
    </xf>
    <xf numFmtId="37" fontId="18" fillId="25" borderId="0" xfId="0" applyNumberFormat="1" applyFont="1" applyFill="1"/>
    <xf numFmtId="37" fontId="0" fillId="0" borderId="0" xfId="0" applyNumberFormat="1" applyFill="1" applyAlignment="1">
      <alignment horizontal="left" vertical="center" wrapText="1"/>
    </xf>
    <xf numFmtId="41" fontId="0" fillId="0" borderId="0" xfId="0" applyNumberFormat="1" applyFill="1" applyAlignment="1">
      <alignment horizontal="right"/>
    </xf>
    <xf numFmtId="41" fontId="0" fillId="25" borderId="0" xfId="0" applyNumberFormat="1" applyFill="1" applyAlignment="1">
      <alignment horizontal="right"/>
    </xf>
    <xf numFmtId="37" fontId="0" fillId="25" borderId="0" xfId="0" applyNumberFormat="1" applyFill="1" applyAlignment="1">
      <alignment horizontal="left" vertical="center" wrapText="1"/>
    </xf>
    <xf numFmtId="41" fontId="0" fillId="0" borderId="0" xfId="0" applyNumberFormat="1" applyFill="1" applyBorder="1" applyAlignment="1">
      <alignment horizontal="right"/>
    </xf>
    <xf numFmtId="0" fontId="9" fillId="0" borderId="0" xfId="0" applyFont="1" applyFill="1" applyBorder="1"/>
    <xf numFmtId="0" fontId="18" fillId="0" borderId="0" xfId="0" applyFont="1" applyAlignment="1">
      <alignment horizontal="left" vertical="center" wrapText="1"/>
    </xf>
    <xf numFmtId="0" fontId="18" fillId="0" borderId="0" xfId="0" applyFont="1" applyAlignment="1">
      <alignment horizontal="left" wrapText="1"/>
    </xf>
    <xf numFmtId="3" fontId="40" fillId="0" borderId="17" xfId="0" applyNumberFormat="1" applyFont="1" applyBorder="1" applyAlignment="1">
      <alignment horizontal="right"/>
    </xf>
    <xf numFmtId="164" fontId="40" fillId="0" borderId="18" xfId="28" applyNumberFormat="1" applyFont="1" applyFill="1" applyBorder="1" applyAlignment="1">
      <alignment horizontal="right"/>
    </xf>
    <xf numFmtId="0" fontId="43" fillId="0" borderId="17" xfId="0" applyFont="1" applyBorder="1" applyAlignment="1">
      <alignment horizontal="center"/>
    </xf>
    <xf numFmtId="164" fontId="40" fillId="0" borderId="18" xfId="0" applyNumberFormat="1" applyFont="1" applyBorder="1" applyAlignment="1">
      <alignment horizontal="center"/>
    </xf>
    <xf numFmtId="164" fontId="32" fillId="0" borderId="0" xfId="0" applyNumberFormat="1" applyFont="1" applyFill="1" applyBorder="1" applyAlignment="1">
      <alignment horizontal="center"/>
    </xf>
    <xf numFmtId="164" fontId="43" fillId="0" borderId="18" xfId="28" applyNumberFormat="1" applyFont="1" applyBorder="1" applyAlignment="1">
      <alignment horizontal="center"/>
    </xf>
    <xf numFmtId="3" fontId="40" fillId="0" borderId="0" xfId="0" applyNumberFormat="1" applyFont="1" applyFill="1" applyBorder="1" applyAlignment="1">
      <alignment horizontal="center"/>
    </xf>
    <xf numFmtId="3" fontId="40" fillId="0" borderId="9" xfId="0" applyNumberFormat="1" applyFont="1" applyFill="1" applyBorder="1" applyAlignment="1">
      <alignment horizontal="center"/>
    </xf>
    <xf numFmtId="3" fontId="13" fillId="0" borderId="14" xfId="0" applyNumberFormat="1" applyFont="1" applyFill="1" applyBorder="1" applyAlignment="1">
      <alignment horizontal="center"/>
    </xf>
    <xf numFmtId="0" fontId="39" fillId="27" borderId="21" xfId="0" applyFont="1" applyFill="1" applyBorder="1" applyAlignment="1">
      <alignment horizontal="center" wrapText="1"/>
    </xf>
    <xf numFmtId="3" fontId="40" fillId="0" borderId="17" xfId="0" applyNumberFormat="1" applyFont="1" applyBorder="1" applyAlignment="1">
      <alignment horizontal="center"/>
    </xf>
    <xf numFmtId="0" fontId="40" fillId="0" borderId="20" xfId="0" applyFont="1" applyBorder="1" applyAlignment="1">
      <alignment wrapText="1"/>
    </xf>
    <xf numFmtId="3" fontId="40" fillId="0" borderId="18" xfId="0" applyNumberFormat="1" applyFont="1" applyBorder="1" applyAlignment="1">
      <alignment horizontal="center"/>
    </xf>
    <xf numFmtId="0" fontId="57" fillId="0" borderId="0" xfId="0" applyFont="1" applyFill="1"/>
    <xf numFmtId="0" fontId="40" fillId="25" borderId="17" xfId="0" applyFont="1" applyFill="1" applyBorder="1" applyAlignment="1">
      <alignment horizontal="center"/>
    </xf>
    <xf numFmtId="0" fontId="0" fillId="0" borderId="0" xfId="0" applyAlignment="1">
      <alignment horizontal="left" indent="1"/>
    </xf>
    <xf numFmtId="3" fontId="43" fillId="0" borderId="0" xfId="0" applyNumberFormat="1" applyFont="1" applyBorder="1" applyAlignment="1">
      <alignment horizontal="center"/>
    </xf>
    <xf numFmtId="3" fontId="40" fillId="0" borderId="18" xfId="28" applyNumberFormat="1" applyFont="1" applyBorder="1" applyAlignment="1">
      <alignment horizontal="center"/>
    </xf>
    <xf numFmtId="3" fontId="40" fillId="0" borderId="9" xfId="28" applyNumberFormat="1" applyFont="1" applyBorder="1" applyAlignment="1">
      <alignment horizontal="center"/>
    </xf>
    <xf numFmtId="0" fontId="0" fillId="0" borderId="0" xfId="0" applyFill="1" applyAlignment="1">
      <alignment horizontal="left" wrapText="1"/>
    </xf>
    <xf numFmtId="0" fontId="0" fillId="0" borderId="0" xfId="0" applyFill="1" applyAlignment="1">
      <alignment horizontal="left" vertical="center" wrapText="1"/>
    </xf>
    <xf numFmtId="164" fontId="6" fillId="0" borderId="0" xfId="28" applyNumberFormat="1" applyFill="1" applyAlignment="1"/>
    <xf numFmtId="3" fontId="16" fillId="0" borderId="0" xfId="0" applyNumberFormat="1" applyFont="1" applyFill="1" applyBorder="1" applyAlignment="1"/>
    <xf numFmtId="0" fontId="40" fillId="0" borderId="20" xfId="0" applyFont="1" applyFill="1" applyBorder="1" applyAlignment="1">
      <alignment horizontal="center" wrapText="1"/>
    </xf>
    <xf numFmtId="164" fontId="32" fillId="0" borderId="20" xfId="28" applyNumberFormat="1" applyFont="1" applyFill="1" applyBorder="1" applyAlignment="1">
      <alignment horizontal="center"/>
    </xf>
    <xf numFmtId="164" fontId="32" fillId="0" borderId="0" xfId="28" applyNumberFormat="1" applyFont="1" applyFill="1" applyBorder="1" applyAlignment="1">
      <alignment horizontal="center"/>
    </xf>
    <xf numFmtId="10" fontId="32" fillId="0" borderId="0" xfId="0" applyNumberFormat="1" applyFont="1" applyFill="1" applyBorder="1" applyAlignment="1">
      <alignment horizontal="center"/>
    </xf>
    <xf numFmtId="164" fontId="32" fillId="0" borderId="20" xfId="28" applyNumberFormat="1" applyFont="1" applyFill="1" applyBorder="1" applyAlignment="1">
      <alignment horizontal="left"/>
    </xf>
    <xf numFmtId="3" fontId="8" fillId="0" borderId="0" xfId="0" applyNumberFormat="1" applyFont="1" applyFill="1" applyBorder="1" applyAlignment="1">
      <alignment horizontal="right"/>
    </xf>
    <xf numFmtId="164" fontId="40" fillId="0" borderId="17" xfId="0" applyNumberFormat="1" applyFont="1" applyBorder="1" applyAlignment="1">
      <alignment horizontal="center"/>
    </xf>
    <xf numFmtId="0" fontId="43" fillId="25" borderId="0" xfId="0" applyFont="1" applyFill="1" applyBorder="1" applyAlignment="1">
      <alignment horizontal="center"/>
    </xf>
    <xf numFmtId="3" fontId="12" fillId="26" borderId="0" xfId="0" applyNumberFormat="1" applyFont="1" applyFill="1" applyBorder="1" applyAlignment="1"/>
    <xf numFmtId="0" fontId="7" fillId="0" borderId="0" xfId="0" applyFont="1" applyBorder="1"/>
    <xf numFmtId="164" fontId="45" fillId="0" borderId="0" xfId="28" applyNumberFormat="1" applyFont="1" applyBorder="1"/>
    <xf numFmtId="164" fontId="45" fillId="0" borderId="20" xfId="28" applyNumberFormat="1" applyFont="1" applyBorder="1"/>
    <xf numFmtId="0" fontId="18" fillId="0" borderId="0" xfId="0" applyFont="1" applyBorder="1"/>
    <xf numFmtId="168" fontId="32" fillId="0" borderId="0" xfId="51" applyNumberFormat="1" applyFont="1"/>
    <xf numFmtId="164" fontId="40" fillId="0" borderId="0" xfId="0" applyNumberFormat="1" applyFont="1" applyBorder="1" applyAlignment="1">
      <alignment horizontal="center"/>
    </xf>
    <xf numFmtId="168" fontId="32" fillId="0" borderId="0" xfId="51" applyNumberFormat="1" applyFont="1" applyFill="1" applyBorder="1" applyAlignment="1">
      <alignment horizontal="right"/>
    </xf>
    <xf numFmtId="10" fontId="10" fillId="0" borderId="0" xfId="51" applyNumberFormat="1" applyFont="1" applyAlignment="1"/>
    <xf numFmtId="164" fontId="43" fillId="0" borderId="0" xfId="0" applyNumberFormat="1" applyFont="1" applyFill="1" applyBorder="1" applyAlignment="1">
      <alignment horizontal="center" wrapText="1"/>
    </xf>
    <xf numFmtId="0" fontId="0" fillId="0" borderId="0" xfId="0" applyFill="1" applyAlignment="1">
      <alignment horizontal="left"/>
    </xf>
    <xf numFmtId="0" fontId="60" fillId="0" borderId="0" xfId="0" applyFont="1" applyAlignment="1">
      <alignment horizontal="center"/>
    </xf>
    <xf numFmtId="9" fontId="40" fillId="0" borderId="0" xfId="51" applyFont="1" applyBorder="1" applyAlignment="1">
      <alignment horizontal="center"/>
    </xf>
    <xf numFmtId="10" fontId="40" fillId="0" borderId="0" xfId="51" applyNumberFormat="1" applyFont="1" applyBorder="1" applyAlignment="1">
      <alignment horizontal="center"/>
    </xf>
    <xf numFmtId="164" fontId="40" fillId="0" borderId="18" xfId="0" applyNumberFormat="1" applyFont="1" applyFill="1" applyBorder="1" applyAlignment="1">
      <alignment horizontal="center"/>
    </xf>
    <xf numFmtId="164" fontId="40" fillId="27" borderId="17" xfId="0" applyNumberFormat="1" applyFont="1" applyFill="1" applyBorder="1" applyAlignment="1">
      <alignment horizontal="center"/>
    </xf>
    <xf numFmtId="164" fontId="40" fillId="27" borderId="18" xfId="0" applyNumberFormat="1" applyFont="1" applyFill="1" applyBorder="1" applyAlignment="1">
      <alignment horizontal="center"/>
    </xf>
    <xf numFmtId="0" fontId="13" fillId="0" borderId="0" xfId="0" applyFont="1" applyFill="1" applyBorder="1" applyAlignment="1">
      <alignment horizontal="right"/>
    </xf>
    <xf numFmtId="164" fontId="0" fillId="0" borderId="0" xfId="28" applyNumberFormat="1" applyFont="1" applyFill="1"/>
    <xf numFmtId="164" fontId="0" fillId="0" borderId="0" xfId="28" applyNumberFormat="1" applyFont="1" applyFill="1" applyAlignment="1">
      <alignment horizontal="right"/>
    </xf>
    <xf numFmtId="164" fontId="0" fillId="0" borderId="0" xfId="28" applyNumberFormat="1" applyFont="1" applyFill="1" applyBorder="1" applyAlignment="1">
      <alignment horizontal="right"/>
    </xf>
    <xf numFmtId="9" fontId="0" fillId="0" borderId="0" xfId="51" applyFont="1"/>
    <xf numFmtId="164" fontId="32" fillId="0" borderId="0" xfId="28" applyNumberFormat="1" applyFont="1" applyBorder="1"/>
    <xf numFmtId="168" fontId="32" fillId="0" borderId="0" xfId="0" applyNumberFormat="1" applyFont="1" applyBorder="1"/>
    <xf numFmtId="9" fontId="43" fillId="0" borderId="0" xfId="0" applyNumberFormat="1" applyFont="1" applyBorder="1"/>
    <xf numFmtId="164" fontId="43" fillId="0" borderId="0" xfId="28" applyNumberFormat="1" applyFont="1" applyFill="1" applyBorder="1" applyAlignment="1">
      <alignment horizontal="center" wrapText="1"/>
    </xf>
    <xf numFmtId="0" fontId="49" fillId="0" borderId="21" xfId="0" applyNumberFormat="1" applyFont="1" applyFill="1" applyBorder="1" applyAlignment="1">
      <alignment horizontal="left"/>
    </xf>
    <xf numFmtId="0" fontId="32" fillId="0" borderId="13" xfId="0" applyNumberFormat="1" applyFont="1" applyFill="1" applyBorder="1" applyAlignment="1">
      <alignment horizontal="center"/>
    </xf>
    <xf numFmtId="0" fontId="46" fillId="0" borderId="13" xfId="0" applyNumberFormat="1" applyFont="1" applyFill="1" applyBorder="1" applyAlignment="1">
      <alignment horizontal="center"/>
    </xf>
    <xf numFmtId="0" fontId="32" fillId="0" borderId="22" xfId="0" applyNumberFormat="1" applyFont="1" applyFill="1" applyBorder="1" applyAlignment="1">
      <alignment horizontal="center"/>
    </xf>
    <xf numFmtId="0" fontId="40" fillId="0" borderId="13" xfId="0" applyFont="1" applyBorder="1"/>
    <xf numFmtId="0" fontId="39" fillId="0" borderId="13" xfId="0" applyFont="1" applyBorder="1"/>
    <xf numFmtId="167" fontId="40" fillId="0" borderId="17" xfId="32" applyNumberFormat="1" applyFont="1" applyBorder="1"/>
    <xf numFmtId="167" fontId="40" fillId="0" borderId="9" xfId="32" applyNumberFormat="1" applyFont="1" applyBorder="1"/>
    <xf numFmtId="0" fontId="13" fillId="0" borderId="0" xfId="0" applyFont="1" applyAlignment="1">
      <alignment horizontal="center"/>
    </xf>
    <xf numFmtId="3" fontId="22" fillId="0" borderId="0" xfId="0" applyNumberFormat="1" applyFont="1" applyFill="1" applyBorder="1" applyAlignment="1">
      <alignment horizontal="right"/>
    </xf>
    <xf numFmtId="4" fontId="21" fillId="0" borderId="0" xfId="0" applyNumberFormat="1" applyFont="1" applyFill="1" applyAlignment="1">
      <alignment horizontal="right"/>
    </xf>
    <xf numFmtId="3" fontId="12" fillId="0" borderId="12" xfId="0" applyNumberFormat="1" applyFont="1" applyFill="1" applyBorder="1" applyAlignment="1"/>
    <xf numFmtId="0" fontId="8" fillId="0" borderId="12" xfId="0" applyFont="1" applyFill="1" applyBorder="1"/>
    <xf numFmtId="3" fontId="8" fillId="0" borderId="12" xfId="0" applyNumberFormat="1" applyFont="1" applyFill="1" applyBorder="1"/>
    <xf numFmtId="0" fontId="12" fillId="0" borderId="11" xfId="0" applyFont="1" applyFill="1" applyBorder="1" applyAlignment="1"/>
    <xf numFmtId="0" fontId="56" fillId="0" borderId="0" xfId="0" applyFont="1" applyFill="1" applyBorder="1"/>
    <xf numFmtId="0" fontId="0" fillId="0" borderId="0" xfId="0" applyFill="1" applyAlignment="1">
      <alignment horizontal="right"/>
    </xf>
    <xf numFmtId="37" fontId="36" fillId="0" borderId="0" xfId="0" applyNumberFormat="1" applyFont="1" applyFill="1"/>
    <xf numFmtId="41" fontId="0" fillId="0" borderId="14" xfId="0" applyNumberFormat="1" applyFill="1" applyBorder="1" applyAlignment="1">
      <alignment horizontal="right"/>
    </xf>
    <xf numFmtId="37" fontId="18" fillId="0" borderId="0" xfId="0" applyNumberFormat="1" applyFont="1" applyFill="1"/>
    <xf numFmtId="0" fontId="0" fillId="0" borderId="0" xfId="0" applyFill="1" applyAlignment="1"/>
    <xf numFmtId="0" fontId="18" fillId="0" borderId="0" xfId="0" applyFont="1" applyFill="1" applyAlignment="1">
      <alignment vertical="center" wrapText="1"/>
    </xf>
    <xf numFmtId="0" fontId="32" fillId="0" borderId="0" xfId="0" applyFont="1" applyFill="1" applyAlignment="1">
      <alignment vertical="center" wrapText="1"/>
    </xf>
    <xf numFmtId="164" fontId="32" fillId="0" borderId="0" xfId="28" applyNumberFormat="1" applyFont="1" applyFill="1" applyAlignment="1">
      <alignment vertical="center" wrapText="1"/>
    </xf>
    <xf numFmtId="164" fontId="32" fillId="0" borderId="0" xfId="28" applyNumberFormat="1" applyFont="1" applyFill="1" applyAlignment="1"/>
    <xf numFmtId="164" fontId="64" fillId="0" borderId="0" xfId="28" applyNumberFormat="1" applyFont="1" applyFill="1" applyAlignment="1"/>
    <xf numFmtId="0" fontId="64" fillId="0" borderId="0" xfId="0" applyFont="1" applyFill="1"/>
    <xf numFmtId="0" fontId="0" fillId="0" borderId="0" xfId="0" applyBorder="1" applyAlignment="1">
      <alignment horizontal="center"/>
    </xf>
    <xf numFmtId="0" fontId="0" fillId="0" borderId="20" xfId="0" applyBorder="1" applyAlignment="1">
      <alignment horizontal="center"/>
    </xf>
    <xf numFmtId="0" fontId="43" fillId="0" borderId="20" xfId="0" applyFont="1" applyBorder="1" applyAlignment="1">
      <alignment horizontal="center"/>
    </xf>
    <xf numFmtId="0" fontId="45" fillId="0" borderId="0" xfId="0" applyNumberFormat="1" applyFont="1" applyFill="1" applyBorder="1" applyAlignment="1">
      <alignment horizontal="center"/>
    </xf>
    <xf numFmtId="0" fontId="32" fillId="0" borderId="0" xfId="0" applyNumberFormat="1" applyFont="1" applyFill="1" applyAlignment="1">
      <alignment horizontal="center"/>
    </xf>
    <xf numFmtId="0" fontId="6" fillId="0" borderId="0" xfId="0" applyFont="1" applyFill="1" applyAlignment="1"/>
    <xf numFmtId="164" fontId="32" fillId="25" borderId="0" xfId="28" applyNumberFormat="1" applyFont="1" applyFill="1" applyAlignment="1">
      <alignment vertical="center" wrapText="1"/>
    </xf>
    <xf numFmtId="0" fontId="13" fillId="0" borderId="0" xfId="0" applyFont="1" applyAlignment="1">
      <alignment horizontal="left"/>
    </xf>
    <xf numFmtId="168" fontId="32" fillId="0" borderId="9" xfId="51" applyNumberFormat="1" applyFont="1" applyFill="1" applyBorder="1" applyAlignment="1">
      <alignment horizontal="right"/>
    </xf>
    <xf numFmtId="164" fontId="32" fillId="0" borderId="0" xfId="28" applyNumberFormat="1" applyFont="1" applyFill="1" applyBorder="1"/>
    <xf numFmtId="0" fontId="47" fillId="0" borderId="0" xfId="0" applyFont="1" applyFill="1" applyBorder="1" applyAlignment="1">
      <alignment horizontal="center"/>
    </xf>
    <xf numFmtId="0" fontId="0" fillId="0" borderId="0" xfId="0" applyFill="1" applyBorder="1" applyAlignment="1">
      <alignment horizontal="right"/>
    </xf>
    <xf numFmtId="164" fontId="0" fillId="0" borderId="0" xfId="28" applyNumberFormat="1" applyFont="1" applyFill="1" applyBorder="1"/>
    <xf numFmtId="0" fontId="0" fillId="0" borderId="20" xfId="0" applyFill="1" applyBorder="1"/>
    <xf numFmtId="164" fontId="0" fillId="0" borderId="0" xfId="0" applyNumberFormat="1"/>
    <xf numFmtId="164" fontId="0" fillId="0" borderId="0" xfId="0" applyNumberFormat="1" applyFill="1"/>
    <xf numFmtId="0" fontId="6" fillId="0" borderId="0" xfId="0" applyFont="1" applyFill="1" applyAlignment="1">
      <alignment vertical="top"/>
    </xf>
    <xf numFmtId="0" fontId="66" fillId="0" borderId="11" xfId="0" applyNumberFormat="1" applyFont="1" applyFill="1" applyBorder="1" applyAlignment="1">
      <alignment horizontal="center"/>
    </xf>
    <xf numFmtId="0" fontId="13" fillId="0" borderId="0" xfId="0" applyNumberFormat="1" applyFont="1" applyAlignment="1"/>
    <xf numFmtId="0" fontId="45" fillId="0" borderId="20" xfId="0" applyNumberFormat="1" applyFont="1" applyFill="1" applyBorder="1" applyAlignment="1">
      <alignment horizontal="center"/>
    </xf>
    <xf numFmtId="0" fontId="18" fillId="0" borderId="0" xfId="0" applyFont="1" applyFill="1" applyBorder="1"/>
    <xf numFmtId="0" fontId="18" fillId="25" borderId="0" xfId="0" applyNumberFormat="1" applyFont="1" applyFill="1" applyBorder="1" applyAlignment="1">
      <alignment horizontal="left"/>
    </xf>
    <xf numFmtId="0" fontId="40" fillId="0" borderId="0" xfId="0" applyFont="1" applyFill="1" applyBorder="1" applyAlignment="1">
      <alignment horizontal="centerContinuous"/>
    </xf>
    <xf numFmtId="0" fontId="40" fillId="0" borderId="20" xfId="0" applyFont="1" applyFill="1" applyBorder="1" applyAlignment="1">
      <alignment horizontal="centerContinuous"/>
    </xf>
    <xf numFmtId="0" fontId="46" fillId="0" borderId="0" xfId="0" applyNumberFormat="1" applyFont="1" applyFill="1" applyBorder="1" applyAlignment="1">
      <alignment horizontal="left"/>
    </xf>
    <xf numFmtId="164" fontId="19" fillId="0" borderId="0" xfId="0" applyNumberFormat="1" applyFont="1" applyFill="1"/>
    <xf numFmtId="9" fontId="19" fillId="0" borderId="0" xfId="0" applyNumberFormat="1" applyFont="1" applyFill="1"/>
    <xf numFmtId="0" fontId="33" fillId="0" borderId="0" xfId="0" applyNumberFormat="1" applyFont="1" applyFill="1"/>
    <xf numFmtId="0" fontId="40" fillId="0" borderId="21" xfId="0" applyFont="1" applyFill="1" applyBorder="1"/>
    <xf numFmtId="0" fontId="0" fillId="0" borderId="17" xfId="0" applyFill="1" applyBorder="1"/>
    <xf numFmtId="0" fontId="0" fillId="0" borderId="18" xfId="0" applyFill="1" applyBorder="1"/>
    <xf numFmtId="0" fontId="45" fillId="0" borderId="17" xfId="0" applyNumberFormat="1" applyFont="1" applyFill="1" applyBorder="1" applyAlignment="1">
      <alignment horizontal="center"/>
    </xf>
    <xf numFmtId="0" fontId="45" fillId="0" borderId="17" xfId="0" applyFont="1" applyFill="1" applyBorder="1"/>
    <xf numFmtId="166" fontId="12" fillId="0" borderId="0" xfId="0" applyNumberFormat="1" applyFont="1" applyFill="1" applyAlignment="1"/>
    <xf numFmtId="0" fontId="0" fillId="0" borderId="0" xfId="0" applyFill="1" applyAlignment="1">
      <alignment vertical="top"/>
    </xf>
    <xf numFmtId="0" fontId="18" fillId="0" borderId="0" xfId="0" applyFont="1" applyFill="1" applyAlignment="1">
      <alignment wrapText="1"/>
    </xf>
    <xf numFmtId="0" fontId="0" fillId="0" borderId="0" xfId="0" applyFill="1" applyAlignment="1">
      <alignment horizontal="center" vertical="top"/>
    </xf>
    <xf numFmtId="164" fontId="18" fillId="25" borderId="0" xfId="28" applyNumberFormat="1" applyFont="1" applyFill="1" applyAlignment="1"/>
    <xf numFmtId="0" fontId="8" fillId="0" borderId="0" xfId="0" applyNumberFormat="1" applyFont="1" applyFill="1" applyAlignment="1">
      <alignment horizontal="left"/>
    </xf>
    <xf numFmtId="0" fontId="20" fillId="0" borderId="16" xfId="0" applyNumberFormat="1" applyFont="1" applyFill="1" applyBorder="1" applyAlignment="1">
      <alignment horizontal="center"/>
    </xf>
    <xf numFmtId="0" fontId="20" fillId="0" borderId="15" xfId="0" applyNumberFormat="1" applyFont="1" applyFill="1" applyBorder="1" applyAlignment="1">
      <alignment horizontal="center"/>
    </xf>
    <xf numFmtId="0" fontId="38" fillId="0" borderId="0" xfId="0" applyFont="1" applyFill="1" applyAlignment="1">
      <alignment horizontal="left"/>
    </xf>
    <xf numFmtId="0" fontId="20" fillId="0" borderId="0" xfId="0" applyNumberFormat="1" applyFont="1" applyFill="1" applyBorder="1" applyAlignment="1">
      <alignment horizontal="center"/>
    </xf>
    <xf numFmtId="0" fontId="65" fillId="0" borderId="0" xfId="0" applyNumberFormat="1" applyFont="1" applyFill="1" applyBorder="1" applyAlignment="1">
      <alignment horizontal="left"/>
    </xf>
    <xf numFmtId="3" fontId="12" fillId="0" borderId="14" xfId="0" applyNumberFormat="1" applyFont="1" applyFill="1" applyBorder="1" applyAlignment="1">
      <alignment horizontal="right"/>
    </xf>
    <xf numFmtId="166" fontId="12" fillId="25" borderId="0" xfId="0" applyNumberFormat="1" applyFont="1" applyFill="1" applyAlignment="1"/>
    <xf numFmtId="164" fontId="12" fillId="0" borderId="0" xfId="28" applyNumberFormat="1" applyFont="1" applyFill="1" applyAlignment="1"/>
    <xf numFmtId="164" fontId="8" fillId="0" borderId="0" xfId="28" applyNumberFormat="1" applyFont="1" applyFill="1" applyBorder="1" applyAlignment="1"/>
    <xf numFmtId="0" fontId="34" fillId="0" borderId="0" xfId="0" applyFont="1" applyAlignment="1">
      <alignment horizontal="center"/>
    </xf>
    <xf numFmtId="10" fontId="45" fillId="0" borderId="0" xfId="28" applyNumberFormat="1" applyFont="1" applyBorder="1"/>
    <xf numFmtId="10" fontId="19" fillId="25" borderId="0" xfId="0" applyNumberFormat="1" applyFont="1" applyFill="1"/>
    <xf numFmtId="10" fontId="40" fillId="0" borderId="18" xfId="51" applyNumberFormat="1" applyFont="1" applyFill="1" applyBorder="1" applyAlignment="1">
      <alignment horizontal="center"/>
    </xf>
    <xf numFmtId="168" fontId="40" fillId="0" borderId="9" xfId="51" applyNumberFormat="1" applyFont="1" applyFill="1" applyBorder="1" applyAlignment="1">
      <alignment horizontal="center"/>
    </xf>
    <xf numFmtId="9" fontId="40" fillId="0" borderId="9" xfId="51" applyFont="1" applyFill="1" applyBorder="1" applyAlignment="1">
      <alignment horizontal="center"/>
    </xf>
    <xf numFmtId="171" fontId="40" fillId="0" borderId="9" xfId="51" applyNumberFormat="1" applyFont="1" applyFill="1" applyBorder="1" applyAlignment="1">
      <alignment horizontal="center"/>
    </xf>
    <xf numFmtId="10" fontId="40" fillId="0" borderId="9" xfId="0" applyNumberFormat="1" applyFont="1" applyBorder="1" applyAlignment="1">
      <alignment horizontal="center"/>
    </xf>
    <xf numFmtId="9" fontId="32" fillId="0" borderId="0" xfId="51" applyFont="1" applyFill="1" applyBorder="1" applyAlignment="1">
      <alignment horizontal="right"/>
    </xf>
    <xf numFmtId="37" fontId="7" fillId="25" borderId="0" xfId="0" applyNumberFormat="1" applyFont="1" applyFill="1" applyAlignment="1">
      <alignment horizontal="right" wrapText="1"/>
    </xf>
    <xf numFmtId="164" fontId="18" fillId="0" borderId="0" xfId="28" applyNumberFormat="1" applyFont="1"/>
    <xf numFmtId="164" fontId="0" fillId="0" borderId="0" xfId="0" quotePrefix="1" applyNumberFormat="1"/>
    <xf numFmtId="0" fontId="0" fillId="0" borderId="0" xfId="0" quotePrefix="1"/>
    <xf numFmtId="0" fontId="67" fillId="0" borderId="0" xfId="0" applyFont="1" applyAlignment="1">
      <alignment wrapText="1"/>
    </xf>
    <xf numFmtId="164" fontId="32" fillId="0" borderId="0" xfId="0" applyNumberFormat="1" applyFont="1" applyBorder="1"/>
    <xf numFmtId="167" fontId="12" fillId="25" borderId="0" xfId="0" applyNumberFormat="1" applyFont="1" applyFill="1" applyAlignment="1"/>
    <xf numFmtId="167" fontId="12" fillId="0" borderId="0" xfId="0" applyNumberFormat="1" applyFont="1" applyFill="1" applyAlignment="1"/>
    <xf numFmtId="167" fontId="12" fillId="25" borderId="0" xfId="0" applyNumberFormat="1" applyFont="1" applyFill="1" applyBorder="1" applyAlignment="1"/>
    <xf numFmtId="167" fontId="0" fillId="0" borderId="0" xfId="32" applyNumberFormat="1" applyFont="1"/>
    <xf numFmtId="3" fontId="40" fillId="0" borderId="17" xfId="0" applyNumberFormat="1" applyFont="1" applyFill="1" applyBorder="1" applyAlignment="1">
      <alignment horizontal="center"/>
    </xf>
    <xf numFmtId="10" fontId="32" fillId="0" borderId="19" xfId="0" applyNumberFormat="1" applyFont="1" applyBorder="1" applyAlignment="1">
      <alignment horizontal="left"/>
    </xf>
    <xf numFmtId="164" fontId="57" fillId="0" borderId="0" xfId="0" applyNumberFormat="1" applyFont="1" applyFill="1"/>
    <xf numFmtId="164" fontId="18" fillId="0" borderId="0" xfId="0" applyNumberFormat="1" applyFont="1" applyFill="1"/>
    <xf numFmtId="0" fontId="0" fillId="0" borderId="0" xfId="0" applyFill="1" applyAlignment="1">
      <alignment horizontal="center"/>
    </xf>
    <xf numFmtId="164" fontId="18" fillId="0" borderId="0" xfId="28" applyNumberFormat="1" applyFont="1" applyFill="1" applyBorder="1" applyAlignment="1">
      <alignment wrapText="1"/>
    </xf>
    <xf numFmtId="41" fontId="0" fillId="0" borderId="0" xfId="0" applyNumberFormat="1"/>
    <xf numFmtId="10" fontId="12" fillId="0" borderId="0" xfId="0" applyNumberFormat="1" applyFont="1" applyAlignment="1"/>
    <xf numFmtId="164" fontId="9" fillId="0" borderId="0" xfId="0" applyNumberFormat="1" applyFont="1" applyFill="1"/>
    <xf numFmtId="0" fontId="40" fillId="0" borderId="20" xfId="0" applyFont="1" applyBorder="1" applyAlignment="1">
      <alignment horizontal="center" wrapText="1"/>
    </xf>
    <xf numFmtId="0" fontId="18" fillId="0" borderId="0" xfId="44"/>
    <xf numFmtId="0" fontId="17" fillId="0" borderId="0" xfId="44" applyFont="1"/>
    <xf numFmtId="0" fontId="18" fillId="0" borderId="0" xfId="44" applyAlignment="1">
      <alignment horizontal="center"/>
    </xf>
    <xf numFmtId="0" fontId="61" fillId="0" borderId="0" xfId="44" applyFont="1"/>
    <xf numFmtId="0" fontId="52" fillId="0" borderId="0" xfId="44" applyFont="1" applyAlignment="1">
      <alignment horizontal="center"/>
    </xf>
    <xf numFmtId="0" fontId="52" fillId="0" borderId="0" xfId="44" applyFont="1"/>
    <xf numFmtId="0" fontId="68" fillId="0" borderId="0" xfId="44" applyFont="1"/>
    <xf numFmtId="0" fontId="53" fillId="0" borderId="0" xfId="44" applyFont="1" applyAlignment="1">
      <alignment horizontal="left"/>
    </xf>
    <xf numFmtId="0" fontId="52" fillId="0" borderId="0" xfId="44" applyFont="1" applyFill="1" applyAlignment="1">
      <alignment horizontal="center"/>
    </xf>
    <xf numFmtId="0" fontId="52" fillId="0" borderId="0" xfId="44" applyFont="1" applyAlignment="1">
      <alignment horizontal="left"/>
    </xf>
    <xf numFmtId="16" fontId="52" fillId="0" borderId="0" xfId="44" applyNumberFormat="1" applyFont="1" applyAlignment="1">
      <alignment horizontal="center"/>
    </xf>
    <xf numFmtId="0" fontId="18" fillId="0" borderId="0" xfId="44" applyAlignment="1"/>
    <xf numFmtId="0" fontId="53" fillId="0" borderId="0" xfId="44" applyFont="1" applyFill="1" applyAlignment="1">
      <alignment horizontal="left"/>
    </xf>
    <xf numFmtId="164" fontId="52" fillId="0" borderId="0" xfId="29" applyNumberFormat="1" applyFont="1"/>
    <xf numFmtId="0" fontId="62" fillId="0" borderId="0" xfId="44" applyFont="1" applyFill="1" applyAlignment="1">
      <alignment horizontal="left"/>
    </xf>
    <xf numFmtId="0" fontId="52" fillId="0" borderId="0" xfId="48" applyFont="1" applyBorder="1" applyAlignment="1">
      <alignment horizontal="center"/>
    </xf>
    <xf numFmtId="164" fontId="52" fillId="25" borderId="0" xfId="29" applyNumberFormat="1" applyFont="1" applyFill="1"/>
    <xf numFmtId="0" fontId="52" fillId="25" borderId="0" xfId="44" applyFont="1" applyFill="1"/>
    <xf numFmtId="164" fontId="52" fillId="0" borderId="0" xfId="44" applyNumberFormat="1" applyFont="1"/>
    <xf numFmtId="164" fontId="52" fillId="0" borderId="0" xfId="29" applyNumberFormat="1" applyFont="1" applyFill="1"/>
    <xf numFmtId="43" fontId="52" fillId="0" borderId="0" xfId="44" applyNumberFormat="1" applyFont="1"/>
    <xf numFmtId="167" fontId="52" fillId="0" borderId="0" xfId="44" applyNumberFormat="1" applyFont="1"/>
    <xf numFmtId="167" fontId="52" fillId="0" borderId="0" xfId="33" applyNumberFormat="1" applyFont="1"/>
    <xf numFmtId="0" fontId="52" fillId="0" borderId="0" xfId="44" applyFont="1" applyBorder="1" applyAlignment="1">
      <alignment horizontal="center"/>
    </xf>
    <xf numFmtId="0" fontId="52" fillId="0" borderId="0" xfId="44" applyFont="1" applyBorder="1"/>
    <xf numFmtId="0" fontId="63" fillId="0" borderId="0" xfId="44" applyFont="1" applyBorder="1"/>
    <xf numFmtId="167" fontId="52" fillId="0" borderId="0" xfId="33" applyNumberFormat="1" applyFont="1" applyFill="1" applyAlignment="1">
      <alignment horizontal="left"/>
    </xf>
    <xf numFmtId="167" fontId="52" fillId="0" borderId="0" xfId="33" applyNumberFormat="1" applyFont="1" applyAlignment="1">
      <alignment horizontal="left"/>
    </xf>
    <xf numFmtId="0" fontId="52" fillId="0" borderId="0" xfId="44" applyFont="1" applyFill="1" applyAlignment="1"/>
    <xf numFmtId="0" fontId="18" fillId="0" borderId="0" xfId="44" applyFont="1" applyFill="1" applyAlignment="1"/>
    <xf numFmtId="0" fontId="18" fillId="0" borderId="0" xfId="44" applyAlignment="1">
      <alignment wrapText="1"/>
    </xf>
    <xf numFmtId="0" fontId="52" fillId="0" borderId="0" xfId="44" applyFont="1" applyFill="1"/>
    <xf numFmtId="167" fontId="52" fillId="27" borderId="0" xfId="44" applyNumberFormat="1" applyFont="1" applyFill="1"/>
    <xf numFmtId="0" fontId="52" fillId="0" borderId="0" xfId="33" applyNumberFormat="1" applyFont="1" applyFill="1" applyAlignment="1">
      <alignment horizontal="left"/>
    </xf>
    <xf numFmtId="164" fontId="62" fillId="0" borderId="0" xfId="44" applyNumberFormat="1" applyFont="1" applyFill="1"/>
    <xf numFmtId="0" fontId="62" fillId="0" borderId="0" xfId="44" applyFont="1" applyFill="1"/>
    <xf numFmtId="164" fontId="52" fillId="0" borderId="0" xfId="44" applyNumberFormat="1" applyFont="1" applyFill="1"/>
    <xf numFmtId="164" fontId="52" fillId="0" borderId="0" xfId="44" applyNumberFormat="1" applyFont="1" applyAlignment="1">
      <alignment horizontal="left"/>
    </xf>
    <xf numFmtId="0" fontId="52" fillId="0" borderId="0" xfId="44" applyNumberFormat="1" applyFont="1" applyAlignment="1">
      <alignment horizontal="left"/>
    </xf>
    <xf numFmtId="164" fontId="52" fillId="0" borderId="0" xfId="44" applyNumberFormat="1" applyFont="1" applyAlignment="1">
      <alignment horizontal="center"/>
    </xf>
    <xf numFmtId="0" fontId="52" fillId="0" borderId="0" xfId="44" applyFont="1" applyFill="1" applyAlignment="1">
      <alignment horizontal="left"/>
    </xf>
    <xf numFmtId="172" fontId="52" fillId="0" borderId="0" xfId="52" applyNumberFormat="1" applyFont="1"/>
    <xf numFmtId="172" fontId="52" fillId="0" borderId="0" xfId="44" applyNumberFormat="1" applyFont="1"/>
    <xf numFmtId="0" fontId="52" fillId="0" borderId="0" xfId="44" applyFont="1" applyAlignment="1">
      <alignment horizontal="center" wrapText="1"/>
    </xf>
    <xf numFmtId="168" fontId="52" fillId="0" borderId="0" xfId="52" applyNumberFormat="1" applyFont="1"/>
    <xf numFmtId="0" fontId="32" fillId="0" borderId="0" xfId="44" applyFont="1" applyAlignment="1">
      <alignment horizontal="center"/>
    </xf>
    <xf numFmtId="0" fontId="32" fillId="0" borderId="0" xfId="44" applyFont="1"/>
    <xf numFmtId="0" fontId="18" fillId="0" borderId="0" xfId="44" applyFill="1" applyBorder="1" applyAlignment="1">
      <alignment horizontal="center"/>
    </xf>
    <xf numFmtId="0" fontId="18" fillId="0" borderId="0" xfId="44" applyFill="1" applyBorder="1"/>
    <xf numFmtId="164" fontId="18" fillId="0" borderId="0" xfId="31" applyNumberFormat="1"/>
    <xf numFmtId="164" fontId="18" fillId="0" borderId="0" xfId="31" applyNumberFormat="1" applyFill="1"/>
    <xf numFmtId="172" fontId="18" fillId="0" borderId="0" xfId="53" applyNumberFormat="1"/>
    <xf numFmtId="0" fontId="40" fillId="0" borderId="22" xfId="0" applyFont="1" applyBorder="1" applyAlignment="1">
      <alignment horizontal="center"/>
    </xf>
    <xf numFmtId="0" fontId="18" fillId="0" borderId="0" xfId="48" applyAlignment="1">
      <alignment horizontal="left" vertical="center" wrapText="1"/>
    </xf>
    <xf numFmtId="164" fontId="40" fillId="0" borderId="20" xfId="31" applyNumberFormat="1" applyFont="1" applyBorder="1" applyAlignment="1">
      <alignment horizontal="center"/>
    </xf>
    <xf numFmtId="0" fontId="18" fillId="0" borderId="0" xfId="48" applyFill="1" applyAlignment="1">
      <alignment horizontal="left" vertical="center" wrapText="1"/>
    </xf>
    <xf numFmtId="172" fontId="40" fillId="0" borderId="17" xfId="0" applyNumberFormat="1" applyFont="1" applyBorder="1"/>
    <xf numFmtId="164" fontId="40" fillId="0" borderId="20" xfId="31" applyNumberFormat="1" applyFont="1" applyBorder="1"/>
    <xf numFmtId="0" fontId="18" fillId="0" borderId="0" xfId="48" applyFont="1" applyFill="1" applyAlignment="1">
      <alignment horizontal="left" vertical="center" wrapText="1"/>
    </xf>
    <xf numFmtId="172" fontId="40" fillId="0" borderId="17" xfId="51" applyNumberFormat="1" applyFont="1" applyBorder="1"/>
    <xf numFmtId="172" fontId="40" fillId="0" borderId="0" xfId="51" applyNumberFormat="1" applyFont="1" applyBorder="1"/>
    <xf numFmtId="172" fontId="40" fillId="0" borderId="20" xfId="51" applyNumberFormat="1" applyFont="1" applyBorder="1"/>
    <xf numFmtId="0" fontId="18" fillId="0" borderId="0" xfId="48" applyFont="1" applyFill="1" applyAlignment="1">
      <alignment wrapText="1"/>
    </xf>
    <xf numFmtId="164" fontId="52" fillId="25" borderId="17" xfId="31" applyNumberFormat="1" applyFont="1" applyFill="1" applyBorder="1"/>
    <xf numFmtId="164" fontId="88" fillId="0" borderId="0" xfId="31" applyNumberFormat="1" applyFont="1" applyBorder="1"/>
    <xf numFmtId="164" fontId="88" fillId="0" borderId="20" xfId="31" applyNumberFormat="1" applyFont="1" applyBorder="1"/>
    <xf numFmtId="164" fontId="40" fillId="25" borderId="17" xfId="31" applyNumberFormat="1" applyFont="1" applyFill="1" applyBorder="1"/>
    <xf numFmtId="164" fontId="40" fillId="0" borderId="0" xfId="31" applyNumberFormat="1" applyFont="1" applyBorder="1"/>
    <xf numFmtId="164" fontId="40" fillId="0" borderId="17" xfId="31" applyNumberFormat="1" applyFont="1" applyBorder="1"/>
    <xf numFmtId="0" fontId="40" fillId="0" borderId="0" xfId="48" applyFont="1" applyFill="1" applyBorder="1" applyAlignment="1">
      <alignment wrapText="1"/>
    </xf>
    <xf numFmtId="43" fontId="40" fillId="25" borderId="17" xfId="31" applyNumberFormat="1" applyFont="1" applyFill="1" applyBorder="1"/>
    <xf numFmtId="43" fontId="40" fillId="0" borderId="0" xfId="31" applyNumberFormat="1" applyFont="1" applyFill="1" applyBorder="1"/>
    <xf numFmtId="43" fontId="40" fillId="0" borderId="20" xfId="31" applyNumberFormat="1" applyFont="1" applyFill="1" applyBorder="1"/>
    <xf numFmtId="164" fontId="40" fillId="0" borderId="0" xfId="31" applyNumberFormat="1" applyFont="1" applyFill="1" applyBorder="1"/>
    <xf numFmtId="164" fontId="40" fillId="0" borderId="20" xfId="31" applyNumberFormat="1" applyFont="1" applyFill="1" applyBorder="1"/>
    <xf numFmtId="0" fontId="40" fillId="0" borderId="19" xfId="0" applyFont="1" applyBorder="1" applyAlignment="1">
      <alignment horizontal="center"/>
    </xf>
    <xf numFmtId="164" fontId="40" fillId="0" borderId="18" xfId="31" applyNumberFormat="1" applyFont="1" applyBorder="1"/>
    <xf numFmtId="164" fontId="40" fillId="0" borderId="9" xfId="31" applyNumberFormat="1" applyFont="1" applyBorder="1"/>
    <xf numFmtId="164" fontId="40" fillId="0" borderId="19" xfId="31" applyNumberFormat="1" applyFont="1" applyBorder="1"/>
    <xf numFmtId="164" fontId="43" fillId="0" borderId="22" xfId="31" applyNumberFormat="1" applyFont="1" applyBorder="1" applyAlignment="1">
      <alignment horizontal="center"/>
    </xf>
    <xf numFmtId="0" fontId="43" fillId="0" borderId="20" xfId="0" applyFont="1" applyFill="1" applyBorder="1" applyAlignment="1">
      <alignment horizontal="center"/>
    </xf>
    <xf numFmtId="167" fontId="40" fillId="0" borderId="24" xfId="34" applyNumberFormat="1" applyFont="1" applyBorder="1"/>
    <xf numFmtId="164" fontId="43" fillId="0" borderId="20" xfId="31" applyNumberFormat="1" applyFont="1" applyBorder="1"/>
    <xf numFmtId="164" fontId="43" fillId="0" borderId="19" xfId="31" applyNumberFormat="1" applyFont="1" applyBorder="1"/>
    <xf numFmtId="167" fontId="40" fillId="0" borderId="25" xfId="34" applyNumberFormat="1" applyFont="1" applyBorder="1"/>
    <xf numFmtId="164" fontId="40" fillId="0" borderId="0" xfId="31" applyNumberFormat="1" applyFont="1"/>
    <xf numFmtId="167" fontId="40" fillId="0" borderId="0" xfId="34" applyNumberFormat="1" applyFont="1"/>
    <xf numFmtId="164" fontId="18" fillId="0" borderId="0" xfId="31" applyNumberFormat="1" applyFill="1" applyBorder="1"/>
    <xf numFmtId="168" fontId="0" fillId="0" borderId="0" xfId="51" applyNumberFormat="1" applyFont="1" applyAlignment="1">
      <alignment horizontal="right"/>
    </xf>
    <xf numFmtId="172" fontId="18" fillId="0" borderId="0" xfId="53" applyNumberFormat="1" applyAlignment="1">
      <alignment horizontal="right"/>
    </xf>
    <xf numFmtId="172" fontId="0" fillId="0" borderId="0" xfId="51" applyNumberFormat="1" applyFont="1" applyAlignment="1">
      <alignment horizontal="right"/>
    </xf>
    <xf numFmtId="164" fontId="68" fillId="29" borderId="0" xfId="28" applyNumberFormat="1" applyFont="1" applyFill="1" applyAlignment="1"/>
    <xf numFmtId="172" fontId="52" fillId="25" borderId="0" xfId="51" applyNumberFormat="1" applyFont="1" applyFill="1" applyAlignment="1">
      <alignment horizontal="right" indent="1"/>
    </xf>
    <xf numFmtId="164" fontId="52" fillId="29" borderId="0" xfId="33" applyNumberFormat="1" applyFont="1" applyFill="1" applyAlignment="1">
      <alignment horizontal="left"/>
    </xf>
    <xf numFmtId="0" fontId="20" fillId="0" borderId="0" xfId="0" applyFont="1" applyAlignment="1"/>
    <xf numFmtId="0" fontId="8" fillId="0" borderId="0" xfId="0" applyFont="1" applyAlignment="1">
      <alignment horizontal="center"/>
    </xf>
    <xf numFmtId="167" fontId="10" fillId="25" borderId="0" xfId="32" applyNumberFormat="1" applyFont="1" applyFill="1"/>
    <xf numFmtId="3" fontId="16" fillId="0" borderId="15" xfId="0" applyNumberFormat="1" applyFont="1" applyBorder="1"/>
    <xf numFmtId="3" fontId="16" fillId="0" borderId="0" xfId="0" applyNumberFormat="1" applyFont="1" applyBorder="1"/>
    <xf numFmtId="3" fontId="8" fillId="0" borderId="15" xfId="0" applyNumberFormat="1" applyFont="1" applyBorder="1"/>
    <xf numFmtId="37" fontId="8" fillId="0" borderId="15" xfId="0" applyNumberFormat="1" applyFont="1" applyBorder="1" applyAlignment="1">
      <alignment horizontal="center"/>
    </xf>
    <xf numFmtId="0" fontId="8" fillId="0" borderId="0" xfId="0" applyNumberFormat="1" applyFont="1" applyBorder="1" applyAlignment="1">
      <alignment horizontal="center"/>
    </xf>
    <xf numFmtId="0" fontId="89" fillId="0" borderId="0" xfId="0" applyFont="1" applyAlignment="1">
      <alignment horizontal="center"/>
    </xf>
    <xf numFmtId="168" fontId="12" fillId="0" borderId="0" xfId="0" applyNumberFormat="1" applyFont="1" applyFill="1" applyAlignment="1">
      <alignment horizontal="right"/>
    </xf>
    <xf numFmtId="167" fontId="40" fillId="0" borderId="0" xfId="0" applyNumberFormat="1" applyFont="1"/>
    <xf numFmtId="168" fontId="40" fillId="0" borderId="0" xfId="51" applyNumberFormat="1" applyFont="1" applyBorder="1" applyAlignment="1">
      <alignment horizontal="center"/>
    </xf>
    <xf numFmtId="175" fontId="43" fillId="0" borderId="18" xfId="28" applyNumberFormat="1" applyFont="1" applyBorder="1" applyAlignment="1">
      <alignment horizontal="center"/>
    </xf>
    <xf numFmtId="9" fontId="32" fillId="0" borderId="0" xfId="51" applyFont="1" applyFill="1" applyAlignment="1">
      <alignment vertical="center" wrapText="1"/>
    </xf>
    <xf numFmtId="10" fontId="90" fillId="0" borderId="0" xfId="28" applyNumberFormat="1" applyFont="1" applyFill="1" applyAlignment="1">
      <alignment vertical="center" wrapText="1"/>
    </xf>
    <xf numFmtId="164" fontId="32" fillId="25" borderId="0" xfId="32" applyNumberFormat="1" applyFont="1" applyFill="1" applyBorder="1"/>
    <xf numFmtId="0" fontId="43" fillId="0" borderId="21" xfId="0" applyFont="1" applyBorder="1" applyAlignment="1">
      <alignment horizontal="centerContinuous"/>
    </xf>
    <xf numFmtId="0" fontId="43" fillId="0" borderId="13" xfId="0" applyFont="1" applyBorder="1" applyAlignment="1">
      <alignment horizontal="centerContinuous"/>
    </xf>
    <xf numFmtId="0" fontId="43" fillId="0" borderId="22" xfId="0" applyFont="1" applyBorder="1" applyAlignment="1">
      <alignment horizontal="centerContinuous"/>
    </xf>
    <xf numFmtId="164" fontId="52" fillId="29" borderId="0" xfId="33" applyNumberFormat="1" applyFont="1" applyFill="1"/>
    <xf numFmtId="164" fontId="52" fillId="29" borderId="0" xfId="29" applyNumberFormat="1" applyFont="1" applyFill="1" applyAlignment="1">
      <alignment horizontal="left"/>
    </xf>
    <xf numFmtId="167" fontId="52" fillId="0" borderId="0" xfId="32" applyNumberFormat="1" applyFont="1"/>
    <xf numFmtId="0" fontId="32" fillId="0" borderId="0" xfId="0" applyFont="1" applyAlignment="1">
      <alignment horizontal="left"/>
    </xf>
    <xf numFmtId="0" fontId="16" fillId="25" borderId="32" xfId="0" quotePrefix="1" applyFont="1" applyFill="1" applyBorder="1" applyAlignment="1">
      <alignment horizontal="center" wrapText="1"/>
    </xf>
    <xf numFmtId="164" fontId="40" fillId="0" borderId="9" xfId="28" applyNumberFormat="1" applyFont="1" applyBorder="1" applyAlignment="1">
      <alignment horizontal="center"/>
    </xf>
    <xf numFmtId="164" fontId="52" fillId="25" borderId="0" xfId="28" applyNumberFormat="1" applyFont="1" applyFill="1"/>
    <xf numFmtId="0" fontId="18" fillId="0" borderId="0" xfId="44" applyAlignment="1">
      <alignment horizontal="right"/>
    </xf>
    <xf numFmtId="0" fontId="18" fillId="0" borderId="0" xfId="44" quotePrefix="1"/>
    <xf numFmtId="167" fontId="0" fillId="0" borderId="0" xfId="0" applyNumberFormat="1"/>
    <xf numFmtId="43" fontId="40" fillId="0" borderId="0" xfId="0" applyNumberFormat="1" applyFont="1" applyBorder="1"/>
    <xf numFmtId="0" fontId="43" fillId="25" borderId="17" xfId="0" applyFont="1" applyFill="1" applyBorder="1" applyAlignment="1">
      <alignment horizontal="center"/>
    </xf>
    <xf numFmtId="164" fontId="6" fillId="0" borderId="0" xfId="28" applyNumberFormat="1" applyFont="1" applyFill="1"/>
    <xf numFmtId="0" fontId="0" fillId="0" borderId="0" xfId="0"/>
    <xf numFmtId="0" fontId="0" fillId="0" borderId="0" xfId="0" applyAlignment="1"/>
    <xf numFmtId="0" fontId="43" fillId="0" borderId="21" xfId="0" applyFont="1"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xf numFmtId="0" fontId="0" fillId="0" borderId="0" xfId="0"/>
    <xf numFmtId="164" fontId="40" fillId="0" borderId="0" xfId="2020" applyNumberFormat="1" applyFont="1" applyBorder="1"/>
    <xf numFmtId="164" fontId="40" fillId="0" borderId="20" xfId="2020" applyNumberFormat="1" applyFont="1" applyBorder="1"/>
    <xf numFmtId="0" fontId="7" fillId="0" borderId="0" xfId="2629" applyFont="1" applyBorder="1"/>
    <xf numFmtId="0" fontId="6" fillId="0" borderId="0" xfId="2629"/>
    <xf numFmtId="0" fontId="6" fillId="0" borderId="0" xfId="2629" applyFont="1" applyAlignment="1">
      <alignment horizontal="center"/>
    </xf>
    <xf numFmtId="0" fontId="6" fillId="0" borderId="0" xfId="2629" applyFont="1" applyBorder="1" applyAlignment="1">
      <alignment horizontal="center"/>
    </xf>
    <xf numFmtId="0" fontId="6" fillId="0" borderId="0" xfId="2629" applyFont="1" applyFill="1" applyBorder="1" applyAlignment="1">
      <alignment horizontal="center"/>
    </xf>
    <xf numFmtId="49" fontId="6" fillId="0" borderId="0" xfId="2629" applyNumberFormat="1" applyFill="1" applyBorder="1" applyAlignment="1">
      <alignment horizontal="left"/>
    </xf>
    <xf numFmtId="42" fontId="6" fillId="0" borderId="0" xfId="2629" applyNumberFormat="1" applyFont="1" applyFill="1" applyBorder="1"/>
    <xf numFmtId="42" fontId="6" fillId="0" borderId="0" xfId="2629" applyNumberFormat="1" applyFont="1" applyBorder="1" applyAlignment="1">
      <alignment horizontal="center"/>
    </xf>
    <xf numFmtId="41" fontId="6" fillId="0" borderId="0" xfId="2629" applyNumberFormat="1" applyFont="1" applyFill="1" applyBorder="1"/>
    <xf numFmtId="41" fontId="6" fillId="0" borderId="0" xfId="2629" applyNumberFormat="1" applyFont="1" applyBorder="1" applyAlignment="1">
      <alignment horizontal="center"/>
    </xf>
    <xf numFmtId="49" fontId="6" fillId="0" borderId="0" xfId="2629" applyNumberFormat="1" applyFont="1" applyFill="1" applyBorder="1" applyAlignment="1">
      <alignment horizontal="left"/>
    </xf>
    <xf numFmtId="164" fontId="52" fillId="0" borderId="0" xfId="2629" applyNumberFormat="1" applyFont="1"/>
    <xf numFmtId="0" fontId="0" fillId="0" borderId="0" xfId="0"/>
    <xf numFmtId="0" fontId="43" fillId="0" borderId="13" xfId="0" applyFont="1" applyBorder="1" applyAlignment="1">
      <alignment horizontal="center"/>
    </xf>
    <xf numFmtId="0" fontId="10" fillId="0" borderId="0" xfId="0" applyFont="1" applyAlignment="1">
      <alignment vertical="center"/>
    </xf>
    <xf numFmtId="0" fontId="8" fillId="0" borderId="0" xfId="0" applyFont="1" applyAlignment="1">
      <alignment vertical="center"/>
    </xf>
    <xf numFmtId="0" fontId="0" fillId="0" borderId="0" xfId="0"/>
    <xf numFmtId="0" fontId="0" fillId="0" borderId="0" xfId="0" applyAlignment="1"/>
    <xf numFmtId="0" fontId="43" fillId="0" borderId="21" xfId="0" applyFont="1"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xf numFmtId="164" fontId="40" fillId="0" borderId="20" xfId="9383" applyNumberFormat="1" applyFont="1" applyBorder="1"/>
    <xf numFmtId="43" fontId="40" fillId="0" borderId="0" xfId="2020" applyNumberFormat="1" applyFont="1" applyBorder="1"/>
    <xf numFmtId="0" fontId="0" fillId="0" borderId="0" xfId="0"/>
    <xf numFmtId="0" fontId="93" fillId="0" borderId="0" xfId="2592" applyFont="1" applyFill="1" applyAlignment="1">
      <alignment horizontal="center"/>
    </xf>
    <xf numFmtId="41" fontId="93" fillId="0" borderId="0" xfId="2592" applyNumberFormat="1" applyFont="1" applyFill="1" applyAlignment="1">
      <alignment horizontal="center"/>
    </xf>
    <xf numFmtId="0" fontId="92" fillId="0" borderId="0" xfId="2592" applyFont="1" applyFill="1"/>
    <xf numFmtId="41" fontId="94" fillId="0" borderId="0" xfId="2592" applyNumberFormat="1" applyFont="1" applyFill="1" applyAlignment="1">
      <alignment horizontal="center"/>
    </xf>
    <xf numFmtId="0" fontId="94" fillId="0" borderId="0" xfId="2592" applyFont="1" applyFill="1"/>
    <xf numFmtId="41" fontId="92" fillId="0" borderId="0" xfId="2592" applyNumberFormat="1" applyFont="1" applyFill="1"/>
    <xf numFmtId="0" fontId="93" fillId="0" borderId="0" xfId="2592" applyFont="1" applyFill="1"/>
    <xf numFmtId="0" fontId="94" fillId="0" borderId="0" xfId="2592" applyFont="1" applyFill="1" applyAlignment="1">
      <alignment horizontal="center" vertical="center"/>
    </xf>
    <xf numFmtId="173" fontId="92" fillId="0" borderId="0" xfId="2592" applyNumberFormat="1" applyFont="1" applyFill="1"/>
    <xf numFmtId="0" fontId="94" fillId="0" borderId="0" xfId="2592" applyFont="1" applyFill="1" applyAlignment="1">
      <alignment horizontal="center"/>
    </xf>
    <xf numFmtId="41" fontId="92" fillId="100" borderId="0" xfId="2592" applyNumberFormat="1" applyFont="1" applyFill="1"/>
    <xf numFmtId="37" fontId="92" fillId="100" borderId="26" xfId="2592" applyNumberFormat="1" applyFont="1" applyFill="1" applyBorder="1" applyAlignment="1">
      <alignment horizontal="left"/>
    </xf>
    <xf numFmtId="41" fontId="92" fillId="100" borderId="26" xfId="2592" applyNumberFormat="1" applyFont="1" applyFill="1" applyBorder="1"/>
    <xf numFmtId="37" fontId="92" fillId="100" borderId="26" xfId="2592" applyNumberFormat="1" applyFont="1" applyFill="1" applyBorder="1" applyAlignment="1">
      <alignment wrapText="1"/>
    </xf>
    <xf numFmtId="37" fontId="92" fillId="100" borderId="26" xfId="2592" applyNumberFormat="1" applyFont="1" applyFill="1" applyBorder="1"/>
    <xf numFmtId="0" fontId="92" fillId="100" borderId="26" xfId="2592" applyFont="1" applyFill="1" applyBorder="1" applyAlignment="1">
      <alignment wrapText="1"/>
    </xf>
    <xf numFmtId="0" fontId="7" fillId="0" borderId="0" xfId="2629" applyFont="1" applyAlignment="1">
      <alignment horizontal="center"/>
    </xf>
    <xf numFmtId="0" fontId="7" fillId="0" borderId="0" xfId="2629" applyFont="1" applyBorder="1" applyAlignment="1">
      <alignment horizontal="center"/>
    </xf>
    <xf numFmtId="0" fontId="7" fillId="0" borderId="0" xfId="2629" applyFont="1" applyFill="1" applyBorder="1" applyAlignment="1">
      <alignment horizontal="center"/>
    </xf>
    <xf numFmtId="3" fontId="10" fillId="0" borderId="0" xfId="0" applyNumberFormat="1" applyFont="1" applyFill="1" applyBorder="1" applyAlignment="1">
      <alignment horizontal="right"/>
    </xf>
    <xf numFmtId="0" fontId="0" fillId="0" borderId="0" xfId="0"/>
    <xf numFmtId="41" fontId="92" fillId="0" borderId="0" xfId="9382" applyNumberFormat="1" applyFont="1" applyFill="1"/>
    <xf numFmtId="0" fontId="92" fillId="0" borderId="0" xfId="9382" applyFont="1" applyFill="1"/>
    <xf numFmtId="41" fontId="94" fillId="0" borderId="0" xfId="9382" applyNumberFormat="1" applyFont="1" applyFill="1" applyAlignment="1">
      <alignment horizontal="center"/>
    </xf>
    <xf numFmtId="41" fontId="92" fillId="0" borderId="0" xfId="9382" applyNumberFormat="1" applyFont="1" applyFill="1" applyBorder="1"/>
    <xf numFmtId="0" fontId="92" fillId="0" borderId="0" xfId="9382" applyFont="1" applyFill="1" applyAlignment="1">
      <alignment horizontal="left"/>
    </xf>
    <xf numFmtId="0" fontId="6" fillId="0" borderId="0" xfId="9382" applyFill="1"/>
    <xf numFmtId="41" fontId="92" fillId="0" borderId="0" xfId="9382" applyNumberFormat="1" applyFont="1" applyFill="1" applyAlignment="1">
      <alignment horizontal="left"/>
    </xf>
    <xf numFmtId="41" fontId="93" fillId="0" borderId="0" xfId="9382" applyNumberFormat="1" applyFont="1" applyFill="1" applyAlignment="1">
      <alignment horizontal="center"/>
    </xf>
    <xf numFmtId="41" fontId="92" fillId="0" borderId="26" xfId="9382" applyNumberFormat="1" applyFont="1" applyFill="1" applyBorder="1"/>
    <xf numFmtId="37" fontId="92" fillId="0" borderId="26" xfId="9382" applyNumberFormat="1" applyFont="1" applyFill="1" applyBorder="1"/>
    <xf numFmtId="37" fontId="94" fillId="0" borderId="26" xfId="9382" applyNumberFormat="1" applyFont="1" applyFill="1" applyBorder="1" applyAlignment="1">
      <alignment horizontal="left"/>
    </xf>
    <xf numFmtId="0" fontId="6" fillId="0" borderId="26" xfId="9382" applyFill="1" applyBorder="1"/>
    <xf numFmtId="0" fontId="92" fillId="0" borderId="26" xfId="9382" applyFont="1" applyFill="1" applyBorder="1"/>
    <xf numFmtId="0" fontId="92" fillId="0" borderId="0" xfId="9382" applyFont="1" applyFill="1" applyBorder="1"/>
    <xf numFmtId="0" fontId="95" fillId="0" borderId="0" xfId="9382" applyFont="1" applyFill="1" applyBorder="1"/>
    <xf numFmtId="37" fontId="92" fillId="0" borderId="0" xfId="9382" applyNumberFormat="1" applyFont="1" applyFill="1" applyBorder="1" applyAlignment="1">
      <alignment horizontal="center"/>
    </xf>
    <xf numFmtId="0" fontId="95" fillId="0" borderId="28" xfId="9382" applyFont="1" applyFill="1" applyBorder="1"/>
    <xf numFmtId="41" fontId="95" fillId="0" borderId="11" xfId="9382" applyNumberFormat="1" applyFont="1" applyFill="1" applyBorder="1"/>
    <xf numFmtId="41" fontId="92" fillId="0" borderId="11" xfId="9382" applyNumberFormat="1" applyFont="1" applyFill="1" applyBorder="1"/>
    <xf numFmtId="41" fontId="92" fillId="0" borderId="11" xfId="9382" applyNumberFormat="1" applyFont="1" applyFill="1" applyBorder="1" applyAlignment="1">
      <alignment horizontal="center"/>
    </xf>
    <xf numFmtId="0" fontId="92" fillId="0" borderId="29" xfId="9382" applyFont="1" applyFill="1" applyBorder="1" applyAlignment="1">
      <alignment horizontal="center"/>
    </xf>
    <xf numFmtId="0" fontId="92" fillId="0" borderId="0" xfId="9382" applyFont="1" applyFill="1" applyBorder="1" applyAlignment="1">
      <alignment horizontal="center"/>
    </xf>
    <xf numFmtId="0" fontId="95" fillId="0" borderId="27" xfId="9382" applyFont="1" applyFill="1" applyBorder="1" applyAlignment="1">
      <alignment horizontal="left"/>
    </xf>
    <xf numFmtId="0" fontId="92" fillId="0" borderId="30" xfId="9382" applyFont="1" applyFill="1" applyBorder="1"/>
    <xf numFmtId="41" fontId="95" fillId="0" borderId="0" xfId="9382" applyNumberFormat="1" applyFont="1" applyFill="1" applyBorder="1" applyAlignment="1">
      <alignment horizontal="left"/>
    </xf>
    <xf numFmtId="41" fontId="92" fillId="0" borderId="0" xfId="9382" applyNumberFormat="1" applyFont="1" applyFill="1" applyBorder="1" applyAlignment="1">
      <alignment horizontal="center"/>
    </xf>
    <xf numFmtId="0" fontId="93" fillId="0" borderId="11" xfId="9382" applyFont="1" applyFill="1" applyBorder="1" applyAlignment="1">
      <alignment horizontal="left"/>
    </xf>
    <xf numFmtId="41" fontId="93" fillId="0" borderId="0" xfId="9382" applyNumberFormat="1" applyFont="1" applyFill="1" applyBorder="1" applyAlignment="1">
      <alignment horizontal="center"/>
    </xf>
    <xf numFmtId="0" fontId="94" fillId="0" borderId="0" xfId="9382" applyFont="1" applyFill="1" applyBorder="1" applyAlignment="1">
      <alignment horizontal="left"/>
    </xf>
    <xf numFmtId="41" fontId="94" fillId="0" borderId="0" xfId="9382" applyNumberFormat="1" applyFont="1" applyFill="1" applyBorder="1" applyAlignment="1">
      <alignment horizontal="center"/>
    </xf>
    <xf numFmtId="41" fontId="92" fillId="0" borderId="0" xfId="9382" applyNumberFormat="1" applyFont="1" applyFill="1" applyBorder="1" applyAlignment="1"/>
    <xf numFmtId="0" fontId="92" fillId="0" borderId="0" xfId="9382" applyFont="1" applyFill="1" applyBorder="1" applyAlignment="1"/>
    <xf numFmtId="0" fontId="94" fillId="0" borderId="0" xfId="9382" applyFont="1" applyFill="1" applyBorder="1" applyAlignment="1">
      <alignment horizontal="center"/>
    </xf>
    <xf numFmtId="0" fontId="7" fillId="0" borderId="0" xfId="9382" applyFont="1" applyFill="1"/>
    <xf numFmtId="0" fontId="93" fillId="0" borderId="0" xfId="9382" applyFont="1" applyFill="1" applyBorder="1"/>
    <xf numFmtId="0" fontId="94" fillId="0" borderId="0" xfId="9382" applyFont="1" applyFill="1" applyBorder="1"/>
    <xf numFmtId="0" fontId="94" fillId="0" borderId="26" xfId="9382" applyFont="1" applyFill="1" applyBorder="1"/>
    <xf numFmtId="0" fontId="95" fillId="0" borderId="17" xfId="9382" applyFont="1" applyFill="1" applyBorder="1" applyAlignment="1">
      <alignment horizontal="left" wrapText="1"/>
    </xf>
    <xf numFmtId="41" fontId="95" fillId="0" borderId="0" xfId="9382" applyNumberFormat="1" applyFont="1" applyFill="1" applyBorder="1" applyAlignment="1">
      <alignment horizontal="left" wrapText="1"/>
    </xf>
    <xf numFmtId="0" fontId="95" fillId="0" borderId="17" xfId="9382" applyFont="1" applyFill="1" applyBorder="1" applyAlignment="1">
      <alignment horizontal="left"/>
    </xf>
    <xf numFmtId="0" fontId="95" fillId="0" borderId="17" xfId="9382" applyFont="1" applyFill="1" applyBorder="1" applyAlignment="1">
      <alignment wrapText="1"/>
    </xf>
    <xf numFmtId="41" fontId="95" fillId="0" borderId="0" xfId="9382" applyNumberFormat="1" applyFont="1" applyFill="1" applyBorder="1" applyAlignment="1">
      <alignment wrapText="1"/>
    </xf>
    <xf numFmtId="41" fontId="92" fillId="0" borderId="0" xfId="9382" applyNumberFormat="1" applyFont="1" applyFill="1" applyBorder="1" applyAlignment="1">
      <alignment wrapText="1"/>
    </xf>
    <xf numFmtId="0" fontId="93" fillId="0" borderId="0" xfId="9382" applyFont="1" applyFill="1" applyBorder="1" applyAlignment="1">
      <alignment horizontal="left"/>
    </xf>
    <xf numFmtId="0" fontId="6" fillId="0" borderId="0" xfId="9382" applyFill="1" applyAlignment="1">
      <alignment horizontal="right"/>
    </xf>
    <xf numFmtId="0" fontId="150" fillId="0" borderId="0" xfId="0" applyFont="1"/>
    <xf numFmtId="0" fontId="150" fillId="0" borderId="0" xfId="0" applyFont="1" applyFill="1"/>
    <xf numFmtId="0" fontId="151" fillId="0" borderId="0" xfId="0" applyFont="1"/>
    <xf numFmtId="0" fontId="152" fillId="0" borderId="0" xfId="0" applyFont="1"/>
    <xf numFmtId="0" fontId="6" fillId="0" borderId="17" xfId="0" applyFont="1" applyBorder="1"/>
    <xf numFmtId="0" fontId="6" fillId="0" borderId="0" xfId="0" applyFont="1" applyBorder="1"/>
    <xf numFmtId="167" fontId="6" fillId="0" borderId="0" xfId="32" applyNumberFormat="1" applyFont="1" applyBorder="1"/>
    <xf numFmtId="0" fontId="6" fillId="0" borderId="20" xfId="0" applyFont="1" applyBorder="1"/>
    <xf numFmtId="0" fontId="6" fillId="0" borderId="20" xfId="0" applyFont="1" applyFill="1" applyBorder="1"/>
    <xf numFmtId="0" fontId="6" fillId="0" borderId="18" xfId="0" applyFont="1" applyFill="1" applyBorder="1"/>
    <xf numFmtId="0" fontId="6" fillId="0" borderId="9" xfId="0" applyFont="1" applyFill="1" applyBorder="1"/>
    <xf numFmtId="0" fontId="6" fillId="0" borderId="9" xfId="0" applyFont="1" applyBorder="1"/>
    <xf numFmtId="167" fontId="6" fillId="0" borderId="9" xfId="0" applyNumberFormat="1" applyFont="1" applyBorder="1"/>
    <xf numFmtId="0" fontId="6" fillId="0" borderId="19" xfId="0" applyFont="1" applyFill="1" applyBorder="1"/>
    <xf numFmtId="0" fontId="153" fillId="0" borderId="17" xfId="0" applyFont="1" applyBorder="1"/>
    <xf numFmtId="0" fontId="153" fillId="0" borderId="0" xfId="0" applyFont="1" applyBorder="1"/>
    <xf numFmtId="0" fontId="153" fillId="0" borderId="0" xfId="0" applyFont="1" applyBorder="1" applyAlignment="1">
      <alignment horizontal="center"/>
    </xf>
    <xf numFmtId="167" fontId="153" fillId="0" borderId="0" xfId="32" applyNumberFormat="1" applyFont="1" applyBorder="1" applyAlignment="1">
      <alignment horizontal="center"/>
    </xf>
    <xf numFmtId="0" fontId="153" fillId="0" borderId="20" xfId="0" applyFont="1" applyBorder="1" applyAlignment="1">
      <alignment horizontal="center"/>
    </xf>
    <xf numFmtId="167" fontId="153" fillId="0" borderId="0" xfId="0" applyNumberFormat="1" applyFont="1" applyBorder="1"/>
    <xf numFmtId="167" fontId="153" fillId="0" borderId="20" xfId="0" applyNumberFormat="1" applyFont="1" applyBorder="1"/>
    <xf numFmtId="167" fontId="153" fillId="0" borderId="0" xfId="32" applyNumberFormat="1" applyFont="1" applyBorder="1"/>
    <xf numFmtId="164" fontId="153" fillId="0" borderId="0" xfId="32" applyNumberFormat="1" applyFont="1" applyBorder="1"/>
    <xf numFmtId="0" fontId="153" fillId="0" borderId="14" xfId="0" applyFont="1" applyBorder="1"/>
    <xf numFmtId="167" fontId="153" fillId="0" borderId="14" xfId="32" applyNumberFormat="1" applyFont="1" applyBorder="1"/>
    <xf numFmtId="164" fontId="153" fillId="0" borderId="14" xfId="0" applyNumberFormat="1" applyFont="1" applyBorder="1"/>
    <xf numFmtId="167" fontId="153" fillId="0" borderId="48" xfId="0" applyNumberFormat="1" applyFont="1" applyBorder="1"/>
    <xf numFmtId="0" fontId="153" fillId="0" borderId="18" xfId="0" applyFont="1" applyBorder="1"/>
    <xf numFmtId="0" fontId="153" fillId="0" borderId="9" xfId="0" applyFont="1" applyBorder="1"/>
    <xf numFmtId="0" fontId="153" fillId="0" borderId="9" xfId="0" applyFont="1" applyFill="1" applyBorder="1"/>
    <xf numFmtId="167" fontId="153" fillId="0" borderId="9" xfId="0" applyNumberFormat="1" applyFont="1" applyBorder="1"/>
    <xf numFmtId="167" fontId="153" fillId="0" borderId="9" xfId="32" applyNumberFormat="1" applyFont="1" applyBorder="1"/>
    <xf numFmtId="167" fontId="153" fillId="0" borderId="19" xfId="0" applyNumberFormat="1" applyFont="1" applyFill="1" applyBorder="1"/>
    <xf numFmtId="164" fontId="153" fillId="0" borderId="0" xfId="28" applyNumberFormat="1" applyFont="1" applyFill="1" applyAlignment="1">
      <alignment horizontal="right"/>
    </xf>
    <xf numFmtId="164" fontId="0" fillId="0" borderId="0" xfId="28" applyNumberFormat="1" applyFont="1"/>
    <xf numFmtId="164" fontId="0" fillId="0" borderId="0" xfId="28" applyNumberFormat="1" applyFont="1" applyBorder="1"/>
    <xf numFmtId="164" fontId="10" fillId="0" borderId="0" xfId="28" applyNumberFormat="1" applyFont="1" applyFill="1" applyBorder="1" applyAlignment="1">
      <alignment horizontal="right"/>
    </xf>
    <xf numFmtId="43" fontId="12" fillId="0" borderId="0" xfId="28" applyFont="1" applyFill="1" applyAlignment="1"/>
    <xf numFmtId="3" fontId="10" fillId="25" borderId="14" xfId="0" applyNumberFormat="1" applyFont="1" applyFill="1" applyBorder="1" applyAlignment="1">
      <alignment horizontal="right"/>
    </xf>
    <xf numFmtId="3" fontId="10" fillId="25" borderId="0" xfId="0" applyNumberFormat="1" applyFont="1" applyFill="1" applyAlignment="1">
      <alignment horizontal="right"/>
    </xf>
    <xf numFmtId="3" fontId="10" fillId="0" borderId="0" xfId="0" applyNumberFormat="1" applyFont="1" applyFill="1" applyAlignment="1">
      <alignment horizontal="right"/>
    </xf>
    <xf numFmtId="3" fontId="8" fillId="0" borderId="0" xfId="0" applyNumberFormat="1" applyFont="1" applyBorder="1" applyAlignment="1">
      <alignment horizontal="right"/>
    </xf>
    <xf numFmtId="43" fontId="0" fillId="0" borderId="0" xfId="28" applyFont="1" applyFill="1"/>
    <xf numFmtId="0" fontId="0" fillId="0" borderId="0" xfId="0"/>
    <xf numFmtId="0" fontId="0" fillId="0" borderId="0" xfId="0"/>
    <xf numFmtId="0" fontId="0" fillId="0" borderId="0" xfId="0"/>
    <xf numFmtId="0" fontId="0" fillId="0" borderId="0" xfId="0"/>
    <xf numFmtId="0" fontId="0" fillId="0" borderId="0" xfId="0" applyAlignment="1"/>
    <xf numFmtId="0" fontId="43" fillId="0" borderId="21" xfId="0" applyFont="1"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xf numFmtId="0" fontId="0" fillId="0" borderId="0" xfId="0"/>
    <xf numFmtId="0" fontId="44" fillId="27" borderId="13" xfId="0" applyFont="1" applyFill="1" applyBorder="1" applyAlignment="1">
      <alignment wrapText="1"/>
    </xf>
    <xf numFmtId="0" fontId="44" fillId="27" borderId="22" xfId="0" applyFont="1" applyFill="1" applyBorder="1" applyAlignment="1">
      <alignment wrapText="1"/>
    </xf>
    <xf numFmtId="0" fontId="48" fillId="0" borderId="17" xfId="0" applyFont="1" applyFill="1" applyBorder="1" applyAlignment="1">
      <alignment horizontal="center"/>
    </xf>
    <xf numFmtId="0" fontId="48" fillId="0" borderId="0" xfId="0" applyFont="1" applyFill="1" applyBorder="1" applyAlignment="1">
      <alignment horizontal="center"/>
    </xf>
    <xf numFmtId="0" fontId="48" fillId="0" borderId="20" xfId="0" applyFont="1" applyFill="1" applyBorder="1" applyAlignment="1">
      <alignment horizontal="center"/>
    </xf>
    <xf numFmtId="0" fontId="44" fillId="0" borderId="0" xfId="0" applyFont="1" applyFill="1" applyBorder="1" applyAlignment="1">
      <alignment horizontal="center" wrapText="1"/>
    </xf>
    <xf numFmtId="0" fontId="44" fillId="0" borderId="20" xfId="0" applyFont="1" applyFill="1" applyBorder="1" applyAlignment="1">
      <alignment horizontal="center" wrapText="1"/>
    </xf>
    <xf numFmtId="164" fontId="40" fillId="0" borderId="0" xfId="28" applyNumberFormat="1" applyFont="1" applyBorder="1"/>
    <xf numFmtId="167" fontId="157" fillId="0" borderId="12" xfId="32" applyNumberFormat="1" applyFont="1" applyBorder="1"/>
    <xf numFmtId="41" fontId="6" fillId="25" borderId="0" xfId="0" applyNumberFormat="1" applyFont="1" applyFill="1" applyAlignment="1">
      <alignment horizontal="right" wrapText="1"/>
    </xf>
    <xf numFmtId="41" fontId="6" fillId="25" borderId="0" xfId="0" applyNumberFormat="1" applyFont="1" applyFill="1" applyAlignment="1">
      <alignment horizontal="right" vertical="center" wrapText="1"/>
    </xf>
    <xf numFmtId="41" fontId="6" fillId="25" borderId="0" xfId="0" applyNumberFormat="1" applyFont="1" applyFill="1" applyAlignment="1">
      <alignment horizontal="right"/>
    </xf>
    <xf numFmtId="164" fontId="6" fillId="25" borderId="0" xfId="28" applyNumberFormat="1" applyFont="1" applyFill="1" applyAlignment="1">
      <alignment horizontal="right"/>
    </xf>
    <xf numFmtId="0" fontId="158" fillId="0" borderId="0" xfId="0" applyFont="1"/>
    <xf numFmtId="0" fontId="0" fillId="0" borderId="0" xfId="0"/>
    <xf numFmtId="0" fontId="152" fillId="0" borderId="0" xfId="0" applyFont="1" applyFill="1" applyBorder="1" applyAlignment="1">
      <alignment horizontal="left"/>
    </xf>
    <xf numFmtId="9" fontId="40" fillId="0" borderId="0" xfId="51" applyFont="1" applyBorder="1" applyAlignment="1">
      <alignment horizontal="left"/>
    </xf>
    <xf numFmtId="0" fontId="39" fillId="27" borderId="13" xfId="0" applyFont="1" applyFill="1" applyBorder="1" applyAlignment="1">
      <alignment horizontal="center" wrapText="1"/>
    </xf>
    <xf numFmtId="0" fontId="39" fillId="0" borderId="0" xfId="0" applyFont="1" applyFill="1" applyBorder="1" applyAlignment="1">
      <alignment horizontal="center" wrapText="1"/>
    </xf>
    <xf numFmtId="164" fontId="40" fillId="0" borderId="9" xfId="28" applyNumberFormat="1" applyFont="1" applyBorder="1"/>
    <xf numFmtId="164" fontId="40" fillId="0" borderId="9" xfId="0" applyNumberFormat="1" applyFont="1" applyBorder="1"/>
    <xf numFmtId="164" fontId="50" fillId="0" borderId="0" xfId="0" applyNumberFormat="1" applyFont="1"/>
    <xf numFmtId="0" fontId="95" fillId="0" borderId="27" xfId="9382" applyFont="1" applyFill="1" applyBorder="1" applyAlignment="1">
      <alignment horizontal="left" wrapText="1"/>
    </xf>
    <xf numFmtId="0" fontId="59" fillId="0" borderId="0" xfId="9471" applyFont="1" applyFill="1" applyAlignment="1"/>
    <xf numFmtId="41" fontId="59" fillId="0" borderId="0" xfId="9471" applyNumberFormat="1" applyFont="1" applyFill="1" applyAlignment="1"/>
    <xf numFmtId="0" fontId="20" fillId="0" borderId="0" xfId="9471" applyFont="1" applyAlignment="1">
      <alignment horizontal="center"/>
    </xf>
    <xf numFmtId="0" fontId="92" fillId="0" borderId="0" xfId="9473" applyFont="1" applyFill="1"/>
    <xf numFmtId="41" fontId="92" fillId="0" borderId="0" xfId="9473" applyNumberFormat="1" applyFont="1" applyFill="1"/>
    <xf numFmtId="172" fontId="92" fillId="100" borderId="0" xfId="3239" applyNumberFormat="1" applyFont="1" applyFill="1" applyAlignment="1">
      <alignment horizontal="center" vertical="center"/>
    </xf>
    <xf numFmtId="173" fontId="92" fillId="100" borderId="0" xfId="3239" applyNumberFormat="1" applyFont="1" applyFill="1" applyAlignment="1">
      <alignment horizontal="center" vertical="center"/>
    </xf>
    <xf numFmtId="0" fontId="94" fillId="0" borderId="0" xfId="9473" applyFont="1" applyFill="1"/>
    <xf numFmtId="0" fontId="6" fillId="0" borderId="0" xfId="9473" applyFont="1" applyFill="1"/>
    <xf numFmtId="41" fontId="92" fillId="0" borderId="0" xfId="9473" applyNumberFormat="1" applyFont="1" applyFill="1" applyBorder="1" applyAlignment="1"/>
    <xf numFmtId="41" fontId="92" fillId="0" borderId="11" xfId="9473" applyNumberFormat="1" applyFont="1" applyFill="1" applyBorder="1"/>
    <xf numFmtId="41" fontId="92" fillId="0" borderId="0" xfId="9473" applyNumberFormat="1" applyFont="1" applyFill="1" applyBorder="1"/>
    <xf numFmtId="0" fontId="95" fillId="0" borderId="27" xfId="9382" applyFont="1" applyFill="1" applyBorder="1" applyAlignment="1">
      <alignment wrapText="1"/>
    </xf>
    <xf numFmtId="41" fontId="92" fillId="0" borderId="0" xfId="9473" applyNumberFormat="1" applyFont="1" applyFill="1" applyBorder="1" applyAlignment="1">
      <alignment wrapText="1"/>
    </xf>
    <xf numFmtId="0" fontId="95" fillId="0" borderId="0" xfId="9473" applyFont="1" applyFill="1" applyBorder="1" applyAlignment="1">
      <alignment horizontal="left"/>
    </xf>
    <xf numFmtId="41" fontId="95" fillId="0" borderId="0" xfId="9473" applyNumberFormat="1" applyFont="1" applyFill="1" applyBorder="1" applyAlignment="1">
      <alignment horizontal="left"/>
    </xf>
    <xf numFmtId="0" fontId="92" fillId="0" borderId="0" xfId="9473" applyFont="1" applyFill="1" applyBorder="1"/>
    <xf numFmtId="0" fontId="94" fillId="0" borderId="0" xfId="9473" applyFont="1" applyFill="1" applyBorder="1"/>
    <xf numFmtId="41" fontId="94" fillId="0" borderId="0" xfId="9473" applyNumberFormat="1" applyFont="1" applyFill="1" applyBorder="1"/>
    <xf numFmtId="0" fontId="92" fillId="0" borderId="26" xfId="9473" applyFont="1" applyFill="1" applyBorder="1"/>
    <xf numFmtId="41" fontId="92" fillId="0" borderId="26" xfId="9473" applyNumberFormat="1" applyFont="1" applyFill="1" applyBorder="1"/>
    <xf numFmtId="41" fontId="92" fillId="100" borderId="26" xfId="9473" applyNumberFormat="1" applyFont="1" applyFill="1" applyBorder="1"/>
    <xf numFmtId="41" fontId="92" fillId="100" borderId="31" xfId="9473" applyNumberFormat="1" applyFont="1" applyFill="1" applyBorder="1"/>
    <xf numFmtId="41" fontId="148" fillId="0" borderId="26" xfId="9473" applyNumberFormat="1" applyFont="1" applyFill="1" applyBorder="1" applyAlignment="1">
      <alignment horizontal="left"/>
    </xf>
    <xf numFmtId="0" fontId="6" fillId="0" borderId="0" xfId="9474" applyFont="1" applyFill="1" applyBorder="1"/>
    <xf numFmtId="41" fontId="6" fillId="0" borderId="0" xfId="9474" applyNumberFormat="1" applyFont="1" applyFill="1" applyBorder="1"/>
    <xf numFmtId="0" fontId="92" fillId="0" borderId="0" xfId="9474" applyFont="1" applyFill="1" applyBorder="1"/>
    <xf numFmtId="0" fontId="148" fillId="0" borderId="0" xfId="9474" applyFont="1" applyFill="1" applyBorder="1"/>
    <xf numFmtId="0" fontId="155" fillId="0" borderId="0" xfId="9474" applyFont="1" applyFill="1" applyBorder="1"/>
    <xf numFmtId="0" fontId="92" fillId="0" borderId="0" xfId="9474" applyFont="1" applyFill="1" applyBorder="1" applyAlignment="1">
      <alignment horizontal="left"/>
    </xf>
    <xf numFmtId="0" fontId="93" fillId="0" borderId="0" xfId="9474" applyFont="1" applyFill="1" applyBorder="1" applyAlignment="1">
      <alignment horizontal="center"/>
    </xf>
    <xf numFmtId="41" fontId="92" fillId="0" borderId="0" xfId="9474" applyNumberFormat="1" applyFont="1" applyFill="1" applyBorder="1"/>
    <xf numFmtId="0" fontId="93" fillId="0" borderId="0" xfId="9474" applyFont="1" applyFill="1" applyBorder="1"/>
    <xf numFmtId="37" fontId="92" fillId="0" borderId="0" xfId="9474" applyNumberFormat="1" applyFont="1" applyFill="1" applyBorder="1"/>
    <xf numFmtId="172" fontId="92" fillId="0" borderId="0" xfId="9474" applyNumberFormat="1" applyFont="1" applyFill="1" applyBorder="1"/>
    <xf numFmtId="41" fontId="92" fillId="0" borderId="0" xfId="9474" applyNumberFormat="1" applyFont="1" applyFill="1" applyBorder="1" applyAlignment="1">
      <alignment horizontal="left"/>
    </xf>
    <xf numFmtId="0" fontId="94" fillId="0" borderId="0" xfId="9474" applyFont="1" applyFill="1" applyBorder="1" applyAlignment="1">
      <alignment horizontal="center"/>
    </xf>
    <xf numFmtId="0" fontId="92" fillId="0" borderId="0" xfId="9474" applyFont="1" applyFill="1" applyBorder="1" applyAlignment="1">
      <alignment wrapText="1"/>
    </xf>
    <xf numFmtId="0" fontId="94" fillId="0" borderId="0" xfId="9474" applyFont="1" applyFill="1" applyBorder="1"/>
    <xf numFmtId="37" fontId="92" fillId="0" borderId="0" xfId="9474" applyNumberFormat="1" applyFont="1" applyFill="1" applyBorder="1" applyAlignment="1">
      <alignment horizontal="center"/>
    </xf>
    <xf numFmtId="0" fontId="92" fillId="0" borderId="49" xfId="9474" applyFont="1" applyFill="1" applyBorder="1"/>
    <xf numFmtId="41" fontId="148" fillId="0" borderId="14" xfId="9474" applyNumberFormat="1" applyFont="1" applyFill="1" applyBorder="1" applyAlignment="1">
      <alignment horizontal="left"/>
    </xf>
    <xf numFmtId="41" fontId="92" fillId="0" borderId="14" xfId="9474" applyNumberFormat="1" applyFont="1" applyFill="1" applyBorder="1"/>
    <xf numFmtId="41" fontId="92" fillId="0" borderId="14" xfId="9474" applyNumberFormat="1" applyFont="1" applyFill="1" applyBorder="1" applyAlignment="1">
      <alignment horizontal="center"/>
    </xf>
    <xf numFmtId="0" fontId="92" fillId="0" borderId="50" xfId="9474" applyFont="1" applyFill="1" applyBorder="1" applyAlignment="1">
      <alignment horizontal="center"/>
    </xf>
    <xf numFmtId="0" fontId="92" fillId="0" borderId="49" xfId="9473" applyFont="1" applyFill="1" applyBorder="1"/>
    <xf numFmtId="41" fontId="95" fillId="0" borderId="14" xfId="9473" applyNumberFormat="1" applyFont="1" applyFill="1" applyBorder="1" applyAlignment="1">
      <alignment horizontal="left"/>
    </xf>
    <xf numFmtId="41" fontId="92" fillId="0" borderId="14" xfId="9473" applyNumberFormat="1" applyFont="1" applyFill="1" applyBorder="1"/>
    <xf numFmtId="41" fontId="92" fillId="0" borderId="11" xfId="9474" applyNumberFormat="1" applyFont="1" applyFill="1" applyBorder="1"/>
    <xf numFmtId="41" fontId="92" fillId="0" borderId="11" xfId="9474" applyNumberFormat="1" applyFont="1" applyFill="1" applyBorder="1" applyAlignment="1">
      <alignment horizontal="center"/>
    </xf>
    <xf numFmtId="0" fontId="92" fillId="0" borderId="29" xfId="9474" applyFont="1" applyFill="1" applyBorder="1" applyAlignment="1">
      <alignment horizontal="center"/>
    </xf>
    <xf numFmtId="41" fontId="92" fillId="0" borderId="0" xfId="9474" applyNumberFormat="1" applyFont="1" applyFill="1" applyBorder="1" applyAlignment="1"/>
    <xf numFmtId="0" fontId="92" fillId="0" borderId="30" xfId="9474" applyFont="1" applyFill="1" applyBorder="1" applyAlignment="1"/>
    <xf numFmtId="41" fontId="92" fillId="0" borderId="0" xfId="9474" applyNumberFormat="1" applyFont="1" applyFill="1" applyBorder="1" applyAlignment="1">
      <alignment horizontal="center"/>
    </xf>
    <xf numFmtId="0" fontId="92" fillId="0" borderId="30" xfId="9474" applyFont="1" applyFill="1" applyBorder="1" applyAlignment="1">
      <alignment horizontal="center"/>
    </xf>
    <xf numFmtId="41" fontId="92" fillId="0" borderId="0" xfId="9474" applyNumberFormat="1" applyFont="1" applyFill="1" applyBorder="1" applyAlignment="1">
      <alignment wrapText="1"/>
    </xf>
    <xf numFmtId="0" fontId="92" fillId="0" borderId="30" xfId="9474" applyFont="1" applyFill="1" applyBorder="1" applyAlignment="1">
      <alignment wrapText="1"/>
    </xf>
    <xf numFmtId="0" fontId="148" fillId="0" borderId="0" xfId="9474" applyFont="1" applyFill="1" applyBorder="1" applyAlignment="1">
      <alignment horizontal="left"/>
    </xf>
    <xf numFmtId="41" fontId="148" fillId="0" borderId="0" xfId="9474" applyNumberFormat="1" applyFont="1" applyFill="1" applyBorder="1" applyAlignment="1">
      <alignment horizontal="left"/>
    </xf>
    <xf numFmtId="0" fontId="92" fillId="0" borderId="0" xfId="9474" applyFont="1" applyFill="1" applyBorder="1" applyAlignment="1">
      <alignment horizontal="center"/>
    </xf>
    <xf numFmtId="41" fontId="94" fillId="0" borderId="0" xfId="9474" applyNumberFormat="1" applyFont="1" applyFill="1" applyBorder="1" applyAlignment="1">
      <alignment horizontal="center"/>
    </xf>
    <xf numFmtId="181" fontId="92" fillId="0" borderId="0" xfId="9474" applyNumberFormat="1" applyFont="1" applyFill="1" applyBorder="1"/>
    <xf numFmtId="182" fontId="92" fillId="0" borderId="0" xfId="9474" applyNumberFormat="1" applyFont="1" applyFill="1" applyBorder="1"/>
    <xf numFmtId="41" fontId="92" fillId="0" borderId="29" xfId="9473" applyNumberFormat="1" applyFont="1" applyFill="1" applyBorder="1" applyAlignment="1">
      <alignment horizontal="center"/>
    </xf>
    <xf numFmtId="41" fontId="92" fillId="0" borderId="30" xfId="9473" applyNumberFormat="1" applyFont="1" applyFill="1" applyBorder="1" applyAlignment="1"/>
    <xf numFmtId="0" fontId="92" fillId="0" borderId="0" xfId="9474" applyFont="1" applyFill="1" applyBorder="1" applyAlignment="1"/>
    <xf numFmtId="41" fontId="92" fillId="0" borderId="30" xfId="9473" applyNumberFormat="1" applyFont="1" applyFill="1" applyBorder="1" applyAlignment="1">
      <alignment horizontal="center"/>
    </xf>
    <xf numFmtId="41" fontId="92" fillId="0" borderId="30" xfId="9473" applyNumberFormat="1" applyFont="1" applyFill="1" applyBorder="1"/>
    <xf numFmtId="41" fontId="92" fillId="0" borderId="30" xfId="9473" applyNumberFormat="1" applyFont="1" applyFill="1" applyBorder="1" applyAlignment="1">
      <alignment wrapText="1"/>
    </xf>
    <xf numFmtId="0" fontId="95" fillId="0" borderId="27" xfId="9382" applyFont="1" applyFill="1" applyBorder="1" applyAlignment="1"/>
    <xf numFmtId="0" fontId="95" fillId="0" borderId="49" xfId="9473" applyFont="1" applyFill="1" applyBorder="1" applyAlignment="1">
      <alignment horizontal="left"/>
    </xf>
    <xf numFmtId="41" fontId="92" fillId="0" borderId="50" xfId="9473" applyNumberFormat="1" applyFont="1" applyFill="1" applyBorder="1"/>
    <xf numFmtId="41" fontId="93" fillId="0" borderId="0" xfId="9473" applyNumberFormat="1" applyFont="1" applyFill="1" applyBorder="1" applyAlignment="1">
      <alignment horizontal="center"/>
    </xf>
    <xf numFmtId="41" fontId="148" fillId="0" borderId="0" xfId="9473" applyNumberFormat="1" applyFont="1" applyFill="1" applyBorder="1"/>
    <xf numFmtId="41" fontId="94" fillId="0" borderId="0" xfId="9474" applyNumberFormat="1" applyFont="1" applyFill="1" applyBorder="1"/>
    <xf numFmtId="0" fontId="92" fillId="0" borderId="26" xfId="9474" applyFont="1" applyFill="1" applyBorder="1" applyAlignment="1">
      <alignment horizontal="left"/>
    </xf>
    <xf numFmtId="41" fontId="92" fillId="0" borderId="26" xfId="9474" applyNumberFormat="1" applyFont="1" applyFill="1" applyBorder="1" applyAlignment="1">
      <alignment horizontal="center"/>
    </xf>
    <xf numFmtId="41" fontId="92" fillId="0" borderId="31" xfId="9474" applyNumberFormat="1" applyFont="1" applyFill="1" applyBorder="1" applyAlignment="1">
      <alignment horizontal="center"/>
    </xf>
    <xf numFmtId="41" fontId="92" fillId="0" borderId="26" xfId="9474" applyNumberFormat="1" applyFont="1" applyFill="1" applyBorder="1"/>
    <xf numFmtId="41" fontId="92" fillId="0" borderId="31" xfId="9474" applyNumberFormat="1" applyFont="1" applyFill="1" applyBorder="1"/>
    <xf numFmtId="0" fontId="92" fillId="0" borderId="26" xfId="9474" applyFont="1" applyFill="1" applyBorder="1"/>
    <xf numFmtId="41" fontId="148" fillId="0" borderId="26" xfId="9474" applyNumberFormat="1" applyFont="1" applyFill="1" applyBorder="1" applyAlignment="1">
      <alignment horizontal="right"/>
    </xf>
    <xf numFmtId="41" fontId="92" fillId="102" borderId="26" xfId="9474" applyNumberFormat="1" applyFont="1" applyFill="1" applyBorder="1"/>
    <xf numFmtId="41" fontId="92" fillId="102" borderId="31" xfId="9474" applyNumberFormat="1" applyFont="1" applyFill="1" applyBorder="1"/>
    <xf numFmtId="0" fontId="149" fillId="0" borderId="0" xfId="9474" applyFont="1" applyFill="1" applyBorder="1"/>
    <xf numFmtId="0" fontId="154" fillId="0" borderId="0" xfId="9474" applyFont="1" applyFill="1" applyBorder="1"/>
    <xf numFmtId="176" fontId="92" fillId="0" borderId="26" xfId="9474" applyNumberFormat="1" applyFont="1" applyFill="1" applyBorder="1"/>
    <xf numFmtId="41" fontId="92" fillId="0" borderId="26" xfId="9474" applyNumberFormat="1" applyFont="1" applyFill="1" applyBorder="1" applyAlignment="1">
      <alignment horizontal="right"/>
    </xf>
    <xf numFmtId="164" fontId="92" fillId="0" borderId="31" xfId="9474" applyNumberFormat="1" applyFont="1" applyFill="1" applyBorder="1"/>
    <xf numFmtId="41" fontId="155" fillId="0" borderId="0" xfId="9474" quotePrefix="1" applyNumberFormat="1" applyFont="1" applyFill="1" applyBorder="1"/>
    <xf numFmtId="0" fontId="149" fillId="0" borderId="0" xfId="0" applyFont="1"/>
    <xf numFmtId="0" fontId="0" fillId="0" borderId="0" xfId="0"/>
    <xf numFmtId="0" fontId="39" fillId="27" borderId="13" xfId="0" applyFont="1" applyFill="1" applyBorder="1" applyAlignment="1">
      <alignment horizontal="center" wrapText="1"/>
    </xf>
    <xf numFmtId="0" fontId="39" fillId="0" borderId="0" xfId="0" applyFont="1" applyFill="1" applyBorder="1" applyAlignment="1">
      <alignment horizontal="center" wrapText="1"/>
    </xf>
    <xf numFmtId="0" fontId="40" fillId="0" borderId="20" xfId="0" applyNumberFormat="1" applyFont="1" applyFill="1" applyBorder="1" applyAlignment="1">
      <alignment horizontal="left" wrapText="1"/>
    </xf>
    <xf numFmtId="0" fontId="10" fillId="0" borderId="0" xfId="0" applyNumberFormat="1" applyFont="1" applyFill="1" applyAlignment="1"/>
    <xf numFmtId="3" fontId="10" fillId="0" borderId="0" xfId="0" applyNumberFormat="1" applyFont="1" applyFill="1" applyAlignment="1"/>
    <xf numFmtId="0" fontId="8" fillId="0" borderId="0" xfId="0" applyFont="1" applyFill="1" applyAlignment="1"/>
    <xf numFmtId="0" fontId="6" fillId="0" borderId="0" xfId="2629" applyAlignment="1">
      <alignment horizontal="center"/>
    </xf>
    <xf numFmtId="0" fontId="52" fillId="0" borderId="0" xfId="2629" applyFont="1" applyAlignment="1">
      <alignment horizontal="center"/>
    </xf>
    <xf numFmtId="167" fontId="52" fillId="0" borderId="0" xfId="2629" applyNumberFormat="1" applyFont="1"/>
    <xf numFmtId="0" fontId="52" fillId="0" borderId="0" xfId="2629" applyFont="1" applyFill="1" applyAlignment="1">
      <alignment horizontal="left"/>
    </xf>
    <xf numFmtId="164" fontId="52" fillId="0" borderId="0" xfId="2629" applyNumberFormat="1" applyFont="1" applyFill="1"/>
    <xf numFmtId="0" fontId="52" fillId="0" borderId="0" xfId="2629" applyFont="1"/>
    <xf numFmtId="0" fontId="52" fillId="0" borderId="0" xfId="2629" quotePrefix="1" applyFont="1" applyAlignment="1">
      <alignment horizontal="center"/>
    </xf>
    <xf numFmtId="167" fontId="52" fillId="0" borderId="0" xfId="2073" applyNumberFormat="1" applyFont="1"/>
    <xf numFmtId="167" fontId="52" fillId="0" borderId="0" xfId="2073" applyNumberFormat="1" applyFont="1" applyAlignment="1">
      <alignment horizontal="left"/>
    </xf>
    <xf numFmtId="167" fontId="52" fillId="0" borderId="0" xfId="2629" applyNumberFormat="1" applyFont="1" applyAlignment="1">
      <alignment horizontal="center"/>
    </xf>
    <xf numFmtId="0" fontId="52" fillId="0" borderId="0" xfId="2629" applyFont="1" applyFill="1"/>
    <xf numFmtId="0" fontId="32" fillId="0" borderId="0" xfId="2629" applyFont="1" applyAlignment="1">
      <alignment horizontal="center"/>
    </xf>
    <xf numFmtId="0" fontId="32" fillId="0" borderId="0" xfId="2629" applyFont="1"/>
    <xf numFmtId="0" fontId="0" fillId="0" borderId="0" xfId="0"/>
    <xf numFmtId="0" fontId="6" fillId="0" borderId="0" xfId="0" applyFont="1" applyFill="1" applyAlignment="1">
      <alignment vertical="center" wrapText="1"/>
    </xf>
    <xf numFmtId="167" fontId="0" fillId="103" borderId="0" xfId="32" applyNumberFormat="1" applyFont="1" applyFill="1" applyAlignment="1"/>
    <xf numFmtId="10" fontId="0" fillId="103" borderId="0" xfId="0" applyNumberFormat="1" applyFill="1"/>
    <xf numFmtId="0" fontId="6" fillId="0" borderId="0" xfId="2629" applyAlignment="1">
      <alignment horizontal="right"/>
    </xf>
    <xf numFmtId="164" fontId="0" fillId="103" borderId="0" xfId="9475" applyNumberFormat="1" applyFont="1" applyFill="1" applyAlignment="1"/>
    <xf numFmtId="168" fontId="0" fillId="103" borderId="0" xfId="0" applyNumberFormat="1" applyFill="1"/>
    <xf numFmtId="167" fontId="0" fillId="103" borderId="52" xfId="32" applyNumberFormat="1" applyFont="1" applyFill="1" applyBorder="1" applyAlignment="1"/>
    <xf numFmtId="0" fontId="50" fillId="0" borderId="0" xfId="0" applyFont="1" applyFill="1" applyAlignment="1">
      <alignment horizontal="center" vertical="center" wrapText="1"/>
    </xf>
    <xf numFmtId="167" fontId="160" fillId="0" borderId="0" xfId="2629" applyNumberFormat="1" applyFont="1"/>
    <xf numFmtId="0" fontId="0" fillId="0" borderId="0" xfId="0"/>
    <xf numFmtId="0" fontId="0" fillId="0" borderId="0" xfId="0"/>
    <xf numFmtId="167" fontId="160" fillId="0" borderId="0" xfId="2629" applyNumberFormat="1" applyFont="1" applyBorder="1"/>
    <xf numFmtId="0" fontId="52" fillId="0" borderId="0" xfId="2629" quotePrefix="1" applyFont="1" applyBorder="1" applyAlignment="1">
      <alignment horizontal="center"/>
    </xf>
    <xf numFmtId="167" fontId="52" fillId="0" borderId="0" xfId="2629" quotePrefix="1" applyNumberFormat="1" applyFont="1" applyBorder="1" applyAlignment="1">
      <alignment horizontal="center"/>
    </xf>
    <xf numFmtId="0" fontId="0" fillId="0" borderId="14" xfId="0" applyBorder="1"/>
    <xf numFmtId="172" fontId="0" fillId="0" borderId="0" xfId="51" applyNumberFormat="1" applyFont="1"/>
    <xf numFmtId="164" fontId="0" fillId="0" borderId="14" xfId="28" applyNumberFormat="1" applyFont="1" applyBorder="1"/>
    <xf numFmtId="0" fontId="153" fillId="0" borderId="0" xfId="0" applyFont="1"/>
    <xf numFmtId="164" fontId="153" fillId="0" borderId="0" xfId="0" applyNumberFormat="1" applyFont="1"/>
    <xf numFmtId="0" fontId="153" fillId="0" borderId="0" xfId="0" quotePrefix="1" applyFont="1"/>
    <xf numFmtId="0" fontId="153" fillId="0" borderId="0" xfId="0" applyFont="1" applyAlignment="1">
      <alignment horizontal="left"/>
    </xf>
    <xf numFmtId="164" fontId="153" fillId="0" borderId="52" xfId="0" applyNumberFormat="1" applyFont="1" applyBorder="1"/>
    <xf numFmtId="164" fontId="0" fillId="0" borderId="0" xfId="0" applyNumberFormat="1" applyBorder="1"/>
    <xf numFmtId="0" fontId="58" fillId="0" borderId="0" xfId="0" applyFont="1"/>
    <xf numFmtId="164" fontId="32" fillId="0" borderId="0" xfId="2629" applyNumberFormat="1" applyFont="1"/>
    <xf numFmtId="164" fontId="0" fillId="0" borderId="14" xfId="0" applyNumberFormat="1" applyBorder="1"/>
    <xf numFmtId="0" fontId="52" fillId="0" borderId="0" xfId="2629" applyNumberFormat="1" applyFont="1" applyAlignment="1">
      <alignment horizontal="left"/>
    </xf>
    <xf numFmtId="0" fontId="161" fillId="0" borderId="0" xfId="2629" applyFont="1" applyAlignment="1">
      <alignment horizontal="right"/>
    </xf>
    <xf numFmtId="164" fontId="161" fillId="0" borderId="14" xfId="2629" applyNumberFormat="1" applyFont="1" applyBorder="1"/>
    <xf numFmtId="0" fontId="161" fillId="0" borderId="0" xfId="2629" applyFont="1" applyFill="1" applyAlignment="1">
      <alignment horizontal="left"/>
    </xf>
    <xf numFmtId="164" fontId="161" fillId="0" borderId="0" xfId="2629" applyNumberFormat="1" applyFont="1"/>
    <xf numFmtId="167" fontId="52" fillId="0" borderId="0" xfId="2629" applyNumberFormat="1" applyFont="1" applyFill="1"/>
    <xf numFmtId="0" fontId="62" fillId="0" borderId="0" xfId="2629" applyFont="1" applyFill="1" applyAlignment="1">
      <alignment horizontal="left"/>
    </xf>
    <xf numFmtId="0" fontId="161" fillId="0" borderId="0" xfId="2629" applyFont="1" applyAlignment="1">
      <alignment horizontal="center"/>
    </xf>
    <xf numFmtId="164" fontId="161" fillId="0" borderId="0" xfId="2629" applyNumberFormat="1" applyFont="1" applyFill="1"/>
    <xf numFmtId="0" fontId="161" fillId="0" borderId="0" xfId="2629" quotePrefix="1" applyFont="1" applyAlignment="1">
      <alignment horizontal="center"/>
    </xf>
    <xf numFmtId="0" fontId="161" fillId="0" borderId="0" xfId="2629" applyFont="1" applyFill="1"/>
    <xf numFmtId="0" fontId="32" fillId="0" borderId="0" xfId="0" applyNumberFormat="1" applyFont="1" applyFill="1" applyAlignment="1">
      <alignment wrapText="1"/>
    </xf>
    <xf numFmtId="0" fontId="0" fillId="0" borderId="0" xfId="0" applyAlignment="1">
      <alignment wrapText="1"/>
    </xf>
    <xf numFmtId="0" fontId="37" fillId="0" borderId="0" xfId="9471" applyFont="1" applyAlignment="1">
      <alignment horizontal="center"/>
    </xf>
    <xf numFmtId="0" fontId="6" fillId="0" borderId="0" xfId="9474" applyFont="1" applyFill="1" applyBorder="1"/>
    <xf numFmtId="0" fontId="95" fillId="0" borderId="27" xfId="9382" applyFont="1" applyFill="1" applyBorder="1" applyAlignment="1">
      <alignment horizontal="left" wrapText="1"/>
    </xf>
    <xf numFmtId="0" fontId="95" fillId="0" borderId="0" xfId="9382" applyFont="1" applyFill="1" applyBorder="1" applyAlignment="1">
      <alignment horizontal="left" wrapText="1"/>
    </xf>
    <xf numFmtId="0" fontId="20" fillId="0" borderId="0" xfId="9471" applyFont="1" applyAlignment="1">
      <alignment horizontal="center"/>
    </xf>
    <xf numFmtId="0" fontId="20" fillId="0" borderId="0" xfId="0" applyFont="1" applyAlignment="1">
      <alignment horizontal="center"/>
    </xf>
    <xf numFmtId="0" fontId="37" fillId="0" borderId="0" xfId="0" applyFont="1" applyAlignment="1">
      <alignment horizontal="center"/>
    </xf>
    <xf numFmtId="0" fontId="0" fillId="0" borderId="0" xfId="0"/>
    <xf numFmtId="0" fontId="47" fillId="0" borderId="0" xfId="0" applyFont="1" applyFill="1" applyAlignment="1">
      <alignment horizontal="center"/>
    </xf>
    <xf numFmtId="0" fontId="39" fillId="27" borderId="13" xfId="0" applyFont="1" applyFill="1" applyBorder="1" applyAlignment="1">
      <alignment horizontal="center" wrapText="1"/>
    </xf>
    <xf numFmtId="0" fontId="0" fillId="0" borderId="13" xfId="0" applyBorder="1" applyAlignment="1">
      <alignment wrapText="1"/>
    </xf>
    <xf numFmtId="0" fontId="0" fillId="0" borderId="22" xfId="0" applyBorder="1" applyAlignment="1">
      <alignment wrapText="1"/>
    </xf>
    <xf numFmtId="0" fontId="40" fillId="0" borderId="0" xfId="0" applyFont="1" applyBorder="1" applyAlignment="1">
      <alignment wrapText="1"/>
    </xf>
    <xf numFmtId="0" fontId="0" fillId="0" borderId="20" xfId="0" applyBorder="1" applyAlignment="1">
      <alignment wrapText="1"/>
    </xf>
    <xf numFmtId="0" fontId="48" fillId="101" borderId="16" xfId="0" applyFont="1" applyFill="1" applyBorder="1" applyAlignment="1">
      <alignment horizontal="left"/>
    </xf>
    <xf numFmtId="0" fontId="48" fillId="101" borderId="15" xfId="0" applyFont="1" applyFill="1" applyBorder="1" applyAlignment="1">
      <alignment horizontal="left"/>
    </xf>
    <xf numFmtId="0" fontId="48" fillId="101" borderId="51" xfId="0" applyFont="1" applyFill="1" applyBorder="1" applyAlignment="1">
      <alignment horizontal="left"/>
    </xf>
    <xf numFmtId="0" fontId="33" fillId="27" borderId="21" xfId="0" applyFont="1" applyFill="1" applyBorder="1" applyAlignment="1">
      <alignment horizontal="center"/>
    </xf>
    <xf numFmtId="0" fontId="0" fillId="0" borderId="13" xfId="0" applyBorder="1" applyAlignment="1">
      <alignment horizontal="center"/>
    </xf>
    <xf numFmtId="0" fontId="33" fillId="27" borderId="13" xfId="0" applyFont="1" applyFill="1" applyBorder="1" applyAlignment="1">
      <alignment horizontal="center"/>
    </xf>
    <xf numFmtId="0" fontId="48" fillId="27" borderId="21" xfId="0" applyFont="1" applyFill="1" applyBorder="1" applyAlignment="1">
      <alignment horizontal="center"/>
    </xf>
    <xf numFmtId="0" fontId="48" fillId="27" borderId="13" xfId="0" applyFont="1" applyFill="1" applyBorder="1" applyAlignment="1">
      <alignment horizontal="center"/>
    </xf>
    <xf numFmtId="0" fontId="48" fillId="27" borderId="22" xfId="0" applyFont="1" applyFill="1" applyBorder="1" applyAlignment="1">
      <alignment horizontal="center"/>
    </xf>
    <xf numFmtId="0" fontId="48" fillId="27" borderId="16" xfId="0" applyFont="1" applyFill="1" applyBorder="1" applyAlignment="1">
      <alignment horizontal="left"/>
    </xf>
    <xf numFmtId="0" fontId="48" fillId="27" borderId="15" xfId="0" applyFont="1" applyFill="1" applyBorder="1" applyAlignment="1">
      <alignment horizontal="left"/>
    </xf>
    <xf numFmtId="0" fontId="48" fillId="27" borderId="51" xfId="0" applyFont="1" applyFill="1" applyBorder="1" applyAlignment="1">
      <alignment horizontal="left"/>
    </xf>
    <xf numFmtId="164" fontId="45" fillId="0" borderId="18" xfId="28" applyNumberFormat="1" applyFont="1" applyFill="1" applyBorder="1" applyAlignment="1">
      <alignment horizontal="center"/>
    </xf>
    <xf numFmtId="164" fontId="6" fillId="0" borderId="9" xfId="28" applyNumberFormat="1" applyFont="1" applyFill="1" applyBorder="1" applyAlignment="1">
      <alignment horizontal="center"/>
    </xf>
    <xf numFmtId="164" fontId="45" fillId="0" borderId="9" xfId="28" applyNumberFormat="1" applyFont="1" applyFill="1" applyBorder="1" applyAlignment="1">
      <alignment horizontal="center"/>
    </xf>
    <xf numFmtId="164" fontId="45" fillId="0" borderId="17" xfId="28" applyNumberFormat="1" applyFont="1" applyFill="1" applyBorder="1" applyAlignment="1">
      <alignment horizontal="center"/>
    </xf>
    <xf numFmtId="164" fontId="6" fillId="0" borderId="0" xfId="28" applyNumberFormat="1" applyFont="1" applyFill="1" applyBorder="1" applyAlignment="1">
      <alignment horizontal="center"/>
    </xf>
    <xf numFmtId="164" fontId="45" fillId="0" borderId="0" xfId="28" applyNumberFormat="1" applyFont="1" applyFill="1" applyBorder="1" applyAlignment="1">
      <alignment horizontal="center"/>
    </xf>
    <xf numFmtId="2" fontId="45" fillId="0" borderId="17" xfId="0" applyNumberFormat="1" applyFont="1" applyFill="1" applyBorder="1" applyAlignment="1">
      <alignment horizontal="center"/>
    </xf>
    <xf numFmtId="2" fontId="6" fillId="0" borderId="0" xfId="0" applyNumberFormat="1" applyFont="1" applyFill="1" applyBorder="1" applyAlignment="1">
      <alignment horizontal="center"/>
    </xf>
    <xf numFmtId="0" fontId="44" fillId="27" borderId="13" xfId="0" applyFont="1" applyFill="1" applyBorder="1" applyAlignment="1">
      <alignment horizontal="center" wrapText="1"/>
    </xf>
    <xf numFmtId="0" fontId="44" fillId="27" borderId="22" xfId="0" applyFont="1" applyFill="1" applyBorder="1" applyAlignment="1">
      <alignment horizontal="center" wrapText="1"/>
    </xf>
    <xf numFmtId="0" fontId="43" fillId="0" borderId="0" xfId="0" applyFont="1" applyFill="1" applyBorder="1" applyAlignment="1">
      <alignment horizontal="center" wrapText="1"/>
    </xf>
    <xf numFmtId="0" fontId="40" fillId="0" borderId="0" xfId="0" applyFont="1" applyFill="1" applyBorder="1" applyAlignment="1">
      <alignment horizontal="center" wrapText="1"/>
    </xf>
    <xf numFmtId="0" fontId="40" fillId="0" borderId="20" xfId="0" applyFont="1" applyFill="1" applyBorder="1" applyAlignment="1">
      <alignment horizontal="center" wrapText="1"/>
    </xf>
    <xf numFmtId="2" fontId="45" fillId="0" borderId="0" xfId="0" applyNumberFormat="1" applyFont="1" applyFill="1" applyBorder="1" applyAlignment="1">
      <alignment horizontal="center"/>
    </xf>
    <xf numFmtId="0" fontId="6" fillId="0" borderId="0" xfId="0" applyFont="1" applyFill="1" applyBorder="1" applyAlignment="1">
      <alignment horizontal="center"/>
    </xf>
    <xf numFmtId="0" fontId="43" fillId="0" borderId="9" xfId="0" applyFont="1" applyFill="1" applyBorder="1" applyAlignment="1">
      <alignment horizontal="center" wrapText="1"/>
    </xf>
    <xf numFmtId="0" fontId="40" fillId="0" borderId="9" xfId="0" applyFont="1" applyFill="1" applyBorder="1" applyAlignment="1">
      <alignment horizontal="center" wrapText="1"/>
    </xf>
    <xf numFmtId="0" fontId="40" fillId="0" borderId="19" xfId="0" applyFont="1" applyFill="1" applyBorder="1" applyAlignment="1">
      <alignment horizontal="center" wrapText="1"/>
    </xf>
    <xf numFmtId="0" fontId="40" fillId="0" borderId="13" xfId="0" applyFont="1" applyBorder="1" applyAlignment="1">
      <alignment horizontal="center" wrapText="1"/>
    </xf>
    <xf numFmtId="0" fontId="40" fillId="0" borderId="22" xfId="0" applyFont="1" applyBorder="1" applyAlignment="1">
      <alignment horizontal="center" wrapText="1"/>
    </xf>
    <xf numFmtId="164" fontId="40" fillId="0" borderId="9" xfId="0" applyNumberFormat="1" applyFont="1" applyFill="1" applyBorder="1" applyAlignment="1">
      <alignment horizontal="center" wrapText="1"/>
    </xf>
    <xf numFmtId="0" fontId="40" fillId="0" borderId="9" xfId="0" applyFont="1" applyFill="1" applyBorder="1" applyAlignment="1" applyProtection="1">
      <alignment horizontal="left"/>
      <protection locked="0"/>
    </xf>
    <xf numFmtId="0" fontId="40" fillId="0" borderId="19" xfId="0" applyFont="1" applyFill="1" applyBorder="1" applyAlignment="1" applyProtection="1">
      <alignment horizontal="left"/>
      <protection locked="0"/>
    </xf>
    <xf numFmtId="164" fontId="40" fillId="0" borderId="9" xfId="28" applyNumberFormat="1" applyFont="1" applyFill="1" applyBorder="1" applyAlignment="1">
      <alignment horizontal="center" wrapText="1"/>
    </xf>
    <xf numFmtId="164" fontId="40" fillId="0" borderId="19" xfId="28" applyNumberFormat="1" applyFont="1" applyFill="1" applyBorder="1" applyAlignment="1">
      <alignment horizontal="center" wrapText="1"/>
    </xf>
    <xf numFmtId="0" fontId="40" fillId="0" borderId="0" xfId="0" applyFont="1" applyAlignment="1">
      <alignment horizontal="center" wrapText="1"/>
    </xf>
    <xf numFmtId="0" fontId="40" fillId="0" borderId="20" xfId="0" applyFont="1" applyBorder="1" applyAlignment="1">
      <alignment horizontal="center" wrapText="1"/>
    </xf>
    <xf numFmtId="3" fontId="40" fillId="0" borderId="0" xfId="0" applyNumberFormat="1" applyFont="1" applyBorder="1" applyAlignment="1">
      <alignment horizontal="left" wrapText="1"/>
    </xf>
    <xf numFmtId="0" fontId="0" fillId="0" borderId="0" xfId="0" applyBorder="1" applyAlignment="1">
      <alignment wrapText="1"/>
    </xf>
    <xf numFmtId="0" fontId="40" fillId="0" borderId="9" xfId="0" applyFont="1" applyFill="1" applyBorder="1" applyAlignment="1">
      <alignment horizontal="left" wrapText="1"/>
    </xf>
    <xf numFmtId="0" fontId="40" fillId="0" borderId="19" xfId="0" applyFont="1" applyFill="1" applyBorder="1" applyAlignment="1">
      <alignment horizontal="left" wrapText="1"/>
    </xf>
    <xf numFmtId="0" fontId="40" fillId="0" borderId="0" xfId="0" applyFont="1" applyFill="1" applyBorder="1" applyAlignment="1">
      <alignment horizontal="left" wrapText="1"/>
    </xf>
    <xf numFmtId="0" fontId="40" fillId="0" borderId="20" xfId="0" applyFont="1" applyFill="1" applyBorder="1" applyAlignment="1">
      <alignment horizontal="left" wrapText="1"/>
    </xf>
    <xf numFmtId="0" fontId="43" fillId="0" borderId="20" xfId="0" applyFont="1" applyFill="1" applyBorder="1" applyAlignment="1">
      <alignment horizontal="center" wrapText="1"/>
    </xf>
    <xf numFmtId="3" fontId="40" fillId="0" borderId="0" xfId="0" quotePrefix="1" applyNumberFormat="1" applyFont="1" applyFill="1" applyBorder="1" applyAlignment="1">
      <alignment horizontal="left" wrapText="1"/>
    </xf>
    <xf numFmtId="0" fontId="0" fillId="0" borderId="0" xfId="0" applyFill="1" applyBorder="1" applyAlignment="1">
      <alignment wrapText="1"/>
    </xf>
    <xf numFmtId="0" fontId="0" fillId="0" borderId="20" xfId="0" applyFill="1" applyBorder="1" applyAlignment="1">
      <alignment wrapText="1"/>
    </xf>
    <xf numFmtId="0" fontId="39" fillId="0" borderId="0" xfId="0" applyFont="1" applyFill="1" applyBorder="1" applyAlignment="1">
      <alignment horizontal="center" wrapText="1"/>
    </xf>
    <xf numFmtId="0" fontId="14" fillId="27" borderId="0" xfId="0" applyFont="1" applyFill="1" applyBorder="1" applyAlignment="1">
      <alignment horizontal="center"/>
    </xf>
    <xf numFmtId="0" fontId="48" fillId="27" borderId="17" xfId="0" applyFont="1" applyFill="1" applyBorder="1" applyAlignment="1">
      <alignment horizontal="center"/>
    </xf>
    <xf numFmtId="0" fontId="48" fillId="27" borderId="0" xfId="0" applyFont="1" applyFill="1" applyBorder="1" applyAlignment="1">
      <alignment horizontal="center"/>
    </xf>
    <xf numFmtId="0" fontId="48" fillId="27" borderId="20" xfId="0" applyFont="1" applyFill="1" applyBorder="1" applyAlignment="1">
      <alignment horizontal="center"/>
    </xf>
    <xf numFmtId="0" fontId="47" fillId="0" borderId="0" xfId="0" applyFont="1" applyAlignment="1">
      <alignment horizontal="center"/>
    </xf>
    <xf numFmtId="0" fontId="0" fillId="0" borderId="0" xfId="0" applyAlignment="1"/>
    <xf numFmtId="0" fontId="20" fillId="0" borderId="0" xfId="44" applyFont="1" applyAlignment="1">
      <alignment horizontal="center"/>
    </xf>
    <xf numFmtId="0" fontId="20" fillId="0" borderId="0" xfId="44" applyFont="1" applyAlignment="1"/>
    <xf numFmtId="0" fontId="60" fillId="0" borderId="0" xfId="44" applyFont="1" applyAlignment="1">
      <alignment horizontal="center"/>
    </xf>
    <xf numFmtId="0" fontId="67" fillId="0" borderId="0" xfId="44" applyFont="1" applyAlignment="1"/>
    <xf numFmtId="0" fontId="17" fillId="0" borderId="9" xfId="0" applyFont="1" applyFill="1" applyBorder="1" applyAlignment="1">
      <alignment wrapText="1"/>
    </xf>
    <xf numFmtId="0" fontId="0" fillId="0" borderId="9" xfId="0" applyBorder="1" applyAlignment="1">
      <alignment wrapText="1"/>
    </xf>
    <xf numFmtId="0" fontId="52" fillId="0" borderId="17" xfId="44" applyFont="1" applyBorder="1" applyAlignment="1">
      <alignment horizontal="left" wrapText="1"/>
    </xf>
    <xf numFmtId="0" fontId="52" fillId="0" borderId="20" xfId="44" applyFont="1" applyBorder="1" applyAlignment="1">
      <alignment horizontal="left" wrapText="1"/>
    </xf>
    <xf numFmtId="0" fontId="43" fillId="0" borderId="21" xfId="0" applyFont="1" applyBorder="1" applyAlignment="1">
      <alignment horizontal="center"/>
    </xf>
    <xf numFmtId="0" fontId="43" fillId="0" borderId="13" xfId="0" applyFont="1" applyBorder="1" applyAlignment="1">
      <alignment horizontal="center"/>
    </xf>
    <xf numFmtId="0" fontId="43" fillId="0" borderId="22" xfId="0" applyFont="1" applyBorder="1" applyAlignment="1">
      <alignment horizontal="center"/>
    </xf>
  </cellXfs>
  <cellStyles count="9476">
    <cellStyle name=" 1" xfId="64"/>
    <cellStyle name=" 1 2" xfId="65"/>
    <cellStyle name="_PMG Base Monthly" xfId="66"/>
    <cellStyle name="_PMG Base Monthly 2" xfId="67"/>
    <cellStyle name="_PMG Base Monthly 2 2" xfId="68"/>
    <cellStyle name="_PMG Base Monthly 2 2 2" xfId="69"/>
    <cellStyle name="_PMG Base Monthly 2 3" xfId="70"/>
    <cellStyle name="_PMG Base Monthly 3" xfId="71"/>
    <cellStyle name="_PMG Thermal Monthly" xfId="72"/>
    <cellStyle name="_PMG Thermal Monthly 2" xfId="73"/>
    <cellStyle name="_PMG Thermal Monthly 2 2" xfId="74"/>
    <cellStyle name="_PMG Thermal Monthly 2 2 2" xfId="75"/>
    <cellStyle name="_PMG Thermal Monthly 2 3" xfId="76"/>
    <cellStyle name="_PMG Thermal Monthly 3" xfId="77"/>
    <cellStyle name="20% - Accent1" xfId="1" builtinId="30" customBuiltin="1"/>
    <cellStyle name="20% - Accent1 10" xfId="78"/>
    <cellStyle name="20% - Accent1 10 2" xfId="79"/>
    <cellStyle name="20% - Accent1 11" xfId="80"/>
    <cellStyle name="20% - Accent1 11 2" xfId="81"/>
    <cellStyle name="20% - Accent1 12" xfId="82"/>
    <cellStyle name="20% - Accent1 12 2" xfId="83"/>
    <cellStyle name="20% - Accent1 13" xfId="84"/>
    <cellStyle name="20% - Accent1 13 2" xfId="85"/>
    <cellStyle name="20% - Accent1 14" xfId="86"/>
    <cellStyle name="20% - Accent1 14 2" xfId="87"/>
    <cellStyle name="20% - Accent1 15" xfId="88"/>
    <cellStyle name="20% - Accent1 15 2" xfId="89"/>
    <cellStyle name="20% - Accent1 16" xfId="90"/>
    <cellStyle name="20% - Accent1 16 2" xfId="91"/>
    <cellStyle name="20% - Accent1 17" xfId="92"/>
    <cellStyle name="20% - Accent1 17 2" xfId="93"/>
    <cellStyle name="20% - Accent1 18" xfId="94"/>
    <cellStyle name="20% - Accent1 18 2" xfId="95"/>
    <cellStyle name="20% - Accent1 19" xfId="96"/>
    <cellStyle name="20% - Accent1 19 2" xfId="97"/>
    <cellStyle name="20% - Accent1 2" xfId="98"/>
    <cellStyle name="20% - Accent1 2 2" xfId="99"/>
    <cellStyle name="20% - Accent1 2 2 2" xfId="100"/>
    <cellStyle name="20% - Accent1 2 2 3" xfId="3896"/>
    <cellStyle name="20% - Accent1 2 3" xfId="101"/>
    <cellStyle name="20% - Accent1 2 3 2" xfId="102"/>
    <cellStyle name="20% - Accent1 2 3 3" xfId="3897"/>
    <cellStyle name="20% - Accent1 20" xfId="103"/>
    <cellStyle name="20% - Accent1 21" xfId="104"/>
    <cellStyle name="20% - Accent1 22" xfId="105"/>
    <cellStyle name="20% - Accent1 23" xfId="106"/>
    <cellStyle name="20% - Accent1 24" xfId="107"/>
    <cellStyle name="20% - Accent1 25" xfId="108"/>
    <cellStyle name="20% - Accent1 26" xfId="109"/>
    <cellStyle name="20% - Accent1 27" xfId="110"/>
    <cellStyle name="20% - Accent1 28" xfId="111"/>
    <cellStyle name="20% - Accent1 29" xfId="112"/>
    <cellStyle name="20% - Accent1 3" xfId="113"/>
    <cellStyle name="20% - Accent1 3 2" xfId="114"/>
    <cellStyle name="20% - Accent1 3 3" xfId="115"/>
    <cellStyle name="20% - Accent1 3 4" xfId="3898"/>
    <cellStyle name="20% - Accent1 30" xfId="116"/>
    <cellStyle name="20% - Accent1 31" xfId="117"/>
    <cellStyle name="20% - Accent1 32" xfId="118"/>
    <cellStyle name="20% - Accent1 33" xfId="119"/>
    <cellStyle name="20% - Accent1 34" xfId="120"/>
    <cellStyle name="20% - Accent1 35" xfId="121"/>
    <cellStyle name="20% - Accent1 36" xfId="122"/>
    <cellStyle name="20% - Accent1 37" xfId="123"/>
    <cellStyle name="20% - Accent1 37 2" xfId="124"/>
    <cellStyle name="20% - Accent1 37 3" xfId="3899"/>
    <cellStyle name="20% - Accent1 38" xfId="125"/>
    <cellStyle name="20% - Accent1 39" xfId="9395"/>
    <cellStyle name="20% - Accent1 4" xfId="126"/>
    <cellStyle name="20% - Accent1 4 2" xfId="127"/>
    <cellStyle name="20% - Accent1 4 3" xfId="128"/>
    <cellStyle name="20% - Accent1 4 4" xfId="3900"/>
    <cellStyle name="20% - Accent1 5" xfId="129"/>
    <cellStyle name="20% - Accent1 5 2" xfId="130"/>
    <cellStyle name="20% - Accent1 6" xfId="131"/>
    <cellStyle name="20% - Accent1 6 2" xfId="132"/>
    <cellStyle name="20% - Accent1 7" xfId="133"/>
    <cellStyle name="20% - Accent1 7 2" xfId="134"/>
    <cellStyle name="20% - Accent1 8" xfId="135"/>
    <cellStyle name="20% - Accent1 8 2" xfId="136"/>
    <cellStyle name="20% - Accent1 9" xfId="137"/>
    <cellStyle name="20% - Accent1 9 2" xfId="138"/>
    <cellStyle name="20% - Accent2" xfId="2" builtinId="34" customBuiltin="1"/>
    <cellStyle name="20% - Accent2 10" xfId="139"/>
    <cellStyle name="20% - Accent2 10 2" xfId="140"/>
    <cellStyle name="20% - Accent2 11" xfId="141"/>
    <cellStyle name="20% - Accent2 11 2" xfId="142"/>
    <cellStyle name="20% - Accent2 12" xfId="143"/>
    <cellStyle name="20% - Accent2 12 2" xfId="144"/>
    <cellStyle name="20% - Accent2 13" xfId="145"/>
    <cellStyle name="20% - Accent2 13 2" xfId="146"/>
    <cellStyle name="20% - Accent2 14" xfId="147"/>
    <cellStyle name="20% - Accent2 14 2" xfId="148"/>
    <cellStyle name="20% - Accent2 15" xfId="149"/>
    <cellStyle name="20% - Accent2 15 2" xfId="150"/>
    <cellStyle name="20% - Accent2 16" xfId="151"/>
    <cellStyle name="20% - Accent2 16 2" xfId="152"/>
    <cellStyle name="20% - Accent2 17" xfId="153"/>
    <cellStyle name="20% - Accent2 17 2" xfId="154"/>
    <cellStyle name="20% - Accent2 18" xfId="155"/>
    <cellStyle name="20% - Accent2 18 2" xfId="156"/>
    <cellStyle name="20% - Accent2 19" xfId="157"/>
    <cellStyle name="20% - Accent2 19 2" xfId="158"/>
    <cellStyle name="20% - Accent2 2" xfId="159"/>
    <cellStyle name="20% - Accent2 2 2" xfId="160"/>
    <cellStyle name="20% - Accent2 2 2 2" xfId="161"/>
    <cellStyle name="20% - Accent2 2 2 3" xfId="3901"/>
    <cellStyle name="20% - Accent2 2 3" xfId="162"/>
    <cellStyle name="20% - Accent2 2 3 2" xfId="163"/>
    <cellStyle name="20% - Accent2 2 3 3" xfId="3902"/>
    <cellStyle name="20% - Accent2 20" xfId="164"/>
    <cellStyle name="20% - Accent2 21" xfId="165"/>
    <cellStyle name="20% - Accent2 22" xfId="166"/>
    <cellStyle name="20% - Accent2 23" xfId="167"/>
    <cellStyle name="20% - Accent2 24" xfId="168"/>
    <cellStyle name="20% - Accent2 25" xfId="169"/>
    <cellStyle name="20% - Accent2 26" xfId="170"/>
    <cellStyle name="20% - Accent2 27" xfId="171"/>
    <cellStyle name="20% - Accent2 28" xfId="172"/>
    <cellStyle name="20% - Accent2 29" xfId="173"/>
    <cellStyle name="20% - Accent2 3" xfId="174"/>
    <cellStyle name="20% - Accent2 3 2" xfId="175"/>
    <cellStyle name="20% - Accent2 3 3" xfId="176"/>
    <cellStyle name="20% - Accent2 3 4" xfId="3903"/>
    <cellStyle name="20% - Accent2 30" xfId="177"/>
    <cellStyle name="20% - Accent2 31" xfId="178"/>
    <cellStyle name="20% - Accent2 32" xfId="179"/>
    <cellStyle name="20% - Accent2 33" xfId="180"/>
    <cellStyle name="20% - Accent2 34" xfId="181"/>
    <cellStyle name="20% - Accent2 35" xfId="182"/>
    <cellStyle name="20% - Accent2 36" xfId="183"/>
    <cellStyle name="20% - Accent2 37" xfId="184"/>
    <cellStyle name="20% - Accent2 37 2" xfId="185"/>
    <cellStyle name="20% - Accent2 37 3" xfId="3904"/>
    <cellStyle name="20% - Accent2 38" xfId="186"/>
    <cellStyle name="20% - Accent2 39" xfId="9396"/>
    <cellStyle name="20% - Accent2 4" xfId="187"/>
    <cellStyle name="20% - Accent2 4 2" xfId="188"/>
    <cellStyle name="20% - Accent2 4 3" xfId="189"/>
    <cellStyle name="20% - Accent2 4 4" xfId="3905"/>
    <cellStyle name="20% - Accent2 5" xfId="190"/>
    <cellStyle name="20% - Accent2 5 2" xfId="191"/>
    <cellStyle name="20% - Accent2 6" xfId="192"/>
    <cellStyle name="20% - Accent2 6 2" xfId="193"/>
    <cellStyle name="20% - Accent2 7" xfId="194"/>
    <cellStyle name="20% - Accent2 7 2" xfId="195"/>
    <cellStyle name="20% - Accent2 8" xfId="196"/>
    <cellStyle name="20% - Accent2 8 2" xfId="197"/>
    <cellStyle name="20% - Accent2 9" xfId="198"/>
    <cellStyle name="20% - Accent2 9 2" xfId="199"/>
    <cellStyle name="20% - Accent3" xfId="3" builtinId="38" customBuiltin="1"/>
    <cellStyle name="20% - Accent3 10" xfId="200"/>
    <cellStyle name="20% - Accent3 10 2" xfId="201"/>
    <cellStyle name="20% - Accent3 11" xfId="202"/>
    <cellStyle name="20% - Accent3 11 2" xfId="203"/>
    <cellStyle name="20% - Accent3 12" xfId="204"/>
    <cellStyle name="20% - Accent3 12 2" xfId="205"/>
    <cellStyle name="20% - Accent3 13" xfId="206"/>
    <cellStyle name="20% - Accent3 13 2" xfId="207"/>
    <cellStyle name="20% - Accent3 14" xfId="208"/>
    <cellStyle name="20% - Accent3 14 2" xfId="209"/>
    <cellStyle name="20% - Accent3 15" xfId="210"/>
    <cellStyle name="20% - Accent3 15 2" xfId="211"/>
    <cellStyle name="20% - Accent3 16" xfId="212"/>
    <cellStyle name="20% - Accent3 16 2" xfId="213"/>
    <cellStyle name="20% - Accent3 17" xfId="214"/>
    <cellStyle name="20% - Accent3 17 2" xfId="215"/>
    <cellStyle name="20% - Accent3 18" xfId="216"/>
    <cellStyle name="20% - Accent3 18 2" xfId="217"/>
    <cellStyle name="20% - Accent3 19" xfId="218"/>
    <cellStyle name="20% - Accent3 19 2" xfId="219"/>
    <cellStyle name="20% - Accent3 2" xfId="220"/>
    <cellStyle name="20% - Accent3 2 2" xfId="221"/>
    <cellStyle name="20% - Accent3 2 2 2" xfId="222"/>
    <cellStyle name="20% - Accent3 2 2 3" xfId="3906"/>
    <cellStyle name="20% - Accent3 2 3" xfId="223"/>
    <cellStyle name="20% - Accent3 2 3 2" xfId="224"/>
    <cellStyle name="20% - Accent3 2 3 3" xfId="3907"/>
    <cellStyle name="20% - Accent3 20" xfId="225"/>
    <cellStyle name="20% - Accent3 21" xfId="226"/>
    <cellStyle name="20% - Accent3 22" xfId="227"/>
    <cellStyle name="20% - Accent3 23" xfId="228"/>
    <cellStyle name="20% - Accent3 24" xfId="229"/>
    <cellStyle name="20% - Accent3 25" xfId="230"/>
    <cellStyle name="20% - Accent3 26" xfId="231"/>
    <cellStyle name="20% - Accent3 27" xfId="232"/>
    <cellStyle name="20% - Accent3 28" xfId="233"/>
    <cellStyle name="20% - Accent3 29" xfId="234"/>
    <cellStyle name="20% - Accent3 3" xfId="235"/>
    <cellStyle name="20% - Accent3 3 2" xfId="236"/>
    <cellStyle name="20% - Accent3 3 3" xfId="237"/>
    <cellStyle name="20% - Accent3 3 4" xfId="3908"/>
    <cellStyle name="20% - Accent3 30" xfId="238"/>
    <cellStyle name="20% - Accent3 31" xfId="239"/>
    <cellStyle name="20% - Accent3 32" xfId="240"/>
    <cellStyle name="20% - Accent3 33" xfId="241"/>
    <cellStyle name="20% - Accent3 34" xfId="242"/>
    <cellStyle name="20% - Accent3 35" xfId="243"/>
    <cellStyle name="20% - Accent3 36" xfId="244"/>
    <cellStyle name="20% - Accent3 37" xfId="245"/>
    <cellStyle name="20% - Accent3 37 2" xfId="246"/>
    <cellStyle name="20% - Accent3 37 3" xfId="3909"/>
    <cellStyle name="20% - Accent3 38" xfId="247"/>
    <cellStyle name="20% - Accent3 39" xfId="9397"/>
    <cellStyle name="20% - Accent3 4" xfId="248"/>
    <cellStyle name="20% - Accent3 4 2" xfId="249"/>
    <cellStyle name="20% - Accent3 4 3" xfId="250"/>
    <cellStyle name="20% - Accent3 4 4" xfId="3910"/>
    <cellStyle name="20% - Accent3 5" xfId="251"/>
    <cellStyle name="20% - Accent3 5 2" xfId="252"/>
    <cellStyle name="20% - Accent3 6" xfId="253"/>
    <cellStyle name="20% - Accent3 6 2" xfId="254"/>
    <cellStyle name="20% - Accent3 7" xfId="255"/>
    <cellStyle name="20% - Accent3 7 2" xfId="256"/>
    <cellStyle name="20% - Accent3 8" xfId="257"/>
    <cellStyle name="20% - Accent3 8 2" xfId="258"/>
    <cellStyle name="20% - Accent3 9" xfId="259"/>
    <cellStyle name="20% - Accent3 9 2" xfId="260"/>
    <cellStyle name="20% - Accent4" xfId="4" builtinId="42" customBuiltin="1"/>
    <cellStyle name="20% - Accent4 10" xfId="261"/>
    <cellStyle name="20% - Accent4 10 2" xfId="262"/>
    <cellStyle name="20% - Accent4 11" xfId="263"/>
    <cellStyle name="20% - Accent4 11 2" xfId="264"/>
    <cellStyle name="20% - Accent4 12" xfId="265"/>
    <cellStyle name="20% - Accent4 12 2" xfId="266"/>
    <cellStyle name="20% - Accent4 13" xfId="267"/>
    <cellStyle name="20% - Accent4 13 2" xfId="268"/>
    <cellStyle name="20% - Accent4 14" xfId="269"/>
    <cellStyle name="20% - Accent4 14 2" xfId="270"/>
    <cellStyle name="20% - Accent4 15" xfId="271"/>
    <cellStyle name="20% - Accent4 15 2" xfId="272"/>
    <cellStyle name="20% - Accent4 16" xfId="273"/>
    <cellStyle name="20% - Accent4 16 2" xfId="274"/>
    <cellStyle name="20% - Accent4 17" xfId="275"/>
    <cellStyle name="20% - Accent4 17 2" xfId="276"/>
    <cellStyle name="20% - Accent4 18" xfId="277"/>
    <cellStyle name="20% - Accent4 18 2" xfId="278"/>
    <cellStyle name="20% - Accent4 19" xfId="279"/>
    <cellStyle name="20% - Accent4 19 2" xfId="280"/>
    <cellStyle name="20% - Accent4 2" xfId="281"/>
    <cellStyle name="20% - Accent4 2 2" xfId="282"/>
    <cellStyle name="20% - Accent4 2 2 2" xfId="283"/>
    <cellStyle name="20% - Accent4 2 2 3" xfId="3911"/>
    <cellStyle name="20% - Accent4 2 3" xfId="284"/>
    <cellStyle name="20% - Accent4 2 3 2" xfId="285"/>
    <cellStyle name="20% - Accent4 2 3 3" xfId="3912"/>
    <cellStyle name="20% - Accent4 20" xfId="286"/>
    <cellStyle name="20% - Accent4 21" xfId="287"/>
    <cellStyle name="20% - Accent4 22" xfId="288"/>
    <cellStyle name="20% - Accent4 23" xfId="289"/>
    <cellStyle name="20% - Accent4 24" xfId="290"/>
    <cellStyle name="20% - Accent4 25" xfId="291"/>
    <cellStyle name="20% - Accent4 26" xfId="292"/>
    <cellStyle name="20% - Accent4 27" xfId="293"/>
    <cellStyle name="20% - Accent4 28" xfId="294"/>
    <cellStyle name="20% - Accent4 29" xfId="295"/>
    <cellStyle name="20% - Accent4 3" xfId="296"/>
    <cellStyle name="20% - Accent4 3 2" xfId="297"/>
    <cellStyle name="20% - Accent4 3 3" xfId="298"/>
    <cellStyle name="20% - Accent4 3 4" xfId="3913"/>
    <cellStyle name="20% - Accent4 30" xfId="299"/>
    <cellStyle name="20% - Accent4 31" xfId="300"/>
    <cellStyle name="20% - Accent4 32" xfId="301"/>
    <cellStyle name="20% - Accent4 33" xfId="302"/>
    <cellStyle name="20% - Accent4 34" xfId="303"/>
    <cellStyle name="20% - Accent4 35" xfId="304"/>
    <cellStyle name="20% - Accent4 36" xfId="305"/>
    <cellStyle name="20% - Accent4 37" xfId="306"/>
    <cellStyle name="20% - Accent4 37 2" xfId="307"/>
    <cellStyle name="20% - Accent4 37 3" xfId="3914"/>
    <cellStyle name="20% - Accent4 38" xfId="308"/>
    <cellStyle name="20% - Accent4 39" xfId="9398"/>
    <cellStyle name="20% - Accent4 4" xfId="309"/>
    <cellStyle name="20% - Accent4 4 2" xfId="310"/>
    <cellStyle name="20% - Accent4 4 3" xfId="311"/>
    <cellStyle name="20% - Accent4 4 4" xfId="3915"/>
    <cellStyle name="20% - Accent4 5" xfId="312"/>
    <cellStyle name="20% - Accent4 5 2" xfId="313"/>
    <cellStyle name="20% - Accent4 6" xfId="314"/>
    <cellStyle name="20% - Accent4 6 2" xfId="315"/>
    <cellStyle name="20% - Accent4 7" xfId="316"/>
    <cellStyle name="20% - Accent4 7 2" xfId="317"/>
    <cellStyle name="20% - Accent4 8" xfId="318"/>
    <cellStyle name="20% - Accent4 8 2" xfId="319"/>
    <cellStyle name="20% - Accent4 9" xfId="320"/>
    <cellStyle name="20% - Accent4 9 2" xfId="321"/>
    <cellStyle name="20% - Accent5" xfId="5" builtinId="46" customBuiltin="1"/>
    <cellStyle name="20% - Accent5 10" xfId="322"/>
    <cellStyle name="20% - Accent5 10 2" xfId="323"/>
    <cellStyle name="20% - Accent5 11" xfId="324"/>
    <cellStyle name="20% - Accent5 11 2" xfId="325"/>
    <cellStyle name="20% - Accent5 12" xfId="326"/>
    <cellStyle name="20% - Accent5 12 2" xfId="327"/>
    <cellStyle name="20% - Accent5 13" xfId="328"/>
    <cellStyle name="20% - Accent5 13 2" xfId="329"/>
    <cellStyle name="20% - Accent5 14" xfId="330"/>
    <cellStyle name="20% - Accent5 14 2" xfId="331"/>
    <cellStyle name="20% - Accent5 15" xfId="332"/>
    <cellStyle name="20% - Accent5 15 2" xfId="333"/>
    <cellStyle name="20% - Accent5 16" xfId="334"/>
    <cellStyle name="20% - Accent5 16 2" xfId="335"/>
    <cellStyle name="20% - Accent5 17" xfId="336"/>
    <cellStyle name="20% - Accent5 17 2" xfId="337"/>
    <cellStyle name="20% - Accent5 18" xfId="338"/>
    <cellStyle name="20% - Accent5 18 2" xfId="339"/>
    <cellStyle name="20% - Accent5 19" xfId="340"/>
    <cellStyle name="20% - Accent5 19 2" xfId="341"/>
    <cellStyle name="20% - Accent5 2" xfId="342"/>
    <cellStyle name="20% - Accent5 2 2" xfId="343"/>
    <cellStyle name="20% - Accent5 2 2 2" xfId="344"/>
    <cellStyle name="20% - Accent5 2 2 3" xfId="3916"/>
    <cellStyle name="20% - Accent5 2 3" xfId="345"/>
    <cellStyle name="20% - Accent5 2 3 2" xfId="346"/>
    <cellStyle name="20% - Accent5 2 3 3" xfId="3917"/>
    <cellStyle name="20% - Accent5 20" xfId="347"/>
    <cellStyle name="20% - Accent5 21" xfId="348"/>
    <cellStyle name="20% - Accent5 22" xfId="349"/>
    <cellStyle name="20% - Accent5 23" xfId="350"/>
    <cellStyle name="20% - Accent5 24" xfId="351"/>
    <cellStyle name="20% - Accent5 25" xfId="352"/>
    <cellStyle name="20% - Accent5 26" xfId="353"/>
    <cellStyle name="20% - Accent5 27" xfId="354"/>
    <cellStyle name="20% - Accent5 28" xfId="355"/>
    <cellStyle name="20% - Accent5 29" xfId="356"/>
    <cellStyle name="20% - Accent5 3" xfId="357"/>
    <cellStyle name="20% - Accent5 3 2" xfId="358"/>
    <cellStyle name="20% - Accent5 3 3" xfId="359"/>
    <cellStyle name="20% - Accent5 3 4" xfId="3918"/>
    <cellStyle name="20% - Accent5 30" xfId="360"/>
    <cellStyle name="20% - Accent5 31" xfId="361"/>
    <cellStyle name="20% - Accent5 32" xfId="362"/>
    <cellStyle name="20% - Accent5 33" xfId="363"/>
    <cellStyle name="20% - Accent5 34" xfId="364"/>
    <cellStyle name="20% - Accent5 35" xfId="365"/>
    <cellStyle name="20% - Accent5 36" xfId="366"/>
    <cellStyle name="20% - Accent5 37" xfId="367"/>
    <cellStyle name="20% - Accent5 37 2" xfId="368"/>
    <cellStyle name="20% - Accent5 37 3" xfId="3919"/>
    <cellStyle name="20% - Accent5 38" xfId="369"/>
    <cellStyle name="20% - Accent5 39" xfId="9399"/>
    <cellStyle name="20% - Accent5 4" xfId="370"/>
    <cellStyle name="20% - Accent5 4 2" xfId="371"/>
    <cellStyle name="20% - Accent5 4 3" xfId="372"/>
    <cellStyle name="20% - Accent5 4 4" xfId="3920"/>
    <cellStyle name="20% - Accent5 5" xfId="373"/>
    <cellStyle name="20% - Accent5 5 2" xfId="374"/>
    <cellStyle name="20% - Accent5 6" xfId="375"/>
    <cellStyle name="20% - Accent5 6 2" xfId="376"/>
    <cellStyle name="20% - Accent5 7" xfId="377"/>
    <cellStyle name="20% - Accent5 7 2" xfId="378"/>
    <cellStyle name="20% - Accent5 8" xfId="379"/>
    <cellStyle name="20% - Accent5 8 2" xfId="380"/>
    <cellStyle name="20% - Accent5 9" xfId="381"/>
    <cellStyle name="20% - Accent5 9 2" xfId="382"/>
    <cellStyle name="20% - Accent6" xfId="6" builtinId="50" customBuiltin="1"/>
    <cellStyle name="20% - Accent6 10" xfId="383"/>
    <cellStyle name="20% - Accent6 10 2" xfId="384"/>
    <cellStyle name="20% - Accent6 11" xfId="385"/>
    <cellStyle name="20% - Accent6 11 2" xfId="386"/>
    <cellStyle name="20% - Accent6 12" xfId="387"/>
    <cellStyle name="20% - Accent6 12 2" xfId="388"/>
    <cellStyle name="20% - Accent6 13" xfId="389"/>
    <cellStyle name="20% - Accent6 13 2" xfId="390"/>
    <cellStyle name="20% - Accent6 14" xfId="391"/>
    <cellStyle name="20% - Accent6 14 2" xfId="392"/>
    <cellStyle name="20% - Accent6 15" xfId="393"/>
    <cellStyle name="20% - Accent6 15 2" xfId="394"/>
    <cellStyle name="20% - Accent6 16" xfId="395"/>
    <cellStyle name="20% - Accent6 16 2" xfId="396"/>
    <cellStyle name="20% - Accent6 17" xfId="397"/>
    <cellStyle name="20% - Accent6 17 2" xfId="398"/>
    <cellStyle name="20% - Accent6 18" xfId="399"/>
    <cellStyle name="20% - Accent6 18 2" xfId="400"/>
    <cellStyle name="20% - Accent6 19" xfId="401"/>
    <cellStyle name="20% - Accent6 19 2" xfId="402"/>
    <cellStyle name="20% - Accent6 2" xfId="403"/>
    <cellStyle name="20% - Accent6 2 2" xfId="404"/>
    <cellStyle name="20% - Accent6 2 2 2" xfId="405"/>
    <cellStyle name="20% - Accent6 2 2 3" xfId="3921"/>
    <cellStyle name="20% - Accent6 2 3" xfId="406"/>
    <cellStyle name="20% - Accent6 2 3 2" xfId="407"/>
    <cellStyle name="20% - Accent6 2 3 3" xfId="3922"/>
    <cellStyle name="20% - Accent6 20" xfId="408"/>
    <cellStyle name="20% - Accent6 21" xfId="409"/>
    <cellStyle name="20% - Accent6 22" xfId="410"/>
    <cellStyle name="20% - Accent6 23" xfId="411"/>
    <cellStyle name="20% - Accent6 24" xfId="412"/>
    <cellStyle name="20% - Accent6 25" xfId="413"/>
    <cellStyle name="20% - Accent6 26" xfId="414"/>
    <cellStyle name="20% - Accent6 27" xfId="415"/>
    <cellStyle name="20% - Accent6 28" xfId="416"/>
    <cellStyle name="20% - Accent6 29" xfId="417"/>
    <cellStyle name="20% - Accent6 3" xfId="418"/>
    <cellStyle name="20% - Accent6 3 2" xfId="419"/>
    <cellStyle name="20% - Accent6 3 3" xfId="420"/>
    <cellStyle name="20% - Accent6 3 4" xfId="3923"/>
    <cellStyle name="20% - Accent6 30" xfId="421"/>
    <cellStyle name="20% - Accent6 31" xfId="422"/>
    <cellStyle name="20% - Accent6 32" xfId="423"/>
    <cellStyle name="20% - Accent6 33" xfId="424"/>
    <cellStyle name="20% - Accent6 34" xfId="425"/>
    <cellStyle name="20% - Accent6 35" xfId="426"/>
    <cellStyle name="20% - Accent6 36" xfId="427"/>
    <cellStyle name="20% - Accent6 37" xfId="428"/>
    <cellStyle name="20% - Accent6 37 2" xfId="429"/>
    <cellStyle name="20% - Accent6 37 3" xfId="3924"/>
    <cellStyle name="20% - Accent6 38" xfId="430"/>
    <cellStyle name="20% - Accent6 39" xfId="9400"/>
    <cellStyle name="20% - Accent6 4" xfId="431"/>
    <cellStyle name="20% - Accent6 4 2" xfId="432"/>
    <cellStyle name="20% - Accent6 4 3" xfId="433"/>
    <cellStyle name="20% - Accent6 4 4" xfId="3925"/>
    <cellStyle name="20% - Accent6 5" xfId="434"/>
    <cellStyle name="20% - Accent6 5 2" xfId="435"/>
    <cellStyle name="20% - Accent6 6" xfId="436"/>
    <cellStyle name="20% - Accent6 6 2" xfId="437"/>
    <cellStyle name="20% - Accent6 7" xfId="438"/>
    <cellStyle name="20% - Accent6 7 2" xfId="439"/>
    <cellStyle name="20% - Accent6 8" xfId="440"/>
    <cellStyle name="20% - Accent6 8 2" xfId="441"/>
    <cellStyle name="20% - Accent6 9" xfId="442"/>
    <cellStyle name="20% - Accent6 9 2" xfId="443"/>
    <cellStyle name="40% - Accent1" xfId="7" builtinId="31" customBuiltin="1"/>
    <cellStyle name="40% - Accent1 10" xfId="444"/>
    <cellStyle name="40% - Accent1 10 2" xfId="445"/>
    <cellStyle name="40% - Accent1 11" xfId="446"/>
    <cellStyle name="40% - Accent1 11 2" xfId="447"/>
    <cellStyle name="40% - Accent1 12" xfId="448"/>
    <cellStyle name="40% - Accent1 12 2" xfId="449"/>
    <cellStyle name="40% - Accent1 13" xfId="450"/>
    <cellStyle name="40% - Accent1 13 2" xfId="451"/>
    <cellStyle name="40% - Accent1 14" xfId="452"/>
    <cellStyle name="40% - Accent1 14 2" xfId="453"/>
    <cellStyle name="40% - Accent1 15" xfId="454"/>
    <cellStyle name="40% - Accent1 15 2" xfId="455"/>
    <cellStyle name="40% - Accent1 16" xfId="456"/>
    <cellStyle name="40% - Accent1 16 2" xfId="457"/>
    <cellStyle name="40% - Accent1 17" xfId="458"/>
    <cellStyle name="40% - Accent1 17 2" xfId="459"/>
    <cellStyle name="40% - Accent1 18" xfId="460"/>
    <cellStyle name="40% - Accent1 18 2" xfId="461"/>
    <cellStyle name="40% - Accent1 19" xfId="462"/>
    <cellStyle name="40% - Accent1 19 2" xfId="463"/>
    <cellStyle name="40% - Accent1 2" xfId="464"/>
    <cellStyle name="40% - Accent1 2 2" xfId="465"/>
    <cellStyle name="40% - Accent1 2 2 2" xfId="466"/>
    <cellStyle name="40% - Accent1 2 2 3" xfId="3926"/>
    <cellStyle name="40% - Accent1 2 3" xfId="467"/>
    <cellStyle name="40% - Accent1 2 3 2" xfId="468"/>
    <cellStyle name="40% - Accent1 2 3 3" xfId="3927"/>
    <cellStyle name="40% - Accent1 20" xfId="469"/>
    <cellStyle name="40% - Accent1 21" xfId="470"/>
    <cellStyle name="40% - Accent1 22" xfId="471"/>
    <cellStyle name="40% - Accent1 23" xfId="472"/>
    <cellStyle name="40% - Accent1 24" xfId="473"/>
    <cellStyle name="40% - Accent1 25" xfId="474"/>
    <cellStyle name="40% - Accent1 26" xfId="475"/>
    <cellStyle name="40% - Accent1 27" xfId="476"/>
    <cellStyle name="40% - Accent1 28" xfId="477"/>
    <cellStyle name="40% - Accent1 29" xfId="478"/>
    <cellStyle name="40% - Accent1 3" xfId="479"/>
    <cellStyle name="40% - Accent1 3 2" xfId="480"/>
    <cellStyle name="40% - Accent1 3 3" xfId="481"/>
    <cellStyle name="40% - Accent1 3 4" xfId="3928"/>
    <cellStyle name="40% - Accent1 30" xfId="482"/>
    <cellStyle name="40% - Accent1 31" xfId="483"/>
    <cellStyle name="40% - Accent1 32" xfId="484"/>
    <cellStyle name="40% - Accent1 33" xfId="485"/>
    <cellStyle name="40% - Accent1 34" xfId="486"/>
    <cellStyle name="40% - Accent1 35" xfId="487"/>
    <cellStyle name="40% - Accent1 36" xfId="488"/>
    <cellStyle name="40% - Accent1 37" xfId="489"/>
    <cellStyle name="40% - Accent1 37 2" xfId="490"/>
    <cellStyle name="40% - Accent1 37 3" xfId="3929"/>
    <cellStyle name="40% - Accent1 38" xfId="491"/>
    <cellStyle name="40% - Accent1 39" xfId="9401"/>
    <cellStyle name="40% - Accent1 4" xfId="492"/>
    <cellStyle name="40% - Accent1 4 2" xfId="493"/>
    <cellStyle name="40% - Accent1 4 3" xfId="494"/>
    <cellStyle name="40% - Accent1 4 4" xfId="3930"/>
    <cellStyle name="40% - Accent1 5" xfId="495"/>
    <cellStyle name="40% - Accent1 5 2" xfId="496"/>
    <cellStyle name="40% - Accent1 6" xfId="497"/>
    <cellStyle name="40% - Accent1 6 2" xfId="498"/>
    <cellStyle name="40% - Accent1 7" xfId="499"/>
    <cellStyle name="40% - Accent1 7 2" xfId="500"/>
    <cellStyle name="40% - Accent1 8" xfId="501"/>
    <cellStyle name="40% - Accent1 8 2" xfId="502"/>
    <cellStyle name="40% - Accent1 9" xfId="503"/>
    <cellStyle name="40% - Accent1 9 2" xfId="504"/>
    <cellStyle name="40% - Accent2" xfId="8" builtinId="35" customBuiltin="1"/>
    <cellStyle name="40% - Accent2 10" xfId="505"/>
    <cellStyle name="40% - Accent2 10 2" xfId="506"/>
    <cellStyle name="40% - Accent2 11" xfId="507"/>
    <cellStyle name="40% - Accent2 11 2" xfId="508"/>
    <cellStyle name="40% - Accent2 12" xfId="509"/>
    <cellStyle name="40% - Accent2 12 2" xfId="510"/>
    <cellStyle name="40% - Accent2 13" xfId="511"/>
    <cellStyle name="40% - Accent2 13 2" xfId="512"/>
    <cellStyle name="40% - Accent2 14" xfId="513"/>
    <cellStyle name="40% - Accent2 14 2" xfId="514"/>
    <cellStyle name="40% - Accent2 15" xfId="515"/>
    <cellStyle name="40% - Accent2 15 2" xfId="516"/>
    <cellStyle name="40% - Accent2 16" xfId="517"/>
    <cellStyle name="40% - Accent2 16 2" xfId="518"/>
    <cellStyle name="40% - Accent2 17" xfId="519"/>
    <cellStyle name="40% - Accent2 17 2" xfId="520"/>
    <cellStyle name="40% - Accent2 18" xfId="521"/>
    <cellStyle name="40% - Accent2 18 2" xfId="522"/>
    <cellStyle name="40% - Accent2 19" xfId="523"/>
    <cellStyle name="40% - Accent2 19 2" xfId="524"/>
    <cellStyle name="40% - Accent2 2" xfId="525"/>
    <cellStyle name="40% - Accent2 2 2" xfId="526"/>
    <cellStyle name="40% - Accent2 2 2 2" xfId="527"/>
    <cellStyle name="40% - Accent2 2 2 3" xfId="3931"/>
    <cellStyle name="40% - Accent2 2 3" xfId="528"/>
    <cellStyle name="40% - Accent2 2 3 2" xfId="529"/>
    <cellStyle name="40% - Accent2 2 3 3" xfId="3932"/>
    <cellStyle name="40% - Accent2 20" xfId="530"/>
    <cellStyle name="40% - Accent2 21" xfId="531"/>
    <cellStyle name="40% - Accent2 22" xfId="532"/>
    <cellStyle name="40% - Accent2 23" xfId="533"/>
    <cellStyle name="40% - Accent2 24" xfId="534"/>
    <cellStyle name="40% - Accent2 25" xfId="535"/>
    <cellStyle name="40% - Accent2 26" xfId="536"/>
    <cellStyle name="40% - Accent2 27" xfId="537"/>
    <cellStyle name="40% - Accent2 28" xfId="538"/>
    <cellStyle name="40% - Accent2 29" xfId="539"/>
    <cellStyle name="40% - Accent2 3" xfId="540"/>
    <cellStyle name="40% - Accent2 3 2" xfId="541"/>
    <cellStyle name="40% - Accent2 3 3" xfId="542"/>
    <cellStyle name="40% - Accent2 3 4" xfId="3933"/>
    <cellStyle name="40% - Accent2 30" xfId="543"/>
    <cellStyle name="40% - Accent2 31" xfId="544"/>
    <cellStyle name="40% - Accent2 32" xfId="545"/>
    <cellStyle name="40% - Accent2 33" xfId="546"/>
    <cellStyle name="40% - Accent2 34" xfId="547"/>
    <cellStyle name="40% - Accent2 35" xfId="548"/>
    <cellStyle name="40% - Accent2 36" xfId="549"/>
    <cellStyle name="40% - Accent2 37" xfId="550"/>
    <cellStyle name="40% - Accent2 37 2" xfId="551"/>
    <cellStyle name="40% - Accent2 37 3" xfId="3934"/>
    <cellStyle name="40% - Accent2 38" xfId="552"/>
    <cellStyle name="40% - Accent2 39" xfId="9402"/>
    <cellStyle name="40% - Accent2 4" xfId="553"/>
    <cellStyle name="40% - Accent2 4 2" xfId="554"/>
    <cellStyle name="40% - Accent2 4 3" xfId="555"/>
    <cellStyle name="40% - Accent2 4 4" xfId="3935"/>
    <cellStyle name="40% - Accent2 5" xfId="556"/>
    <cellStyle name="40% - Accent2 5 2" xfId="557"/>
    <cellStyle name="40% - Accent2 6" xfId="558"/>
    <cellStyle name="40% - Accent2 6 2" xfId="559"/>
    <cellStyle name="40% - Accent2 7" xfId="560"/>
    <cellStyle name="40% - Accent2 7 2" xfId="561"/>
    <cellStyle name="40% - Accent2 8" xfId="562"/>
    <cellStyle name="40% - Accent2 8 2" xfId="563"/>
    <cellStyle name="40% - Accent2 9" xfId="564"/>
    <cellStyle name="40% - Accent2 9 2" xfId="565"/>
    <cellStyle name="40% - Accent3" xfId="9" builtinId="39" customBuiltin="1"/>
    <cellStyle name="40% - Accent3 10" xfId="566"/>
    <cellStyle name="40% - Accent3 10 2" xfId="567"/>
    <cellStyle name="40% - Accent3 11" xfId="568"/>
    <cellStyle name="40% - Accent3 11 2" xfId="569"/>
    <cellStyle name="40% - Accent3 12" xfId="570"/>
    <cellStyle name="40% - Accent3 12 2" xfId="571"/>
    <cellStyle name="40% - Accent3 13" xfId="572"/>
    <cellStyle name="40% - Accent3 13 2" xfId="573"/>
    <cellStyle name="40% - Accent3 14" xfId="574"/>
    <cellStyle name="40% - Accent3 14 2" xfId="575"/>
    <cellStyle name="40% - Accent3 15" xfId="576"/>
    <cellStyle name="40% - Accent3 15 2" xfId="577"/>
    <cellStyle name="40% - Accent3 16" xfId="578"/>
    <cellStyle name="40% - Accent3 16 2" xfId="579"/>
    <cellStyle name="40% - Accent3 17" xfId="580"/>
    <cellStyle name="40% - Accent3 17 2" xfId="581"/>
    <cellStyle name="40% - Accent3 18" xfId="582"/>
    <cellStyle name="40% - Accent3 18 2" xfId="583"/>
    <cellStyle name="40% - Accent3 19" xfId="584"/>
    <cellStyle name="40% - Accent3 19 2" xfId="585"/>
    <cellStyle name="40% - Accent3 2" xfId="586"/>
    <cellStyle name="40% - Accent3 2 2" xfId="587"/>
    <cellStyle name="40% - Accent3 2 2 2" xfId="588"/>
    <cellStyle name="40% - Accent3 2 2 3" xfId="3936"/>
    <cellStyle name="40% - Accent3 2 3" xfId="589"/>
    <cellStyle name="40% - Accent3 2 3 2" xfId="590"/>
    <cellStyle name="40% - Accent3 2 3 3" xfId="3937"/>
    <cellStyle name="40% - Accent3 20" xfId="591"/>
    <cellStyle name="40% - Accent3 21" xfId="592"/>
    <cellStyle name="40% - Accent3 22" xfId="593"/>
    <cellStyle name="40% - Accent3 23" xfId="594"/>
    <cellStyle name="40% - Accent3 24" xfId="595"/>
    <cellStyle name="40% - Accent3 25" xfId="596"/>
    <cellStyle name="40% - Accent3 26" xfId="597"/>
    <cellStyle name="40% - Accent3 27" xfId="598"/>
    <cellStyle name="40% - Accent3 28" xfId="599"/>
    <cellStyle name="40% - Accent3 29" xfId="600"/>
    <cellStyle name="40% - Accent3 3" xfId="601"/>
    <cellStyle name="40% - Accent3 3 2" xfId="602"/>
    <cellStyle name="40% - Accent3 3 3" xfId="603"/>
    <cellStyle name="40% - Accent3 3 4" xfId="3938"/>
    <cellStyle name="40% - Accent3 30" xfId="604"/>
    <cellStyle name="40% - Accent3 31" xfId="605"/>
    <cellStyle name="40% - Accent3 32" xfId="606"/>
    <cellStyle name="40% - Accent3 33" xfId="607"/>
    <cellStyle name="40% - Accent3 34" xfId="608"/>
    <cellStyle name="40% - Accent3 35" xfId="609"/>
    <cellStyle name="40% - Accent3 36" xfId="610"/>
    <cellStyle name="40% - Accent3 37" xfId="611"/>
    <cellStyle name="40% - Accent3 37 2" xfId="612"/>
    <cellStyle name="40% - Accent3 37 3" xfId="3939"/>
    <cellStyle name="40% - Accent3 38" xfId="613"/>
    <cellStyle name="40% - Accent3 39" xfId="9403"/>
    <cellStyle name="40% - Accent3 4" xfId="614"/>
    <cellStyle name="40% - Accent3 4 2" xfId="615"/>
    <cellStyle name="40% - Accent3 4 3" xfId="616"/>
    <cellStyle name="40% - Accent3 4 4" xfId="3940"/>
    <cellStyle name="40% - Accent3 5" xfId="617"/>
    <cellStyle name="40% - Accent3 5 2" xfId="618"/>
    <cellStyle name="40% - Accent3 6" xfId="619"/>
    <cellStyle name="40% - Accent3 6 2" xfId="620"/>
    <cellStyle name="40% - Accent3 7" xfId="621"/>
    <cellStyle name="40% - Accent3 7 2" xfId="622"/>
    <cellStyle name="40% - Accent3 8" xfId="623"/>
    <cellStyle name="40% - Accent3 8 2" xfId="624"/>
    <cellStyle name="40% - Accent3 9" xfId="625"/>
    <cellStyle name="40% - Accent3 9 2" xfId="626"/>
    <cellStyle name="40% - Accent4" xfId="10" builtinId="43" customBuiltin="1"/>
    <cellStyle name="40% - Accent4 10" xfId="627"/>
    <cellStyle name="40% - Accent4 10 2" xfId="628"/>
    <cellStyle name="40% - Accent4 11" xfId="629"/>
    <cellStyle name="40% - Accent4 11 2" xfId="630"/>
    <cellStyle name="40% - Accent4 12" xfId="631"/>
    <cellStyle name="40% - Accent4 12 2" xfId="632"/>
    <cellStyle name="40% - Accent4 13" xfId="633"/>
    <cellStyle name="40% - Accent4 13 2" xfId="634"/>
    <cellStyle name="40% - Accent4 14" xfId="635"/>
    <cellStyle name="40% - Accent4 14 2" xfId="636"/>
    <cellStyle name="40% - Accent4 15" xfId="637"/>
    <cellStyle name="40% - Accent4 15 2" xfId="638"/>
    <cellStyle name="40% - Accent4 16" xfId="639"/>
    <cellStyle name="40% - Accent4 16 2" xfId="640"/>
    <cellStyle name="40% - Accent4 17" xfId="641"/>
    <cellStyle name="40% - Accent4 17 2" xfId="642"/>
    <cellStyle name="40% - Accent4 18" xfId="643"/>
    <cellStyle name="40% - Accent4 18 2" xfId="644"/>
    <cellStyle name="40% - Accent4 19" xfId="645"/>
    <cellStyle name="40% - Accent4 19 2" xfId="646"/>
    <cellStyle name="40% - Accent4 2" xfId="647"/>
    <cellStyle name="40% - Accent4 2 2" xfId="648"/>
    <cellStyle name="40% - Accent4 2 2 2" xfId="649"/>
    <cellStyle name="40% - Accent4 2 2 3" xfId="3941"/>
    <cellStyle name="40% - Accent4 2 3" xfId="650"/>
    <cellStyle name="40% - Accent4 2 3 2" xfId="651"/>
    <cellStyle name="40% - Accent4 2 3 3" xfId="3942"/>
    <cellStyle name="40% - Accent4 20" xfId="652"/>
    <cellStyle name="40% - Accent4 21" xfId="653"/>
    <cellStyle name="40% - Accent4 22" xfId="654"/>
    <cellStyle name="40% - Accent4 23" xfId="655"/>
    <cellStyle name="40% - Accent4 24" xfId="656"/>
    <cellStyle name="40% - Accent4 25" xfId="657"/>
    <cellStyle name="40% - Accent4 26" xfId="658"/>
    <cellStyle name="40% - Accent4 27" xfId="659"/>
    <cellStyle name="40% - Accent4 28" xfId="660"/>
    <cellStyle name="40% - Accent4 29" xfId="661"/>
    <cellStyle name="40% - Accent4 3" xfId="662"/>
    <cellStyle name="40% - Accent4 3 2" xfId="663"/>
    <cellStyle name="40% - Accent4 3 3" xfId="664"/>
    <cellStyle name="40% - Accent4 3 4" xfId="3943"/>
    <cellStyle name="40% - Accent4 30" xfId="665"/>
    <cellStyle name="40% - Accent4 31" xfId="666"/>
    <cellStyle name="40% - Accent4 32" xfId="667"/>
    <cellStyle name="40% - Accent4 33" xfId="668"/>
    <cellStyle name="40% - Accent4 34" xfId="669"/>
    <cellStyle name="40% - Accent4 35" xfId="670"/>
    <cellStyle name="40% - Accent4 36" xfId="671"/>
    <cellStyle name="40% - Accent4 37" xfId="672"/>
    <cellStyle name="40% - Accent4 37 2" xfId="673"/>
    <cellStyle name="40% - Accent4 37 3" xfId="3944"/>
    <cellStyle name="40% - Accent4 38" xfId="674"/>
    <cellStyle name="40% - Accent4 39" xfId="9404"/>
    <cellStyle name="40% - Accent4 4" xfId="675"/>
    <cellStyle name="40% - Accent4 4 2" xfId="676"/>
    <cellStyle name="40% - Accent4 4 3" xfId="677"/>
    <cellStyle name="40% - Accent4 4 4" xfId="3945"/>
    <cellStyle name="40% - Accent4 5" xfId="678"/>
    <cellStyle name="40% - Accent4 5 2" xfId="679"/>
    <cellStyle name="40% - Accent4 6" xfId="680"/>
    <cellStyle name="40% - Accent4 6 2" xfId="681"/>
    <cellStyle name="40% - Accent4 7" xfId="682"/>
    <cellStyle name="40% - Accent4 7 2" xfId="683"/>
    <cellStyle name="40% - Accent4 8" xfId="684"/>
    <cellStyle name="40% - Accent4 8 2" xfId="685"/>
    <cellStyle name="40% - Accent4 9" xfId="686"/>
    <cellStyle name="40% - Accent4 9 2" xfId="687"/>
    <cellStyle name="40% - Accent5" xfId="11" builtinId="47" customBuiltin="1"/>
    <cellStyle name="40% - Accent5 10" xfId="688"/>
    <cellStyle name="40% - Accent5 10 2" xfId="689"/>
    <cellStyle name="40% - Accent5 11" xfId="690"/>
    <cellStyle name="40% - Accent5 11 2" xfId="691"/>
    <cellStyle name="40% - Accent5 12" xfId="692"/>
    <cellStyle name="40% - Accent5 12 2" xfId="693"/>
    <cellStyle name="40% - Accent5 13" xfId="694"/>
    <cellStyle name="40% - Accent5 13 2" xfId="695"/>
    <cellStyle name="40% - Accent5 14" xfId="696"/>
    <cellStyle name="40% - Accent5 14 2" xfId="697"/>
    <cellStyle name="40% - Accent5 15" xfId="698"/>
    <cellStyle name="40% - Accent5 15 2" xfId="699"/>
    <cellStyle name="40% - Accent5 16" xfId="700"/>
    <cellStyle name="40% - Accent5 16 2" xfId="701"/>
    <cellStyle name="40% - Accent5 17" xfId="702"/>
    <cellStyle name="40% - Accent5 17 2" xfId="703"/>
    <cellStyle name="40% - Accent5 18" xfId="704"/>
    <cellStyle name="40% - Accent5 18 2" xfId="705"/>
    <cellStyle name="40% - Accent5 19" xfId="706"/>
    <cellStyle name="40% - Accent5 19 2" xfId="707"/>
    <cellStyle name="40% - Accent5 2" xfId="708"/>
    <cellStyle name="40% - Accent5 2 2" xfId="709"/>
    <cellStyle name="40% - Accent5 2 2 2" xfId="710"/>
    <cellStyle name="40% - Accent5 2 2 3" xfId="3946"/>
    <cellStyle name="40% - Accent5 2 3" xfId="711"/>
    <cellStyle name="40% - Accent5 2 3 2" xfId="712"/>
    <cellStyle name="40% - Accent5 2 3 3" xfId="3947"/>
    <cellStyle name="40% - Accent5 20" xfId="713"/>
    <cellStyle name="40% - Accent5 21" xfId="714"/>
    <cellStyle name="40% - Accent5 22" xfId="715"/>
    <cellStyle name="40% - Accent5 23" xfId="716"/>
    <cellStyle name="40% - Accent5 24" xfId="717"/>
    <cellStyle name="40% - Accent5 25" xfId="718"/>
    <cellStyle name="40% - Accent5 26" xfId="719"/>
    <cellStyle name="40% - Accent5 27" xfId="720"/>
    <cellStyle name="40% - Accent5 28" xfId="721"/>
    <cellStyle name="40% - Accent5 29" xfId="722"/>
    <cellStyle name="40% - Accent5 3" xfId="723"/>
    <cellStyle name="40% - Accent5 3 2" xfId="724"/>
    <cellStyle name="40% - Accent5 3 3" xfId="725"/>
    <cellStyle name="40% - Accent5 3 4" xfId="3948"/>
    <cellStyle name="40% - Accent5 30" xfId="726"/>
    <cellStyle name="40% - Accent5 31" xfId="727"/>
    <cellStyle name="40% - Accent5 32" xfId="728"/>
    <cellStyle name="40% - Accent5 33" xfId="729"/>
    <cellStyle name="40% - Accent5 34" xfId="730"/>
    <cellStyle name="40% - Accent5 35" xfId="731"/>
    <cellStyle name="40% - Accent5 36" xfId="732"/>
    <cellStyle name="40% - Accent5 37" xfId="733"/>
    <cellStyle name="40% - Accent5 37 2" xfId="734"/>
    <cellStyle name="40% - Accent5 37 3" xfId="3949"/>
    <cellStyle name="40% - Accent5 38" xfId="735"/>
    <cellStyle name="40% - Accent5 39" xfId="9405"/>
    <cellStyle name="40% - Accent5 4" xfId="736"/>
    <cellStyle name="40% - Accent5 4 2" xfId="737"/>
    <cellStyle name="40% - Accent5 4 3" xfId="738"/>
    <cellStyle name="40% - Accent5 4 4" xfId="3950"/>
    <cellStyle name="40% - Accent5 5" xfId="739"/>
    <cellStyle name="40% - Accent5 5 2" xfId="740"/>
    <cellStyle name="40% - Accent5 6" xfId="741"/>
    <cellStyle name="40% - Accent5 6 2" xfId="742"/>
    <cellStyle name="40% - Accent5 7" xfId="743"/>
    <cellStyle name="40% - Accent5 7 2" xfId="744"/>
    <cellStyle name="40% - Accent5 8" xfId="745"/>
    <cellStyle name="40% - Accent5 8 2" xfId="746"/>
    <cellStyle name="40% - Accent5 9" xfId="747"/>
    <cellStyle name="40% - Accent5 9 2" xfId="748"/>
    <cellStyle name="40% - Accent6" xfId="12" builtinId="51" customBuiltin="1"/>
    <cellStyle name="40% - Accent6 10" xfId="749"/>
    <cellStyle name="40% - Accent6 10 2" xfId="750"/>
    <cellStyle name="40% - Accent6 11" xfId="751"/>
    <cellStyle name="40% - Accent6 11 2" xfId="752"/>
    <cellStyle name="40% - Accent6 12" xfId="753"/>
    <cellStyle name="40% - Accent6 12 2" xfId="754"/>
    <cellStyle name="40% - Accent6 13" xfId="755"/>
    <cellStyle name="40% - Accent6 13 2" xfId="756"/>
    <cellStyle name="40% - Accent6 14" xfId="757"/>
    <cellStyle name="40% - Accent6 14 2" xfId="758"/>
    <cellStyle name="40% - Accent6 15" xfId="759"/>
    <cellStyle name="40% - Accent6 15 2" xfId="760"/>
    <cellStyle name="40% - Accent6 16" xfId="761"/>
    <cellStyle name="40% - Accent6 16 2" xfId="762"/>
    <cellStyle name="40% - Accent6 17" xfId="763"/>
    <cellStyle name="40% - Accent6 17 2" xfId="764"/>
    <cellStyle name="40% - Accent6 18" xfId="765"/>
    <cellStyle name="40% - Accent6 18 2" xfId="766"/>
    <cellStyle name="40% - Accent6 19" xfId="767"/>
    <cellStyle name="40% - Accent6 19 2" xfId="768"/>
    <cellStyle name="40% - Accent6 2" xfId="769"/>
    <cellStyle name="40% - Accent6 2 2" xfId="770"/>
    <cellStyle name="40% - Accent6 2 2 2" xfId="771"/>
    <cellStyle name="40% - Accent6 2 2 3" xfId="3951"/>
    <cellStyle name="40% - Accent6 2 3" xfId="772"/>
    <cellStyle name="40% - Accent6 2 3 2" xfId="773"/>
    <cellStyle name="40% - Accent6 2 3 3" xfId="3952"/>
    <cellStyle name="40% - Accent6 20" xfId="774"/>
    <cellStyle name="40% - Accent6 21" xfId="775"/>
    <cellStyle name="40% - Accent6 22" xfId="776"/>
    <cellStyle name="40% - Accent6 23" xfId="777"/>
    <cellStyle name="40% - Accent6 24" xfId="778"/>
    <cellStyle name="40% - Accent6 25" xfId="779"/>
    <cellStyle name="40% - Accent6 26" xfId="780"/>
    <cellStyle name="40% - Accent6 27" xfId="781"/>
    <cellStyle name="40% - Accent6 28" xfId="782"/>
    <cellStyle name="40% - Accent6 29" xfId="783"/>
    <cellStyle name="40% - Accent6 3" xfId="784"/>
    <cellStyle name="40% - Accent6 3 2" xfId="785"/>
    <cellStyle name="40% - Accent6 3 3" xfId="786"/>
    <cellStyle name="40% - Accent6 3 4" xfId="3953"/>
    <cellStyle name="40% - Accent6 30" xfId="787"/>
    <cellStyle name="40% - Accent6 31" xfId="788"/>
    <cellStyle name="40% - Accent6 32" xfId="789"/>
    <cellStyle name="40% - Accent6 33" xfId="790"/>
    <cellStyle name="40% - Accent6 34" xfId="791"/>
    <cellStyle name="40% - Accent6 35" xfId="792"/>
    <cellStyle name="40% - Accent6 36" xfId="793"/>
    <cellStyle name="40% - Accent6 37" xfId="794"/>
    <cellStyle name="40% - Accent6 37 2" xfId="795"/>
    <cellStyle name="40% - Accent6 37 3" xfId="3954"/>
    <cellStyle name="40% - Accent6 38" xfId="796"/>
    <cellStyle name="40% - Accent6 39" xfId="9406"/>
    <cellStyle name="40% - Accent6 4" xfId="797"/>
    <cellStyle name="40% - Accent6 4 2" xfId="798"/>
    <cellStyle name="40% - Accent6 4 3" xfId="799"/>
    <cellStyle name="40% - Accent6 4 4" xfId="3955"/>
    <cellStyle name="40% - Accent6 5" xfId="800"/>
    <cellStyle name="40% - Accent6 5 2" xfId="801"/>
    <cellStyle name="40% - Accent6 6" xfId="802"/>
    <cellStyle name="40% - Accent6 6 2" xfId="803"/>
    <cellStyle name="40% - Accent6 7" xfId="804"/>
    <cellStyle name="40% - Accent6 7 2" xfId="805"/>
    <cellStyle name="40% - Accent6 8" xfId="806"/>
    <cellStyle name="40% - Accent6 8 2" xfId="807"/>
    <cellStyle name="40% - Accent6 9" xfId="808"/>
    <cellStyle name="40% - Accent6 9 2" xfId="809"/>
    <cellStyle name="60% - Accent1" xfId="13" builtinId="32" customBuiltin="1"/>
    <cellStyle name="60% - Accent1 10" xfId="810"/>
    <cellStyle name="60% - Accent1 10 2" xfId="811"/>
    <cellStyle name="60% - Accent1 11" xfId="812"/>
    <cellStyle name="60% - Accent1 11 2" xfId="813"/>
    <cellStyle name="60% - Accent1 12" xfId="814"/>
    <cellStyle name="60% - Accent1 12 2" xfId="815"/>
    <cellStyle name="60% - Accent1 13" xfId="816"/>
    <cellStyle name="60% - Accent1 13 2" xfId="817"/>
    <cellStyle name="60% - Accent1 14" xfId="818"/>
    <cellStyle name="60% - Accent1 14 2" xfId="819"/>
    <cellStyle name="60% - Accent1 15" xfId="820"/>
    <cellStyle name="60% - Accent1 15 2" xfId="821"/>
    <cellStyle name="60% - Accent1 16" xfId="822"/>
    <cellStyle name="60% - Accent1 16 2" xfId="823"/>
    <cellStyle name="60% - Accent1 17" xfId="824"/>
    <cellStyle name="60% - Accent1 17 2" xfId="825"/>
    <cellStyle name="60% - Accent1 18" xfId="826"/>
    <cellStyle name="60% - Accent1 18 2" xfId="827"/>
    <cellStyle name="60% - Accent1 19" xfId="828"/>
    <cellStyle name="60% - Accent1 19 2" xfId="829"/>
    <cellStyle name="60% - Accent1 2" xfId="830"/>
    <cellStyle name="60% - Accent1 2 2" xfId="831"/>
    <cellStyle name="60% - Accent1 2 3" xfId="832"/>
    <cellStyle name="60% - Accent1 20" xfId="833"/>
    <cellStyle name="60% - Accent1 21" xfId="834"/>
    <cellStyle name="60% - Accent1 22" xfId="835"/>
    <cellStyle name="60% - Accent1 23" xfId="836"/>
    <cellStyle name="60% - Accent1 24" xfId="837"/>
    <cellStyle name="60% - Accent1 25" xfId="838"/>
    <cellStyle name="60% - Accent1 26" xfId="839"/>
    <cellStyle name="60% - Accent1 27" xfId="840"/>
    <cellStyle name="60% - Accent1 28" xfId="841"/>
    <cellStyle name="60% - Accent1 29" xfId="842"/>
    <cellStyle name="60% - Accent1 3" xfId="843"/>
    <cellStyle name="60% - Accent1 3 2" xfId="844"/>
    <cellStyle name="60% - Accent1 30" xfId="845"/>
    <cellStyle name="60% - Accent1 31" xfId="846"/>
    <cellStyle name="60% - Accent1 32" xfId="847"/>
    <cellStyle name="60% - Accent1 33" xfId="848"/>
    <cellStyle name="60% - Accent1 34" xfId="849"/>
    <cellStyle name="60% - Accent1 35" xfId="850"/>
    <cellStyle name="60% - Accent1 36" xfId="851"/>
    <cellStyle name="60% - Accent1 37" xfId="9407"/>
    <cellStyle name="60% - Accent1 4" xfId="852"/>
    <cellStyle name="60% - Accent1 4 2" xfId="853"/>
    <cellStyle name="60% - Accent1 5" xfId="854"/>
    <cellStyle name="60% - Accent1 5 2" xfId="855"/>
    <cellStyle name="60% - Accent1 6" xfId="856"/>
    <cellStyle name="60% - Accent1 6 2" xfId="857"/>
    <cellStyle name="60% - Accent1 7" xfId="858"/>
    <cellStyle name="60% - Accent1 7 2" xfId="859"/>
    <cellStyle name="60% - Accent1 8" xfId="860"/>
    <cellStyle name="60% - Accent1 8 2" xfId="861"/>
    <cellStyle name="60% - Accent1 9" xfId="862"/>
    <cellStyle name="60% - Accent1 9 2" xfId="863"/>
    <cellStyle name="60% - Accent2" xfId="14" builtinId="36" customBuiltin="1"/>
    <cellStyle name="60% - Accent2 10" xfId="864"/>
    <cellStyle name="60% - Accent2 10 2" xfId="865"/>
    <cellStyle name="60% - Accent2 11" xfId="866"/>
    <cellStyle name="60% - Accent2 11 2" xfId="867"/>
    <cellStyle name="60% - Accent2 12" xfId="868"/>
    <cellStyle name="60% - Accent2 12 2" xfId="869"/>
    <cellStyle name="60% - Accent2 13" xfId="870"/>
    <cellStyle name="60% - Accent2 13 2" xfId="871"/>
    <cellStyle name="60% - Accent2 14" xfId="872"/>
    <cellStyle name="60% - Accent2 14 2" xfId="873"/>
    <cellStyle name="60% - Accent2 15" xfId="874"/>
    <cellStyle name="60% - Accent2 15 2" xfId="875"/>
    <cellStyle name="60% - Accent2 16" xfId="876"/>
    <cellStyle name="60% - Accent2 16 2" xfId="877"/>
    <cellStyle name="60% - Accent2 17" xfId="878"/>
    <cellStyle name="60% - Accent2 17 2" xfId="879"/>
    <cellStyle name="60% - Accent2 18" xfId="880"/>
    <cellStyle name="60% - Accent2 18 2" xfId="881"/>
    <cellStyle name="60% - Accent2 19" xfId="882"/>
    <cellStyle name="60% - Accent2 19 2" xfId="883"/>
    <cellStyle name="60% - Accent2 2" xfId="884"/>
    <cellStyle name="60% - Accent2 2 2" xfId="885"/>
    <cellStyle name="60% - Accent2 2 3" xfId="886"/>
    <cellStyle name="60% - Accent2 20" xfId="887"/>
    <cellStyle name="60% - Accent2 21" xfId="888"/>
    <cellStyle name="60% - Accent2 22" xfId="889"/>
    <cellStyle name="60% - Accent2 23" xfId="890"/>
    <cellStyle name="60% - Accent2 24" xfId="891"/>
    <cellStyle name="60% - Accent2 25" xfId="892"/>
    <cellStyle name="60% - Accent2 26" xfId="893"/>
    <cellStyle name="60% - Accent2 27" xfId="894"/>
    <cellStyle name="60% - Accent2 28" xfId="895"/>
    <cellStyle name="60% - Accent2 29" xfId="896"/>
    <cellStyle name="60% - Accent2 3" xfId="897"/>
    <cellStyle name="60% - Accent2 3 2" xfId="898"/>
    <cellStyle name="60% - Accent2 30" xfId="899"/>
    <cellStyle name="60% - Accent2 31" xfId="900"/>
    <cellStyle name="60% - Accent2 32" xfId="901"/>
    <cellStyle name="60% - Accent2 33" xfId="902"/>
    <cellStyle name="60% - Accent2 34" xfId="903"/>
    <cellStyle name="60% - Accent2 35" xfId="904"/>
    <cellStyle name="60% - Accent2 36" xfId="905"/>
    <cellStyle name="60% - Accent2 37" xfId="9408"/>
    <cellStyle name="60% - Accent2 4" xfId="906"/>
    <cellStyle name="60% - Accent2 4 2" xfId="907"/>
    <cellStyle name="60% - Accent2 5" xfId="908"/>
    <cellStyle name="60% - Accent2 5 2" xfId="909"/>
    <cellStyle name="60% - Accent2 6" xfId="910"/>
    <cellStyle name="60% - Accent2 6 2" xfId="911"/>
    <cellStyle name="60% - Accent2 7" xfId="912"/>
    <cellStyle name="60% - Accent2 7 2" xfId="913"/>
    <cellStyle name="60% - Accent2 8" xfId="914"/>
    <cellStyle name="60% - Accent2 8 2" xfId="915"/>
    <cellStyle name="60% - Accent2 9" xfId="916"/>
    <cellStyle name="60% - Accent2 9 2" xfId="917"/>
    <cellStyle name="60% - Accent3" xfId="15" builtinId="40" customBuiltin="1"/>
    <cellStyle name="60% - Accent3 10" xfId="918"/>
    <cellStyle name="60% - Accent3 10 2" xfId="919"/>
    <cellStyle name="60% - Accent3 11" xfId="920"/>
    <cellStyle name="60% - Accent3 11 2" xfId="921"/>
    <cellStyle name="60% - Accent3 12" xfId="922"/>
    <cellStyle name="60% - Accent3 12 2" xfId="923"/>
    <cellStyle name="60% - Accent3 13" xfId="924"/>
    <cellStyle name="60% - Accent3 13 2" xfId="925"/>
    <cellStyle name="60% - Accent3 14" xfId="926"/>
    <cellStyle name="60% - Accent3 14 2" xfId="927"/>
    <cellStyle name="60% - Accent3 15" xfId="928"/>
    <cellStyle name="60% - Accent3 15 2" xfId="929"/>
    <cellStyle name="60% - Accent3 16" xfId="930"/>
    <cellStyle name="60% - Accent3 16 2" xfId="931"/>
    <cellStyle name="60% - Accent3 17" xfId="932"/>
    <cellStyle name="60% - Accent3 17 2" xfId="933"/>
    <cellStyle name="60% - Accent3 18" xfId="934"/>
    <cellStyle name="60% - Accent3 18 2" xfId="935"/>
    <cellStyle name="60% - Accent3 19" xfId="936"/>
    <cellStyle name="60% - Accent3 19 2" xfId="937"/>
    <cellStyle name="60% - Accent3 2" xfId="938"/>
    <cellStyle name="60% - Accent3 2 2" xfId="939"/>
    <cellStyle name="60% - Accent3 2 3" xfId="940"/>
    <cellStyle name="60% - Accent3 20" xfId="941"/>
    <cellStyle name="60% - Accent3 21" xfId="942"/>
    <cellStyle name="60% - Accent3 22" xfId="943"/>
    <cellStyle name="60% - Accent3 23" xfId="944"/>
    <cellStyle name="60% - Accent3 24" xfId="945"/>
    <cellStyle name="60% - Accent3 25" xfId="946"/>
    <cellStyle name="60% - Accent3 26" xfId="947"/>
    <cellStyle name="60% - Accent3 27" xfId="948"/>
    <cellStyle name="60% - Accent3 28" xfId="949"/>
    <cellStyle name="60% - Accent3 29" xfId="950"/>
    <cellStyle name="60% - Accent3 3" xfId="951"/>
    <cellStyle name="60% - Accent3 3 2" xfId="952"/>
    <cellStyle name="60% - Accent3 30" xfId="953"/>
    <cellStyle name="60% - Accent3 31" xfId="954"/>
    <cellStyle name="60% - Accent3 32" xfId="955"/>
    <cellStyle name="60% - Accent3 33" xfId="956"/>
    <cellStyle name="60% - Accent3 34" xfId="957"/>
    <cellStyle name="60% - Accent3 35" xfId="958"/>
    <cellStyle name="60% - Accent3 36" xfId="959"/>
    <cellStyle name="60% - Accent3 37" xfId="9409"/>
    <cellStyle name="60% - Accent3 4" xfId="960"/>
    <cellStyle name="60% - Accent3 4 2" xfId="961"/>
    <cellStyle name="60% - Accent3 5" xfId="962"/>
    <cellStyle name="60% - Accent3 5 2" xfId="963"/>
    <cellStyle name="60% - Accent3 6" xfId="964"/>
    <cellStyle name="60% - Accent3 6 2" xfId="965"/>
    <cellStyle name="60% - Accent3 7" xfId="966"/>
    <cellStyle name="60% - Accent3 7 2" xfId="967"/>
    <cellStyle name="60% - Accent3 8" xfId="968"/>
    <cellStyle name="60% - Accent3 8 2" xfId="969"/>
    <cellStyle name="60% - Accent3 9" xfId="970"/>
    <cellStyle name="60% - Accent3 9 2" xfId="971"/>
    <cellStyle name="60% - Accent4" xfId="16" builtinId="44" customBuiltin="1"/>
    <cellStyle name="60% - Accent4 10" xfId="972"/>
    <cellStyle name="60% - Accent4 10 2" xfId="973"/>
    <cellStyle name="60% - Accent4 11" xfId="974"/>
    <cellStyle name="60% - Accent4 11 2" xfId="975"/>
    <cellStyle name="60% - Accent4 12" xfId="976"/>
    <cellStyle name="60% - Accent4 12 2" xfId="977"/>
    <cellStyle name="60% - Accent4 13" xfId="978"/>
    <cellStyle name="60% - Accent4 13 2" xfId="979"/>
    <cellStyle name="60% - Accent4 14" xfId="980"/>
    <cellStyle name="60% - Accent4 14 2" xfId="981"/>
    <cellStyle name="60% - Accent4 15" xfId="982"/>
    <cellStyle name="60% - Accent4 15 2" xfId="983"/>
    <cellStyle name="60% - Accent4 16" xfId="984"/>
    <cellStyle name="60% - Accent4 16 2" xfId="985"/>
    <cellStyle name="60% - Accent4 17" xfId="986"/>
    <cellStyle name="60% - Accent4 17 2" xfId="987"/>
    <cellStyle name="60% - Accent4 18" xfId="988"/>
    <cellStyle name="60% - Accent4 18 2" xfId="989"/>
    <cellStyle name="60% - Accent4 19" xfId="990"/>
    <cellStyle name="60% - Accent4 19 2" xfId="991"/>
    <cellStyle name="60% - Accent4 2" xfId="992"/>
    <cellStyle name="60% - Accent4 2 2" xfId="993"/>
    <cellStyle name="60% - Accent4 2 3" xfId="994"/>
    <cellStyle name="60% - Accent4 20" xfId="995"/>
    <cellStyle name="60% - Accent4 21" xfId="996"/>
    <cellStyle name="60% - Accent4 22" xfId="997"/>
    <cellStyle name="60% - Accent4 23" xfId="998"/>
    <cellStyle name="60% - Accent4 24" xfId="999"/>
    <cellStyle name="60% - Accent4 25" xfId="1000"/>
    <cellStyle name="60% - Accent4 26" xfId="1001"/>
    <cellStyle name="60% - Accent4 27" xfId="1002"/>
    <cellStyle name="60% - Accent4 28" xfId="1003"/>
    <cellStyle name="60% - Accent4 29" xfId="1004"/>
    <cellStyle name="60% - Accent4 3" xfId="1005"/>
    <cellStyle name="60% - Accent4 3 2" xfId="1006"/>
    <cellStyle name="60% - Accent4 30" xfId="1007"/>
    <cellStyle name="60% - Accent4 31" xfId="1008"/>
    <cellStyle name="60% - Accent4 32" xfId="1009"/>
    <cellStyle name="60% - Accent4 33" xfId="1010"/>
    <cellStyle name="60% - Accent4 34" xfId="1011"/>
    <cellStyle name="60% - Accent4 35" xfId="1012"/>
    <cellStyle name="60% - Accent4 36" xfId="1013"/>
    <cellStyle name="60% - Accent4 37" xfId="9410"/>
    <cellStyle name="60% - Accent4 4" xfId="1014"/>
    <cellStyle name="60% - Accent4 4 2" xfId="1015"/>
    <cellStyle name="60% - Accent4 5" xfId="1016"/>
    <cellStyle name="60% - Accent4 5 2" xfId="1017"/>
    <cellStyle name="60% - Accent4 6" xfId="1018"/>
    <cellStyle name="60% - Accent4 6 2" xfId="1019"/>
    <cellStyle name="60% - Accent4 7" xfId="1020"/>
    <cellStyle name="60% - Accent4 7 2" xfId="1021"/>
    <cellStyle name="60% - Accent4 8" xfId="1022"/>
    <cellStyle name="60% - Accent4 8 2" xfId="1023"/>
    <cellStyle name="60% - Accent4 9" xfId="1024"/>
    <cellStyle name="60% - Accent4 9 2" xfId="1025"/>
    <cellStyle name="60% - Accent5" xfId="17" builtinId="48" customBuiltin="1"/>
    <cellStyle name="60% - Accent5 10" xfId="1026"/>
    <cellStyle name="60% - Accent5 10 2" xfId="1027"/>
    <cellStyle name="60% - Accent5 11" xfId="1028"/>
    <cellStyle name="60% - Accent5 11 2" xfId="1029"/>
    <cellStyle name="60% - Accent5 12" xfId="1030"/>
    <cellStyle name="60% - Accent5 12 2" xfId="1031"/>
    <cellStyle name="60% - Accent5 13" xfId="1032"/>
    <cellStyle name="60% - Accent5 13 2" xfId="1033"/>
    <cellStyle name="60% - Accent5 14" xfId="1034"/>
    <cellStyle name="60% - Accent5 14 2" xfId="1035"/>
    <cellStyle name="60% - Accent5 15" xfId="1036"/>
    <cellStyle name="60% - Accent5 15 2" xfId="1037"/>
    <cellStyle name="60% - Accent5 16" xfId="1038"/>
    <cellStyle name="60% - Accent5 16 2" xfId="1039"/>
    <cellStyle name="60% - Accent5 17" xfId="1040"/>
    <cellStyle name="60% - Accent5 17 2" xfId="1041"/>
    <cellStyle name="60% - Accent5 18" xfId="1042"/>
    <cellStyle name="60% - Accent5 18 2" xfId="1043"/>
    <cellStyle name="60% - Accent5 19" xfId="1044"/>
    <cellStyle name="60% - Accent5 19 2" xfId="1045"/>
    <cellStyle name="60% - Accent5 2" xfId="1046"/>
    <cellStyle name="60% - Accent5 2 2" xfId="1047"/>
    <cellStyle name="60% - Accent5 2 3" xfId="1048"/>
    <cellStyle name="60% - Accent5 20" xfId="1049"/>
    <cellStyle name="60% - Accent5 21" xfId="1050"/>
    <cellStyle name="60% - Accent5 22" xfId="1051"/>
    <cellStyle name="60% - Accent5 23" xfId="1052"/>
    <cellStyle name="60% - Accent5 24" xfId="1053"/>
    <cellStyle name="60% - Accent5 25" xfId="1054"/>
    <cellStyle name="60% - Accent5 26" xfId="1055"/>
    <cellStyle name="60% - Accent5 27" xfId="1056"/>
    <cellStyle name="60% - Accent5 28" xfId="1057"/>
    <cellStyle name="60% - Accent5 29" xfId="1058"/>
    <cellStyle name="60% - Accent5 3" xfId="1059"/>
    <cellStyle name="60% - Accent5 3 2" xfId="1060"/>
    <cellStyle name="60% - Accent5 30" xfId="1061"/>
    <cellStyle name="60% - Accent5 31" xfId="1062"/>
    <cellStyle name="60% - Accent5 32" xfId="1063"/>
    <cellStyle name="60% - Accent5 33" xfId="1064"/>
    <cellStyle name="60% - Accent5 34" xfId="1065"/>
    <cellStyle name="60% - Accent5 35" xfId="1066"/>
    <cellStyle name="60% - Accent5 36" xfId="1067"/>
    <cellStyle name="60% - Accent5 37" xfId="9411"/>
    <cellStyle name="60% - Accent5 4" xfId="1068"/>
    <cellStyle name="60% - Accent5 4 2" xfId="1069"/>
    <cellStyle name="60% - Accent5 5" xfId="1070"/>
    <cellStyle name="60% - Accent5 5 2" xfId="1071"/>
    <cellStyle name="60% - Accent5 6" xfId="1072"/>
    <cellStyle name="60% - Accent5 6 2" xfId="1073"/>
    <cellStyle name="60% - Accent5 7" xfId="1074"/>
    <cellStyle name="60% - Accent5 7 2" xfId="1075"/>
    <cellStyle name="60% - Accent5 8" xfId="1076"/>
    <cellStyle name="60% - Accent5 8 2" xfId="1077"/>
    <cellStyle name="60% - Accent5 9" xfId="1078"/>
    <cellStyle name="60% - Accent5 9 2" xfId="1079"/>
    <cellStyle name="60% - Accent6" xfId="18" builtinId="52" customBuiltin="1"/>
    <cellStyle name="60% - Accent6 10" xfId="1080"/>
    <cellStyle name="60% - Accent6 10 2" xfId="1081"/>
    <cellStyle name="60% - Accent6 11" xfId="1082"/>
    <cellStyle name="60% - Accent6 11 2" xfId="1083"/>
    <cellStyle name="60% - Accent6 12" xfId="1084"/>
    <cellStyle name="60% - Accent6 12 2" xfId="1085"/>
    <cellStyle name="60% - Accent6 13" xfId="1086"/>
    <cellStyle name="60% - Accent6 13 2" xfId="1087"/>
    <cellStyle name="60% - Accent6 14" xfId="1088"/>
    <cellStyle name="60% - Accent6 14 2" xfId="1089"/>
    <cellStyle name="60% - Accent6 15" xfId="1090"/>
    <cellStyle name="60% - Accent6 15 2" xfId="1091"/>
    <cellStyle name="60% - Accent6 16" xfId="1092"/>
    <cellStyle name="60% - Accent6 16 2" xfId="1093"/>
    <cellStyle name="60% - Accent6 17" xfId="1094"/>
    <cellStyle name="60% - Accent6 17 2" xfId="1095"/>
    <cellStyle name="60% - Accent6 18" xfId="1096"/>
    <cellStyle name="60% - Accent6 18 2" xfId="1097"/>
    <cellStyle name="60% - Accent6 19" xfId="1098"/>
    <cellStyle name="60% - Accent6 19 2" xfId="1099"/>
    <cellStyle name="60% - Accent6 2" xfId="1100"/>
    <cellStyle name="60% - Accent6 2 2" xfId="1101"/>
    <cellStyle name="60% - Accent6 2 3" xfId="1102"/>
    <cellStyle name="60% - Accent6 20" xfId="1103"/>
    <cellStyle name="60% - Accent6 21" xfId="1104"/>
    <cellStyle name="60% - Accent6 22" xfId="1105"/>
    <cellStyle name="60% - Accent6 23" xfId="1106"/>
    <cellStyle name="60% - Accent6 24" xfId="1107"/>
    <cellStyle name="60% - Accent6 25" xfId="1108"/>
    <cellStyle name="60% - Accent6 26" xfId="1109"/>
    <cellStyle name="60% - Accent6 27" xfId="1110"/>
    <cellStyle name="60% - Accent6 28" xfId="1111"/>
    <cellStyle name="60% - Accent6 29" xfId="1112"/>
    <cellStyle name="60% - Accent6 3" xfId="1113"/>
    <cellStyle name="60% - Accent6 3 2" xfId="1114"/>
    <cellStyle name="60% - Accent6 30" xfId="1115"/>
    <cellStyle name="60% - Accent6 31" xfId="1116"/>
    <cellStyle name="60% - Accent6 32" xfId="1117"/>
    <cellStyle name="60% - Accent6 33" xfId="1118"/>
    <cellStyle name="60% - Accent6 34" xfId="1119"/>
    <cellStyle name="60% - Accent6 35" xfId="1120"/>
    <cellStyle name="60% - Accent6 36" xfId="1121"/>
    <cellStyle name="60% - Accent6 37" xfId="9412"/>
    <cellStyle name="60% - Accent6 4" xfId="1122"/>
    <cellStyle name="60% - Accent6 4 2" xfId="1123"/>
    <cellStyle name="60% - Accent6 5" xfId="1124"/>
    <cellStyle name="60% - Accent6 5 2" xfId="1125"/>
    <cellStyle name="60% - Accent6 6" xfId="1126"/>
    <cellStyle name="60% - Accent6 6 2" xfId="1127"/>
    <cellStyle name="60% - Accent6 7" xfId="1128"/>
    <cellStyle name="60% - Accent6 7 2" xfId="1129"/>
    <cellStyle name="60% - Accent6 8" xfId="1130"/>
    <cellStyle name="60% - Accent6 8 2" xfId="1131"/>
    <cellStyle name="60% - Accent6 9" xfId="1132"/>
    <cellStyle name="60% - Accent6 9 2" xfId="1133"/>
    <cellStyle name="Accent1" xfId="19" builtinId="29" customBuiltin="1"/>
    <cellStyle name="Accent1 - 20%" xfId="1134"/>
    <cellStyle name="Accent1 - 40%" xfId="1135"/>
    <cellStyle name="Accent1 - 60%" xfId="1136"/>
    <cellStyle name="Accent1 10" xfId="1137"/>
    <cellStyle name="Accent1 10 2" xfId="1138"/>
    <cellStyle name="Accent1 11" xfId="1139"/>
    <cellStyle name="Accent1 11 2" xfId="1140"/>
    <cellStyle name="Accent1 12" xfId="1141"/>
    <cellStyle name="Accent1 12 2" xfId="1142"/>
    <cellStyle name="Accent1 13" xfId="1143"/>
    <cellStyle name="Accent1 13 2" xfId="1144"/>
    <cellStyle name="Accent1 14" xfId="1145"/>
    <cellStyle name="Accent1 14 2" xfId="1146"/>
    <cellStyle name="Accent1 15" xfId="1147"/>
    <cellStyle name="Accent1 15 2" xfId="1148"/>
    <cellStyle name="Accent1 16" xfId="1149"/>
    <cellStyle name="Accent1 16 2" xfId="1150"/>
    <cellStyle name="Accent1 17" xfId="1151"/>
    <cellStyle name="Accent1 17 2" xfId="1152"/>
    <cellStyle name="Accent1 18" xfId="1153"/>
    <cellStyle name="Accent1 18 2" xfId="1154"/>
    <cellStyle name="Accent1 19" xfId="1155"/>
    <cellStyle name="Accent1 19 2" xfId="1156"/>
    <cellStyle name="Accent1 2" xfId="1157"/>
    <cellStyle name="Accent1 2 2" xfId="1158"/>
    <cellStyle name="Accent1 2 3" xfId="1159"/>
    <cellStyle name="Accent1 20" xfId="1160"/>
    <cellStyle name="Accent1 21" xfId="1161"/>
    <cellStyle name="Accent1 22" xfId="1162"/>
    <cellStyle name="Accent1 23" xfId="1163"/>
    <cellStyle name="Accent1 24" xfId="1164"/>
    <cellStyle name="Accent1 25" xfId="1165"/>
    <cellStyle name="Accent1 26" xfId="1166"/>
    <cellStyle name="Accent1 27" xfId="1167"/>
    <cellStyle name="Accent1 28" xfId="1168"/>
    <cellStyle name="Accent1 29" xfId="1169"/>
    <cellStyle name="Accent1 3" xfId="1170"/>
    <cellStyle name="Accent1 3 2" xfId="1171"/>
    <cellStyle name="Accent1 30" xfId="1172"/>
    <cellStyle name="Accent1 31" xfId="1173"/>
    <cellStyle name="Accent1 32" xfId="1174"/>
    <cellStyle name="Accent1 33" xfId="1175"/>
    <cellStyle name="Accent1 34" xfId="1176"/>
    <cellStyle name="Accent1 35" xfId="1177"/>
    <cellStyle name="Accent1 36" xfId="1178"/>
    <cellStyle name="Accent1 37" xfId="1179"/>
    <cellStyle name="Accent1 38" xfId="1180"/>
    <cellStyle name="Accent1 39" xfId="1181"/>
    <cellStyle name="Accent1 4" xfId="1182"/>
    <cellStyle name="Accent1 4 2" xfId="1183"/>
    <cellStyle name="Accent1 40" xfId="1184"/>
    <cellStyle name="Accent1 41" xfId="1185"/>
    <cellStyle name="Accent1 42" xfId="1186"/>
    <cellStyle name="Accent1 43" xfId="1187"/>
    <cellStyle name="Accent1 44" xfId="1188"/>
    <cellStyle name="Accent1 45" xfId="1189"/>
    <cellStyle name="Accent1 46" xfId="1190"/>
    <cellStyle name="Accent1 47" xfId="1191"/>
    <cellStyle name="Accent1 48" xfId="1192"/>
    <cellStyle name="Accent1 49" xfId="9413"/>
    <cellStyle name="Accent1 5" xfId="1193"/>
    <cellStyle name="Accent1 5 2" xfId="1194"/>
    <cellStyle name="Accent1 50" xfId="9414"/>
    <cellStyle name="Accent1 51" xfId="9415"/>
    <cellStyle name="Accent1 6" xfId="1195"/>
    <cellStyle name="Accent1 6 2" xfId="1196"/>
    <cellStyle name="Accent1 7" xfId="1197"/>
    <cellStyle name="Accent1 7 2" xfId="1198"/>
    <cellStyle name="Accent1 8" xfId="1199"/>
    <cellStyle name="Accent1 8 2" xfId="1200"/>
    <cellStyle name="Accent1 9" xfId="1201"/>
    <cellStyle name="Accent1 9 2" xfId="1202"/>
    <cellStyle name="Accent2" xfId="20" builtinId="33" customBuiltin="1"/>
    <cellStyle name="Accent2 - 20%" xfId="1203"/>
    <cellStyle name="Accent2 - 40%" xfId="1204"/>
    <cellStyle name="Accent2 - 60%" xfId="1205"/>
    <cellStyle name="Accent2 10" xfId="1206"/>
    <cellStyle name="Accent2 10 2" xfId="1207"/>
    <cellStyle name="Accent2 11" xfId="1208"/>
    <cellStyle name="Accent2 11 2" xfId="1209"/>
    <cellStyle name="Accent2 12" xfId="1210"/>
    <cellStyle name="Accent2 12 2" xfId="1211"/>
    <cellStyle name="Accent2 13" xfId="1212"/>
    <cellStyle name="Accent2 13 2" xfId="1213"/>
    <cellStyle name="Accent2 14" xfId="1214"/>
    <cellStyle name="Accent2 14 2" xfId="1215"/>
    <cellStyle name="Accent2 15" xfId="1216"/>
    <cellStyle name="Accent2 15 2" xfId="1217"/>
    <cellStyle name="Accent2 16" xfId="1218"/>
    <cellStyle name="Accent2 16 2" xfId="1219"/>
    <cellStyle name="Accent2 17" xfId="1220"/>
    <cellStyle name="Accent2 17 2" xfId="1221"/>
    <cellStyle name="Accent2 18" xfId="1222"/>
    <cellStyle name="Accent2 18 2" xfId="1223"/>
    <cellStyle name="Accent2 19" xfId="1224"/>
    <cellStyle name="Accent2 19 2" xfId="1225"/>
    <cellStyle name="Accent2 2" xfId="1226"/>
    <cellStyle name="Accent2 2 2" xfId="1227"/>
    <cellStyle name="Accent2 2 3" xfId="1228"/>
    <cellStyle name="Accent2 20" xfId="1229"/>
    <cellStyle name="Accent2 21" xfId="1230"/>
    <cellStyle name="Accent2 22" xfId="1231"/>
    <cellStyle name="Accent2 23" xfId="1232"/>
    <cellStyle name="Accent2 24" xfId="1233"/>
    <cellStyle name="Accent2 25" xfId="1234"/>
    <cellStyle name="Accent2 26" xfId="1235"/>
    <cellStyle name="Accent2 27" xfId="1236"/>
    <cellStyle name="Accent2 28" xfId="1237"/>
    <cellStyle name="Accent2 29" xfId="1238"/>
    <cellStyle name="Accent2 3" xfId="1239"/>
    <cellStyle name="Accent2 3 2" xfId="1240"/>
    <cellStyle name="Accent2 30" xfId="1241"/>
    <cellStyle name="Accent2 31" xfId="1242"/>
    <cellStyle name="Accent2 32" xfId="1243"/>
    <cellStyle name="Accent2 33" xfId="1244"/>
    <cellStyle name="Accent2 34" xfId="1245"/>
    <cellStyle name="Accent2 35" xfId="1246"/>
    <cellStyle name="Accent2 36" xfId="1247"/>
    <cellStyle name="Accent2 37" xfId="1248"/>
    <cellStyle name="Accent2 38" xfId="1249"/>
    <cellStyle name="Accent2 39" xfId="1250"/>
    <cellStyle name="Accent2 4" xfId="1251"/>
    <cellStyle name="Accent2 4 2" xfId="1252"/>
    <cellStyle name="Accent2 40" xfId="1253"/>
    <cellStyle name="Accent2 41" xfId="1254"/>
    <cellStyle name="Accent2 42" xfId="1255"/>
    <cellStyle name="Accent2 43" xfId="1256"/>
    <cellStyle name="Accent2 44" xfId="1257"/>
    <cellStyle name="Accent2 45" xfId="1258"/>
    <cellStyle name="Accent2 46" xfId="1259"/>
    <cellStyle name="Accent2 47" xfId="1260"/>
    <cellStyle name="Accent2 48" xfId="1261"/>
    <cellStyle name="Accent2 49" xfId="9416"/>
    <cellStyle name="Accent2 5" xfId="1262"/>
    <cellStyle name="Accent2 5 2" xfId="1263"/>
    <cellStyle name="Accent2 50" xfId="9417"/>
    <cellStyle name="Accent2 51" xfId="9418"/>
    <cellStyle name="Accent2 6" xfId="1264"/>
    <cellStyle name="Accent2 6 2" xfId="1265"/>
    <cellStyle name="Accent2 7" xfId="1266"/>
    <cellStyle name="Accent2 7 2" xfId="1267"/>
    <cellStyle name="Accent2 8" xfId="1268"/>
    <cellStyle name="Accent2 8 2" xfId="1269"/>
    <cellStyle name="Accent2 9" xfId="1270"/>
    <cellStyle name="Accent2 9 2" xfId="1271"/>
    <cellStyle name="Accent3" xfId="21" builtinId="37" customBuiltin="1"/>
    <cellStyle name="Accent3 - 20%" xfId="1272"/>
    <cellStyle name="Accent3 - 40%" xfId="1273"/>
    <cellStyle name="Accent3 - 60%" xfId="1274"/>
    <cellStyle name="Accent3 10" xfId="1275"/>
    <cellStyle name="Accent3 10 2" xfId="1276"/>
    <cellStyle name="Accent3 11" xfId="1277"/>
    <cellStyle name="Accent3 11 2" xfId="1278"/>
    <cellStyle name="Accent3 12" xfId="1279"/>
    <cellStyle name="Accent3 12 2" xfId="1280"/>
    <cellStyle name="Accent3 13" xfId="1281"/>
    <cellStyle name="Accent3 13 2" xfId="1282"/>
    <cellStyle name="Accent3 14" xfId="1283"/>
    <cellStyle name="Accent3 14 2" xfId="1284"/>
    <cellStyle name="Accent3 15" xfId="1285"/>
    <cellStyle name="Accent3 15 2" xfId="1286"/>
    <cellStyle name="Accent3 16" xfId="1287"/>
    <cellStyle name="Accent3 16 2" xfId="1288"/>
    <cellStyle name="Accent3 17" xfId="1289"/>
    <cellStyle name="Accent3 17 2" xfId="1290"/>
    <cellStyle name="Accent3 18" xfId="1291"/>
    <cellStyle name="Accent3 18 2" xfId="1292"/>
    <cellStyle name="Accent3 19" xfId="1293"/>
    <cellStyle name="Accent3 19 2" xfId="1294"/>
    <cellStyle name="Accent3 2" xfId="1295"/>
    <cellStyle name="Accent3 2 2" xfId="1296"/>
    <cellStyle name="Accent3 2 3" xfId="1297"/>
    <cellStyle name="Accent3 20" xfId="1298"/>
    <cellStyle name="Accent3 21" xfId="1299"/>
    <cellStyle name="Accent3 22" xfId="1300"/>
    <cellStyle name="Accent3 23" xfId="1301"/>
    <cellStyle name="Accent3 24" xfId="1302"/>
    <cellStyle name="Accent3 25" xfId="1303"/>
    <cellStyle name="Accent3 26" xfId="1304"/>
    <cellStyle name="Accent3 27" xfId="1305"/>
    <cellStyle name="Accent3 28" xfId="1306"/>
    <cellStyle name="Accent3 29" xfId="1307"/>
    <cellStyle name="Accent3 3" xfId="1308"/>
    <cellStyle name="Accent3 3 2" xfId="1309"/>
    <cellStyle name="Accent3 30" xfId="1310"/>
    <cellStyle name="Accent3 31" xfId="1311"/>
    <cellStyle name="Accent3 32" xfId="1312"/>
    <cellStyle name="Accent3 33" xfId="1313"/>
    <cellStyle name="Accent3 34" xfId="1314"/>
    <cellStyle name="Accent3 35" xfId="1315"/>
    <cellStyle name="Accent3 36" xfId="1316"/>
    <cellStyle name="Accent3 37" xfId="1317"/>
    <cellStyle name="Accent3 38" xfId="1318"/>
    <cellStyle name="Accent3 39" xfId="1319"/>
    <cellStyle name="Accent3 4" xfId="1320"/>
    <cellStyle name="Accent3 4 2" xfId="1321"/>
    <cellStyle name="Accent3 40" xfId="1322"/>
    <cellStyle name="Accent3 41" xfId="1323"/>
    <cellStyle name="Accent3 42" xfId="1324"/>
    <cellStyle name="Accent3 43" xfId="1325"/>
    <cellStyle name="Accent3 44" xfId="1326"/>
    <cellStyle name="Accent3 45" xfId="1327"/>
    <cellStyle name="Accent3 46" xfId="1328"/>
    <cellStyle name="Accent3 47" xfId="1329"/>
    <cellStyle name="Accent3 48" xfId="1330"/>
    <cellStyle name="Accent3 49" xfId="9419"/>
    <cellStyle name="Accent3 5" xfId="1331"/>
    <cellStyle name="Accent3 5 2" xfId="1332"/>
    <cellStyle name="Accent3 50" xfId="9420"/>
    <cellStyle name="Accent3 51" xfId="9421"/>
    <cellStyle name="Accent3 6" xfId="1333"/>
    <cellStyle name="Accent3 6 2" xfId="1334"/>
    <cellStyle name="Accent3 7" xfId="1335"/>
    <cellStyle name="Accent3 7 2" xfId="1336"/>
    <cellStyle name="Accent3 8" xfId="1337"/>
    <cellStyle name="Accent3 8 2" xfId="1338"/>
    <cellStyle name="Accent3 9" xfId="1339"/>
    <cellStyle name="Accent3 9 2" xfId="1340"/>
    <cellStyle name="Accent4" xfId="22" builtinId="41" customBuiltin="1"/>
    <cellStyle name="Accent4 - 20%" xfId="1341"/>
    <cellStyle name="Accent4 - 40%" xfId="1342"/>
    <cellStyle name="Accent4 - 60%" xfId="1343"/>
    <cellStyle name="Accent4 10" xfId="1344"/>
    <cellStyle name="Accent4 10 2" xfId="1345"/>
    <cellStyle name="Accent4 11" xfId="1346"/>
    <cellStyle name="Accent4 11 2" xfId="1347"/>
    <cellStyle name="Accent4 12" xfId="1348"/>
    <cellStyle name="Accent4 12 2" xfId="1349"/>
    <cellStyle name="Accent4 13" xfId="1350"/>
    <cellStyle name="Accent4 13 2" xfId="1351"/>
    <cellStyle name="Accent4 14" xfId="1352"/>
    <cellStyle name="Accent4 14 2" xfId="1353"/>
    <cellStyle name="Accent4 15" xfId="1354"/>
    <cellStyle name="Accent4 15 2" xfId="1355"/>
    <cellStyle name="Accent4 16" xfId="1356"/>
    <cellStyle name="Accent4 16 2" xfId="1357"/>
    <cellStyle name="Accent4 17" xfId="1358"/>
    <cellStyle name="Accent4 17 2" xfId="1359"/>
    <cellStyle name="Accent4 18" xfId="1360"/>
    <cellStyle name="Accent4 18 2" xfId="1361"/>
    <cellStyle name="Accent4 19" xfId="1362"/>
    <cellStyle name="Accent4 19 2" xfId="1363"/>
    <cellStyle name="Accent4 2" xfId="1364"/>
    <cellStyle name="Accent4 2 2" xfId="1365"/>
    <cellStyle name="Accent4 2 3" xfId="1366"/>
    <cellStyle name="Accent4 20" xfId="1367"/>
    <cellStyle name="Accent4 21" xfId="1368"/>
    <cellStyle name="Accent4 22" xfId="1369"/>
    <cellStyle name="Accent4 23" xfId="1370"/>
    <cellStyle name="Accent4 24" xfId="1371"/>
    <cellStyle name="Accent4 25" xfId="1372"/>
    <cellStyle name="Accent4 26" xfId="1373"/>
    <cellStyle name="Accent4 27" xfId="1374"/>
    <cellStyle name="Accent4 28" xfId="1375"/>
    <cellStyle name="Accent4 29" xfId="1376"/>
    <cellStyle name="Accent4 3" xfId="1377"/>
    <cellStyle name="Accent4 3 2" xfId="1378"/>
    <cellStyle name="Accent4 30" xfId="1379"/>
    <cellStyle name="Accent4 31" xfId="1380"/>
    <cellStyle name="Accent4 32" xfId="1381"/>
    <cellStyle name="Accent4 33" xfId="1382"/>
    <cellStyle name="Accent4 34" xfId="1383"/>
    <cellStyle name="Accent4 35" xfId="1384"/>
    <cellStyle name="Accent4 36" xfId="1385"/>
    <cellStyle name="Accent4 37" xfId="1386"/>
    <cellStyle name="Accent4 38" xfId="1387"/>
    <cellStyle name="Accent4 39" xfId="1388"/>
    <cellStyle name="Accent4 4" xfId="1389"/>
    <cellStyle name="Accent4 4 2" xfId="1390"/>
    <cellStyle name="Accent4 40" xfId="1391"/>
    <cellStyle name="Accent4 41" xfId="1392"/>
    <cellStyle name="Accent4 42" xfId="1393"/>
    <cellStyle name="Accent4 43" xfId="1394"/>
    <cellStyle name="Accent4 44" xfId="1395"/>
    <cellStyle name="Accent4 45" xfId="1396"/>
    <cellStyle name="Accent4 46" xfId="1397"/>
    <cellStyle name="Accent4 47" xfId="1398"/>
    <cellStyle name="Accent4 48" xfId="1399"/>
    <cellStyle name="Accent4 49" xfId="9422"/>
    <cellStyle name="Accent4 5" xfId="1400"/>
    <cellStyle name="Accent4 5 2" xfId="1401"/>
    <cellStyle name="Accent4 50" xfId="9423"/>
    <cellStyle name="Accent4 51" xfId="9424"/>
    <cellStyle name="Accent4 6" xfId="1402"/>
    <cellStyle name="Accent4 6 2" xfId="1403"/>
    <cellStyle name="Accent4 7" xfId="1404"/>
    <cellStyle name="Accent4 7 2" xfId="1405"/>
    <cellStyle name="Accent4 8" xfId="1406"/>
    <cellStyle name="Accent4 8 2" xfId="1407"/>
    <cellStyle name="Accent4 9" xfId="1408"/>
    <cellStyle name="Accent4 9 2" xfId="1409"/>
    <cellStyle name="Accent5" xfId="23" builtinId="45" customBuiltin="1"/>
    <cellStyle name="Accent5 - 20%" xfId="1410"/>
    <cellStyle name="Accent5 - 40%" xfId="1411"/>
    <cellStyle name="Accent5 - 60%" xfId="1412"/>
    <cellStyle name="Accent5 10" xfId="1413"/>
    <cellStyle name="Accent5 10 2" xfId="1414"/>
    <cellStyle name="Accent5 11" xfId="1415"/>
    <cellStyle name="Accent5 11 2" xfId="1416"/>
    <cellStyle name="Accent5 12" xfId="1417"/>
    <cellStyle name="Accent5 12 2" xfId="1418"/>
    <cellStyle name="Accent5 13" xfId="1419"/>
    <cellStyle name="Accent5 13 2" xfId="1420"/>
    <cellStyle name="Accent5 14" xfId="1421"/>
    <cellStyle name="Accent5 14 2" xfId="1422"/>
    <cellStyle name="Accent5 15" xfId="1423"/>
    <cellStyle name="Accent5 15 2" xfId="1424"/>
    <cellStyle name="Accent5 16" xfId="1425"/>
    <cellStyle name="Accent5 16 2" xfId="1426"/>
    <cellStyle name="Accent5 17" xfId="1427"/>
    <cellStyle name="Accent5 17 2" xfId="1428"/>
    <cellStyle name="Accent5 18" xfId="1429"/>
    <cellStyle name="Accent5 18 2" xfId="1430"/>
    <cellStyle name="Accent5 19" xfId="1431"/>
    <cellStyle name="Accent5 19 2" xfId="1432"/>
    <cellStyle name="Accent5 2" xfId="1433"/>
    <cellStyle name="Accent5 2 2" xfId="1434"/>
    <cellStyle name="Accent5 2 3" xfId="1435"/>
    <cellStyle name="Accent5 20" xfId="1436"/>
    <cellStyle name="Accent5 21" xfId="1437"/>
    <cellStyle name="Accent5 22" xfId="1438"/>
    <cellStyle name="Accent5 23" xfId="1439"/>
    <cellStyle name="Accent5 24" xfId="1440"/>
    <cellStyle name="Accent5 25" xfId="1441"/>
    <cellStyle name="Accent5 26" xfId="1442"/>
    <cellStyle name="Accent5 27" xfId="1443"/>
    <cellStyle name="Accent5 28" xfId="1444"/>
    <cellStyle name="Accent5 29" xfId="1445"/>
    <cellStyle name="Accent5 3" xfId="1446"/>
    <cellStyle name="Accent5 3 2" xfId="1447"/>
    <cellStyle name="Accent5 30" xfId="1448"/>
    <cellStyle name="Accent5 31" xfId="1449"/>
    <cellStyle name="Accent5 32" xfId="1450"/>
    <cellStyle name="Accent5 33" xfId="1451"/>
    <cellStyle name="Accent5 34" xfId="1452"/>
    <cellStyle name="Accent5 35" xfId="1453"/>
    <cellStyle name="Accent5 36" xfId="1454"/>
    <cellStyle name="Accent5 37" xfId="1455"/>
    <cellStyle name="Accent5 38" xfId="1456"/>
    <cellStyle name="Accent5 39" xfId="1457"/>
    <cellStyle name="Accent5 4" xfId="1458"/>
    <cellStyle name="Accent5 4 2" xfId="1459"/>
    <cellStyle name="Accent5 40" xfId="1460"/>
    <cellStyle name="Accent5 41" xfId="1461"/>
    <cellStyle name="Accent5 42" xfId="1462"/>
    <cellStyle name="Accent5 43" xfId="1463"/>
    <cellStyle name="Accent5 44" xfId="1464"/>
    <cellStyle name="Accent5 45" xfId="1465"/>
    <cellStyle name="Accent5 46" xfId="1466"/>
    <cellStyle name="Accent5 47" xfId="1467"/>
    <cellStyle name="Accent5 48" xfId="1468"/>
    <cellStyle name="Accent5 49" xfId="9425"/>
    <cellStyle name="Accent5 5" xfId="1469"/>
    <cellStyle name="Accent5 5 2" xfId="1470"/>
    <cellStyle name="Accent5 50" xfId="9426"/>
    <cellStyle name="Accent5 51" xfId="9427"/>
    <cellStyle name="Accent5 6" xfId="1471"/>
    <cellStyle name="Accent5 6 2" xfId="1472"/>
    <cellStyle name="Accent5 7" xfId="1473"/>
    <cellStyle name="Accent5 7 2" xfId="1474"/>
    <cellStyle name="Accent5 8" xfId="1475"/>
    <cellStyle name="Accent5 8 2" xfId="1476"/>
    <cellStyle name="Accent5 9" xfId="1477"/>
    <cellStyle name="Accent5 9 2" xfId="1478"/>
    <cellStyle name="Accent6" xfId="24" builtinId="49" customBuiltin="1"/>
    <cellStyle name="Accent6 - 20%" xfId="1479"/>
    <cellStyle name="Accent6 - 40%" xfId="1480"/>
    <cellStyle name="Accent6 - 60%" xfId="1481"/>
    <cellStyle name="Accent6 10" xfId="1482"/>
    <cellStyle name="Accent6 10 2" xfId="1483"/>
    <cellStyle name="Accent6 11" xfId="1484"/>
    <cellStyle name="Accent6 11 2" xfId="1485"/>
    <cellStyle name="Accent6 12" xfId="1486"/>
    <cellStyle name="Accent6 12 2" xfId="1487"/>
    <cellStyle name="Accent6 13" xfId="1488"/>
    <cellStyle name="Accent6 13 2" xfId="1489"/>
    <cellStyle name="Accent6 14" xfId="1490"/>
    <cellStyle name="Accent6 14 2" xfId="1491"/>
    <cellStyle name="Accent6 15" xfId="1492"/>
    <cellStyle name="Accent6 15 2" xfId="1493"/>
    <cellStyle name="Accent6 16" xfId="1494"/>
    <cellStyle name="Accent6 16 2" xfId="1495"/>
    <cellStyle name="Accent6 17" xfId="1496"/>
    <cellStyle name="Accent6 17 2" xfId="1497"/>
    <cellStyle name="Accent6 18" xfId="1498"/>
    <cellStyle name="Accent6 18 2" xfId="1499"/>
    <cellStyle name="Accent6 19" xfId="1500"/>
    <cellStyle name="Accent6 19 2" xfId="1501"/>
    <cellStyle name="Accent6 2" xfId="1502"/>
    <cellStyle name="Accent6 2 2" xfId="1503"/>
    <cellStyle name="Accent6 2 3" xfId="1504"/>
    <cellStyle name="Accent6 20" xfId="1505"/>
    <cellStyle name="Accent6 21" xfId="1506"/>
    <cellStyle name="Accent6 22" xfId="1507"/>
    <cellStyle name="Accent6 23" xfId="1508"/>
    <cellStyle name="Accent6 24" xfId="1509"/>
    <cellStyle name="Accent6 25" xfId="1510"/>
    <cellStyle name="Accent6 26" xfId="1511"/>
    <cellStyle name="Accent6 27" xfId="1512"/>
    <cellStyle name="Accent6 28" xfId="1513"/>
    <cellStyle name="Accent6 29" xfId="1514"/>
    <cellStyle name="Accent6 3" xfId="1515"/>
    <cellStyle name="Accent6 3 2" xfId="1516"/>
    <cellStyle name="Accent6 30" xfId="1517"/>
    <cellStyle name="Accent6 31" xfId="1518"/>
    <cellStyle name="Accent6 32" xfId="1519"/>
    <cellStyle name="Accent6 33" xfId="1520"/>
    <cellStyle name="Accent6 34" xfId="1521"/>
    <cellStyle name="Accent6 35" xfId="1522"/>
    <cellStyle name="Accent6 36" xfId="1523"/>
    <cellStyle name="Accent6 37" xfId="1524"/>
    <cellStyle name="Accent6 38" xfId="1525"/>
    <cellStyle name="Accent6 39" xfId="1526"/>
    <cellStyle name="Accent6 4" xfId="1527"/>
    <cellStyle name="Accent6 4 2" xfId="1528"/>
    <cellStyle name="Accent6 40" xfId="1529"/>
    <cellStyle name="Accent6 41" xfId="1530"/>
    <cellStyle name="Accent6 42" xfId="1531"/>
    <cellStyle name="Accent6 43" xfId="1532"/>
    <cellStyle name="Accent6 44" xfId="1533"/>
    <cellStyle name="Accent6 45" xfId="1534"/>
    <cellStyle name="Accent6 46" xfId="1535"/>
    <cellStyle name="Accent6 47" xfId="1536"/>
    <cellStyle name="Accent6 48" xfId="1537"/>
    <cellStyle name="Accent6 49" xfId="9428"/>
    <cellStyle name="Accent6 5" xfId="1538"/>
    <cellStyle name="Accent6 5 2" xfId="1539"/>
    <cellStyle name="Accent6 50" xfId="9429"/>
    <cellStyle name="Accent6 51" xfId="9430"/>
    <cellStyle name="Accent6 6" xfId="1540"/>
    <cellStyle name="Accent6 6 2" xfId="1541"/>
    <cellStyle name="Accent6 7" xfId="1542"/>
    <cellStyle name="Accent6 7 2" xfId="1543"/>
    <cellStyle name="Accent6 8" xfId="1544"/>
    <cellStyle name="Accent6 8 2" xfId="1545"/>
    <cellStyle name="Accent6 9" xfId="1546"/>
    <cellStyle name="Accent6 9 2" xfId="1547"/>
    <cellStyle name="Bad" xfId="25" builtinId="27" customBuiltin="1"/>
    <cellStyle name="Bad 10" xfId="1548"/>
    <cellStyle name="Bad 10 2" xfId="1549"/>
    <cellStyle name="Bad 11" xfId="1550"/>
    <cellStyle name="Bad 11 2" xfId="1551"/>
    <cellStyle name="Bad 12" xfId="1552"/>
    <cellStyle name="Bad 12 2" xfId="1553"/>
    <cellStyle name="Bad 13" xfId="1554"/>
    <cellStyle name="Bad 13 2" xfId="1555"/>
    <cellStyle name="Bad 14" xfId="1556"/>
    <cellStyle name="Bad 14 2" xfId="1557"/>
    <cellStyle name="Bad 15" xfId="1558"/>
    <cellStyle name="Bad 15 2" xfId="1559"/>
    <cellStyle name="Bad 16" xfId="1560"/>
    <cellStyle name="Bad 16 2" xfId="1561"/>
    <cellStyle name="Bad 17" xfId="1562"/>
    <cellStyle name="Bad 17 2" xfId="1563"/>
    <cellStyle name="Bad 18" xfId="1564"/>
    <cellStyle name="Bad 18 2" xfId="1565"/>
    <cellStyle name="Bad 19" xfId="1566"/>
    <cellStyle name="Bad 19 2" xfId="1567"/>
    <cellStyle name="Bad 2" xfId="1568"/>
    <cellStyle name="Bad 2 2" xfId="1569"/>
    <cellStyle name="Bad 2 3" xfId="1570"/>
    <cellStyle name="Bad 20" xfId="1571"/>
    <cellStyle name="Bad 21" xfId="1572"/>
    <cellStyle name="Bad 22" xfId="1573"/>
    <cellStyle name="Bad 23" xfId="1574"/>
    <cellStyle name="Bad 24" xfId="1575"/>
    <cellStyle name="Bad 25" xfId="1576"/>
    <cellStyle name="Bad 26" xfId="1577"/>
    <cellStyle name="Bad 27" xfId="1578"/>
    <cellStyle name="Bad 28" xfId="1579"/>
    <cellStyle name="Bad 29" xfId="1580"/>
    <cellStyle name="Bad 3" xfId="1581"/>
    <cellStyle name="Bad 3 2" xfId="1582"/>
    <cellStyle name="Bad 30" xfId="1583"/>
    <cellStyle name="Bad 31" xfId="1584"/>
    <cellStyle name="Bad 32" xfId="1585"/>
    <cellStyle name="Bad 33" xfId="1586"/>
    <cellStyle name="Bad 34" xfId="1587"/>
    <cellStyle name="Bad 35" xfId="1588"/>
    <cellStyle name="Bad 36" xfId="1589"/>
    <cellStyle name="Bad 37" xfId="9431"/>
    <cellStyle name="Bad 4" xfId="1590"/>
    <cellStyle name="Bad 4 2" xfId="1591"/>
    <cellStyle name="Bad 5" xfId="1592"/>
    <cellStyle name="Bad 5 2" xfId="1593"/>
    <cellStyle name="Bad 6" xfId="1594"/>
    <cellStyle name="Bad 6 2" xfId="1595"/>
    <cellStyle name="Bad 7" xfId="1596"/>
    <cellStyle name="Bad 7 2" xfId="1597"/>
    <cellStyle name="Bad 8" xfId="1598"/>
    <cellStyle name="Bad 8 2" xfId="1599"/>
    <cellStyle name="Bad 9" xfId="1600"/>
    <cellStyle name="Bad 9 2" xfId="1601"/>
    <cellStyle name="Calculation" xfId="26" builtinId="22" customBuiltin="1"/>
    <cellStyle name="Calculation 10" xfId="1602"/>
    <cellStyle name="Calculation 10 2" xfId="1603"/>
    <cellStyle name="Calculation 11" xfId="1604"/>
    <cellStyle name="Calculation 11 2" xfId="1605"/>
    <cellStyle name="Calculation 12" xfId="1606"/>
    <cellStyle name="Calculation 12 2" xfId="1607"/>
    <cellStyle name="Calculation 13" xfId="1608"/>
    <cellStyle name="Calculation 13 2" xfId="1609"/>
    <cellStyle name="Calculation 14" xfId="1610"/>
    <cellStyle name="Calculation 14 2" xfId="1611"/>
    <cellStyle name="Calculation 15" xfId="1612"/>
    <cellStyle name="Calculation 15 2" xfId="1613"/>
    <cellStyle name="Calculation 16" xfId="1614"/>
    <cellStyle name="Calculation 16 2" xfId="1615"/>
    <cellStyle name="Calculation 17" xfId="1616"/>
    <cellStyle name="Calculation 17 2" xfId="1617"/>
    <cellStyle name="Calculation 18" xfId="1618"/>
    <cellStyle name="Calculation 18 2" xfId="1619"/>
    <cellStyle name="Calculation 19" xfId="1620"/>
    <cellStyle name="Calculation 19 2" xfId="1621"/>
    <cellStyle name="Calculation 2" xfId="1622"/>
    <cellStyle name="Calculation 2 2" xfId="1623"/>
    <cellStyle name="Calculation 2 3" xfId="1624"/>
    <cellStyle name="Calculation 20" xfId="1625"/>
    <cellStyle name="Calculation 21" xfId="1626"/>
    <cellStyle name="Calculation 22" xfId="1627"/>
    <cellStyle name="Calculation 23" xfId="1628"/>
    <cellStyle name="Calculation 24" xfId="1629"/>
    <cellStyle name="Calculation 25" xfId="1630"/>
    <cellStyle name="Calculation 26" xfId="1631"/>
    <cellStyle name="Calculation 27" xfId="1632"/>
    <cellStyle name="Calculation 28" xfId="1633"/>
    <cellStyle name="Calculation 29" xfId="1634"/>
    <cellStyle name="Calculation 3" xfId="1635"/>
    <cellStyle name="Calculation 3 2" xfId="1636"/>
    <cellStyle name="Calculation 30" xfId="1637"/>
    <cellStyle name="Calculation 31" xfId="1638"/>
    <cellStyle name="Calculation 32" xfId="1639"/>
    <cellStyle name="Calculation 33" xfId="1640"/>
    <cellStyle name="Calculation 34" xfId="1641"/>
    <cellStyle name="Calculation 35" xfId="1642"/>
    <cellStyle name="Calculation 36" xfId="1643"/>
    <cellStyle name="Calculation 37" xfId="9432"/>
    <cellStyle name="Calculation 4" xfId="1644"/>
    <cellStyle name="Calculation 4 2" xfId="1645"/>
    <cellStyle name="Calculation 5" xfId="1646"/>
    <cellStyle name="Calculation 5 2" xfId="1647"/>
    <cellStyle name="Calculation 6" xfId="1648"/>
    <cellStyle name="Calculation 6 2" xfId="1649"/>
    <cellStyle name="Calculation 7" xfId="1650"/>
    <cellStyle name="Calculation 7 2" xfId="1651"/>
    <cellStyle name="Calculation 8" xfId="1652"/>
    <cellStyle name="Calculation 8 2" xfId="1653"/>
    <cellStyle name="Calculation 9" xfId="1654"/>
    <cellStyle name="Calculation 9 2" xfId="1655"/>
    <cellStyle name="Check Cell" xfId="27" builtinId="23" customBuiltin="1"/>
    <cellStyle name="Check Cell 10" xfId="1656"/>
    <cellStyle name="Check Cell 10 2" xfId="1657"/>
    <cellStyle name="Check Cell 11" xfId="1658"/>
    <cellStyle name="Check Cell 11 2" xfId="1659"/>
    <cellStyle name="Check Cell 12" xfId="1660"/>
    <cellStyle name="Check Cell 12 2" xfId="1661"/>
    <cellStyle name="Check Cell 13" xfId="1662"/>
    <cellStyle name="Check Cell 13 2" xfId="1663"/>
    <cellStyle name="Check Cell 14" xfId="1664"/>
    <cellStyle name="Check Cell 14 2" xfId="1665"/>
    <cellStyle name="Check Cell 15" xfId="1666"/>
    <cellStyle name="Check Cell 15 2" xfId="1667"/>
    <cellStyle name="Check Cell 16" xfId="1668"/>
    <cellStyle name="Check Cell 16 2" xfId="1669"/>
    <cellStyle name="Check Cell 17" xfId="1670"/>
    <cellStyle name="Check Cell 17 2" xfId="1671"/>
    <cellStyle name="Check Cell 18" xfId="1672"/>
    <cellStyle name="Check Cell 18 2" xfId="1673"/>
    <cellStyle name="Check Cell 19" xfId="1674"/>
    <cellStyle name="Check Cell 19 2" xfId="1675"/>
    <cellStyle name="Check Cell 2" xfId="1676"/>
    <cellStyle name="Check Cell 2 2" xfId="1677"/>
    <cellStyle name="Check Cell 2 3" xfId="1678"/>
    <cellStyle name="Check Cell 20" xfId="1679"/>
    <cellStyle name="Check Cell 21" xfId="1680"/>
    <cellStyle name="Check Cell 22" xfId="1681"/>
    <cellStyle name="Check Cell 23" xfId="1682"/>
    <cellStyle name="Check Cell 24" xfId="1683"/>
    <cellStyle name="Check Cell 25" xfId="1684"/>
    <cellStyle name="Check Cell 26" xfId="1685"/>
    <cellStyle name="Check Cell 27" xfId="1686"/>
    <cellStyle name="Check Cell 28" xfId="1687"/>
    <cellStyle name="Check Cell 29" xfId="1688"/>
    <cellStyle name="Check Cell 3" xfId="1689"/>
    <cellStyle name="Check Cell 3 2" xfId="1690"/>
    <cellStyle name="Check Cell 30" xfId="1691"/>
    <cellStyle name="Check Cell 31" xfId="1692"/>
    <cellStyle name="Check Cell 32" xfId="1693"/>
    <cellStyle name="Check Cell 33" xfId="1694"/>
    <cellStyle name="Check Cell 34" xfId="1695"/>
    <cellStyle name="Check Cell 35" xfId="1696"/>
    <cellStyle name="Check Cell 36" xfId="1697"/>
    <cellStyle name="Check Cell 37" xfId="9433"/>
    <cellStyle name="Check Cell 4" xfId="1698"/>
    <cellStyle name="Check Cell 4 2" xfId="1699"/>
    <cellStyle name="Check Cell 5" xfId="1700"/>
    <cellStyle name="Check Cell 5 2" xfId="1701"/>
    <cellStyle name="Check Cell 6" xfId="1702"/>
    <cellStyle name="Check Cell 6 2" xfId="1703"/>
    <cellStyle name="Check Cell 7" xfId="1704"/>
    <cellStyle name="Check Cell 7 2" xfId="1705"/>
    <cellStyle name="Check Cell 8" xfId="1706"/>
    <cellStyle name="Check Cell 8 2" xfId="1707"/>
    <cellStyle name="Check Cell 9" xfId="1708"/>
    <cellStyle name="Check Cell 9 2" xfId="1709"/>
    <cellStyle name="Comma" xfId="28" builtinId="3"/>
    <cellStyle name="Comma [0] 10" xfId="9434"/>
    <cellStyle name="Comma [0] 2" xfId="1710"/>
    <cellStyle name="Comma [0] 2 2" xfId="1711"/>
    <cellStyle name="Comma [0] 2 3" xfId="3956"/>
    <cellStyle name="Comma [0] 2 4" xfId="9384"/>
    <cellStyle name="Comma [0] 20" xfId="9435"/>
    <cellStyle name="Comma [0] 3" xfId="1712"/>
    <cellStyle name="Comma [0] 3 2" xfId="1713"/>
    <cellStyle name="Comma [0] 3 2 2" xfId="1714"/>
    <cellStyle name="Comma [0] 3 3" xfId="1715"/>
    <cellStyle name="Comma [0] 4" xfId="1716"/>
    <cellStyle name="Comma [0] 4 2" xfId="1717"/>
    <cellStyle name="Comma [0] 4 2 2" xfId="1718"/>
    <cellStyle name="Comma [0] 4 2 2 2" xfId="9436"/>
    <cellStyle name="Comma [0] 4 3" xfId="1719"/>
    <cellStyle name="Comma [0] 5" xfId="3957"/>
    <cellStyle name="Comma [0] 6" xfId="3958"/>
    <cellStyle name="Comma [0] 7" xfId="9385"/>
    <cellStyle name="Comma [0] 7 2" xfId="9386"/>
    <cellStyle name="Comma [0] 8" xfId="9437"/>
    <cellStyle name="Comma [1]" xfId="1720"/>
    <cellStyle name="Comma [1] 2" xfId="1721"/>
    <cellStyle name="Comma [1] 2 2" xfId="1722"/>
    <cellStyle name="Comma [1] 2 2 2" xfId="1723"/>
    <cellStyle name="Comma [1] 2 3" xfId="1724"/>
    <cellStyle name="Comma [1] 3" xfId="1725"/>
    <cellStyle name="Comma [3]" xfId="1726"/>
    <cellStyle name="Comma [3] 2" xfId="1727"/>
    <cellStyle name="Comma [3] 2 2" xfId="1728"/>
    <cellStyle name="Comma [3] 2 2 2" xfId="1729"/>
    <cellStyle name="Comma [3] 2 3" xfId="1730"/>
    <cellStyle name="Comma [3] 3" xfId="1731"/>
    <cellStyle name="Comma 10" xfId="1732"/>
    <cellStyle name="Comma 10 11" xfId="9475"/>
    <cellStyle name="Comma 10 2" xfId="1733"/>
    <cellStyle name="Comma 10 2 2" xfId="1734"/>
    <cellStyle name="Comma 10 2 2 2" xfId="1735"/>
    <cellStyle name="Comma 10 2 3" xfId="1736"/>
    <cellStyle name="Comma 10 2 4" xfId="1737"/>
    <cellStyle name="Comma 10 3" xfId="1738"/>
    <cellStyle name="Comma 10 3 2" xfId="1739"/>
    <cellStyle name="Comma 10 4" xfId="1740"/>
    <cellStyle name="Comma 10 4 2" xfId="1741"/>
    <cellStyle name="Comma 10 5" xfId="1742"/>
    <cellStyle name="Comma 10 6" xfId="1743"/>
    <cellStyle name="Comma 100" xfId="3959"/>
    <cellStyle name="Comma 100 2" xfId="3960"/>
    <cellStyle name="Comma 100 3" xfId="3961"/>
    <cellStyle name="Comma 101" xfId="3962"/>
    <cellStyle name="Comma 101 2" xfId="3963"/>
    <cellStyle name="Comma 101 3" xfId="3964"/>
    <cellStyle name="Comma 102" xfId="3965"/>
    <cellStyle name="Comma 102 2" xfId="3966"/>
    <cellStyle name="Comma 102 3" xfId="3967"/>
    <cellStyle name="Comma 103" xfId="3968"/>
    <cellStyle name="Comma 103 2" xfId="3969"/>
    <cellStyle name="Comma 103 3" xfId="3970"/>
    <cellStyle name="Comma 104" xfId="3971"/>
    <cellStyle name="Comma 104 2" xfId="3972"/>
    <cellStyle name="Comma 104 3" xfId="3973"/>
    <cellStyle name="Comma 105" xfId="3974"/>
    <cellStyle name="Comma 105 2" xfId="3975"/>
    <cellStyle name="Comma 105 3" xfId="3976"/>
    <cellStyle name="Comma 106" xfId="3977"/>
    <cellStyle name="Comma 106 2" xfId="3978"/>
    <cellStyle name="Comma 106 3" xfId="3979"/>
    <cellStyle name="Comma 107" xfId="3980"/>
    <cellStyle name="Comma 107 2" xfId="3981"/>
    <cellStyle name="Comma 107 3" xfId="3982"/>
    <cellStyle name="Comma 108" xfId="3983"/>
    <cellStyle name="Comma 108 2" xfId="3984"/>
    <cellStyle name="Comma 108 3" xfId="3985"/>
    <cellStyle name="Comma 109" xfId="3986"/>
    <cellStyle name="Comma 109 2" xfId="3987"/>
    <cellStyle name="Comma 109 3" xfId="3988"/>
    <cellStyle name="Comma 11" xfId="1744"/>
    <cellStyle name="Comma 11 2" xfId="1745"/>
    <cellStyle name="Comma 11 2 2" xfId="1746"/>
    <cellStyle name="Comma 11 3" xfId="1747"/>
    <cellStyle name="Comma 11 4" xfId="1748"/>
    <cellStyle name="Comma 110" xfId="3989"/>
    <cellStyle name="Comma 110 2" xfId="3990"/>
    <cellStyle name="Comma 110 3" xfId="3991"/>
    <cellStyle name="Comma 111" xfId="3992"/>
    <cellStyle name="Comma 111 2" xfId="3993"/>
    <cellStyle name="Comma 111 3" xfId="3994"/>
    <cellStyle name="Comma 112" xfId="3995"/>
    <cellStyle name="Comma 112 2" xfId="3996"/>
    <cellStyle name="Comma 112 3" xfId="3997"/>
    <cellStyle name="Comma 113" xfId="3998"/>
    <cellStyle name="Comma 113 2" xfId="3999"/>
    <cellStyle name="Comma 113 3" xfId="4000"/>
    <cellStyle name="Comma 114" xfId="4001"/>
    <cellStyle name="Comma 114 2" xfId="4002"/>
    <cellStyle name="Comma 114 3" xfId="4003"/>
    <cellStyle name="Comma 115" xfId="4004"/>
    <cellStyle name="Comma 115 2" xfId="4005"/>
    <cellStyle name="Comma 115 3" xfId="4006"/>
    <cellStyle name="Comma 116" xfId="4007"/>
    <cellStyle name="Comma 116 2" xfId="4008"/>
    <cellStyle name="Comma 116 3" xfId="4009"/>
    <cellStyle name="Comma 117" xfId="4010"/>
    <cellStyle name="Comma 117 2" xfId="4011"/>
    <cellStyle name="Comma 117 3" xfId="4012"/>
    <cellStyle name="Comma 118" xfId="4013"/>
    <cellStyle name="Comma 118 2" xfId="4014"/>
    <cellStyle name="Comma 118 3" xfId="4015"/>
    <cellStyle name="Comma 119" xfId="4016"/>
    <cellStyle name="Comma 12" xfId="1749"/>
    <cellStyle name="Comma 12 2" xfId="1750"/>
    <cellStyle name="Comma 12 3" xfId="1751"/>
    <cellStyle name="Comma 12 3 2" xfId="1752"/>
    <cellStyle name="Comma 12 4" xfId="1753"/>
    <cellStyle name="Comma 12 4 2" xfId="1754"/>
    <cellStyle name="Comma 12 5" xfId="1755"/>
    <cellStyle name="Comma 12 6" xfId="1756"/>
    <cellStyle name="Comma 120" xfId="4017"/>
    <cellStyle name="Comma 121" xfId="4018"/>
    <cellStyle name="Comma 122" xfId="4019"/>
    <cellStyle name="Comma 123" xfId="4020"/>
    <cellStyle name="Comma 124" xfId="4021"/>
    <cellStyle name="Comma 125" xfId="4022"/>
    <cellStyle name="Comma 126" xfId="4023"/>
    <cellStyle name="Comma 127" xfId="4024"/>
    <cellStyle name="Comma 128" xfId="4025"/>
    <cellStyle name="Comma 129" xfId="4026"/>
    <cellStyle name="Comma 13" xfId="63"/>
    <cellStyle name="Comma 13 2" xfId="1757"/>
    <cellStyle name="Comma 13 3" xfId="1758"/>
    <cellStyle name="Comma 13 3 2" xfId="1759"/>
    <cellStyle name="Comma 13 4" xfId="1760"/>
    <cellStyle name="Comma 13 4 2" xfId="1761"/>
    <cellStyle name="Comma 13 5" xfId="1762"/>
    <cellStyle name="Comma 130" xfId="4027"/>
    <cellStyle name="Comma 131" xfId="4028"/>
    <cellStyle name="Comma 132" xfId="4029"/>
    <cellStyle name="Comma 133" xfId="4030"/>
    <cellStyle name="Comma 134" xfId="4031"/>
    <cellStyle name="Comma 135" xfId="4032"/>
    <cellStyle name="Comma 136" xfId="4033"/>
    <cellStyle name="Comma 137" xfId="4034"/>
    <cellStyle name="Comma 138" xfId="4035"/>
    <cellStyle name="Comma 139" xfId="4036"/>
    <cellStyle name="Comma 14" xfId="1763"/>
    <cellStyle name="Comma 14 2" xfId="1764"/>
    <cellStyle name="Comma 14 2 2" xfId="1765"/>
    <cellStyle name="Comma 14 3" xfId="1766"/>
    <cellStyle name="Comma 14 4" xfId="1767"/>
    <cellStyle name="Comma 140" xfId="4037"/>
    <cellStyle name="Comma 140 2" xfId="4038"/>
    <cellStyle name="Comma 141" xfId="4039"/>
    <cellStyle name="Comma 142" xfId="4040"/>
    <cellStyle name="Comma 143" xfId="4041"/>
    <cellStyle name="Comma 144" xfId="4042"/>
    <cellStyle name="Comma 145" xfId="4043"/>
    <cellStyle name="Comma 146" xfId="4044"/>
    <cellStyle name="Comma 147" xfId="4045"/>
    <cellStyle name="Comma 148" xfId="4046"/>
    <cellStyle name="Comma 149" xfId="4047"/>
    <cellStyle name="Comma 15" xfId="1768"/>
    <cellStyle name="Comma 15 2" xfId="1769"/>
    <cellStyle name="Comma 15 3" xfId="1770"/>
    <cellStyle name="Comma 15 3 2" xfId="1771"/>
    <cellStyle name="Comma 15 4" xfId="1772"/>
    <cellStyle name="Comma 15 5" xfId="1773"/>
    <cellStyle name="Comma 150" xfId="9387"/>
    <cellStyle name="Comma 151" xfId="9388"/>
    <cellStyle name="Comma 152" xfId="9438"/>
    <cellStyle name="Comma 153" xfId="9439"/>
    <cellStyle name="Comma 154" xfId="9440"/>
    <cellStyle name="Comma 155" xfId="9441"/>
    <cellStyle name="Comma 158" xfId="9442"/>
    <cellStyle name="Comma 16" xfId="1774"/>
    <cellStyle name="Comma 16 2" xfId="1775"/>
    <cellStyle name="Comma 16 2 2" xfId="1776"/>
    <cellStyle name="Comma 16 3" xfId="1777"/>
    <cellStyle name="Comma 16 4" xfId="1778"/>
    <cellStyle name="Comma 165" xfId="9443"/>
    <cellStyle name="Comma 17" xfId="1779"/>
    <cellStyle name="Comma 17 2" xfId="1780"/>
    <cellStyle name="Comma 17 2 2" xfId="1781"/>
    <cellStyle name="Comma 17 3" xfId="1782"/>
    <cellStyle name="Comma 17 3 2" xfId="1783"/>
    <cellStyle name="Comma 17 4" xfId="1784"/>
    <cellStyle name="Comma 172 3" xfId="9444"/>
    <cellStyle name="Comma 18" xfId="1785"/>
    <cellStyle name="Comma 18 2" xfId="1786"/>
    <cellStyle name="Comma 18 2 2" xfId="1787"/>
    <cellStyle name="Comma 18 3" xfId="1788"/>
    <cellStyle name="Comma 19" xfId="1789"/>
    <cellStyle name="Comma 19 2" xfId="1790"/>
    <cellStyle name="Comma 19 2 2" xfId="1791"/>
    <cellStyle name="Comma 19 3" xfId="1792"/>
    <cellStyle name="Comma 2" xfId="29"/>
    <cellStyle name="Comma 2 10" xfId="1793"/>
    <cellStyle name="Comma 2 10 2" xfId="1794"/>
    <cellStyle name="Comma 2 11" xfId="1795"/>
    <cellStyle name="Comma 2 11 2" xfId="1796"/>
    <cellStyle name="Comma 2 12" xfId="1797"/>
    <cellStyle name="Comma 2 12 2" xfId="1798"/>
    <cellStyle name="Comma 2 13" xfId="1799"/>
    <cellStyle name="Comma 2 13 2" xfId="1800"/>
    <cellStyle name="Comma 2 14" xfId="1801"/>
    <cellStyle name="Comma 2 14 2" xfId="1802"/>
    <cellStyle name="Comma 2 15" xfId="1803"/>
    <cellStyle name="Comma 2 15 2" xfId="1804"/>
    <cellStyle name="Comma 2 16" xfId="1805"/>
    <cellStyle name="Comma 2 16 2" xfId="1806"/>
    <cellStyle name="Comma 2 17" xfId="1807"/>
    <cellStyle name="Comma 2 17 2" xfId="1808"/>
    <cellStyle name="Comma 2 18" xfId="1809"/>
    <cellStyle name="Comma 2 18 2" xfId="1810"/>
    <cellStyle name="Comma 2 19" xfId="1811"/>
    <cellStyle name="Comma 2 19 2" xfId="1812"/>
    <cellStyle name="Comma 2 2" xfId="1813"/>
    <cellStyle name="Comma 2 2 2" xfId="1814"/>
    <cellStyle name="Comma 2 2 2 2" xfId="4048"/>
    <cellStyle name="Comma 2 2 2 3" xfId="4049"/>
    <cellStyle name="Comma 2 2 3" xfId="4050"/>
    <cellStyle name="Comma 2 2 4" xfId="4051"/>
    <cellStyle name="Comma 2 2 5" xfId="9381"/>
    <cellStyle name="Comma 2 20" xfId="1815"/>
    <cellStyle name="Comma 2 20 2" xfId="1816"/>
    <cellStyle name="Comma 2 21" xfId="1817"/>
    <cellStyle name="Comma 2 21 2" xfId="1818"/>
    <cellStyle name="Comma 2 22" xfId="1819"/>
    <cellStyle name="Comma 2 22 2" xfId="1820"/>
    <cellStyle name="Comma 2 23" xfId="1821"/>
    <cellStyle name="Comma 2 23 2" xfId="1822"/>
    <cellStyle name="Comma 2 24" xfId="1823"/>
    <cellStyle name="Comma 2 24 2" xfId="1824"/>
    <cellStyle name="Comma 2 25" xfId="1825"/>
    <cellStyle name="Comma 2 25 2" xfId="1826"/>
    <cellStyle name="Comma 2 26" xfId="1827"/>
    <cellStyle name="Comma 2 26 2" xfId="1828"/>
    <cellStyle name="Comma 2 27" xfId="1829"/>
    <cellStyle name="Comma 2 27 2" xfId="1830"/>
    <cellStyle name="Comma 2 28" xfId="1831"/>
    <cellStyle name="Comma 2 28 2" xfId="1832"/>
    <cellStyle name="Comma 2 29" xfId="1833"/>
    <cellStyle name="Comma 2 29 2" xfId="1834"/>
    <cellStyle name="Comma 2 3" xfId="1835"/>
    <cellStyle name="Comma 2 3 2" xfId="1836"/>
    <cellStyle name="Comma 2 3 2 2" xfId="4052"/>
    <cellStyle name="Comma 2 3 2 3" xfId="4053"/>
    <cellStyle name="Comma 2 3 3" xfId="4054"/>
    <cellStyle name="Comma 2 3 4" xfId="4055"/>
    <cellStyle name="Comma 2 30" xfId="1837"/>
    <cellStyle name="Comma 2 30 2" xfId="1838"/>
    <cellStyle name="Comma 2 31" xfId="1839"/>
    <cellStyle name="Comma 2 31 2" xfId="1840"/>
    <cellStyle name="Comma 2 32" xfId="1841"/>
    <cellStyle name="Comma 2 32 2" xfId="1842"/>
    <cellStyle name="Comma 2 33" xfId="1843"/>
    <cellStyle name="Comma 2 33 2" xfId="1844"/>
    <cellStyle name="Comma 2 34" xfId="1845"/>
    <cellStyle name="Comma 2 34 2" xfId="1846"/>
    <cellStyle name="Comma 2 35" xfId="1847"/>
    <cellStyle name="Comma 2 35 2" xfId="1848"/>
    <cellStyle name="Comma 2 36" xfId="1849"/>
    <cellStyle name="Comma 2 36 2" xfId="1850"/>
    <cellStyle name="Comma 2 37" xfId="1851"/>
    <cellStyle name="Comma 2 37 2" xfId="1852"/>
    <cellStyle name="Comma 2 38" xfId="1853"/>
    <cellStyle name="Comma 2 38 2" xfId="1854"/>
    <cellStyle name="Comma 2 39" xfId="1855"/>
    <cellStyle name="Comma 2 39 2" xfId="1856"/>
    <cellStyle name="Comma 2 4" xfId="1857"/>
    <cellStyle name="Comma 2 4 2" xfId="1858"/>
    <cellStyle name="Comma 2 4 2 2" xfId="4056"/>
    <cellStyle name="Comma 2 4 2 3" xfId="4057"/>
    <cellStyle name="Comma 2 4 3" xfId="4058"/>
    <cellStyle name="Comma 2 4 4" xfId="4059"/>
    <cellStyle name="Comma 2 40" xfId="1859"/>
    <cellStyle name="Comma 2 40 2" xfId="1860"/>
    <cellStyle name="Comma 2 41" xfId="1861"/>
    <cellStyle name="Comma 2 41 2" xfId="1862"/>
    <cellStyle name="Comma 2 42" xfId="1863"/>
    <cellStyle name="Comma 2 42 2" xfId="1864"/>
    <cellStyle name="Comma 2 43" xfId="1865"/>
    <cellStyle name="Comma 2 43 2" xfId="1866"/>
    <cellStyle name="Comma 2 44" xfId="1867"/>
    <cellStyle name="Comma 2 44 2" xfId="1868"/>
    <cellStyle name="Comma 2 45" xfId="1869"/>
    <cellStyle name="Comma 2 45 2" xfId="1870"/>
    <cellStyle name="Comma 2 46" xfId="1871"/>
    <cellStyle name="Comma 2 46 2" xfId="1872"/>
    <cellStyle name="Comma 2 47" xfId="1873"/>
    <cellStyle name="Comma 2 47 2" xfId="1874"/>
    <cellStyle name="Comma 2 48" xfId="1875"/>
    <cellStyle name="Comma 2 48 2" xfId="1876"/>
    <cellStyle name="Comma 2 49" xfId="1877"/>
    <cellStyle name="Comma 2 49 2" xfId="1878"/>
    <cellStyle name="Comma 2 5" xfId="1879"/>
    <cellStyle name="Comma 2 5 2" xfId="1880"/>
    <cellStyle name="Comma 2 5 2 2" xfId="4060"/>
    <cellStyle name="Comma 2 5 2 3" xfId="4061"/>
    <cellStyle name="Comma 2 5 3" xfId="4062"/>
    <cellStyle name="Comma 2 5 4" xfId="4063"/>
    <cellStyle name="Comma 2 50" xfId="1881"/>
    <cellStyle name="Comma 2 50 2" xfId="1882"/>
    <cellStyle name="Comma 2 51" xfId="1883"/>
    <cellStyle name="Comma 2 51 2" xfId="1884"/>
    <cellStyle name="Comma 2 52" xfId="1885"/>
    <cellStyle name="Comma 2 52 2" xfId="1886"/>
    <cellStyle name="Comma 2 53" xfId="1887"/>
    <cellStyle name="Comma 2 53 2" xfId="1888"/>
    <cellStyle name="Comma 2 54" xfId="1889"/>
    <cellStyle name="Comma 2 54 2" xfId="1890"/>
    <cellStyle name="Comma 2 55" xfId="1891"/>
    <cellStyle name="Comma 2 55 2" xfId="1892"/>
    <cellStyle name="Comma 2 56" xfId="1893"/>
    <cellStyle name="Comma 2 56 2" xfId="1894"/>
    <cellStyle name="Comma 2 57" xfId="1895"/>
    <cellStyle name="Comma 2 57 2" xfId="1896"/>
    <cellStyle name="Comma 2 58" xfId="1897"/>
    <cellStyle name="Comma 2 58 2" xfId="1898"/>
    <cellStyle name="Comma 2 59" xfId="1899"/>
    <cellStyle name="Comma 2 59 2" xfId="1900"/>
    <cellStyle name="Comma 2 6" xfId="1901"/>
    <cellStyle name="Comma 2 6 2" xfId="1902"/>
    <cellStyle name="Comma 2 6 3" xfId="4064"/>
    <cellStyle name="Comma 2 60" xfId="1903"/>
    <cellStyle name="Comma 2 60 2" xfId="1904"/>
    <cellStyle name="Comma 2 61" xfId="1905"/>
    <cellStyle name="Comma 2 61 2" xfId="1906"/>
    <cellStyle name="Comma 2 62" xfId="1907"/>
    <cellStyle name="Comma 2 62 2" xfId="1908"/>
    <cellStyle name="Comma 2 63" xfId="1909"/>
    <cellStyle name="Comma 2 63 2" xfId="1910"/>
    <cellStyle name="Comma 2 64" xfId="1911"/>
    <cellStyle name="Comma 2 64 2" xfId="1912"/>
    <cellStyle name="Comma 2 65" xfId="1913"/>
    <cellStyle name="Comma 2 65 2" xfId="1914"/>
    <cellStyle name="Comma 2 66" xfId="1915"/>
    <cellStyle name="Comma 2 66 2" xfId="1916"/>
    <cellStyle name="Comma 2 67" xfId="1917"/>
    <cellStyle name="Comma 2 67 2" xfId="1918"/>
    <cellStyle name="Comma 2 68" xfId="1919"/>
    <cellStyle name="Comma 2 68 2" xfId="1920"/>
    <cellStyle name="Comma 2 69" xfId="1921"/>
    <cellStyle name="Comma 2 69 2" xfId="1922"/>
    <cellStyle name="Comma 2 7" xfId="1923"/>
    <cellStyle name="Comma 2 7 2" xfId="1924"/>
    <cellStyle name="Comma 2 70" xfId="1925"/>
    <cellStyle name="Comma 2 70 2" xfId="1926"/>
    <cellStyle name="Comma 2 71" xfId="1927"/>
    <cellStyle name="Comma 2 71 2" xfId="1928"/>
    <cellStyle name="Comma 2 72" xfId="1929"/>
    <cellStyle name="Comma 2 72 2" xfId="1930"/>
    <cellStyle name="Comma 2 73" xfId="1931"/>
    <cellStyle name="Comma 2 73 2" xfId="1932"/>
    <cellStyle name="Comma 2 74" xfId="1933"/>
    <cellStyle name="Comma 2 74 2" xfId="1934"/>
    <cellStyle name="Comma 2 75" xfId="1935"/>
    <cellStyle name="Comma 2 75 2" xfId="1936"/>
    <cellStyle name="Comma 2 76" xfId="1937"/>
    <cellStyle name="Comma 2 76 2" xfId="1938"/>
    <cellStyle name="Comma 2 77" xfId="1939"/>
    <cellStyle name="Comma 2 77 2" xfId="1940"/>
    <cellStyle name="Comma 2 78" xfId="1941"/>
    <cellStyle name="Comma 2 78 2" xfId="1942"/>
    <cellStyle name="Comma 2 79" xfId="1943"/>
    <cellStyle name="Comma 2 79 2" xfId="1944"/>
    <cellStyle name="Comma 2 8" xfId="1945"/>
    <cellStyle name="Comma 2 8 2" xfId="1946"/>
    <cellStyle name="Comma 2 80" xfId="1947"/>
    <cellStyle name="Comma 2 80 2" xfId="1948"/>
    <cellStyle name="Comma 2 81" xfId="1949"/>
    <cellStyle name="Comma 2 81 2" xfId="1950"/>
    <cellStyle name="Comma 2 82" xfId="1951"/>
    <cellStyle name="Comma 2 82 2" xfId="1952"/>
    <cellStyle name="Comma 2 83" xfId="1953"/>
    <cellStyle name="Comma 2 83 2" xfId="1954"/>
    <cellStyle name="Comma 2 84" xfId="1955"/>
    <cellStyle name="Comma 2 84 2" xfId="1956"/>
    <cellStyle name="Comma 2 85" xfId="1957"/>
    <cellStyle name="Comma 2 85 2" xfId="1958"/>
    <cellStyle name="Comma 2 86" xfId="1959"/>
    <cellStyle name="Comma 2 86 2" xfId="1960"/>
    <cellStyle name="Comma 2 87" xfId="1961"/>
    <cellStyle name="Comma 2 87 2" xfId="1962"/>
    <cellStyle name="Comma 2 88" xfId="1963"/>
    <cellStyle name="Comma 2 88 2" xfId="1964"/>
    <cellStyle name="Comma 2 89" xfId="1965"/>
    <cellStyle name="Comma 2 89 2" xfId="1966"/>
    <cellStyle name="Comma 2 9" xfId="1967"/>
    <cellStyle name="Comma 2 9 2" xfId="1968"/>
    <cellStyle name="Comma 2 90" xfId="1969"/>
    <cellStyle name="Comma 2 90 2" xfId="1970"/>
    <cellStyle name="Comma 2 91" xfId="1971"/>
    <cellStyle name="Comma 2 91 2" xfId="1972"/>
    <cellStyle name="Comma 2 92" xfId="1973"/>
    <cellStyle name="Comma 2 92 2" xfId="1974"/>
    <cellStyle name="Comma 2 93" xfId="1975"/>
    <cellStyle name="Comma 2 93 2" xfId="1976"/>
    <cellStyle name="Comma 2 94" xfId="1977"/>
    <cellStyle name="Comma 2 94 2" xfId="1978"/>
    <cellStyle name="Comma 2 95" xfId="1979"/>
    <cellStyle name="Comma 2 95 2" xfId="1980"/>
    <cellStyle name="Comma 2 96" xfId="1981"/>
    <cellStyle name="Comma 2 96 2" xfId="1982"/>
    <cellStyle name="Comma 2 97" xfId="1983"/>
    <cellStyle name="Comma 2 97 2" xfId="1984"/>
    <cellStyle name="Comma 2 98" xfId="1985"/>
    <cellStyle name="Comma 2 98 2" xfId="1986"/>
    <cellStyle name="Comma 2 99" xfId="1987"/>
    <cellStyle name="Comma 20" xfId="1988"/>
    <cellStyle name="Comma 20 2" xfId="1989"/>
    <cellStyle name="Comma 20 2 2" xfId="1990"/>
    <cellStyle name="Comma 20 3" xfId="1991"/>
    <cellStyle name="Comma 21" xfId="1992"/>
    <cellStyle name="Comma 21 2" xfId="1993"/>
    <cellStyle name="Comma 21 2 2" xfId="1994"/>
    <cellStyle name="Comma 21 3" xfId="1995"/>
    <cellStyle name="Comma 22" xfId="1996"/>
    <cellStyle name="Comma 22 2" xfId="1997"/>
    <cellStyle name="Comma 22 2 2" xfId="1998"/>
    <cellStyle name="Comma 22 3" xfId="1999"/>
    <cellStyle name="Comma 23" xfId="2000"/>
    <cellStyle name="Comma 23 2" xfId="2001"/>
    <cellStyle name="Comma 23 3" xfId="4065"/>
    <cellStyle name="Comma 24" xfId="2002"/>
    <cellStyle name="Comma 24 2" xfId="2003"/>
    <cellStyle name="Comma 24 3" xfId="4066"/>
    <cellStyle name="Comma 25" xfId="4067"/>
    <cellStyle name="Comma 25 2" xfId="4068"/>
    <cellStyle name="Comma 25 3" xfId="4069"/>
    <cellStyle name="Comma 26" xfId="4070"/>
    <cellStyle name="Comma 26 2" xfId="4071"/>
    <cellStyle name="Comma 26 3" xfId="4072"/>
    <cellStyle name="Comma 27" xfId="4073"/>
    <cellStyle name="Comma 27 2" xfId="4074"/>
    <cellStyle name="Comma 27 3" xfId="4075"/>
    <cellStyle name="Comma 28" xfId="4076"/>
    <cellStyle name="Comma 28 2" xfId="4077"/>
    <cellStyle name="Comma 28 3" xfId="4078"/>
    <cellStyle name="Comma 29" xfId="4079"/>
    <cellStyle name="Comma 29 2" xfId="4080"/>
    <cellStyle name="Comma 29 3" xfId="4081"/>
    <cellStyle name="Comma 3" xfId="30"/>
    <cellStyle name="Comma 3 2" xfId="2004"/>
    <cellStyle name="Comma 3 2 2" xfId="2005"/>
    <cellStyle name="Comma 3 3" xfId="2006"/>
    <cellStyle name="Comma 3 3 2" xfId="2007"/>
    <cellStyle name="Comma 3 4" xfId="2008"/>
    <cellStyle name="Comma 3 4 2" xfId="2009"/>
    <cellStyle name="Comma 3 5" xfId="2010"/>
    <cellStyle name="Comma 30" xfId="4082"/>
    <cellStyle name="Comma 30 2" xfId="4083"/>
    <cellStyle name="Comma 30 3" xfId="4084"/>
    <cellStyle name="Comma 31" xfId="4085"/>
    <cellStyle name="Comma 31 2" xfId="4086"/>
    <cellStyle name="Comma 31 3" xfId="4087"/>
    <cellStyle name="Comma 32" xfId="2011"/>
    <cellStyle name="Comma 32 2" xfId="2012"/>
    <cellStyle name="Comma 32 2 2" xfId="2013"/>
    <cellStyle name="Comma 32 3" xfId="2014"/>
    <cellStyle name="Comma 32 3 2" xfId="2015"/>
    <cellStyle name="Comma 32 4" xfId="2016"/>
    <cellStyle name="Comma 32 4 2" xfId="2017"/>
    <cellStyle name="Comma 32 5" xfId="2018"/>
    <cellStyle name="Comma 33" xfId="4088"/>
    <cellStyle name="Comma 33 2" xfId="4089"/>
    <cellStyle name="Comma 33 3" xfId="4090"/>
    <cellStyle name="Comma 34" xfId="4091"/>
    <cellStyle name="Comma 34 2" xfId="4092"/>
    <cellStyle name="Comma 34 3" xfId="4093"/>
    <cellStyle name="Comma 35" xfId="4094"/>
    <cellStyle name="Comma 35 2" xfId="4095"/>
    <cellStyle name="Comma 35 3" xfId="4096"/>
    <cellStyle name="Comma 36" xfId="4097"/>
    <cellStyle name="Comma 36 2" xfId="4098"/>
    <cellStyle name="Comma 36 3" xfId="4099"/>
    <cellStyle name="Comma 37" xfId="4100"/>
    <cellStyle name="Comma 37 2" xfId="4101"/>
    <cellStyle name="Comma 37 3" xfId="4102"/>
    <cellStyle name="Comma 38" xfId="4103"/>
    <cellStyle name="Comma 38 2" xfId="4104"/>
    <cellStyle name="Comma 38 3" xfId="4105"/>
    <cellStyle name="Comma 39" xfId="4106"/>
    <cellStyle name="Comma 39 2" xfId="4107"/>
    <cellStyle name="Comma 39 3" xfId="4108"/>
    <cellStyle name="Comma 4" xfId="31"/>
    <cellStyle name="Comma 4 2" xfId="2019"/>
    <cellStyle name="Comma 4 2 2" xfId="9383"/>
    <cellStyle name="Comma 4 3" xfId="2020"/>
    <cellStyle name="Comma 4 4" xfId="4109"/>
    <cellStyle name="Comma 40" xfId="4110"/>
    <cellStyle name="Comma 40 2" xfId="4111"/>
    <cellStyle name="Comma 40 3" xfId="4112"/>
    <cellStyle name="Comma 41" xfId="4113"/>
    <cellStyle name="Comma 41 2" xfId="4114"/>
    <cellStyle name="Comma 41 3" xfId="4115"/>
    <cellStyle name="Comma 42" xfId="4116"/>
    <cellStyle name="Comma 42 2" xfId="4117"/>
    <cellStyle name="Comma 42 3" xfId="4118"/>
    <cellStyle name="Comma 43" xfId="4119"/>
    <cellStyle name="Comma 43 2" xfId="4120"/>
    <cellStyle name="Comma 43 3" xfId="4121"/>
    <cellStyle name="Comma 44" xfId="4122"/>
    <cellStyle name="Comma 44 2" xfId="4123"/>
    <cellStyle name="Comma 44 3" xfId="4124"/>
    <cellStyle name="Comma 45" xfId="4125"/>
    <cellStyle name="Comma 45 2" xfId="4126"/>
    <cellStyle name="Comma 45 3" xfId="4127"/>
    <cellStyle name="Comma 46" xfId="4128"/>
    <cellStyle name="Comma 46 2" xfId="4129"/>
    <cellStyle name="Comma 46 3" xfId="4130"/>
    <cellStyle name="Comma 47" xfId="4131"/>
    <cellStyle name="Comma 47 2" xfId="4132"/>
    <cellStyle name="Comma 47 3" xfId="4133"/>
    <cellStyle name="Comma 48" xfId="4134"/>
    <cellStyle name="Comma 48 2" xfId="4135"/>
    <cellStyle name="Comma 48 3" xfId="4136"/>
    <cellStyle name="Comma 49" xfId="4137"/>
    <cellStyle name="Comma 49 2" xfId="4138"/>
    <cellStyle name="Comma 49 3" xfId="4139"/>
    <cellStyle name="Comma 5" xfId="2021"/>
    <cellStyle name="Comma 5 2" xfId="2022"/>
    <cellStyle name="Comma 5 2 2" xfId="2023"/>
    <cellStyle name="Comma 5 2 2 2" xfId="2024"/>
    <cellStyle name="Comma 5 2 3" xfId="2025"/>
    <cellStyle name="Comma 5 3" xfId="2026"/>
    <cellStyle name="Comma 50" xfId="4140"/>
    <cellStyle name="Comma 50 2" xfId="4141"/>
    <cellStyle name="Comma 50 3" xfId="4142"/>
    <cellStyle name="Comma 51" xfId="4143"/>
    <cellStyle name="Comma 51 2" xfId="4144"/>
    <cellStyle name="Comma 51 3" xfId="4145"/>
    <cellStyle name="Comma 52" xfId="4146"/>
    <cellStyle name="Comma 52 2" xfId="4147"/>
    <cellStyle name="Comma 52 3" xfId="4148"/>
    <cellStyle name="Comma 53" xfId="4149"/>
    <cellStyle name="Comma 53 2" xfId="4150"/>
    <cellStyle name="Comma 53 3" xfId="4151"/>
    <cellStyle name="Comma 54" xfId="4152"/>
    <cellStyle name="Comma 54 2" xfId="4153"/>
    <cellStyle name="Comma 54 3" xfId="4154"/>
    <cellStyle name="Comma 55" xfId="4155"/>
    <cellStyle name="Comma 55 2" xfId="4156"/>
    <cellStyle name="Comma 55 3" xfId="4157"/>
    <cellStyle name="Comma 56" xfId="4158"/>
    <cellStyle name="Comma 56 2" xfId="4159"/>
    <cellStyle name="Comma 56 3" xfId="4160"/>
    <cellStyle name="Comma 57" xfId="4161"/>
    <cellStyle name="Comma 57 2" xfId="4162"/>
    <cellStyle name="Comma 57 3" xfId="4163"/>
    <cellStyle name="Comma 58" xfId="4164"/>
    <cellStyle name="Comma 58 2" xfId="4165"/>
    <cellStyle name="Comma 58 3" xfId="4166"/>
    <cellStyle name="Comma 59" xfId="4167"/>
    <cellStyle name="Comma 59 2" xfId="4168"/>
    <cellStyle name="Comma 59 3" xfId="4169"/>
    <cellStyle name="Comma 6" xfId="2027"/>
    <cellStyle name="Comma 6 2" xfId="2028"/>
    <cellStyle name="Comma 6 2 2" xfId="2029"/>
    <cellStyle name="Comma 6 3" xfId="2030"/>
    <cellStyle name="Comma 6 3 2" xfId="2031"/>
    <cellStyle name="Comma 6 4" xfId="2032"/>
    <cellStyle name="Comma 6 4 2" xfId="2033"/>
    <cellStyle name="Comma 6 4 2 2" xfId="2034"/>
    <cellStyle name="Comma 6 4 3" xfId="2035"/>
    <cellStyle name="Comma 6 4 3 2" xfId="2036"/>
    <cellStyle name="Comma 6 4 4" xfId="2037"/>
    <cellStyle name="Comma 6 4 4 2" xfId="2038"/>
    <cellStyle name="Comma 6 4 5" xfId="2039"/>
    <cellStyle name="Comma 6 5" xfId="2040"/>
    <cellStyle name="Comma 6 5 2" xfId="2041"/>
    <cellStyle name="Comma 6 6" xfId="2042"/>
    <cellStyle name="Comma 60" xfId="4170"/>
    <cellStyle name="Comma 60 2" xfId="4171"/>
    <cellStyle name="Comma 60 3" xfId="4172"/>
    <cellStyle name="Comma 61" xfId="4173"/>
    <cellStyle name="Comma 61 2" xfId="4174"/>
    <cellStyle name="Comma 61 3" xfId="4175"/>
    <cellStyle name="Comma 62" xfId="4176"/>
    <cellStyle name="Comma 62 2" xfId="4177"/>
    <cellStyle name="Comma 62 3" xfId="4178"/>
    <cellStyle name="Comma 63" xfId="4179"/>
    <cellStyle name="Comma 63 2" xfId="4180"/>
    <cellStyle name="Comma 63 3" xfId="4181"/>
    <cellStyle name="Comma 64" xfId="4182"/>
    <cellStyle name="Comma 64 2" xfId="4183"/>
    <cellStyle name="Comma 64 3" xfId="4184"/>
    <cellStyle name="Comma 65" xfId="4185"/>
    <cellStyle name="Comma 65 2" xfId="4186"/>
    <cellStyle name="Comma 65 3" xfId="4187"/>
    <cellStyle name="Comma 66" xfId="4188"/>
    <cellStyle name="Comma 66 2" xfId="4189"/>
    <cellStyle name="Comma 66 3" xfId="4190"/>
    <cellStyle name="Comma 67" xfId="4191"/>
    <cellStyle name="Comma 67 2" xfId="4192"/>
    <cellStyle name="Comma 67 3" xfId="4193"/>
    <cellStyle name="Comma 68" xfId="4194"/>
    <cellStyle name="Comma 68 2" xfId="4195"/>
    <cellStyle name="Comma 68 3" xfId="4196"/>
    <cellStyle name="Comma 69" xfId="4197"/>
    <cellStyle name="Comma 69 2" xfId="4198"/>
    <cellStyle name="Comma 69 3" xfId="4199"/>
    <cellStyle name="Comma 7" xfId="2043"/>
    <cellStyle name="Comma 7 2" xfId="2044"/>
    <cellStyle name="Comma 7 3" xfId="2045"/>
    <cellStyle name="Comma 7 6" xfId="2046"/>
    <cellStyle name="Comma 70" xfId="4200"/>
    <cellStyle name="Comma 70 2" xfId="4201"/>
    <cellStyle name="Comma 70 3" xfId="4202"/>
    <cellStyle name="Comma 71" xfId="4203"/>
    <cellStyle name="Comma 71 2" xfId="4204"/>
    <cellStyle name="Comma 71 3" xfId="4205"/>
    <cellStyle name="Comma 72" xfId="4206"/>
    <cellStyle name="Comma 72 2" xfId="4207"/>
    <cellStyle name="Comma 72 3" xfId="4208"/>
    <cellStyle name="Comma 73" xfId="4209"/>
    <cellStyle name="Comma 73 2" xfId="4210"/>
    <cellStyle name="Comma 73 3" xfId="4211"/>
    <cellStyle name="Comma 74" xfId="4212"/>
    <cellStyle name="Comma 74 2" xfId="4213"/>
    <cellStyle name="Comma 74 3" xfId="4214"/>
    <cellStyle name="Comma 75" xfId="4215"/>
    <cellStyle name="Comma 75 2" xfId="4216"/>
    <cellStyle name="Comma 75 3" xfId="4217"/>
    <cellStyle name="Comma 76" xfId="4218"/>
    <cellStyle name="Comma 76 2" xfId="4219"/>
    <cellStyle name="Comma 76 3" xfId="4220"/>
    <cellStyle name="Comma 77" xfId="4221"/>
    <cellStyle name="Comma 77 2" xfId="4222"/>
    <cellStyle name="Comma 77 3" xfId="4223"/>
    <cellStyle name="Comma 78" xfId="4224"/>
    <cellStyle name="Comma 78 2" xfId="4225"/>
    <cellStyle name="Comma 78 3" xfId="4226"/>
    <cellStyle name="Comma 79" xfId="4227"/>
    <cellStyle name="Comma 79 2" xfId="4228"/>
    <cellStyle name="Comma 79 3" xfId="4229"/>
    <cellStyle name="Comma 8" xfId="2047"/>
    <cellStyle name="Comma 8 2" xfId="2048"/>
    <cellStyle name="Comma 8 2 2" xfId="2049"/>
    <cellStyle name="Comma 8 2 2 2" xfId="2050"/>
    <cellStyle name="Comma 8 2 3" xfId="2051"/>
    <cellStyle name="Comma 8 2 3 2" xfId="2052"/>
    <cellStyle name="Comma 8 2 4" xfId="2053"/>
    <cellStyle name="Comma 8 2 4 2" xfId="2054"/>
    <cellStyle name="Comma 8 2 5" xfId="2055"/>
    <cellStyle name="Comma 8 3" xfId="2056"/>
    <cellStyle name="Comma 8 4" xfId="2057"/>
    <cellStyle name="Comma 8 4 2" xfId="2058"/>
    <cellStyle name="Comma 8 5" xfId="2059"/>
    <cellStyle name="Comma 8 6" xfId="2060"/>
    <cellStyle name="Comma 80" xfId="4230"/>
    <cellStyle name="Comma 80 2" xfId="4231"/>
    <cellStyle name="Comma 80 3" xfId="4232"/>
    <cellStyle name="Comma 81" xfId="4233"/>
    <cellStyle name="Comma 81 2" xfId="4234"/>
    <cellStyle name="Comma 81 3" xfId="4235"/>
    <cellStyle name="Comma 82" xfId="4236"/>
    <cellStyle name="Comma 82 2" xfId="4237"/>
    <cellStyle name="Comma 82 3" xfId="4238"/>
    <cellStyle name="Comma 83" xfId="4239"/>
    <cellStyle name="Comma 83 2" xfId="4240"/>
    <cellStyle name="Comma 83 3" xfId="4241"/>
    <cellStyle name="Comma 84" xfId="4242"/>
    <cellStyle name="Comma 84 2" xfId="4243"/>
    <cellStyle name="Comma 84 3" xfId="4244"/>
    <cellStyle name="Comma 85" xfId="4245"/>
    <cellStyle name="Comma 85 2" xfId="4246"/>
    <cellStyle name="Comma 85 3" xfId="4247"/>
    <cellStyle name="Comma 86" xfId="4248"/>
    <cellStyle name="Comma 86 2" xfId="4249"/>
    <cellStyle name="Comma 86 3" xfId="4250"/>
    <cellStyle name="Comma 87" xfId="4251"/>
    <cellStyle name="Comma 87 2" xfId="4252"/>
    <cellStyle name="Comma 87 3" xfId="4253"/>
    <cellStyle name="Comma 88" xfId="4254"/>
    <cellStyle name="Comma 88 2" xfId="4255"/>
    <cellStyle name="Comma 88 3" xfId="4256"/>
    <cellStyle name="Comma 89" xfId="4257"/>
    <cellStyle name="Comma 89 2" xfId="4258"/>
    <cellStyle name="Comma 89 3" xfId="4259"/>
    <cellStyle name="Comma 9" xfId="2061"/>
    <cellStyle name="Comma 9 2" xfId="2062"/>
    <cellStyle name="Comma 9 3" xfId="2063"/>
    <cellStyle name="Comma 9 3 2" xfId="2064"/>
    <cellStyle name="Comma 9 4" xfId="2065"/>
    <cellStyle name="Comma 9 5" xfId="2066"/>
    <cellStyle name="Comma 9 6" xfId="4260"/>
    <cellStyle name="Comma 90" xfId="4261"/>
    <cellStyle name="Comma 90 2" xfId="4262"/>
    <cellStyle name="Comma 90 3" xfId="4263"/>
    <cellStyle name="Comma 91" xfId="4264"/>
    <cellStyle name="Comma 91 2" xfId="4265"/>
    <cellStyle name="Comma 91 3" xfId="4266"/>
    <cellStyle name="Comma 92" xfId="4267"/>
    <cellStyle name="Comma 92 2" xfId="4268"/>
    <cellStyle name="Comma 92 3" xfId="4269"/>
    <cellStyle name="Comma 93" xfId="4270"/>
    <cellStyle name="Comma 93 2" xfId="4271"/>
    <cellStyle name="Comma 93 3" xfId="4272"/>
    <cellStyle name="Comma 94" xfId="4273"/>
    <cellStyle name="Comma 94 2" xfId="4274"/>
    <cellStyle name="Comma 94 3" xfId="4275"/>
    <cellStyle name="Comma 95" xfId="4276"/>
    <cellStyle name="Comma 95 2" xfId="4277"/>
    <cellStyle name="Comma 95 3" xfId="4278"/>
    <cellStyle name="Comma 96" xfId="4279"/>
    <cellStyle name="Comma 96 2" xfId="4280"/>
    <cellStyle name="Comma 96 3" xfId="4281"/>
    <cellStyle name="Comma 97" xfId="4282"/>
    <cellStyle name="Comma 97 2" xfId="4283"/>
    <cellStyle name="Comma 97 3" xfId="4284"/>
    <cellStyle name="Comma 98" xfId="4285"/>
    <cellStyle name="Comma 98 2" xfId="4286"/>
    <cellStyle name="Comma 98 3" xfId="4287"/>
    <cellStyle name="Comma 99" xfId="4288"/>
    <cellStyle name="Comma 99 2" xfId="4289"/>
    <cellStyle name="Comma 99 3" xfId="4290"/>
    <cellStyle name="Comma0" xfId="4291"/>
    <cellStyle name="Currency" xfId="32" builtinId="4"/>
    <cellStyle name="Currency [0] 2" xfId="4292"/>
    <cellStyle name="Currency [0] 3" xfId="4293"/>
    <cellStyle name="Currency [1]" xfId="2067"/>
    <cellStyle name="Currency [1] 2" xfId="2068"/>
    <cellStyle name="Currency [1] 2 2" xfId="2069"/>
    <cellStyle name="Currency [1] 2 2 2" xfId="2070"/>
    <cellStyle name="Currency [1] 2 3" xfId="2071"/>
    <cellStyle name="Currency [1] 3" xfId="2072"/>
    <cellStyle name="Currency 10" xfId="4294"/>
    <cellStyle name="Currency 11" xfId="4295"/>
    <cellStyle name="Currency 12" xfId="4296"/>
    <cellStyle name="Currency 2" xfId="33"/>
    <cellStyle name="Currency 2 2" xfId="2073"/>
    <cellStyle name="Currency 2 2 2" xfId="2074"/>
    <cellStyle name="Currency 2 3" xfId="2075"/>
    <cellStyle name="Currency 2 3 2" xfId="2076"/>
    <cellStyle name="Currency 2 4" xfId="2077"/>
    <cellStyle name="Currency 2 4 2" xfId="2078"/>
    <cellStyle name="Currency 2 5" xfId="2079"/>
    <cellStyle name="Currency 3" xfId="34"/>
    <cellStyle name="Currency 3 2" xfId="2080"/>
    <cellStyle name="Currency 3 3" xfId="4297"/>
    <cellStyle name="Currency 4" xfId="2081"/>
    <cellStyle name="Currency 4 2" xfId="2082"/>
    <cellStyle name="Currency 4 2 2" xfId="2083"/>
    <cellStyle name="Currency 4 3" xfId="2084"/>
    <cellStyle name="Currency 5" xfId="2085"/>
    <cellStyle name="Currency 5 2" xfId="2086"/>
    <cellStyle name="Currency 5 2 2" xfId="2087"/>
    <cellStyle name="Currency 5 3" xfId="2088"/>
    <cellStyle name="Currency 6" xfId="2089"/>
    <cellStyle name="Currency 6 2" xfId="2090"/>
    <cellStyle name="Currency 6 2 2" xfId="2091"/>
    <cellStyle name="Currency 6 3" xfId="2092"/>
    <cellStyle name="Currency 7" xfId="2093"/>
    <cellStyle name="Currency 7 2" xfId="2094"/>
    <cellStyle name="Currency 8" xfId="2095"/>
    <cellStyle name="Currency 8 2" xfId="2096"/>
    <cellStyle name="Currency 9" xfId="2097"/>
    <cellStyle name="Currency 9 2" xfId="2098"/>
    <cellStyle name="Currency0" xfId="4298"/>
    <cellStyle name="Date" xfId="4299"/>
    <cellStyle name="Emphasis 1" xfId="2099"/>
    <cellStyle name="Emphasis 2" xfId="2100"/>
    <cellStyle name="Emphasis 3" xfId="2101"/>
    <cellStyle name="Explanatory Text" xfId="35" builtinId="53" customBuiltin="1"/>
    <cellStyle name="Explanatory Text 10" xfId="2102"/>
    <cellStyle name="Explanatory Text 10 2" xfId="2103"/>
    <cellStyle name="Explanatory Text 11" xfId="2104"/>
    <cellStyle name="Explanatory Text 11 2" xfId="2105"/>
    <cellStyle name="Explanatory Text 12" xfId="2106"/>
    <cellStyle name="Explanatory Text 12 2" xfId="2107"/>
    <cellStyle name="Explanatory Text 13" xfId="2108"/>
    <cellStyle name="Explanatory Text 13 2" xfId="2109"/>
    <cellStyle name="Explanatory Text 14" xfId="2110"/>
    <cellStyle name="Explanatory Text 14 2" xfId="2111"/>
    <cellStyle name="Explanatory Text 15" xfId="2112"/>
    <cellStyle name="Explanatory Text 15 2" xfId="2113"/>
    <cellStyle name="Explanatory Text 16" xfId="2114"/>
    <cellStyle name="Explanatory Text 16 2" xfId="2115"/>
    <cellStyle name="Explanatory Text 17" xfId="2116"/>
    <cellStyle name="Explanatory Text 17 2" xfId="2117"/>
    <cellStyle name="Explanatory Text 18" xfId="2118"/>
    <cellStyle name="Explanatory Text 18 2" xfId="2119"/>
    <cellStyle name="Explanatory Text 19" xfId="2120"/>
    <cellStyle name="Explanatory Text 19 2" xfId="2121"/>
    <cellStyle name="Explanatory Text 2" xfId="2122"/>
    <cellStyle name="Explanatory Text 2 2" xfId="2123"/>
    <cellStyle name="Explanatory Text 2 3" xfId="2124"/>
    <cellStyle name="Explanatory Text 20" xfId="2125"/>
    <cellStyle name="Explanatory Text 21" xfId="2126"/>
    <cellStyle name="Explanatory Text 22" xfId="2127"/>
    <cellStyle name="Explanatory Text 23" xfId="2128"/>
    <cellStyle name="Explanatory Text 24" xfId="2129"/>
    <cellStyle name="Explanatory Text 25" xfId="2130"/>
    <cellStyle name="Explanatory Text 26" xfId="2131"/>
    <cellStyle name="Explanatory Text 27" xfId="2132"/>
    <cellStyle name="Explanatory Text 28" xfId="2133"/>
    <cellStyle name="Explanatory Text 29" xfId="2134"/>
    <cellStyle name="Explanatory Text 3" xfId="2135"/>
    <cellStyle name="Explanatory Text 3 2" xfId="2136"/>
    <cellStyle name="Explanatory Text 30" xfId="2137"/>
    <cellStyle name="Explanatory Text 31" xfId="2138"/>
    <cellStyle name="Explanatory Text 32" xfId="2139"/>
    <cellStyle name="Explanatory Text 33" xfId="2140"/>
    <cellStyle name="Explanatory Text 34" xfId="2141"/>
    <cellStyle name="Explanatory Text 35" xfId="2142"/>
    <cellStyle name="Explanatory Text 36" xfId="2143"/>
    <cellStyle name="Explanatory Text 37" xfId="9445"/>
    <cellStyle name="Explanatory Text 4" xfId="2144"/>
    <cellStyle name="Explanatory Text 4 2" xfId="2145"/>
    <cellStyle name="Explanatory Text 5" xfId="2146"/>
    <cellStyle name="Explanatory Text 5 2" xfId="2147"/>
    <cellStyle name="Explanatory Text 6" xfId="2148"/>
    <cellStyle name="Explanatory Text 6 2" xfId="2149"/>
    <cellStyle name="Explanatory Text 7" xfId="2150"/>
    <cellStyle name="Explanatory Text 7 2" xfId="2151"/>
    <cellStyle name="Explanatory Text 8" xfId="2152"/>
    <cellStyle name="Explanatory Text 8 2" xfId="2153"/>
    <cellStyle name="Explanatory Text 9" xfId="2154"/>
    <cellStyle name="Explanatory Text 9 2" xfId="2155"/>
    <cellStyle name="Fixed" xfId="4300"/>
    <cellStyle name="Good" xfId="36" builtinId="26" customBuiltin="1"/>
    <cellStyle name="Good 10" xfId="2156"/>
    <cellStyle name="Good 10 2" xfId="2157"/>
    <cellStyle name="Good 11" xfId="2158"/>
    <cellStyle name="Good 11 2" xfId="2159"/>
    <cellStyle name="Good 12" xfId="2160"/>
    <cellStyle name="Good 12 2" xfId="2161"/>
    <cellStyle name="Good 13" xfId="2162"/>
    <cellStyle name="Good 13 2" xfId="2163"/>
    <cellStyle name="Good 14" xfId="2164"/>
    <cellStyle name="Good 14 2" xfId="2165"/>
    <cellStyle name="Good 15" xfId="2166"/>
    <cellStyle name="Good 15 2" xfId="2167"/>
    <cellStyle name="Good 16" xfId="2168"/>
    <cellStyle name="Good 16 2" xfId="2169"/>
    <cellStyle name="Good 17" xfId="2170"/>
    <cellStyle name="Good 17 2" xfId="2171"/>
    <cellStyle name="Good 18" xfId="2172"/>
    <cellStyle name="Good 18 2" xfId="2173"/>
    <cellStyle name="Good 19" xfId="2174"/>
    <cellStyle name="Good 19 2" xfId="2175"/>
    <cellStyle name="Good 2" xfId="2176"/>
    <cellStyle name="Good 2 2" xfId="2177"/>
    <cellStyle name="Good 2 3" xfId="2178"/>
    <cellStyle name="Good 20" xfId="2179"/>
    <cellStyle name="Good 21" xfId="2180"/>
    <cellStyle name="Good 22" xfId="2181"/>
    <cellStyle name="Good 23" xfId="2182"/>
    <cellStyle name="Good 24" xfId="2183"/>
    <cellStyle name="Good 25" xfId="2184"/>
    <cellStyle name="Good 26" xfId="2185"/>
    <cellStyle name="Good 27" xfId="2186"/>
    <cellStyle name="Good 28" xfId="2187"/>
    <cellStyle name="Good 29" xfId="2188"/>
    <cellStyle name="Good 3" xfId="2189"/>
    <cellStyle name="Good 3 2" xfId="2190"/>
    <cellStyle name="Good 30" xfId="2191"/>
    <cellStyle name="Good 31" xfId="2192"/>
    <cellStyle name="Good 32" xfId="2193"/>
    <cellStyle name="Good 33" xfId="2194"/>
    <cellStyle name="Good 34" xfId="2195"/>
    <cellStyle name="Good 35" xfId="2196"/>
    <cellStyle name="Good 36" xfId="2197"/>
    <cellStyle name="Good 37" xfId="9446"/>
    <cellStyle name="Good 4" xfId="2198"/>
    <cellStyle name="Good 4 2" xfId="2199"/>
    <cellStyle name="Good 5" xfId="2200"/>
    <cellStyle name="Good 5 2" xfId="2201"/>
    <cellStyle name="Good 6" xfId="2202"/>
    <cellStyle name="Good 6 2" xfId="2203"/>
    <cellStyle name="Good 7" xfId="2204"/>
    <cellStyle name="Good 7 2" xfId="2205"/>
    <cellStyle name="Good 8" xfId="2206"/>
    <cellStyle name="Good 8 2" xfId="2207"/>
    <cellStyle name="Good 9" xfId="2208"/>
    <cellStyle name="Good 9 2" xfId="2209"/>
    <cellStyle name="Heading 1" xfId="37" builtinId="16" customBuiltin="1"/>
    <cellStyle name="Heading 1 10" xfId="2210"/>
    <cellStyle name="Heading 1 10 2" xfId="2211"/>
    <cellStyle name="Heading 1 11" xfId="2212"/>
    <cellStyle name="Heading 1 11 2" xfId="2213"/>
    <cellStyle name="Heading 1 12" xfId="2214"/>
    <cellStyle name="Heading 1 12 2" xfId="2215"/>
    <cellStyle name="Heading 1 13" xfId="2216"/>
    <cellStyle name="Heading 1 13 2" xfId="2217"/>
    <cellStyle name="Heading 1 14" xfId="2218"/>
    <cellStyle name="Heading 1 14 2" xfId="2219"/>
    <cellStyle name="Heading 1 15" xfId="2220"/>
    <cellStyle name="Heading 1 15 2" xfId="2221"/>
    <cellStyle name="Heading 1 16" xfId="2222"/>
    <cellStyle name="Heading 1 16 2" xfId="2223"/>
    <cellStyle name="Heading 1 17" xfId="2224"/>
    <cellStyle name="Heading 1 17 2" xfId="2225"/>
    <cellStyle name="Heading 1 18" xfId="2226"/>
    <cellStyle name="Heading 1 18 2" xfId="2227"/>
    <cellStyle name="Heading 1 19" xfId="2228"/>
    <cellStyle name="Heading 1 19 2" xfId="2229"/>
    <cellStyle name="Heading 1 2" xfId="2230"/>
    <cellStyle name="Heading 1 2 2" xfId="2231"/>
    <cellStyle name="Heading 1 2 3" xfId="2232"/>
    <cellStyle name="Heading 1 20" xfId="2233"/>
    <cellStyle name="Heading 1 21" xfId="2234"/>
    <cellStyle name="Heading 1 22" xfId="2235"/>
    <cellStyle name="Heading 1 23" xfId="2236"/>
    <cellStyle name="Heading 1 24" xfId="2237"/>
    <cellStyle name="Heading 1 25" xfId="2238"/>
    <cellStyle name="Heading 1 26" xfId="2239"/>
    <cellStyle name="Heading 1 27" xfId="2240"/>
    <cellStyle name="Heading 1 28" xfId="2241"/>
    <cellStyle name="Heading 1 29" xfId="2242"/>
    <cellStyle name="Heading 1 3" xfId="2243"/>
    <cellStyle name="Heading 1 3 2" xfId="2244"/>
    <cellStyle name="Heading 1 30" xfId="2245"/>
    <cellStyle name="Heading 1 31" xfId="2246"/>
    <cellStyle name="Heading 1 32" xfId="2247"/>
    <cellStyle name="Heading 1 33" xfId="2248"/>
    <cellStyle name="Heading 1 34" xfId="2249"/>
    <cellStyle name="Heading 1 35" xfId="2250"/>
    <cellStyle name="Heading 1 36" xfId="2251"/>
    <cellStyle name="Heading 1 37" xfId="9447"/>
    <cellStyle name="Heading 1 4" xfId="2252"/>
    <cellStyle name="Heading 1 4 2" xfId="2253"/>
    <cellStyle name="Heading 1 5" xfId="2254"/>
    <cellStyle name="Heading 1 5 2" xfId="2255"/>
    <cellStyle name="Heading 1 6" xfId="2256"/>
    <cellStyle name="Heading 1 6 2" xfId="2257"/>
    <cellStyle name="Heading 1 7" xfId="2258"/>
    <cellStyle name="Heading 1 7 2" xfId="2259"/>
    <cellStyle name="Heading 1 8" xfId="2260"/>
    <cellStyle name="Heading 1 8 2" xfId="2261"/>
    <cellStyle name="Heading 1 9" xfId="2262"/>
    <cellStyle name="Heading 1 9 2" xfId="2263"/>
    <cellStyle name="Heading 2" xfId="38" builtinId="17" customBuiltin="1"/>
    <cellStyle name="Heading 2 10" xfId="2264"/>
    <cellStyle name="Heading 2 10 2" xfId="2265"/>
    <cellStyle name="Heading 2 11" xfId="2266"/>
    <cellStyle name="Heading 2 11 2" xfId="2267"/>
    <cellStyle name="Heading 2 12" xfId="2268"/>
    <cellStyle name="Heading 2 12 2" xfId="2269"/>
    <cellStyle name="Heading 2 13" xfId="2270"/>
    <cellStyle name="Heading 2 13 2" xfId="2271"/>
    <cellStyle name="Heading 2 14" xfId="2272"/>
    <cellStyle name="Heading 2 14 2" xfId="2273"/>
    <cellStyle name="Heading 2 15" xfId="2274"/>
    <cellStyle name="Heading 2 15 2" xfId="2275"/>
    <cellStyle name="Heading 2 16" xfId="2276"/>
    <cellStyle name="Heading 2 16 2" xfId="2277"/>
    <cellStyle name="Heading 2 17" xfId="2278"/>
    <cellStyle name="Heading 2 17 2" xfId="2279"/>
    <cellStyle name="Heading 2 18" xfId="2280"/>
    <cellStyle name="Heading 2 18 2" xfId="2281"/>
    <cellStyle name="Heading 2 19" xfId="2282"/>
    <cellStyle name="Heading 2 19 2" xfId="2283"/>
    <cellStyle name="Heading 2 2" xfId="2284"/>
    <cellStyle name="Heading 2 2 2" xfId="2285"/>
    <cellStyle name="Heading 2 2 3" xfId="2286"/>
    <cellStyle name="Heading 2 20" xfId="2287"/>
    <cellStyle name="Heading 2 21" xfId="2288"/>
    <cellStyle name="Heading 2 22" xfId="2289"/>
    <cellStyle name="Heading 2 23" xfId="2290"/>
    <cellStyle name="Heading 2 24" xfId="2291"/>
    <cellStyle name="Heading 2 25" xfId="2292"/>
    <cellStyle name="Heading 2 26" xfId="2293"/>
    <cellStyle name="Heading 2 27" xfId="2294"/>
    <cellStyle name="Heading 2 28" xfId="2295"/>
    <cellStyle name="Heading 2 29" xfId="2296"/>
    <cellStyle name="Heading 2 3" xfId="2297"/>
    <cellStyle name="Heading 2 3 2" xfId="2298"/>
    <cellStyle name="Heading 2 30" xfId="2299"/>
    <cellStyle name="Heading 2 31" xfId="2300"/>
    <cellStyle name="Heading 2 32" xfId="2301"/>
    <cellStyle name="Heading 2 33" xfId="2302"/>
    <cellStyle name="Heading 2 34" xfId="2303"/>
    <cellStyle name="Heading 2 35" xfId="2304"/>
    <cellStyle name="Heading 2 36" xfId="2305"/>
    <cellStyle name="Heading 2 37" xfId="9448"/>
    <cellStyle name="Heading 2 4" xfId="2306"/>
    <cellStyle name="Heading 2 4 2" xfId="2307"/>
    <cellStyle name="Heading 2 5" xfId="2308"/>
    <cellStyle name="Heading 2 5 2" xfId="2309"/>
    <cellStyle name="Heading 2 6" xfId="2310"/>
    <cellStyle name="Heading 2 6 2" xfId="2311"/>
    <cellStyle name="Heading 2 7" xfId="2312"/>
    <cellStyle name="Heading 2 7 2" xfId="2313"/>
    <cellStyle name="Heading 2 8" xfId="2314"/>
    <cellStyle name="Heading 2 8 2" xfId="2315"/>
    <cellStyle name="Heading 2 9" xfId="2316"/>
    <cellStyle name="Heading 2 9 2" xfId="2317"/>
    <cellStyle name="Heading 3" xfId="39" builtinId="18" customBuiltin="1"/>
    <cellStyle name="Heading 3 10" xfId="2318"/>
    <cellStyle name="Heading 3 10 2" xfId="2319"/>
    <cellStyle name="Heading 3 11" xfId="2320"/>
    <cellStyle name="Heading 3 11 2" xfId="2321"/>
    <cellStyle name="Heading 3 12" xfId="2322"/>
    <cellStyle name="Heading 3 12 2" xfId="2323"/>
    <cellStyle name="Heading 3 13" xfId="2324"/>
    <cellStyle name="Heading 3 13 2" xfId="2325"/>
    <cellStyle name="Heading 3 14" xfId="2326"/>
    <cellStyle name="Heading 3 14 2" xfId="2327"/>
    <cellStyle name="Heading 3 15" xfId="2328"/>
    <cellStyle name="Heading 3 15 2" xfId="2329"/>
    <cellStyle name="Heading 3 16" xfId="2330"/>
    <cellStyle name="Heading 3 16 2" xfId="2331"/>
    <cellStyle name="Heading 3 17" xfId="2332"/>
    <cellStyle name="Heading 3 17 2" xfId="2333"/>
    <cellStyle name="Heading 3 18" xfId="2334"/>
    <cellStyle name="Heading 3 18 2" xfId="2335"/>
    <cellStyle name="Heading 3 19" xfId="2336"/>
    <cellStyle name="Heading 3 19 2" xfId="2337"/>
    <cellStyle name="Heading 3 2" xfId="2338"/>
    <cellStyle name="Heading 3 2 2" xfId="2339"/>
    <cellStyle name="Heading 3 2 3" xfId="2340"/>
    <cellStyle name="Heading 3 20" xfId="2341"/>
    <cellStyle name="Heading 3 21" xfId="2342"/>
    <cellStyle name="Heading 3 22" xfId="2343"/>
    <cellStyle name="Heading 3 23" xfId="2344"/>
    <cellStyle name="Heading 3 24" xfId="2345"/>
    <cellStyle name="Heading 3 25" xfId="2346"/>
    <cellStyle name="Heading 3 26" xfId="2347"/>
    <cellStyle name="Heading 3 27" xfId="2348"/>
    <cellStyle name="Heading 3 28" xfId="2349"/>
    <cellStyle name="Heading 3 29" xfId="2350"/>
    <cellStyle name="Heading 3 3" xfId="2351"/>
    <cellStyle name="Heading 3 3 2" xfId="2352"/>
    <cellStyle name="Heading 3 30" xfId="2353"/>
    <cellStyle name="Heading 3 31" xfId="2354"/>
    <cellStyle name="Heading 3 32" xfId="2355"/>
    <cellStyle name="Heading 3 33" xfId="2356"/>
    <cellStyle name="Heading 3 34" xfId="2357"/>
    <cellStyle name="Heading 3 35" xfId="2358"/>
    <cellStyle name="Heading 3 36" xfId="2359"/>
    <cellStyle name="Heading 3 37" xfId="9449"/>
    <cellStyle name="Heading 3 4" xfId="2360"/>
    <cellStyle name="Heading 3 4 2" xfId="2361"/>
    <cellStyle name="Heading 3 5" xfId="2362"/>
    <cellStyle name="Heading 3 5 2" xfId="2363"/>
    <cellStyle name="Heading 3 6" xfId="2364"/>
    <cellStyle name="Heading 3 6 2" xfId="2365"/>
    <cellStyle name="Heading 3 7" xfId="2366"/>
    <cellStyle name="Heading 3 7 2" xfId="2367"/>
    <cellStyle name="Heading 3 8" xfId="2368"/>
    <cellStyle name="Heading 3 8 2" xfId="2369"/>
    <cellStyle name="Heading 3 9" xfId="2370"/>
    <cellStyle name="Heading 3 9 2" xfId="2371"/>
    <cellStyle name="Heading 4" xfId="40" builtinId="19" customBuiltin="1"/>
    <cellStyle name="Heading 4 10" xfId="2372"/>
    <cellStyle name="Heading 4 10 2" xfId="2373"/>
    <cellStyle name="Heading 4 11" xfId="2374"/>
    <cellStyle name="Heading 4 11 2" xfId="2375"/>
    <cellStyle name="Heading 4 12" xfId="2376"/>
    <cellStyle name="Heading 4 12 2" xfId="2377"/>
    <cellStyle name="Heading 4 13" xfId="2378"/>
    <cellStyle name="Heading 4 13 2" xfId="2379"/>
    <cellStyle name="Heading 4 14" xfId="2380"/>
    <cellStyle name="Heading 4 14 2" xfId="2381"/>
    <cellStyle name="Heading 4 15" xfId="2382"/>
    <cellStyle name="Heading 4 15 2" xfId="2383"/>
    <cellStyle name="Heading 4 16" xfId="2384"/>
    <cellStyle name="Heading 4 16 2" xfId="2385"/>
    <cellStyle name="Heading 4 17" xfId="2386"/>
    <cellStyle name="Heading 4 17 2" xfId="2387"/>
    <cellStyle name="Heading 4 18" xfId="2388"/>
    <cellStyle name="Heading 4 18 2" xfId="2389"/>
    <cellStyle name="Heading 4 19" xfId="2390"/>
    <cellStyle name="Heading 4 19 2" xfId="2391"/>
    <cellStyle name="Heading 4 2" xfId="2392"/>
    <cellStyle name="Heading 4 2 2" xfId="2393"/>
    <cellStyle name="Heading 4 2 3" xfId="2394"/>
    <cellStyle name="Heading 4 20" xfId="2395"/>
    <cellStyle name="Heading 4 21" xfId="2396"/>
    <cellStyle name="Heading 4 22" xfId="2397"/>
    <cellStyle name="Heading 4 23" xfId="2398"/>
    <cellStyle name="Heading 4 24" xfId="2399"/>
    <cellStyle name="Heading 4 25" xfId="2400"/>
    <cellStyle name="Heading 4 26" xfId="2401"/>
    <cellStyle name="Heading 4 27" xfId="2402"/>
    <cellStyle name="Heading 4 28" xfId="2403"/>
    <cellStyle name="Heading 4 29" xfId="2404"/>
    <cellStyle name="Heading 4 3" xfId="2405"/>
    <cellStyle name="Heading 4 3 2" xfId="2406"/>
    <cellStyle name="Heading 4 30" xfId="2407"/>
    <cellStyle name="Heading 4 31" xfId="2408"/>
    <cellStyle name="Heading 4 32" xfId="2409"/>
    <cellStyle name="Heading 4 33" xfId="2410"/>
    <cellStyle name="Heading 4 34" xfId="2411"/>
    <cellStyle name="Heading 4 35" xfId="2412"/>
    <cellStyle name="Heading 4 36" xfId="2413"/>
    <cellStyle name="Heading 4 37" xfId="9450"/>
    <cellStyle name="Heading 4 4" xfId="2414"/>
    <cellStyle name="Heading 4 4 2" xfId="2415"/>
    <cellStyle name="Heading 4 5" xfId="2416"/>
    <cellStyle name="Heading 4 5 2" xfId="2417"/>
    <cellStyle name="Heading 4 6" xfId="2418"/>
    <cellStyle name="Heading 4 6 2" xfId="2419"/>
    <cellStyle name="Heading 4 7" xfId="2420"/>
    <cellStyle name="Heading 4 7 2" xfId="2421"/>
    <cellStyle name="Heading 4 8" xfId="2422"/>
    <cellStyle name="Heading 4 8 2" xfId="2423"/>
    <cellStyle name="Heading 4 9" xfId="2424"/>
    <cellStyle name="Heading 4 9 2" xfId="2425"/>
    <cellStyle name="Hyperlink 2" xfId="2426"/>
    <cellStyle name="Hyperlink 2 2" xfId="2427"/>
    <cellStyle name="Hyperlink 3" xfId="4301"/>
    <cellStyle name="Input" xfId="41" builtinId="20" customBuiltin="1"/>
    <cellStyle name="Input 10" xfId="2428"/>
    <cellStyle name="Input 10 2" xfId="2429"/>
    <cellStyle name="Input 11" xfId="2430"/>
    <cellStyle name="Input 11 2" xfId="2431"/>
    <cellStyle name="Input 12" xfId="2432"/>
    <cellStyle name="Input 12 2" xfId="2433"/>
    <cellStyle name="Input 13" xfId="2434"/>
    <cellStyle name="Input 13 2" xfId="2435"/>
    <cellStyle name="Input 14" xfId="2436"/>
    <cellStyle name="Input 14 2" xfId="2437"/>
    <cellStyle name="Input 15" xfId="2438"/>
    <cellStyle name="Input 15 2" xfId="2439"/>
    <cellStyle name="Input 16" xfId="2440"/>
    <cellStyle name="Input 16 2" xfId="2441"/>
    <cellStyle name="Input 17" xfId="2442"/>
    <cellStyle name="Input 17 2" xfId="2443"/>
    <cellStyle name="Input 18" xfId="2444"/>
    <cellStyle name="Input 18 2" xfId="2445"/>
    <cellStyle name="Input 19" xfId="2446"/>
    <cellStyle name="Input 19 2" xfId="2447"/>
    <cellStyle name="Input 2" xfId="2448"/>
    <cellStyle name="Input 2 2" xfId="2449"/>
    <cellStyle name="Input 2 3" xfId="2450"/>
    <cellStyle name="Input 20" xfId="2451"/>
    <cellStyle name="Input 21" xfId="2452"/>
    <cellStyle name="Input 22" xfId="2453"/>
    <cellStyle name="Input 23" xfId="2454"/>
    <cellStyle name="Input 24" xfId="2455"/>
    <cellStyle name="Input 25" xfId="2456"/>
    <cellStyle name="Input 26" xfId="2457"/>
    <cellStyle name="Input 27" xfId="2458"/>
    <cellStyle name="Input 28" xfId="2459"/>
    <cellStyle name="Input 29" xfId="2460"/>
    <cellStyle name="Input 3" xfId="2461"/>
    <cellStyle name="Input 3 2" xfId="2462"/>
    <cellStyle name="Input 30" xfId="2463"/>
    <cellStyle name="Input 31" xfId="2464"/>
    <cellStyle name="Input 32" xfId="2465"/>
    <cellStyle name="Input 33" xfId="2466"/>
    <cellStyle name="Input 34" xfId="2467"/>
    <cellStyle name="Input 35" xfId="2468"/>
    <cellStyle name="Input 36" xfId="2469"/>
    <cellStyle name="Input 37" xfId="9451"/>
    <cellStyle name="Input 4" xfId="2470"/>
    <cellStyle name="Input 4 2" xfId="2471"/>
    <cellStyle name="Input 5" xfId="2472"/>
    <cellStyle name="Input 5 2" xfId="2473"/>
    <cellStyle name="Input 6" xfId="2474"/>
    <cellStyle name="Input 6 2" xfId="2475"/>
    <cellStyle name="Input 7" xfId="2476"/>
    <cellStyle name="Input 7 2" xfId="2477"/>
    <cellStyle name="Input 8" xfId="2478"/>
    <cellStyle name="Input 8 2" xfId="2479"/>
    <cellStyle name="Input 9" xfId="2480"/>
    <cellStyle name="Input 9 2" xfId="2481"/>
    <cellStyle name="Linked Cell" xfId="42" builtinId="24" customBuiltin="1"/>
    <cellStyle name="Linked Cell 10" xfId="2482"/>
    <cellStyle name="Linked Cell 10 2" xfId="2483"/>
    <cellStyle name="Linked Cell 11" xfId="2484"/>
    <cellStyle name="Linked Cell 11 2" xfId="2485"/>
    <cellStyle name="Linked Cell 12" xfId="2486"/>
    <cellStyle name="Linked Cell 12 2" xfId="2487"/>
    <cellStyle name="Linked Cell 13" xfId="2488"/>
    <cellStyle name="Linked Cell 13 2" xfId="2489"/>
    <cellStyle name="Linked Cell 14" xfId="2490"/>
    <cellStyle name="Linked Cell 14 2" xfId="2491"/>
    <cellStyle name="Linked Cell 15" xfId="2492"/>
    <cellStyle name="Linked Cell 15 2" xfId="2493"/>
    <cellStyle name="Linked Cell 16" xfId="2494"/>
    <cellStyle name="Linked Cell 16 2" xfId="2495"/>
    <cellStyle name="Linked Cell 17" xfId="2496"/>
    <cellStyle name="Linked Cell 17 2" xfId="2497"/>
    <cellStyle name="Linked Cell 18" xfId="2498"/>
    <cellStyle name="Linked Cell 18 2" xfId="2499"/>
    <cellStyle name="Linked Cell 19" xfId="2500"/>
    <cellStyle name="Linked Cell 19 2" xfId="2501"/>
    <cellStyle name="Linked Cell 2" xfId="2502"/>
    <cellStyle name="Linked Cell 2 2" xfId="2503"/>
    <cellStyle name="Linked Cell 2 3" xfId="2504"/>
    <cellStyle name="Linked Cell 20" xfId="2505"/>
    <cellStyle name="Linked Cell 21" xfId="2506"/>
    <cellStyle name="Linked Cell 22" xfId="2507"/>
    <cellStyle name="Linked Cell 23" xfId="2508"/>
    <cellStyle name="Linked Cell 24" xfId="2509"/>
    <cellStyle name="Linked Cell 25" xfId="2510"/>
    <cellStyle name="Linked Cell 26" xfId="2511"/>
    <cellStyle name="Linked Cell 27" xfId="2512"/>
    <cellStyle name="Linked Cell 28" xfId="2513"/>
    <cellStyle name="Linked Cell 29" xfId="2514"/>
    <cellStyle name="Linked Cell 3" xfId="2515"/>
    <cellStyle name="Linked Cell 3 2" xfId="2516"/>
    <cellStyle name="Linked Cell 30" xfId="2517"/>
    <cellStyle name="Linked Cell 31" xfId="2518"/>
    <cellStyle name="Linked Cell 32" xfId="2519"/>
    <cellStyle name="Linked Cell 33" xfId="2520"/>
    <cellStyle name="Linked Cell 34" xfId="2521"/>
    <cellStyle name="Linked Cell 35" xfId="2522"/>
    <cellStyle name="Linked Cell 36" xfId="2523"/>
    <cellStyle name="Linked Cell 37" xfId="9452"/>
    <cellStyle name="Linked Cell 4" xfId="2524"/>
    <cellStyle name="Linked Cell 4 2" xfId="2525"/>
    <cellStyle name="Linked Cell 5" xfId="2526"/>
    <cellStyle name="Linked Cell 5 2" xfId="2527"/>
    <cellStyle name="Linked Cell 6" xfId="2528"/>
    <cellStyle name="Linked Cell 6 2" xfId="2529"/>
    <cellStyle name="Linked Cell 7" xfId="2530"/>
    <cellStyle name="Linked Cell 7 2" xfId="2531"/>
    <cellStyle name="Linked Cell 8" xfId="2532"/>
    <cellStyle name="Linked Cell 8 2" xfId="2533"/>
    <cellStyle name="Linked Cell 9" xfId="2534"/>
    <cellStyle name="Linked Cell 9 2" xfId="2535"/>
    <cellStyle name="Neutral" xfId="43" builtinId="28" customBuiltin="1"/>
    <cellStyle name="Neutral 10" xfId="2536"/>
    <cellStyle name="Neutral 10 2" xfId="2537"/>
    <cellStyle name="Neutral 11" xfId="2538"/>
    <cellStyle name="Neutral 11 2" xfId="2539"/>
    <cellStyle name="Neutral 12" xfId="2540"/>
    <cellStyle name="Neutral 12 2" xfId="2541"/>
    <cellStyle name="Neutral 13" xfId="2542"/>
    <cellStyle name="Neutral 13 2" xfId="2543"/>
    <cellStyle name="Neutral 14" xfId="2544"/>
    <cellStyle name="Neutral 14 2" xfId="2545"/>
    <cellStyle name="Neutral 15" xfId="2546"/>
    <cellStyle name="Neutral 15 2" xfId="2547"/>
    <cellStyle name="Neutral 16" xfId="2548"/>
    <cellStyle name="Neutral 16 2" xfId="2549"/>
    <cellStyle name="Neutral 17" xfId="2550"/>
    <cellStyle name="Neutral 17 2" xfId="2551"/>
    <cellStyle name="Neutral 18" xfId="2552"/>
    <cellStyle name="Neutral 18 2" xfId="2553"/>
    <cellStyle name="Neutral 19" xfId="2554"/>
    <cellStyle name="Neutral 19 2" xfId="2555"/>
    <cellStyle name="Neutral 2" xfId="2556"/>
    <cellStyle name="Neutral 2 2" xfId="2557"/>
    <cellStyle name="Neutral 2 3" xfId="2558"/>
    <cellStyle name="Neutral 20" xfId="2559"/>
    <cellStyle name="Neutral 21" xfId="2560"/>
    <cellStyle name="Neutral 22" xfId="2561"/>
    <cellStyle name="Neutral 23" xfId="2562"/>
    <cellStyle name="Neutral 24" xfId="2563"/>
    <cellStyle name="Neutral 25" xfId="2564"/>
    <cellStyle name="Neutral 26" xfId="2565"/>
    <cellStyle name="Neutral 27" xfId="2566"/>
    <cellStyle name="Neutral 28" xfId="2567"/>
    <cellStyle name="Neutral 29" xfId="2568"/>
    <cellStyle name="Neutral 3" xfId="2569"/>
    <cellStyle name="Neutral 3 2" xfId="2570"/>
    <cellStyle name="Neutral 30" xfId="2571"/>
    <cellStyle name="Neutral 31" xfId="2572"/>
    <cellStyle name="Neutral 32" xfId="2573"/>
    <cellStyle name="Neutral 33" xfId="2574"/>
    <cellStyle name="Neutral 34" xfId="2575"/>
    <cellStyle name="Neutral 35" xfId="2576"/>
    <cellStyle name="Neutral 36" xfId="2577"/>
    <cellStyle name="Neutral 37" xfId="9453"/>
    <cellStyle name="Neutral 4" xfId="2578"/>
    <cellStyle name="Neutral 4 2" xfId="2579"/>
    <cellStyle name="Neutral 5" xfId="2580"/>
    <cellStyle name="Neutral 5 2" xfId="2581"/>
    <cellStyle name="Neutral 6" xfId="2582"/>
    <cellStyle name="Neutral 6 2" xfId="2583"/>
    <cellStyle name="Neutral 7" xfId="2584"/>
    <cellStyle name="Neutral 7 2" xfId="2585"/>
    <cellStyle name="Neutral 8" xfId="2586"/>
    <cellStyle name="Neutral 8 2" xfId="2587"/>
    <cellStyle name="Neutral 9" xfId="2588"/>
    <cellStyle name="Neutral 9 2" xfId="2589"/>
    <cellStyle name="no dec" xfId="2590"/>
    <cellStyle name="Normal" xfId="0" builtinId="0"/>
    <cellStyle name="Normal 10" xfId="2591"/>
    <cellStyle name="Normal 10 2" xfId="2592"/>
    <cellStyle name="Normal 10 2 2" xfId="2593"/>
    <cellStyle name="Normal 10 2 2 2" xfId="2594"/>
    <cellStyle name="Normal 10 2 2 2 2" xfId="2595"/>
    <cellStyle name="Normal 10 2 2 2 2 2" xfId="2596"/>
    <cellStyle name="Normal 10 2 2 2 3" xfId="2597"/>
    <cellStyle name="Normal 10 2 2 3" xfId="9382"/>
    <cellStyle name="Normal 10 2 3" xfId="4302"/>
    <cellStyle name="Normal 10 3" xfId="2598"/>
    <cellStyle name="Normal 10 4" xfId="4303"/>
    <cellStyle name="Normal 10 8" xfId="2599"/>
    <cellStyle name="Normal 11" xfId="2600"/>
    <cellStyle name="Normal 11 2" xfId="2601"/>
    <cellStyle name="Normal 11 2 2" xfId="2602"/>
    <cellStyle name="Normal 11 2 3" xfId="4304"/>
    <cellStyle name="Normal 11 3" xfId="2603"/>
    <cellStyle name="Normal 11 3 2" xfId="2604"/>
    <cellStyle name="Normal 11 4" xfId="2605"/>
    <cellStyle name="Normal 11 4 2" xfId="2606"/>
    <cellStyle name="Normal 11 5" xfId="2607"/>
    <cellStyle name="Normal 116" xfId="9454"/>
    <cellStyle name="Normal 12" xfId="2608"/>
    <cellStyle name="Normal 12 2" xfId="2609"/>
    <cellStyle name="Normal 12 2 2" xfId="2610"/>
    <cellStyle name="Normal 12 2 3" xfId="4305"/>
    <cellStyle name="Normal 12 3" xfId="2611"/>
    <cellStyle name="Normal 12 3 2" xfId="2612"/>
    <cellStyle name="Normal 12 4" xfId="2613"/>
    <cellStyle name="Normal 12 4 2" xfId="2614"/>
    <cellStyle name="Normal 12 5" xfId="2615"/>
    <cellStyle name="Normal 13" xfId="2616"/>
    <cellStyle name="Normal 13 2" xfId="2617"/>
    <cellStyle name="Normal 13 2 2" xfId="4306"/>
    <cellStyle name="Normal 13 2 3" xfId="4307"/>
    <cellStyle name="Normal 13 3" xfId="4308"/>
    <cellStyle name="Normal 13 4" xfId="4309"/>
    <cellStyle name="Normal 14" xfId="2618"/>
    <cellStyle name="Normal 14 2" xfId="4310"/>
    <cellStyle name="Normal 14 2 2" xfId="4311"/>
    <cellStyle name="Normal 14 2 3" xfId="4312"/>
    <cellStyle name="Normal 14 3" xfId="4313"/>
    <cellStyle name="Normal 14 4" xfId="4314"/>
    <cellStyle name="Normal 143" xfId="9389"/>
    <cellStyle name="Normal 15" xfId="2619"/>
    <cellStyle name="Normal 15 2" xfId="2620"/>
    <cellStyle name="Normal 15 2 2" xfId="4315"/>
    <cellStyle name="Normal 15 2 3" xfId="4316"/>
    <cellStyle name="Normal 15 3" xfId="4317"/>
    <cellStyle name="Normal 15 4" xfId="4318"/>
    <cellStyle name="Normal 154" xfId="9472"/>
    <cellStyle name="Normal 156" xfId="9474"/>
    <cellStyle name="Normal 158" xfId="9471"/>
    <cellStyle name="Normal 16" xfId="2621"/>
    <cellStyle name="Normal 16 2" xfId="2622"/>
    <cellStyle name="Normal 16 2 2" xfId="4319"/>
    <cellStyle name="Normal 16 2 3" xfId="4320"/>
    <cellStyle name="Normal 16 3" xfId="4321"/>
    <cellStyle name="Normal 16 4" xfId="4322"/>
    <cellStyle name="Normal 167 2" xfId="9455"/>
    <cellStyle name="Normal 17" xfId="2623"/>
    <cellStyle name="Normal 17 2" xfId="2624"/>
    <cellStyle name="Normal 17 2 2" xfId="4323"/>
    <cellStyle name="Normal 17 2 3" xfId="4324"/>
    <cellStyle name="Normal 17 3" xfId="4325"/>
    <cellStyle name="Normal 17 4" xfId="4326"/>
    <cellStyle name="Normal 171" xfId="9456"/>
    <cellStyle name="Normal 18" xfId="2625"/>
    <cellStyle name="Normal 18 2" xfId="2626"/>
    <cellStyle name="Normal 18 2 2" xfId="4327"/>
    <cellStyle name="Normal 18 2 3" xfId="4328"/>
    <cellStyle name="Normal 18 3" xfId="4329"/>
    <cellStyle name="Normal 18 4" xfId="4330"/>
    <cellStyle name="Normal 19" xfId="2627"/>
    <cellStyle name="Normal 19 2" xfId="2628"/>
    <cellStyle name="Normal 19 2 2" xfId="4331"/>
    <cellStyle name="Normal 19 2 3" xfId="4332"/>
    <cellStyle name="Normal 19 3" xfId="4333"/>
    <cellStyle name="Normal 19 4" xfId="4334"/>
    <cellStyle name="Normal 2" xfId="44"/>
    <cellStyle name="Normal 2 10" xfId="2629"/>
    <cellStyle name="Normal 2 10 2" xfId="2630"/>
    <cellStyle name="Normal 2 10 2 2" xfId="4335"/>
    <cellStyle name="Normal 2 10 2 3" xfId="4336"/>
    <cellStyle name="Normal 2 10 3" xfId="4337"/>
    <cellStyle name="Normal 2 10 4" xfId="4338"/>
    <cellStyle name="Normal 2 11" xfId="2631"/>
    <cellStyle name="Normal 2 11 2" xfId="2632"/>
    <cellStyle name="Normal 2 11 3" xfId="4339"/>
    <cellStyle name="Normal 2 12" xfId="2633"/>
    <cellStyle name="Normal 2 12 2" xfId="2634"/>
    <cellStyle name="Normal 2 12 3" xfId="4340"/>
    <cellStyle name="Normal 2 13" xfId="2635"/>
    <cellStyle name="Normal 2 13 2" xfId="2636"/>
    <cellStyle name="Normal 2 13 3" xfId="4341"/>
    <cellStyle name="Normal 2 14" xfId="2637"/>
    <cellStyle name="Normal 2 14 2" xfId="2638"/>
    <cellStyle name="Normal 2 14 3" xfId="4342"/>
    <cellStyle name="Normal 2 15" xfId="2639"/>
    <cellStyle name="Normal 2 15 2" xfId="2640"/>
    <cellStyle name="Normal 2 15 3" xfId="4343"/>
    <cellStyle name="Normal 2 16" xfId="2641"/>
    <cellStyle name="Normal 2 16 2" xfId="2642"/>
    <cellStyle name="Normal 2 16 3" xfId="4344"/>
    <cellStyle name="Normal 2 17" xfId="2643"/>
    <cellStyle name="Normal 2 17 2" xfId="2644"/>
    <cellStyle name="Normal 2 18" xfId="2645"/>
    <cellStyle name="Normal 2 18 2" xfId="2646"/>
    <cellStyle name="Normal 2 19" xfId="2647"/>
    <cellStyle name="Normal 2 19 2" xfId="2648"/>
    <cellStyle name="Normal 2 2" xfId="2649"/>
    <cellStyle name="Normal 2 2 10" xfId="2650"/>
    <cellStyle name="Normal 2 2 10 2" xfId="2651"/>
    <cellStyle name="Normal 2 2 10 2 2" xfId="4345"/>
    <cellStyle name="Normal 2 2 10 2 3" xfId="4346"/>
    <cellStyle name="Normal 2 2 10 3" xfId="4347"/>
    <cellStyle name="Normal 2 2 10 4" xfId="4348"/>
    <cellStyle name="Normal 2 2 11" xfId="2652"/>
    <cellStyle name="Normal 2 2 11 2" xfId="2653"/>
    <cellStyle name="Normal 2 2 11 2 2" xfId="4349"/>
    <cellStyle name="Normal 2 2 11 2 3" xfId="4350"/>
    <cellStyle name="Normal 2 2 11 3" xfId="4351"/>
    <cellStyle name="Normal 2 2 11 4" xfId="4352"/>
    <cellStyle name="Normal 2 2 12" xfId="2654"/>
    <cellStyle name="Normal 2 2 12 2" xfId="4353"/>
    <cellStyle name="Normal 2 2 12 2 2" xfId="4354"/>
    <cellStyle name="Normal 2 2 12 2 3" xfId="4355"/>
    <cellStyle name="Normal 2 2 12 3" xfId="4356"/>
    <cellStyle name="Normal 2 2 12 4" xfId="4357"/>
    <cellStyle name="Normal 2 2 13" xfId="4358"/>
    <cellStyle name="Normal 2 2 13 2" xfId="4359"/>
    <cellStyle name="Normal 2 2 13 2 2" xfId="4360"/>
    <cellStyle name="Normal 2 2 13 2 3" xfId="4361"/>
    <cellStyle name="Normal 2 2 13 3" xfId="4362"/>
    <cellStyle name="Normal 2 2 13 4" xfId="4363"/>
    <cellStyle name="Normal 2 2 14" xfId="4364"/>
    <cellStyle name="Normal 2 2 14 2" xfId="4365"/>
    <cellStyle name="Normal 2 2 14 2 2" xfId="4366"/>
    <cellStyle name="Normal 2 2 14 2 3" xfId="4367"/>
    <cellStyle name="Normal 2 2 14 3" xfId="4368"/>
    <cellStyle name="Normal 2 2 14 4" xfId="4369"/>
    <cellStyle name="Normal 2 2 15" xfId="4370"/>
    <cellStyle name="Normal 2 2 15 2" xfId="4371"/>
    <cellStyle name="Normal 2 2 15 2 2" xfId="4372"/>
    <cellStyle name="Normal 2 2 15 2 3" xfId="4373"/>
    <cellStyle name="Normal 2 2 15 3" xfId="4374"/>
    <cellStyle name="Normal 2 2 15 4" xfId="4375"/>
    <cellStyle name="Normal 2 2 16" xfId="4376"/>
    <cellStyle name="Normal 2 2 16 2" xfId="4377"/>
    <cellStyle name="Normal 2 2 16 2 2" xfId="4378"/>
    <cellStyle name="Normal 2 2 16 2 3" xfId="4379"/>
    <cellStyle name="Normal 2 2 16 3" xfId="4380"/>
    <cellStyle name="Normal 2 2 16 4" xfId="4381"/>
    <cellStyle name="Normal 2 2 17" xfId="4382"/>
    <cellStyle name="Normal 2 2 17 2" xfId="4383"/>
    <cellStyle name="Normal 2 2 17 2 2" xfId="4384"/>
    <cellStyle name="Normal 2 2 17 2 3" xfId="4385"/>
    <cellStyle name="Normal 2 2 17 3" xfId="4386"/>
    <cellStyle name="Normal 2 2 17 4" xfId="4387"/>
    <cellStyle name="Normal 2 2 18" xfId="4388"/>
    <cellStyle name="Normal 2 2 18 2" xfId="4389"/>
    <cellStyle name="Normal 2 2 18 2 2" xfId="4390"/>
    <cellStyle name="Normal 2 2 18 2 3" xfId="4391"/>
    <cellStyle name="Normal 2 2 18 3" xfId="4392"/>
    <cellStyle name="Normal 2 2 18 4" xfId="4393"/>
    <cellStyle name="Normal 2 2 19" xfId="4394"/>
    <cellStyle name="Normal 2 2 19 2" xfId="4395"/>
    <cellStyle name="Normal 2 2 19 2 2" xfId="4396"/>
    <cellStyle name="Normal 2 2 19 2 3" xfId="4397"/>
    <cellStyle name="Normal 2 2 19 3" xfId="4398"/>
    <cellStyle name="Normal 2 2 19 4" xfId="4399"/>
    <cellStyle name="Normal 2 2 2" xfId="2655"/>
    <cellStyle name="Normal 2 2 2 2" xfId="2656"/>
    <cellStyle name="Normal 2 2 2 2 2" xfId="4400"/>
    <cellStyle name="Normal 2 2 2 2 2 2" xfId="4401"/>
    <cellStyle name="Normal 2 2 2 2 2 3" xfId="4402"/>
    <cellStyle name="Normal 2 2 2 2 3" xfId="4403"/>
    <cellStyle name="Normal 2 2 2 2 4" xfId="4404"/>
    <cellStyle name="Normal 2 2 2 3" xfId="4405"/>
    <cellStyle name="Normal 2 2 2 3 2" xfId="4406"/>
    <cellStyle name="Normal 2 2 2 3 3" xfId="4407"/>
    <cellStyle name="Normal 2 2 2 4" xfId="4408"/>
    <cellStyle name="Normal 2 2 2 5" xfId="4409"/>
    <cellStyle name="Normal 2 2 20" xfId="2657"/>
    <cellStyle name="Normal 2 2 20 2" xfId="2658"/>
    <cellStyle name="Normal 2 2 20 2 2" xfId="2659"/>
    <cellStyle name="Normal 2 2 20 2 3" xfId="4410"/>
    <cellStyle name="Normal 2 2 20 3" xfId="2660"/>
    <cellStyle name="Normal 2 2 20 3 2" xfId="2661"/>
    <cellStyle name="Normal 2 2 20 4" xfId="2662"/>
    <cellStyle name="Normal 2 2 20 4 2" xfId="2663"/>
    <cellStyle name="Normal 2 2 20 5" xfId="2664"/>
    <cellStyle name="Normal 2 2 21" xfId="4411"/>
    <cellStyle name="Normal 2 2 21 2" xfId="4412"/>
    <cellStyle name="Normal 2 2 21 2 2" xfId="4413"/>
    <cellStyle name="Normal 2 2 21 2 3" xfId="4414"/>
    <cellStyle name="Normal 2 2 21 3" xfId="4415"/>
    <cellStyle name="Normal 2 2 21 4" xfId="4416"/>
    <cellStyle name="Normal 2 2 22" xfId="4417"/>
    <cellStyle name="Normal 2 2 22 2" xfId="4418"/>
    <cellStyle name="Normal 2 2 22 2 2" xfId="4419"/>
    <cellStyle name="Normal 2 2 22 2 3" xfId="4420"/>
    <cellStyle name="Normal 2 2 22 3" xfId="4421"/>
    <cellStyle name="Normal 2 2 22 4" xfId="4422"/>
    <cellStyle name="Normal 2 2 23" xfId="4423"/>
    <cellStyle name="Normal 2 2 23 2" xfId="4424"/>
    <cellStyle name="Normal 2 2 23 2 2" xfId="4425"/>
    <cellStyle name="Normal 2 2 23 2 3" xfId="4426"/>
    <cellStyle name="Normal 2 2 23 3" xfId="4427"/>
    <cellStyle name="Normal 2 2 23 4" xfId="4428"/>
    <cellStyle name="Normal 2 2 24" xfId="4429"/>
    <cellStyle name="Normal 2 2 24 2" xfId="4430"/>
    <cellStyle name="Normal 2 2 24 2 2" xfId="4431"/>
    <cellStyle name="Normal 2 2 24 2 3" xfId="4432"/>
    <cellStyle name="Normal 2 2 24 3" xfId="4433"/>
    <cellStyle name="Normal 2 2 24 4" xfId="4434"/>
    <cellStyle name="Normal 2 2 25" xfId="4435"/>
    <cellStyle name="Normal 2 2 25 2" xfId="4436"/>
    <cellStyle name="Normal 2 2 25 2 2" xfId="4437"/>
    <cellStyle name="Normal 2 2 25 2 3" xfId="4438"/>
    <cellStyle name="Normal 2 2 25 3" xfId="4439"/>
    <cellStyle name="Normal 2 2 25 4" xfId="4440"/>
    <cellStyle name="Normal 2 2 26" xfId="4441"/>
    <cellStyle name="Normal 2 2 26 2" xfId="4442"/>
    <cellStyle name="Normal 2 2 26 2 2" xfId="4443"/>
    <cellStyle name="Normal 2 2 26 2 3" xfId="4444"/>
    <cellStyle name="Normal 2 2 26 3" xfId="4445"/>
    <cellStyle name="Normal 2 2 26 4" xfId="4446"/>
    <cellStyle name="Normal 2 2 27" xfId="4447"/>
    <cellStyle name="Normal 2 2 27 2" xfId="4448"/>
    <cellStyle name="Normal 2 2 27 2 2" xfId="4449"/>
    <cellStyle name="Normal 2 2 27 2 3" xfId="4450"/>
    <cellStyle name="Normal 2 2 27 3" xfId="4451"/>
    <cellStyle name="Normal 2 2 27 4" xfId="4452"/>
    <cellStyle name="Normal 2 2 28" xfId="4453"/>
    <cellStyle name="Normal 2 2 28 2" xfId="4454"/>
    <cellStyle name="Normal 2 2 28 2 2" xfId="4455"/>
    <cellStyle name="Normal 2 2 28 2 3" xfId="4456"/>
    <cellStyle name="Normal 2 2 28 3" xfId="4457"/>
    <cellStyle name="Normal 2 2 28 4" xfId="4458"/>
    <cellStyle name="Normal 2 2 29" xfId="4459"/>
    <cellStyle name="Normal 2 2 29 2" xfId="4460"/>
    <cellStyle name="Normal 2 2 29 2 2" xfId="4461"/>
    <cellStyle name="Normal 2 2 29 2 3" xfId="4462"/>
    <cellStyle name="Normal 2 2 29 3" xfId="4463"/>
    <cellStyle name="Normal 2 2 29 4" xfId="4464"/>
    <cellStyle name="Normal 2 2 3" xfId="2665"/>
    <cellStyle name="Normal 2 2 3 2" xfId="2666"/>
    <cellStyle name="Normal 2 2 3 2 2" xfId="4465"/>
    <cellStyle name="Normal 2 2 3 2 2 2" xfId="4466"/>
    <cellStyle name="Normal 2 2 3 2 2 3" xfId="4467"/>
    <cellStyle name="Normal 2 2 3 2 3" xfId="4468"/>
    <cellStyle name="Normal 2 2 3 2 4" xfId="4469"/>
    <cellStyle name="Normal 2 2 3 3" xfId="4470"/>
    <cellStyle name="Normal 2 2 3 3 2" xfId="4471"/>
    <cellStyle name="Normal 2 2 3 3 3" xfId="4472"/>
    <cellStyle name="Normal 2 2 3 4" xfId="4473"/>
    <cellStyle name="Normal 2 2 3 5" xfId="4474"/>
    <cellStyle name="Normal 2 2 30" xfId="4475"/>
    <cellStyle name="Normal 2 2 30 2" xfId="4476"/>
    <cellStyle name="Normal 2 2 30 2 2" xfId="4477"/>
    <cellStyle name="Normal 2 2 30 2 3" xfId="4478"/>
    <cellStyle name="Normal 2 2 30 3" xfId="4479"/>
    <cellStyle name="Normal 2 2 30 4" xfId="4480"/>
    <cellStyle name="Normal 2 2 31" xfId="4481"/>
    <cellStyle name="Normal 2 2 31 2" xfId="4482"/>
    <cellStyle name="Normal 2 2 31 2 2" xfId="4483"/>
    <cellStyle name="Normal 2 2 31 2 3" xfId="4484"/>
    <cellStyle name="Normal 2 2 31 3" xfId="4485"/>
    <cellStyle name="Normal 2 2 31 4" xfId="4486"/>
    <cellStyle name="Normal 2 2 32" xfId="4487"/>
    <cellStyle name="Normal 2 2 32 2" xfId="4488"/>
    <cellStyle name="Normal 2 2 32 3" xfId="4489"/>
    <cellStyle name="Normal 2 2 33" xfId="4490"/>
    <cellStyle name="Normal 2 2 34" xfId="4491"/>
    <cellStyle name="Normal 2 2 35" xfId="4492"/>
    <cellStyle name="Normal 2 2 4" xfId="2667"/>
    <cellStyle name="Normal 2 2 4 2" xfId="2668"/>
    <cellStyle name="Normal 2 2 4 2 2" xfId="4493"/>
    <cellStyle name="Normal 2 2 4 2 2 2" xfId="4494"/>
    <cellStyle name="Normal 2 2 4 2 2 3" xfId="4495"/>
    <cellStyle name="Normal 2 2 4 2 3" xfId="4496"/>
    <cellStyle name="Normal 2 2 4 2 4" xfId="4497"/>
    <cellStyle name="Normal 2 2 4 3" xfId="4498"/>
    <cellStyle name="Normal 2 2 4 3 2" xfId="4499"/>
    <cellStyle name="Normal 2 2 4 3 3" xfId="4500"/>
    <cellStyle name="Normal 2 2 4 4" xfId="4501"/>
    <cellStyle name="Normal 2 2 4 5" xfId="4502"/>
    <cellStyle name="Normal 2 2 5" xfId="2669"/>
    <cellStyle name="Normal 2 2 5 2" xfId="2670"/>
    <cellStyle name="Normal 2 2 5 2 2" xfId="4503"/>
    <cellStyle name="Normal 2 2 5 2 2 2" xfId="4504"/>
    <cellStyle name="Normal 2 2 5 2 2 3" xfId="4505"/>
    <cellStyle name="Normal 2 2 5 2 3" xfId="4506"/>
    <cellStyle name="Normal 2 2 5 2 4" xfId="4507"/>
    <cellStyle name="Normal 2 2 5 3" xfId="4508"/>
    <cellStyle name="Normal 2 2 5 3 2" xfId="4509"/>
    <cellStyle name="Normal 2 2 5 3 3" xfId="4510"/>
    <cellStyle name="Normal 2 2 5 4" xfId="4511"/>
    <cellStyle name="Normal 2 2 5 5" xfId="4512"/>
    <cellStyle name="Normal 2 2 6" xfId="2671"/>
    <cellStyle name="Normal 2 2 6 2" xfId="2672"/>
    <cellStyle name="Normal 2 2 6 2 2" xfId="4513"/>
    <cellStyle name="Normal 2 2 6 2 3" xfId="4514"/>
    <cellStyle name="Normal 2 2 6 3" xfId="4515"/>
    <cellStyle name="Normal 2 2 6 4" xfId="4516"/>
    <cellStyle name="Normal 2 2 7" xfId="2673"/>
    <cellStyle name="Normal 2 2 7 2" xfId="2674"/>
    <cellStyle name="Normal 2 2 7 2 2" xfId="4517"/>
    <cellStyle name="Normal 2 2 7 2 3" xfId="4518"/>
    <cellStyle name="Normal 2 2 7 3" xfId="4519"/>
    <cellStyle name="Normal 2 2 7 4" xfId="4520"/>
    <cellStyle name="Normal 2 2 8" xfId="2675"/>
    <cellStyle name="Normal 2 2 8 2" xfId="2676"/>
    <cellStyle name="Normal 2 2 8 2 2" xfId="4521"/>
    <cellStyle name="Normal 2 2 8 2 3" xfId="4522"/>
    <cellStyle name="Normal 2 2 8 3" xfId="4523"/>
    <cellStyle name="Normal 2 2 8 4" xfId="4524"/>
    <cellStyle name="Normal 2 2 9" xfId="2677"/>
    <cellStyle name="Normal 2 2 9 2" xfId="2678"/>
    <cellStyle name="Normal 2 2 9 2 2" xfId="4525"/>
    <cellStyle name="Normal 2 2 9 2 3" xfId="4526"/>
    <cellStyle name="Normal 2 2 9 3" xfId="4527"/>
    <cellStyle name="Normal 2 2 9 4" xfId="4528"/>
    <cellStyle name="Normal 2 2_IDD #5 - Pepco (Sept 2)" xfId="2679"/>
    <cellStyle name="Normal 2 20" xfId="2680"/>
    <cellStyle name="Normal 2 20 2" xfId="2681"/>
    <cellStyle name="Normal 2 21" xfId="2682"/>
    <cellStyle name="Normal 2 21 2" xfId="2683"/>
    <cellStyle name="Normal 2 22" xfId="2684"/>
    <cellStyle name="Normal 2 22 2" xfId="2685"/>
    <cellStyle name="Normal 2 23" xfId="2686"/>
    <cellStyle name="Normal 2 23 2" xfId="2687"/>
    <cellStyle name="Normal 2 24" xfId="2688"/>
    <cellStyle name="Normal 2 24 2" xfId="2689"/>
    <cellStyle name="Normal 2 25" xfId="2690"/>
    <cellStyle name="Normal 2 25 2" xfId="2691"/>
    <cellStyle name="Normal 2 26" xfId="2692"/>
    <cellStyle name="Normal 2 26 2" xfId="2693"/>
    <cellStyle name="Normal 2 27" xfId="2694"/>
    <cellStyle name="Normal 2 27 2" xfId="2695"/>
    <cellStyle name="Normal 2 28" xfId="2696"/>
    <cellStyle name="Normal 2 28 2" xfId="2697"/>
    <cellStyle name="Normal 2 29" xfId="2698"/>
    <cellStyle name="Normal 2 29 2" xfId="2699"/>
    <cellStyle name="Normal 2 3" xfId="2700"/>
    <cellStyle name="Normal 2 3 2" xfId="2701"/>
    <cellStyle name="Normal 2 3 2 2" xfId="4529"/>
    <cellStyle name="Normal 2 3 2 3" xfId="4530"/>
    <cellStyle name="Normal 2 3 3" xfId="4531"/>
    <cellStyle name="Normal 2 3 4" xfId="4532"/>
    <cellStyle name="Normal 2 30" xfId="2702"/>
    <cellStyle name="Normal 2 30 2" xfId="2703"/>
    <cellStyle name="Normal 2 31" xfId="2704"/>
    <cellStyle name="Normal 2 31 2" xfId="2705"/>
    <cellStyle name="Normal 2 32" xfId="2706"/>
    <cellStyle name="Normal 2 32 2" xfId="2707"/>
    <cellStyle name="Normal 2 33" xfId="2708"/>
    <cellStyle name="Normal 2 33 2" xfId="2709"/>
    <cellStyle name="Normal 2 34" xfId="2710"/>
    <cellStyle name="Normal 2 34 2" xfId="2711"/>
    <cellStyle name="Normal 2 35" xfId="2712"/>
    <cellStyle name="Normal 2 35 2" xfId="2713"/>
    <cellStyle name="Normal 2 36" xfId="2714"/>
    <cellStyle name="Normal 2 36 2" xfId="2715"/>
    <cellStyle name="Normal 2 37" xfId="2716"/>
    <cellStyle name="Normal 2 37 2" xfId="2717"/>
    <cellStyle name="Normal 2 38" xfId="2718"/>
    <cellStyle name="Normal 2 38 2" xfId="2719"/>
    <cellStyle name="Normal 2 39" xfId="2720"/>
    <cellStyle name="Normal 2 39 2" xfId="2721"/>
    <cellStyle name="Normal 2 4" xfId="2722"/>
    <cellStyle name="Normal 2 4 2" xfId="2723"/>
    <cellStyle name="Normal 2 4 2 2" xfId="4533"/>
    <cellStyle name="Normal 2 4 2 3" xfId="4534"/>
    <cellStyle name="Normal 2 4 3" xfId="4535"/>
    <cellStyle name="Normal 2 4 4" xfId="4536"/>
    <cellStyle name="Normal 2 40" xfId="2724"/>
    <cellStyle name="Normal 2 40 2" xfId="2725"/>
    <cellStyle name="Normal 2 41" xfId="2726"/>
    <cellStyle name="Normal 2 41 2" xfId="2727"/>
    <cellStyle name="Normal 2 42" xfId="2728"/>
    <cellStyle name="Normal 2 42 2" xfId="2729"/>
    <cellStyle name="Normal 2 43" xfId="2730"/>
    <cellStyle name="Normal 2 43 2" xfId="2731"/>
    <cellStyle name="Normal 2 44" xfId="2732"/>
    <cellStyle name="Normal 2 44 2" xfId="2733"/>
    <cellStyle name="Normal 2 45" xfId="2734"/>
    <cellStyle name="Normal 2 45 2" xfId="2735"/>
    <cellStyle name="Normal 2 46" xfId="2736"/>
    <cellStyle name="Normal 2 46 2" xfId="2737"/>
    <cellStyle name="Normal 2 47" xfId="2738"/>
    <cellStyle name="Normal 2 47 2" xfId="2739"/>
    <cellStyle name="Normal 2 48" xfId="2740"/>
    <cellStyle name="Normal 2 48 2" xfId="2741"/>
    <cellStyle name="Normal 2 49" xfId="2742"/>
    <cellStyle name="Normal 2 49 2" xfId="2743"/>
    <cellStyle name="Normal 2 5" xfId="2744"/>
    <cellStyle name="Normal 2 5 2" xfId="2745"/>
    <cellStyle name="Normal 2 5 2 2" xfId="4537"/>
    <cellStyle name="Normal 2 5 2 3" xfId="4538"/>
    <cellStyle name="Normal 2 5 3" xfId="4539"/>
    <cellStyle name="Normal 2 5 4" xfId="4540"/>
    <cellStyle name="Normal 2 50" xfId="2746"/>
    <cellStyle name="Normal 2 50 2" xfId="2747"/>
    <cellStyle name="Normal 2 51" xfId="2748"/>
    <cellStyle name="Normal 2 51 2" xfId="2749"/>
    <cellStyle name="Normal 2 52" xfId="2750"/>
    <cellStyle name="Normal 2 52 2" xfId="2751"/>
    <cellStyle name="Normal 2 53" xfId="2752"/>
    <cellStyle name="Normal 2 53 2" xfId="2753"/>
    <cellStyle name="Normal 2 54" xfId="2754"/>
    <cellStyle name="Normal 2 54 2" xfId="2755"/>
    <cellStyle name="Normal 2 55" xfId="2756"/>
    <cellStyle name="Normal 2 55 2" xfId="2757"/>
    <cellStyle name="Normal 2 56" xfId="2758"/>
    <cellStyle name="Normal 2 56 2" xfId="2759"/>
    <cellStyle name="Normal 2 57" xfId="2760"/>
    <cellStyle name="Normal 2 57 2" xfId="2761"/>
    <cellStyle name="Normal 2 58" xfId="2762"/>
    <cellStyle name="Normal 2 58 2" xfId="2763"/>
    <cellStyle name="Normal 2 59" xfId="2764"/>
    <cellStyle name="Normal 2 59 2" xfId="2765"/>
    <cellStyle name="Normal 2 6" xfId="2766"/>
    <cellStyle name="Normal 2 6 2" xfId="2767"/>
    <cellStyle name="Normal 2 6 2 2" xfId="4541"/>
    <cellStyle name="Normal 2 6 2 3" xfId="4542"/>
    <cellStyle name="Normal 2 6 3" xfId="4543"/>
    <cellStyle name="Normal 2 6 4" xfId="4544"/>
    <cellStyle name="Normal 2 60" xfId="2768"/>
    <cellStyle name="Normal 2 60 2" xfId="2769"/>
    <cellStyle name="Normal 2 61" xfId="2770"/>
    <cellStyle name="Normal 2 61 2" xfId="2771"/>
    <cellStyle name="Normal 2 62" xfId="2772"/>
    <cellStyle name="Normal 2 62 2" xfId="2773"/>
    <cellStyle name="Normal 2 63" xfId="2774"/>
    <cellStyle name="Normal 2 63 2" xfId="2775"/>
    <cellStyle name="Normal 2 64" xfId="2776"/>
    <cellStyle name="Normal 2 64 2" xfId="2777"/>
    <cellStyle name="Normal 2 65" xfId="2778"/>
    <cellStyle name="Normal 2 65 2" xfId="2779"/>
    <cellStyle name="Normal 2 66" xfId="2780"/>
    <cellStyle name="Normal 2 66 2" xfId="2781"/>
    <cellStyle name="Normal 2 67" xfId="2782"/>
    <cellStyle name="Normal 2 67 2" xfId="2783"/>
    <cellStyle name="Normal 2 68" xfId="2784"/>
    <cellStyle name="Normal 2 68 2" xfId="2785"/>
    <cellStyle name="Normal 2 69" xfId="2786"/>
    <cellStyle name="Normal 2 69 2" xfId="2787"/>
    <cellStyle name="Normal 2 7" xfId="2788"/>
    <cellStyle name="Normal 2 7 2" xfId="2789"/>
    <cellStyle name="Normal 2 7 2 2" xfId="4545"/>
    <cellStyle name="Normal 2 7 2 3" xfId="4546"/>
    <cellStyle name="Normal 2 7 3" xfId="4547"/>
    <cellStyle name="Normal 2 7 4" xfId="4548"/>
    <cellStyle name="Normal 2 70" xfId="2790"/>
    <cellStyle name="Normal 2 70 2" xfId="2791"/>
    <cellStyle name="Normal 2 71" xfId="2792"/>
    <cellStyle name="Normal 2 71 2" xfId="2793"/>
    <cellStyle name="Normal 2 72" xfId="2794"/>
    <cellStyle name="Normal 2 72 2" xfId="2795"/>
    <cellStyle name="Normal 2 73" xfId="2796"/>
    <cellStyle name="Normal 2 73 2" xfId="2797"/>
    <cellStyle name="Normal 2 74" xfId="2798"/>
    <cellStyle name="Normal 2 74 2" xfId="2799"/>
    <cellStyle name="Normal 2 75" xfId="2800"/>
    <cellStyle name="Normal 2 75 2" xfId="2801"/>
    <cellStyle name="Normal 2 76" xfId="2802"/>
    <cellStyle name="Normal 2 76 2" xfId="2803"/>
    <cellStyle name="Normal 2 77" xfId="2804"/>
    <cellStyle name="Normal 2 77 2" xfId="2805"/>
    <cellStyle name="Normal 2 78" xfId="2806"/>
    <cellStyle name="Normal 2 78 2" xfId="2807"/>
    <cellStyle name="Normal 2 79" xfId="2808"/>
    <cellStyle name="Normal 2 8" xfId="2809"/>
    <cellStyle name="Normal 2 8 2" xfId="2810"/>
    <cellStyle name="Normal 2 8 2 2" xfId="4549"/>
    <cellStyle name="Normal 2 8 2 3" xfId="4550"/>
    <cellStyle name="Normal 2 8 3" xfId="4551"/>
    <cellStyle name="Normal 2 8 4" xfId="4552"/>
    <cellStyle name="Normal 2 80" xfId="9380"/>
    <cellStyle name="Normal 2 9" xfId="2811"/>
    <cellStyle name="Normal 2 9 2" xfId="2812"/>
    <cellStyle name="Normal 2 9 2 2" xfId="4553"/>
    <cellStyle name="Normal 2 9 2 3" xfId="4554"/>
    <cellStyle name="Normal 2 9 3" xfId="4555"/>
    <cellStyle name="Normal 2 9 4" xfId="4556"/>
    <cellStyle name="Normal 2_July Normalization" xfId="2813"/>
    <cellStyle name="Normal 20" xfId="2814"/>
    <cellStyle name="Normal 20 2" xfId="2815"/>
    <cellStyle name="Normal 20 2 2" xfId="4557"/>
    <cellStyle name="Normal 20 2 3" xfId="4558"/>
    <cellStyle name="Normal 20 3" xfId="4559"/>
    <cellStyle name="Normal 20 4" xfId="4560"/>
    <cellStyle name="Normal 21" xfId="2816"/>
    <cellStyle name="Normal 21 2" xfId="2817"/>
    <cellStyle name="Normal 21 2 2" xfId="4561"/>
    <cellStyle name="Normal 21 2 3" xfId="4562"/>
    <cellStyle name="Normal 21 3" xfId="4563"/>
    <cellStyle name="Normal 21 4" xfId="4564"/>
    <cellStyle name="Normal 22" xfId="2818"/>
    <cellStyle name="Normal 22 2" xfId="2819"/>
    <cellStyle name="Normal 22 2 2" xfId="4565"/>
    <cellStyle name="Normal 22 2 3" xfId="4566"/>
    <cellStyle name="Normal 22 3" xfId="4567"/>
    <cellStyle name="Normal 22 4" xfId="4568"/>
    <cellStyle name="Normal 23" xfId="2820"/>
    <cellStyle name="Normal 23 2" xfId="2821"/>
    <cellStyle name="Normal 23 2 2" xfId="2822"/>
    <cellStyle name="Normal 23 2 3" xfId="4569"/>
    <cellStyle name="Normal 23 3" xfId="2823"/>
    <cellStyle name="Normal 23 3 2" xfId="2824"/>
    <cellStyle name="Normal 23 4" xfId="2825"/>
    <cellStyle name="Normal 23 4 2" xfId="2826"/>
    <cellStyle name="Normal 23 5" xfId="2827"/>
    <cellStyle name="Normal 23 5 2" xfId="2828"/>
    <cellStyle name="Normal 23 6" xfId="2829"/>
    <cellStyle name="Normal 23 6 2" xfId="2830"/>
    <cellStyle name="Normal 23 7" xfId="2831"/>
    <cellStyle name="Normal 23_11-03 - PHI Consolidated - Summary of FIN 48 Related To DC Q4 2010" xfId="2832"/>
    <cellStyle name="Normal 24" xfId="2833"/>
    <cellStyle name="Normal 24 2" xfId="2834"/>
    <cellStyle name="Normal 24 2 2" xfId="2835"/>
    <cellStyle name="Normal 24 2 3" xfId="4570"/>
    <cellStyle name="Normal 24 3" xfId="2836"/>
    <cellStyle name="Normal 24 3 2" xfId="2837"/>
    <cellStyle name="Normal 24 4" xfId="2838"/>
    <cellStyle name="Normal 24 4 2" xfId="2839"/>
    <cellStyle name="Normal 24 5" xfId="2840"/>
    <cellStyle name="Normal 24 5 2" xfId="2841"/>
    <cellStyle name="Normal 24 6" xfId="2842"/>
    <cellStyle name="Normal 24 6 2" xfId="2843"/>
    <cellStyle name="Normal 24 7" xfId="2844"/>
    <cellStyle name="Normal 24_11-03 - PHI Consolidated - Summary of FIN 48 Related To DC Q4 2010" xfId="2845"/>
    <cellStyle name="Normal 25" xfId="2846"/>
    <cellStyle name="Normal 25 2" xfId="2847"/>
    <cellStyle name="Normal 25 2 2" xfId="4571"/>
    <cellStyle name="Normal 25 2 3" xfId="4572"/>
    <cellStyle name="Normal 25 3" xfId="4573"/>
    <cellStyle name="Normal 25 4" xfId="4574"/>
    <cellStyle name="Normal 26" xfId="2848"/>
    <cellStyle name="Normal 26 2" xfId="2849"/>
    <cellStyle name="Normal 26 2 2" xfId="2850"/>
    <cellStyle name="Normal 26 2 2 2" xfId="4575"/>
    <cellStyle name="Normal 26 2 2 3" xfId="4576"/>
    <cellStyle name="Normal 26 2 3" xfId="4577"/>
    <cellStyle name="Normal 26 2 4" xfId="4578"/>
    <cellStyle name="Normal 26 3" xfId="2851"/>
    <cellStyle name="Normal 26 3 2" xfId="2852"/>
    <cellStyle name="Normal 26 3 3" xfId="4579"/>
    <cellStyle name="Normal 26 4" xfId="2853"/>
    <cellStyle name="Normal 26 4 2" xfId="2854"/>
    <cellStyle name="Normal 26 5" xfId="2855"/>
    <cellStyle name="Normal 26 5 2" xfId="2856"/>
    <cellStyle name="Normal 26 6" xfId="2857"/>
    <cellStyle name="Normal 26 6 2" xfId="2858"/>
    <cellStyle name="Normal 26 7" xfId="2859"/>
    <cellStyle name="Normal 26_11-03 - PHI Consolidated - Summary of FIN 48 Related To DC Q4 2010" xfId="2860"/>
    <cellStyle name="Normal 27" xfId="2861"/>
    <cellStyle name="Normal 27 2" xfId="2862"/>
    <cellStyle name="Normal 27 2 2" xfId="2863"/>
    <cellStyle name="Normal 27 2 3" xfId="4580"/>
    <cellStyle name="Normal 27 3" xfId="2864"/>
    <cellStyle name="Normal 27 3 2" xfId="2865"/>
    <cellStyle name="Normal 27 4" xfId="2866"/>
    <cellStyle name="Normal 27 4 2" xfId="2867"/>
    <cellStyle name="Normal 27 5" xfId="2868"/>
    <cellStyle name="Normal 27 5 2" xfId="2869"/>
    <cellStyle name="Normal 27 6" xfId="2870"/>
    <cellStyle name="Normal 27 6 2" xfId="2871"/>
    <cellStyle name="Normal 27 7" xfId="2872"/>
    <cellStyle name="Normal 27_11-03 - PHI Consolidated - Summary of FIN 48 Related To DC Q4 2010" xfId="2873"/>
    <cellStyle name="Normal 28" xfId="2874"/>
    <cellStyle name="Normal 28 2" xfId="2875"/>
    <cellStyle name="Normal 28 2 2" xfId="2876"/>
    <cellStyle name="Normal 28 2 3" xfId="4581"/>
    <cellStyle name="Normal 28 3" xfId="2877"/>
    <cellStyle name="Normal 28 3 2" xfId="2878"/>
    <cellStyle name="Normal 28 4" xfId="2879"/>
    <cellStyle name="Normal 28 4 2" xfId="2880"/>
    <cellStyle name="Normal 28 5" xfId="2881"/>
    <cellStyle name="Normal 29" xfId="2882"/>
    <cellStyle name="Normal 29 2" xfId="2883"/>
    <cellStyle name="Normal 29 2 2" xfId="2884"/>
    <cellStyle name="Normal 29 2 3" xfId="4582"/>
    <cellStyle name="Normal 29 3" xfId="2885"/>
    <cellStyle name="Normal 29 4" xfId="4583"/>
    <cellStyle name="Normal 3" xfId="45"/>
    <cellStyle name="Normal 3 10" xfId="4584"/>
    <cellStyle name="Normal 3 10 2" xfId="4585"/>
    <cellStyle name="Normal 3 10 3" xfId="4586"/>
    <cellStyle name="Normal 3 11" xfId="4587"/>
    <cellStyle name="Normal 3 12" xfId="4588"/>
    <cellStyle name="Normal 3 13" xfId="4589"/>
    <cellStyle name="Normal 3 14" xfId="4590"/>
    <cellStyle name="Normal 3 2" xfId="2886"/>
    <cellStyle name="Normal 3 2 2" xfId="2887"/>
    <cellStyle name="Normal 3 2 2 2" xfId="4591"/>
    <cellStyle name="Normal 3 2 2 3" xfId="4592"/>
    <cellStyle name="Normal 3 2 3" xfId="4593"/>
    <cellStyle name="Normal 3 2 4" xfId="4594"/>
    <cellStyle name="Normal 3 3" xfId="2888"/>
    <cellStyle name="Normal 3 3 2" xfId="2889"/>
    <cellStyle name="Normal 3 3 2 2" xfId="4595"/>
    <cellStyle name="Normal 3 3 2 3" xfId="4596"/>
    <cellStyle name="Normal 3 3 3" xfId="4597"/>
    <cellStyle name="Normal 3 3 4" xfId="4598"/>
    <cellStyle name="Normal 3 4" xfId="2890"/>
    <cellStyle name="Normal 3 4 2" xfId="2891"/>
    <cellStyle name="Normal 3 4 2 2" xfId="4599"/>
    <cellStyle name="Normal 3 4 2 3" xfId="4600"/>
    <cellStyle name="Normal 3 4 3" xfId="4601"/>
    <cellStyle name="Normal 3 4 4" xfId="4602"/>
    <cellStyle name="Normal 3 5" xfId="2892"/>
    <cellStyle name="Normal 3 5 2" xfId="4603"/>
    <cellStyle name="Normal 3 5 2 2" xfId="4604"/>
    <cellStyle name="Normal 3 5 2 3" xfId="4605"/>
    <cellStyle name="Normal 3 5 3" xfId="4606"/>
    <cellStyle name="Normal 3 5 4" xfId="4607"/>
    <cellStyle name="Normal 3 6" xfId="2893"/>
    <cellStyle name="Normal 3 6 2" xfId="4608"/>
    <cellStyle name="Normal 3 6 2 2" xfId="4609"/>
    <cellStyle name="Normal 3 6 2 3" xfId="4610"/>
    <cellStyle name="Normal 3 6 3" xfId="4611"/>
    <cellStyle name="Normal 3 6 4" xfId="4612"/>
    <cellStyle name="Normal 3 7" xfId="4613"/>
    <cellStyle name="Normal 3 7 2" xfId="4614"/>
    <cellStyle name="Normal 3 7 2 2" xfId="4615"/>
    <cellStyle name="Normal 3 7 2 3" xfId="4616"/>
    <cellStyle name="Normal 3 7 3" xfId="4617"/>
    <cellStyle name="Normal 3 7 4" xfId="4618"/>
    <cellStyle name="Normal 3 8" xfId="4619"/>
    <cellStyle name="Normal 3 8 2" xfId="4620"/>
    <cellStyle name="Normal 3 8 2 2" xfId="4621"/>
    <cellStyle name="Normal 3 8 2 3" xfId="4622"/>
    <cellStyle name="Normal 3 8 3" xfId="4623"/>
    <cellStyle name="Normal 3 8 4" xfId="4624"/>
    <cellStyle name="Normal 3 9" xfId="4625"/>
    <cellStyle name="Normal 3 9 2" xfId="4626"/>
    <cellStyle name="Normal 3 9 2 2" xfId="4627"/>
    <cellStyle name="Normal 3 9 2 3" xfId="4628"/>
    <cellStyle name="Normal 3 9 3" xfId="4629"/>
    <cellStyle name="Normal 3 9 4" xfId="4630"/>
    <cellStyle name="Normal 3_2009 DC WP &amp; attmts" xfId="2894"/>
    <cellStyle name="Normal 30" xfId="2895"/>
    <cellStyle name="Normal 30 2" xfId="2896"/>
    <cellStyle name="Normal 30 2 2" xfId="2897"/>
    <cellStyle name="Normal 30 2 3" xfId="4631"/>
    <cellStyle name="Normal 30 3" xfId="4632"/>
    <cellStyle name="Normal 30 4" xfId="4633"/>
    <cellStyle name="Normal 31" xfId="2898"/>
    <cellStyle name="Normal 31 2" xfId="2899"/>
    <cellStyle name="Normal 31 2 2" xfId="4634"/>
    <cellStyle name="Normal 31 2 3" xfId="4635"/>
    <cellStyle name="Normal 31 3" xfId="4636"/>
    <cellStyle name="Normal 31 4" xfId="4637"/>
    <cellStyle name="Normal 32" xfId="2900"/>
    <cellStyle name="Normal 32 2" xfId="2901"/>
    <cellStyle name="Normal 32 2 2" xfId="4638"/>
    <cellStyle name="Normal 32 2 3" xfId="4639"/>
    <cellStyle name="Normal 32 3" xfId="4640"/>
    <cellStyle name="Normal 32 4" xfId="4641"/>
    <cellStyle name="Normal 33" xfId="2902"/>
    <cellStyle name="Normal 33 2" xfId="4642"/>
    <cellStyle name="Normal 33 2 2" xfId="4643"/>
    <cellStyle name="Normal 33 2 3" xfId="4644"/>
    <cellStyle name="Normal 33 3" xfId="4645"/>
    <cellStyle name="Normal 33 4" xfId="4646"/>
    <cellStyle name="Normal 34" xfId="2903"/>
    <cellStyle name="Normal 34 2" xfId="2904"/>
    <cellStyle name="Normal 34 2 2" xfId="2905"/>
    <cellStyle name="Normal 34 2 3" xfId="4647"/>
    <cellStyle name="Normal 34 3" xfId="2906"/>
    <cellStyle name="Normal 34 3 2" xfId="2907"/>
    <cellStyle name="Normal 34 4" xfId="2908"/>
    <cellStyle name="Normal 34 4 2" xfId="2909"/>
    <cellStyle name="Normal 34 5" xfId="2910"/>
    <cellStyle name="Normal 35" xfId="4648"/>
    <cellStyle name="Normal 35 2" xfId="4649"/>
    <cellStyle name="Normal 35 2 2" xfId="4650"/>
    <cellStyle name="Normal 35 2 3" xfId="4651"/>
    <cellStyle name="Normal 35 3" xfId="4652"/>
    <cellStyle name="Normal 35 4" xfId="4653"/>
    <cellStyle name="Normal 36" xfId="2911"/>
    <cellStyle name="Normal 36 2" xfId="2912"/>
    <cellStyle name="Normal 36 3" xfId="4654"/>
    <cellStyle name="Normal 37" xfId="2913"/>
    <cellStyle name="Normal 37 2" xfId="2914"/>
    <cellStyle name="Normal 37 2 2" xfId="2915"/>
    <cellStyle name="Normal 37 3" xfId="2916"/>
    <cellStyle name="Normal 38" xfId="2917"/>
    <cellStyle name="Normal 38 2" xfId="2918"/>
    <cellStyle name="Normal 38 2 2" xfId="2919"/>
    <cellStyle name="Normal 38 3" xfId="2920"/>
    <cellStyle name="Normal 39" xfId="2921"/>
    <cellStyle name="Normal 39 2" xfId="2922"/>
    <cellStyle name="Normal 39 2 2" xfId="2923"/>
    <cellStyle name="Normal 39 3" xfId="2924"/>
    <cellStyle name="Normal 4" xfId="2925"/>
    <cellStyle name="Normal 4 10" xfId="4655"/>
    <cellStyle name="Normal 4 10 2" xfId="4656"/>
    <cellStyle name="Normal 4 10 3" xfId="4657"/>
    <cellStyle name="Normal 4 11" xfId="4658"/>
    <cellStyle name="Normal 4 11 2" xfId="4659"/>
    <cellStyle name="Normal 4 11 3" xfId="4660"/>
    <cellStyle name="Normal 4 12" xfId="4661"/>
    <cellStyle name="Normal 4 13" xfId="4662"/>
    <cellStyle name="Normal 4 14" xfId="4663"/>
    <cellStyle name="Normal 4 15" xfId="9457"/>
    <cellStyle name="Normal 4 2" xfId="2926"/>
    <cellStyle name="Normal 4 2 2" xfId="2927"/>
    <cellStyle name="Normal 4 2 2 2" xfId="4664"/>
    <cellStyle name="Normal 4 2 2 2 2" xfId="4665"/>
    <cellStyle name="Normal 4 2 2 2 3" xfId="4666"/>
    <cellStyle name="Normal 4 2 2 3" xfId="4667"/>
    <cellStyle name="Normal 4 2 2 4" xfId="4668"/>
    <cellStyle name="Normal 4 2 3" xfId="4669"/>
    <cellStyle name="Normal 4 2 3 2" xfId="4670"/>
    <cellStyle name="Normal 4 2 3 3" xfId="4671"/>
    <cellStyle name="Normal 4 2 4" xfId="4672"/>
    <cellStyle name="Normal 4 2 5" xfId="4673"/>
    <cellStyle name="Normal 4 3" xfId="2928"/>
    <cellStyle name="Normal 4 3 2" xfId="2929"/>
    <cellStyle name="Normal 4 3 2 2" xfId="4674"/>
    <cellStyle name="Normal 4 3 2 3" xfId="4675"/>
    <cellStyle name="Normal 4 3 3" xfId="4676"/>
    <cellStyle name="Normal 4 3 4" xfId="4677"/>
    <cellStyle name="Normal 4 4" xfId="2930"/>
    <cellStyle name="Normal 4 4 2" xfId="2931"/>
    <cellStyle name="Normal 4 4 2 2" xfId="4678"/>
    <cellStyle name="Normal 4 4 2 3" xfId="4679"/>
    <cellStyle name="Normal 4 4 3" xfId="4680"/>
    <cellStyle name="Normal 4 4 4" xfId="4681"/>
    <cellStyle name="Normal 4 5" xfId="2932"/>
    <cellStyle name="Normal 4 5 2" xfId="2933"/>
    <cellStyle name="Normal 4 5 2 2" xfId="4682"/>
    <cellStyle name="Normal 4 5 2 3" xfId="4683"/>
    <cellStyle name="Normal 4 5 3" xfId="4684"/>
    <cellStyle name="Normal 4 5 4" xfId="4685"/>
    <cellStyle name="Normal 4 6" xfId="2934"/>
    <cellStyle name="Normal 4 6 2" xfId="4686"/>
    <cellStyle name="Normal 4 6 2 2" xfId="4687"/>
    <cellStyle name="Normal 4 6 2 3" xfId="4688"/>
    <cellStyle name="Normal 4 6 3" xfId="4689"/>
    <cellStyle name="Normal 4 6 4" xfId="4690"/>
    <cellStyle name="Normal 4 7" xfId="4691"/>
    <cellStyle name="Normal 4 7 2" xfId="4692"/>
    <cellStyle name="Normal 4 7 2 2" xfId="4693"/>
    <cellStyle name="Normal 4 7 2 3" xfId="4694"/>
    <cellStyle name="Normal 4 7 3" xfId="4695"/>
    <cellStyle name="Normal 4 7 4" xfId="4696"/>
    <cellStyle name="Normal 4 8" xfId="4697"/>
    <cellStyle name="Normal 4 8 2" xfId="4698"/>
    <cellStyle name="Normal 4 8 2 2" xfId="4699"/>
    <cellStyle name="Normal 4 8 2 3" xfId="4700"/>
    <cellStyle name="Normal 4 8 3" xfId="4701"/>
    <cellStyle name="Normal 4 8 4" xfId="4702"/>
    <cellStyle name="Normal 4 9" xfId="4703"/>
    <cellStyle name="Normal 4 9 2" xfId="4704"/>
    <cellStyle name="Normal 4 9 2 2" xfId="4705"/>
    <cellStyle name="Normal 4 9 2 3" xfId="4706"/>
    <cellStyle name="Normal 4 9 3" xfId="4707"/>
    <cellStyle name="Normal 4 9 4" xfId="4708"/>
    <cellStyle name="Normal 4_2009 DC WP &amp; attmts" xfId="2935"/>
    <cellStyle name="Normal 40" xfId="2936"/>
    <cellStyle name="Normal 40 2" xfId="2937"/>
    <cellStyle name="Normal 40 2 2" xfId="2938"/>
    <cellStyle name="Normal 40 3" xfId="2939"/>
    <cellStyle name="Normal 41" xfId="4709"/>
    <cellStyle name="Normal 42" xfId="4710"/>
    <cellStyle name="Normal 42 2" xfId="4711"/>
    <cellStyle name="Normal 43" xfId="4712"/>
    <cellStyle name="Normal 44" xfId="4713"/>
    <cellStyle name="Normal 45" xfId="4714"/>
    <cellStyle name="Normal 45 2" xfId="2940"/>
    <cellStyle name="Normal 46" xfId="4715"/>
    <cellStyle name="Normal 47" xfId="4716"/>
    <cellStyle name="Normal 48" xfId="4717"/>
    <cellStyle name="Normal 49" xfId="4718"/>
    <cellStyle name="Normal 49 2" xfId="9390"/>
    <cellStyle name="Normal 5" xfId="2941"/>
    <cellStyle name="Normal 5 10" xfId="4719"/>
    <cellStyle name="Normal 5 10 2" xfId="4720"/>
    <cellStyle name="Normal 5 10 3" xfId="4721"/>
    <cellStyle name="Normal 5 11" xfId="4722"/>
    <cellStyle name="Normal 5 12" xfId="4723"/>
    <cellStyle name="Normal 5 13" xfId="4724"/>
    <cellStyle name="Normal 5 2" xfId="2942"/>
    <cellStyle name="Normal 5 2 2" xfId="2943"/>
    <cellStyle name="Normal 5 2 2 2" xfId="4725"/>
    <cellStyle name="Normal 5 2 2 3" xfId="4726"/>
    <cellStyle name="Normal 5 2 3" xfId="4727"/>
    <cellStyle name="Normal 5 2 4" xfId="4728"/>
    <cellStyle name="Normal 5 3" xfId="2944"/>
    <cellStyle name="Normal 5 3 2" xfId="4729"/>
    <cellStyle name="Normal 5 3 2 2" xfId="4730"/>
    <cellStyle name="Normal 5 3 2 3" xfId="4731"/>
    <cellStyle name="Normal 5 3 3" xfId="4732"/>
    <cellStyle name="Normal 5 3 4" xfId="4733"/>
    <cellStyle name="Normal 5 4" xfId="2945"/>
    <cellStyle name="Normal 5 4 2" xfId="4734"/>
    <cellStyle name="Normal 5 4 2 2" xfId="4735"/>
    <cellStyle name="Normal 5 4 2 3" xfId="4736"/>
    <cellStyle name="Normal 5 4 3" xfId="4737"/>
    <cellStyle name="Normal 5 4 4" xfId="4738"/>
    <cellStyle name="Normal 5 5" xfId="2946"/>
    <cellStyle name="Normal 5 5 2" xfId="4739"/>
    <cellStyle name="Normal 5 5 2 2" xfId="4740"/>
    <cellStyle name="Normal 5 5 2 3" xfId="4741"/>
    <cellStyle name="Normal 5 5 3" xfId="4742"/>
    <cellStyle name="Normal 5 5 4" xfId="4743"/>
    <cellStyle name="Normal 5 6" xfId="4744"/>
    <cellStyle name="Normal 5 6 2" xfId="4745"/>
    <cellStyle name="Normal 5 6 2 2" xfId="4746"/>
    <cellStyle name="Normal 5 6 2 3" xfId="4747"/>
    <cellStyle name="Normal 5 6 3" xfId="4748"/>
    <cellStyle name="Normal 5 6 4" xfId="4749"/>
    <cellStyle name="Normal 5 7" xfId="4750"/>
    <cellStyle name="Normal 5 7 2" xfId="4751"/>
    <cellStyle name="Normal 5 7 2 2" xfId="4752"/>
    <cellStyle name="Normal 5 7 2 3" xfId="4753"/>
    <cellStyle name="Normal 5 7 3" xfId="4754"/>
    <cellStyle name="Normal 5 7 4" xfId="4755"/>
    <cellStyle name="Normal 5 8" xfId="4756"/>
    <cellStyle name="Normal 5 8 2" xfId="4757"/>
    <cellStyle name="Normal 5 8 2 2" xfId="4758"/>
    <cellStyle name="Normal 5 8 2 3" xfId="4759"/>
    <cellStyle name="Normal 5 8 3" xfId="4760"/>
    <cellStyle name="Normal 5 8 4" xfId="4761"/>
    <cellStyle name="Normal 5 9" xfId="4762"/>
    <cellStyle name="Normal 5 9 2" xfId="4763"/>
    <cellStyle name="Normal 5 9 2 2" xfId="4764"/>
    <cellStyle name="Normal 5 9 2 3" xfId="4765"/>
    <cellStyle name="Normal 5 9 3" xfId="4766"/>
    <cellStyle name="Normal 5 9 4" xfId="4767"/>
    <cellStyle name="Normal 5_2010-12 Current Payable Netting Rpt - FINAL" xfId="2947"/>
    <cellStyle name="Normal 50" xfId="4768"/>
    <cellStyle name="Normal 51" xfId="4769"/>
    <cellStyle name="Normal 52" xfId="9379"/>
    <cellStyle name="Normal 53" xfId="9391"/>
    <cellStyle name="Normal 54" xfId="9392"/>
    <cellStyle name="Normal 55" xfId="9394"/>
    <cellStyle name="Normal 55 4" xfId="9473"/>
    <cellStyle name="Normal 6" xfId="2948"/>
    <cellStyle name="Normal 6 2" xfId="2949"/>
    <cellStyle name="Normal 6 2 2" xfId="2950"/>
    <cellStyle name="Normal 6 2 2 2" xfId="2951"/>
    <cellStyle name="Normal 6 2 2 3" xfId="4770"/>
    <cellStyle name="Normal 6 2 3" xfId="2952"/>
    <cellStyle name="Normal 6 2 4" xfId="4771"/>
    <cellStyle name="Normal 6 3" xfId="2953"/>
    <cellStyle name="Normal 6 3 2" xfId="4772"/>
    <cellStyle name="Normal 6 3 3" xfId="4773"/>
    <cellStyle name="Normal 6 4" xfId="4774"/>
    <cellStyle name="Normal 6 5" xfId="4775"/>
    <cellStyle name="Normal 65" xfId="2954"/>
    <cellStyle name="Normal 65 2" xfId="2955"/>
    <cellStyle name="Normal 67" xfId="2956"/>
    <cellStyle name="Normal 67 2" xfId="2957"/>
    <cellStyle name="Normal 67 2 2" xfId="2958"/>
    <cellStyle name="Normal 67 3" xfId="2959"/>
    <cellStyle name="Normal 67 3 2" xfId="2960"/>
    <cellStyle name="Normal 67 4" xfId="2961"/>
    <cellStyle name="Normal 67 4 2" xfId="2962"/>
    <cellStyle name="Normal 67 5" xfId="2963"/>
    <cellStyle name="Normal 68" xfId="2964"/>
    <cellStyle name="Normal 68 2" xfId="2965"/>
    <cellStyle name="Normal 68 2 2" xfId="2966"/>
    <cellStyle name="Normal 68 3" xfId="2967"/>
    <cellStyle name="Normal 68 3 2" xfId="2968"/>
    <cellStyle name="Normal 68 4" xfId="2969"/>
    <cellStyle name="Normal 68 4 2" xfId="2970"/>
    <cellStyle name="Normal 68 5" xfId="2971"/>
    <cellStyle name="Normal 69" xfId="2972"/>
    <cellStyle name="Normal 69 2" xfId="2973"/>
    <cellStyle name="Normal 69 2 2" xfId="2974"/>
    <cellStyle name="Normal 69 3" xfId="2975"/>
    <cellStyle name="Normal 69 3 2" xfId="2976"/>
    <cellStyle name="Normal 69 4" xfId="2977"/>
    <cellStyle name="Normal 69 4 2" xfId="2978"/>
    <cellStyle name="Normal 69 5" xfId="2979"/>
    <cellStyle name="Normal 7" xfId="2980"/>
    <cellStyle name="Normal 7 2" xfId="2981"/>
    <cellStyle name="Normal 7 2 2" xfId="2982"/>
    <cellStyle name="Normal 7 2 2 2" xfId="4776"/>
    <cellStyle name="Normal 7 2 2 3" xfId="4777"/>
    <cellStyle name="Normal 7 2 3" xfId="4778"/>
    <cellStyle name="Normal 7 2 4" xfId="4779"/>
    <cellStyle name="Normal 7 3" xfId="4780"/>
    <cellStyle name="Normal 7 3 2" xfId="4781"/>
    <cellStyle name="Normal 7 3 3" xfId="4782"/>
    <cellStyle name="Normal 7 4" xfId="4783"/>
    <cellStyle name="Normal 7 5" xfId="4784"/>
    <cellStyle name="Normal 7 6" xfId="4785"/>
    <cellStyle name="Normal 7_2010-12 Current Payable Netting Rpt - FINAL" xfId="2983"/>
    <cellStyle name="Normal 70" xfId="2984"/>
    <cellStyle name="Normal 70 2" xfId="2985"/>
    <cellStyle name="Normal 70 2 2" xfId="2986"/>
    <cellStyle name="Normal 70 3" xfId="2987"/>
    <cellStyle name="Normal 70 3 2" xfId="2988"/>
    <cellStyle name="Normal 70 4" xfId="2989"/>
    <cellStyle name="Normal 70 4 2" xfId="2990"/>
    <cellStyle name="Normal 70 5" xfId="2991"/>
    <cellStyle name="Normal 71" xfId="2992"/>
    <cellStyle name="Normal 71 2" xfId="2993"/>
    <cellStyle name="Normal 71 2 2" xfId="2994"/>
    <cellStyle name="Normal 71 3" xfId="2995"/>
    <cellStyle name="Normal 71 3 2" xfId="2996"/>
    <cellStyle name="Normal 71 4" xfId="2997"/>
    <cellStyle name="Normal 71 4 2" xfId="2998"/>
    <cellStyle name="Normal 71 5" xfId="2999"/>
    <cellStyle name="Normal 72" xfId="3000"/>
    <cellStyle name="Normal 72 2" xfId="3001"/>
    <cellStyle name="Normal 72 2 2" xfId="3002"/>
    <cellStyle name="Normal 72 3" xfId="3003"/>
    <cellStyle name="Normal 72 3 2" xfId="3004"/>
    <cellStyle name="Normal 72 4" xfId="3005"/>
    <cellStyle name="Normal 72 4 2" xfId="3006"/>
    <cellStyle name="Normal 72 5" xfId="3007"/>
    <cellStyle name="Normal 8" xfId="3008"/>
    <cellStyle name="Normal 8 2" xfId="3009"/>
    <cellStyle name="Normal 8 2 2" xfId="3010"/>
    <cellStyle name="Normal 8 2 2 2" xfId="4786"/>
    <cellStyle name="Normal 8 2 2 3" xfId="4787"/>
    <cellStyle name="Normal 8 2 3" xfId="3011"/>
    <cellStyle name="Normal 8 2 4" xfId="4788"/>
    <cellStyle name="Normal 8 3" xfId="4789"/>
    <cellStyle name="Normal 8 3 2" xfId="4790"/>
    <cellStyle name="Normal 8 3 3" xfId="4791"/>
    <cellStyle name="Normal 8 4" xfId="4792"/>
    <cellStyle name="Normal 8 5" xfId="4793"/>
    <cellStyle name="Normal 8 6" xfId="4794"/>
    <cellStyle name="Normal 9" xfId="3012"/>
    <cellStyle name="Normal 9 2" xfId="3013"/>
    <cellStyle name="Normal 9 2 2" xfId="3014"/>
    <cellStyle name="Normal 9 2 2 2" xfId="4795"/>
    <cellStyle name="Normal 9 2 2 3" xfId="4796"/>
    <cellStyle name="Normal 9 2 3" xfId="4797"/>
    <cellStyle name="Normal 9 2 4" xfId="4798"/>
    <cellStyle name="Normal 9 3" xfId="3015"/>
    <cellStyle name="Normal 9 3 2" xfId="4799"/>
    <cellStyle name="Normal 9 3 3" xfId="4800"/>
    <cellStyle name="Normal 9 4" xfId="4801"/>
    <cellStyle name="Normal 9 5" xfId="4802"/>
    <cellStyle name="Normal 9 6" xfId="9458"/>
    <cellStyle name="Normal 91" xfId="3016"/>
    <cellStyle name="Normal 91 2" xfId="3017"/>
    <cellStyle name="Normal_1995 FCWS" xfId="46"/>
    <cellStyle name="Normal_FN1 Ratebase Draft SPP template (6-11-04) v2" xfId="47"/>
    <cellStyle name="Normal_TrAILCo attach 6 &amp; 7 and Appendix A" xfId="48"/>
    <cellStyle name="Note" xfId="49" builtinId="10" customBuiltin="1"/>
    <cellStyle name="Note 10" xfId="3018"/>
    <cellStyle name="Note 10 2" xfId="3019"/>
    <cellStyle name="Note 10 2 2" xfId="3020"/>
    <cellStyle name="Note 10 2 2 2" xfId="4803"/>
    <cellStyle name="Note 10 2 2 3" xfId="4804"/>
    <cellStyle name="Note 10 2 3" xfId="4805"/>
    <cellStyle name="Note 10 2 4" xfId="4806"/>
    <cellStyle name="Note 10 2_JE 5 2002.2 FED" xfId="4807"/>
    <cellStyle name="Note 10 3" xfId="3021"/>
    <cellStyle name="Note 10 3 2" xfId="4808"/>
    <cellStyle name="Note 10 3 2 2" xfId="4809"/>
    <cellStyle name="Note 10 3 2 3" xfId="4810"/>
    <cellStyle name="Note 10 3 3" xfId="4811"/>
    <cellStyle name="Note 10 3 4" xfId="4812"/>
    <cellStyle name="Note 10 3_JE 5 2002.2 FED" xfId="4813"/>
    <cellStyle name="Note 10 4" xfId="4814"/>
    <cellStyle name="Note 10 4 2" xfId="4815"/>
    <cellStyle name="Note 10 4 2 2" xfId="4816"/>
    <cellStyle name="Note 10 4 2 3" xfId="4817"/>
    <cellStyle name="Note 10 4 3" xfId="4818"/>
    <cellStyle name="Note 10 4 4" xfId="4819"/>
    <cellStyle name="Note 10 4_JE 5 2002.2 FED" xfId="4820"/>
    <cellStyle name="Note 10 5" xfId="4821"/>
    <cellStyle name="Note 10 5 2" xfId="4822"/>
    <cellStyle name="Note 10 5 2 2" xfId="4823"/>
    <cellStyle name="Note 10 5 2 3" xfId="4824"/>
    <cellStyle name="Note 10 5 3" xfId="4825"/>
    <cellStyle name="Note 10 5 4" xfId="4826"/>
    <cellStyle name="Note 10 5_JE 5 2002.2 FED" xfId="4827"/>
    <cellStyle name="Note 10 6" xfId="4828"/>
    <cellStyle name="Note 10 6 2" xfId="4829"/>
    <cellStyle name="Note 10 6 3" xfId="4830"/>
    <cellStyle name="Note 10 7" xfId="4831"/>
    <cellStyle name="Note 10 8" xfId="4832"/>
    <cellStyle name="Note 10_JE 5 2002.2 FED" xfId="4833"/>
    <cellStyle name="Note 11" xfId="3022"/>
    <cellStyle name="Note 11 2" xfId="3023"/>
    <cellStyle name="Note 11 2 2" xfId="3024"/>
    <cellStyle name="Note 11 2 2 2" xfId="4834"/>
    <cellStyle name="Note 11 2 2 3" xfId="4835"/>
    <cellStyle name="Note 11 2 3" xfId="4836"/>
    <cellStyle name="Note 11 2 4" xfId="4837"/>
    <cellStyle name="Note 11 2_JE 5 2002.2 FED" xfId="4838"/>
    <cellStyle name="Note 11 3" xfId="3025"/>
    <cellStyle name="Note 11 3 2" xfId="4839"/>
    <cellStyle name="Note 11 3 2 2" xfId="4840"/>
    <cellStyle name="Note 11 3 2 3" xfId="4841"/>
    <cellStyle name="Note 11 3 3" xfId="4842"/>
    <cellStyle name="Note 11 3 4" xfId="4843"/>
    <cellStyle name="Note 11 3_JE 5 2002.2 FED" xfId="4844"/>
    <cellStyle name="Note 11 4" xfId="4845"/>
    <cellStyle name="Note 11 4 2" xfId="4846"/>
    <cellStyle name="Note 11 4 2 2" xfId="4847"/>
    <cellStyle name="Note 11 4 2 3" xfId="4848"/>
    <cellStyle name="Note 11 4 3" xfId="4849"/>
    <cellStyle name="Note 11 4 4" xfId="4850"/>
    <cellStyle name="Note 11 4_JE 5 2002.2 FED" xfId="4851"/>
    <cellStyle name="Note 11 5" xfId="4852"/>
    <cellStyle name="Note 11 5 2" xfId="4853"/>
    <cellStyle name="Note 11 5 2 2" xfId="4854"/>
    <cellStyle name="Note 11 5 2 3" xfId="4855"/>
    <cellStyle name="Note 11 5 3" xfId="4856"/>
    <cellStyle name="Note 11 5 4" xfId="4857"/>
    <cellStyle name="Note 11 5_JE 5 2002.2 FED" xfId="4858"/>
    <cellStyle name="Note 11 6" xfId="4859"/>
    <cellStyle name="Note 11 6 2" xfId="4860"/>
    <cellStyle name="Note 11 6 3" xfId="4861"/>
    <cellStyle name="Note 11 7" xfId="4862"/>
    <cellStyle name="Note 11 8" xfId="4863"/>
    <cellStyle name="Note 11_JE 5 2002.2 FED" xfId="4864"/>
    <cellStyle name="Note 12" xfId="3026"/>
    <cellStyle name="Note 12 2" xfId="3027"/>
    <cellStyle name="Note 12 2 2" xfId="3028"/>
    <cellStyle name="Note 12 2 2 2" xfId="4865"/>
    <cellStyle name="Note 12 2 2 3" xfId="4866"/>
    <cellStyle name="Note 12 2 3" xfId="4867"/>
    <cellStyle name="Note 12 2 4" xfId="4868"/>
    <cellStyle name="Note 12 2_JE 5 2002.2 FED" xfId="4869"/>
    <cellStyle name="Note 12 3" xfId="3029"/>
    <cellStyle name="Note 12 3 2" xfId="4870"/>
    <cellStyle name="Note 12 3 2 2" xfId="4871"/>
    <cellStyle name="Note 12 3 2 3" xfId="4872"/>
    <cellStyle name="Note 12 3 3" xfId="4873"/>
    <cellStyle name="Note 12 3 4" xfId="4874"/>
    <cellStyle name="Note 12 3_JE 5 2002.2 FED" xfId="4875"/>
    <cellStyle name="Note 12 4" xfId="4876"/>
    <cellStyle name="Note 12 4 2" xfId="4877"/>
    <cellStyle name="Note 12 4 2 2" xfId="4878"/>
    <cellStyle name="Note 12 4 2 3" xfId="4879"/>
    <cellStyle name="Note 12 4 3" xfId="4880"/>
    <cellStyle name="Note 12 4 4" xfId="4881"/>
    <cellStyle name="Note 12 4_JE 5 2002.2 FED" xfId="4882"/>
    <cellStyle name="Note 12 5" xfId="4883"/>
    <cellStyle name="Note 12 5 2" xfId="4884"/>
    <cellStyle name="Note 12 5 2 2" xfId="4885"/>
    <cellStyle name="Note 12 5 2 3" xfId="4886"/>
    <cellStyle name="Note 12 5 3" xfId="4887"/>
    <cellStyle name="Note 12 5 4" xfId="4888"/>
    <cellStyle name="Note 12 5_JE 5 2002.2 FED" xfId="4889"/>
    <cellStyle name="Note 12 6" xfId="4890"/>
    <cellStyle name="Note 12 6 2" xfId="4891"/>
    <cellStyle name="Note 12 6 3" xfId="4892"/>
    <cellStyle name="Note 12 7" xfId="4893"/>
    <cellStyle name="Note 12 8" xfId="4894"/>
    <cellStyle name="Note 12_JE 5 2002.2 FED" xfId="4895"/>
    <cellStyle name="Note 13" xfId="3030"/>
    <cellStyle name="Note 13 2" xfId="3031"/>
    <cellStyle name="Note 13 2 2" xfId="3032"/>
    <cellStyle name="Note 13 2 2 2" xfId="4896"/>
    <cellStyle name="Note 13 2 2 3" xfId="4897"/>
    <cellStyle name="Note 13 2 3" xfId="4898"/>
    <cellStyle name="Note 13 2 4" xfId="4899"/>
    <cellStyle name="Note 13 2_JE 5 2002.2 FED" xfId="4900"/>
    <cellStyle name="Note 13 3" xfId="3033"/>
    <cellStyle name="Note 13 3 2" xfId="4901"/>
    <cellStyle name="Note 13 3 2 2" xfId="4902"/>
    <cellStyle name="Note 13 3 2 3" xfId="4903"/>
    <cellStyle name="Note 13 3 3" xfId="4904"/>
    <cellStyle name="Note 13 3 4" xfId="4905"/>
    <cellStyle name="Note 13 3_JE 5 2002.2 FED" xfId="4906"/>
    <cellStyle name="Note 13 4" xfId="4907"/>
    <cellStyle name="Note 13 4 2" xfId="4908"/>
    <cellStyle name="Note 13 4 2 2" xfId="4909"/>
    <cellStyle name="Note 13 4 2 3" xfId="4910"/>
    <cellStyle name="Note 13 4 3" xfId="4911"/>
    <cellStyle name="Note 13 4 4" xfId="4912"/>
    <cellStyle name="Note 13 4_JE 5 2002.2 FED" xfId="4913"/>
    <cellStyle name="Note 13 5" xfId="4914"/>
    <cellStyle name="Note 13 5 2" xfId="4915"/>
    <cellStyle name="Note 13 5 2 2" xfId="4916"/>
    <cellStyle name="Note 13 5 2 3" xfId="4917"/>
    <cellStyle name="Note 13 5 3" xfId="4918"/>
    <cellStyle name="Note 13 5 4" xfId="4919"/>
    <cellStyle name="Note 13 5_JE 5 2002.2 FED" xfId="4920"/>
    <cellStyle name="Note 13 6" xfId="4921"/>
    <cellStyle name="Note 13 6 2" xfId="4922"/>
    <cellStyle name="Note 13 6 3" xfId="4923"/>
    <cellStyle name="Note 13 7" xfId="4924"/>
    <cellStyle name="Note 13 8" xfId="4925"/>
    <cellStyle name="Note 13_JE 5 2002.2 FED" xfId="4926"/>
    <cellStyle name="Note 14" xfId="3034"/>
    <cellStyle name="Note 14 2" xfId="3035"/>
    <cellStyle name="Note 14 2 2" xfId="3036"/>
    <cellStyle name="Note 14 2 2 2" xfId="4927"/>
    <cellStyle name="Note 14 2 2 3" xfId="4928"/>
    <cellStyle name="Note 14 2 3" xfId="4929"/>
    <cellStyle name="Note 14 2 4" xfId="4930"/>
    <cellStyle name="Note 14 2_JE 5 2002.2 FED" xfId="4931"/>
    <cellStyle name="Note 14 3" xfId="3037"/>
    <cellStyle name="Note 14 3 2" xfId="4932"/>
    <cellStyle name="Note 14 3 2 2" xfId="4933"/>
    <cellStyle name="Note 14 3 2 3" xfId="4934"/>
    <cellStyle name="Note 14 3 3" xfId="4935"/>
    <cellStyle name="Note 14 3 4" xfId="4936"/>
    <cellStyle name="Note 14 3_JE 5 2002.2 FED" xfId="4937"/>
    <cellStyle name="Note 14 4" xfId="4938"/>
    <cellStyle name="Note 14 4 2" xfId="4939"/>
    <cellStyle name="Note 14 4 2 2" xfId="4940"/>
    <cellStyle name="Note 14 4 2 3" xfId="4941"/>
    <cellStyle name="Note 14 4 3" xfId="4942"/>
    <cellStyle name="Note 14 4 4" xfId="4943"/>
    <cellStyle name="Note 14 4_JE 5 2002.2 FED" xfId="4944"/>
    <cellStyle name="Note 14 5" xfId="4945"/>
    <cellStyle name="Note 14 5 2" xfId="4946"/>
    <cellStyle name="Note 14 5 2 2" xfId="4947"/>
    <cellStyle name="Note 14 5 2 3" xfId="4948"/>
    <cellStyle name="Note 14 5 3" xfId="4949"/>
    <cellStyle name="Note 14 5 4" xfId="4950"/>
    <cellStyle name="Note 14 5_JE 5 2002.2 FED" xfId="4951"/>
    <cellStyle name="Note 14 6" xfId="4952"/>
    <cellStyle name="Note 14 6 2" xfId="4953"/>
    <cellStyle name="Note 14 6 3" xfId="4954"/>
    <cellStyle name="Note 14 7" xfId="4955"/>
    <cellStyle name="Note 14 8" xfId="4956"/>
    <cellStyle name="Note 14_JE 5 2002.2 FED" xfId="4957"/>
    <cellStyle name="Note 15" xfId="3038"/>
    <cellStyle name="Note 15 2" xfId="3039"/>
    <cellStyle name="Note 15 2 2" xfId="3040"/>
    <cellStyle name="Note 15 2 2 2" xfId="4958"/>
    <cellStyle name="Note 15 2 2 3" xfId="4959"/>
    <cellStyle name="Note 15 2 3" xfId="4960"/>
    <cellStyle name="Note 15 2 4" xfId="4961"/>
    <cellStyle name="Note 15 2_JE 5 2002.2 FED" xfId="4962"/>
    <cellStyle name="Note 15 3" xfId="3041"/>
    <cellStyle name="Note 15 3 2" xfId="4963"/>
    <cellStyle name="Note 15 3 2 2" xfId="4964"/>
    <cellStyle name="Note 15 3 2 3" xfId="4965"/>
    <cellStyle name="Note 15 3 3" xfId="4966"/>
    <cellStyle name="Note 15 3 4" xfId="4967"/>
    <cellStyle name="Note 15 3_JE 5 2002.2 FED" xfId="4968"/>
    <cellStyle name="Note 15 4" xfId="4969"/>
    <cellStyle name="Note 15 4 2" xfId="4970"/>
    <cellStyle name="Note 15 4 2 2" xfId="4971"/>
    <cellStyle name="Note 15 4 2 3" xfId="4972"/>
    <cellStyle name="Note 15 4 3" xfId="4973"/>
    <cellStyle name="Note 15 4 4" xfId="4974"/>
    <cellStyle name="Note 15 4_JE 5 2002.2 FED" xfId="4975"/>
    <cellStyle name="Note 15 5" xfId="4976"/>
    <cellStyle name="Note 15 5 2" xfId="4977"/>
    <cellStyle name="Note 15 5 2 2" xfId="4978"/>
    <cellStyle name="Note 15 5 2 3" xfId="4979"/>
    <cellStyle name="Note 15 5 3" xfId="4980"/>
    <cellStyle name="Note 15 5 4" xfId="4981"/>
    <cellStyle name="Note 15 5_JE 5 2002.2 FED" xfId="4982"/>
    <cellStyle name="Note 15 6" xfId="4983"/>
    <cellStyle name="Note 15 6 2" xfId="4984"/>
    <cellStyle name="Note 15 6 3" xfId="4985"/>
    <cellStyle name="Note 15 7" xfId="4986"/>
    <cellStyle name="Note 15 8" xfId="4987"/>
    <cellStyle name="Note 15_JE 5 2002.2 FED" xfId="4988"/>
    <cellStyle name="Note 16" xfId="3042"/>
    <cellStyle name="Note 16 2" xfId="3043"/>
    <cellStyle name="Note 16 2 2" xfId="3044"/>
    <cellStyle name="Note 16 2 3" xfId="4989"/>
    <cellStyle name="Note 16 3" xfId="3045"/>
    <cellStyle name="Note 16 4" xfId="4990"/>
    <cellStyle name="Note 16_JE 5 2002.2 FED" xfId="4991"/>
    <cellStyle name="Note 17" xfId="3046"/>
    <cellStyle name="Note 17 2" xfId="3047"/>
    <cellStyle name="Note 17 2 2" xfId="3048"/>
    <cellStyle name="Note 17 2 3" xfId="4992"/>
    <cellStyle name="Note 17 3" xfId="3049"/>
    <cellStyle name="Note 17 4" xfId="4993"/>
    <cellStyle name="Note 17_JE 5 2002.2 FED" xfId="4994"/>
    <cellStyle name="Note 18" xfId="3050"/>
    <cellStyle name="Note 18 2" xfId="3051"/>
    <cellStyle name="Note 18 2 2" xfId="3052"/>
    <cellStyle name="Note 18 3" xfId="3053"/>
    <cellStyle name="Note 19" xfId="3054"/>
    <cellStyle name="Note 19 2" xfId="3055"/>
    <cellStyle name="Note 19 2 2" xfId="3056"/>
    <cellStyle name="Note 19 3" xfId="3057"/>
    <cellStyle name="Note 2" xfId="3058"/>
    <cellStyle name="Note 2 10" xfId="3059"/>
    <cellStyle name="Note 2 10 2" xfId="3060"/>
    <cellStyle name="Note 2 10 3" xfId="4995"/>
    <cellStyle name="Note 2 11" xfId="3061"/>
    <cellStyle name="Note 2 11 2" xfId="3062"/>
    <cellStyle name="Note 2 11 3" xfId="4996"/>
    <cellStyle name="Note 2 12" xfId="3063"/>
    <cellStyle name="Note 2 12 2" xfId="3064"/>
    <cellStyle name="Note 2 12 3" xfId="4997"/>
    <cellStyle name="Note 2 13" xfId="3065"/>
    <cellStyle name="Note 2 13 2" xfId="3066"/>
    <cellStyle name="Note 2 13 3" xfId="4998"/>
    <cellStyle name="Note 2 14" xfId="3067"/>
    <cellStyle name="Note 2 14 2" xfId="4999"/>
    <cellStyle name="Note 2 14 3" xfId="5000"/>
    <cellStyle name="Note 2 15" xfId="5001"/>
    <cellStyle name="Note 2 15 2" xfId="5002"/>
    <cellStyle name="Note 2 15 3" xfId="5003"/>
    <cellStyle name="Note 2 16" xfId="5004"/>
    <cellStyle name="Note 2 17" xfId="5005"/>
    <cellStyle name="Note 2 2" xfId="3068"/>
    <cellStyle name="Note 2 2 2" xfId="5006"/>
    <cellStyle name="Note 2 2 2 2" xfId="5007"/>
    <cellStyle name="Note 2 2 2 3" xfId="5008"/>
    <cellStyle name="Note 2 2 3" xfId="5009"/>
    <cellStyle name="Note 2 2 4" xfId="5010"/>
    <cellStyle name="Note 2 2_JE 5 2002.2 FED" xfId="5011"/>
    <cellStyle name="Note 2 3" xfId="3069"/>
    <cellStyle name="Note 2 3 2" xfId="3070"/>
    <cellStyle name="Note 2 3 2 2" xfId="5012"/>
    <cellStyle name="Note 2 3 2 3" xfId="5013"/>
    <cellStyle name="Note 2 3 3" xfId="5014"/>
    <cellStyle name="Note 2 3 4" xfId="5015"/>
    <cellStyle name="Note 2 3_JE 5 2002.2 FED" xfId="5016"/>
    <cellStyle name="Note 2 4" xfId="3071"/>
    <cellStyle name="Note 2 4 2" xfId="3072"/>
    <cellStyle name="Note 2 4 2 2" xfId="5017"/>
    <cellStyle name="Note 2 4 2 3" xfId="5018"/>
    <cellStyle name="Note 2 4 3" xfId="5019"/>
    <cellStyle name="Note 2 4 4" xfId="5020"/>
    <cellStyle name="Note 2 4_JE 5 2002.2 FED" xfId="5021"/>
    <cellStyle name="Note 2 5" xfId="3073"/>
    <cellStyle name="Note 2 5 2" xfId="3074"/>
    <cellStyle name="Note 2 5 2 2" xfId="5022"/>
    <cellStyle name="Note 2 5 2 3" xfId="5023"/>
    <cellStyle name="Note 2 5 3" xfId="5024"/>
    <cellStyle name="Note 2 5 4" xfId="5025"/>
    <cellStyle name="Note 2 5_JE 5 2002.2 FED" xfId="5026"/>
    <cellStyle name="Note 2 6" xfId="3075"/>
    <cellStyle name="Note 2 6 2" xfId="3076"/>
    <cellStyle name="Note 2 6 2 2" xfId="5027"/>
    <cellStyle name="Note 2 6 2 3" xfId="5028"/>
    <cellStyle name="Note 2 6 3" xfId="5029"/>
    <cellStyle name="Note 2 6 4" xfId="5030"/>
    <cellStyle name="Note 2 6_JE 5 2002.2 FED" xfId="5031"/>
    <cellStyle name="Note 2 7" xfId="3077"/>
    <cellStyle name="Note 2 7 2" xfId="3078"/>
    <cellStyle name="Note 2 7 2 2" xfId="5032"/>
    <cellStyle name="Note 2 7 2 3" xfId="5033"/>
    <cellStyle name="Note 2 7 3" xfId="5034"/>
    <cellStyle name="Note 2 7 4" xfId="5035"/>
    <cellStyle name="Note 2 7_JE 5 2002.2 FED" xfId="5036"/>
    <cellStyle name="Note 2 8" xfId="3079"/>
    <cellStyle name="Note 2 8 2" xfId="3080"/>
    <cellStyle name="Note 2 8 2 2" xfId="5037"/>
    <cellStyle name="Note 2 8 2 3" xfId="5038"/>
    <cellStyle name="Note 2 8 3" xfId="5039"/>
    <cellStyle name="Note 2 8 4" xfId="5040"/>
    <cellStyle name="Note 2 8_JE 5 2002.2 FED" xfId="5041"/>
    <cellStyle name="Note 2 9" xfId="3081"/>
    <cellStyle name="Note 2 9 2" xfId="3082"/>
    <cellStyle name="Note 2 9 2 2" xfId="5042"/>
    <cellStyle name="Note 2 9 2 3" xfId="5043"/>
    <cellStyle name="Note 2 9 3" xfId="5044"/>
    <cellStyle name="Note 2 9 4" xfId="5045"/>
    <cellStyle name="Note 2 9_JE 5 2002.2 FED" xfId="5046"/>
    <cellStyle name="Note 2_JE 5 2002.2 FED" xfId="5047"/>
    <cellStyle name="Note 20" xfId="3083"/>
    <cellStyle name="Note 20 2" xfId="3084"/>
    <cellStyle name="Note 20 3" xfId="5048"/>
    <cellStyle name="Note 21" xfId="3085"/>
    <cellStyle name="Note 21 2" xfId="3086"/>
    <cellStyle name="Note 21 3" xfId="5049"/>
    <cellStyle name="Note 22" xfId="3087"/>
    <cellStyle name="Note 22 2" xfId="3088"/>
    <cellStyle name="Note 22 3" xfId="5050"/>
    <cellStyle name="Note 23" xfId="3089"/>
    <cellStyle name="Note 23 2" xfId="3090"/>
    <cellStyle name="Note 23 3" xfId="5051"/>
    <cellStyle name="Note 24" xfId="3091"/>
    <cellStyle name="Note 24 2" xfId="3092"/>
    <cellStyle name="Note 25" xfId="3093"/>
    <cellStyle name="Note 25 2" xfId="3094"/>
    <cellStyle name="Note 26" xfId="3095"/>
    <cellStyle name="Note 26 2" xfId="3096"/>
    <cellStyle name="Note 27" xfId="3097"/>
    <cellStyle name="Note 27 2" xfId="3098"/>
    <cellStyle name="Note 28" xfId="3099"/>
    <cellStyle name="Note 28 2" xfId="3100"/>
    <cellStyle name="Note 29" xfId="3101"/>
    <cellStyle name="Note 29 2" xfId="3102"/>
    <cellStyle name="Note 3" xfId="3103"/>
    <cellStyle name="Note 3 10" xfId="3104"/>
    <cellStyle name="Note 3 10 2" xfId="3105"/>
    <cellStyle name="Note 3 10 3" xfId="5052"/>
    <cellStyle name="Note 3 11" xfId="3106"/>
    <cellStyle name="Note 3 11 2" xfId="3107"/>
    <cellStyle name="Note 3 12" xfId="3108"/>
    <cellStyle name="Note 3 12 2" xfId="3109"/>
    <cellStyle name="Note 3 13" xfId="3110"/>
    <cellStyle name="Note 3 13 2" xfId="3111"/>
    <cellStyle name="Note 3 2" xfId="3112"/>
    <cellStyle name="Note 3 2 2" xfId="3113"/>
    <cellStyle name="Note 3 2 2 2" xfId="5053"/>
    <cellStyle name="Note 3 2 2 3" xfId="5054"/>
    <cellStyle name="Note 3 2 3" xfId="5055"/>
    <cellStyle name="Note 3 2 4" xfId="5056"/>
    <cellStyle name="Note 3 2_JE 5 2002.2 FED" xfId="5057"/>
    <cellStyle name="Note 3 3" xfId="3114"/>
    <cellStyle name="Note 3 3 2" xfId="3115"/>
    <cellStyle name="Note 3 3 2 2" xfId="5058"/>
    <cellStyle name="Note 3 3 2 3" xfId="5059"/>
    <cellStyle name="Note 3 3 3" xfId="5060"/>
    <cellStyle name="Note 3 3 4" xfId="5061"/>
    <cellStyle name="Note 3 3_JE 5 2002.2 FED" xfId="5062"/>
    <cellStyle name="Note 3 4" xfId="3116"/>
    <cellStyle name="Note 3 4 2" xfId="3117"/>
    <cellStyle name="Note 3 4 2 2" xfId="5063"/>
    <cellStyle name="Note 3 4 2 3" xfId="5064"/>
    <cellStyle name="Note 3 4 3" xfId="5065"/>
    <cellStyle name="Note 3 4 4" xfId="5066"/>
    <cellStyle name="Note 3 4_JE 5 2002.2 FED" xfId="5067"/>
    <cellStyle name="Note 3 5" xfId="3118"/>
    <cellStyle name="Note 3 5 2" xfId="3119"/>
    <cellStyle name="Note 3 5 2 2" xfId="5068"/>
    <cellStyle name="Note 3 5 2 3" xfId="5069"/>
    <cellStyle name="Note 3 5 3" xfId="5070"/>
    <cellStyle name="Note 3 5 4" xfId="5071"/>
    <cellStyle name="Note 3 5_JE 5 2002.2 FED" xfId="5072"/>
    <cellStyle name="Note 3 6" xfId="3120"/>
    <cellStyle name="Note 3 6 2" xfId="3121"/>
    <cellStyle name="Note 3 6 2 2" xfId="5073"/>
    <cellStyle name="Note 3 6 2 3" xfId="5074"/>
    <cellStyle name="Note 3 6 3" xfId="5075"/>
    <cellStyle name="Note 3 6 4" xfId="5076"/>
    <cellStyle name="Note 3 6_JE 5 2002.2 FED" xfId="5077"/>
    <cellStyle name="Note 3 7" xfId="3122"/>
    <cellStyle name="Note 3 7 2" xfId="3123"/>
    <cellStyle name="Note 3 7 2 2" xfId="5078"/>
    <cellStyle name="Note 3 7 2 3" xfId="5079"/>
    <cellStyle name="Note 3 7 3" xfId="5080"/>
    <cellStyle name="Note 3 7 4" xfId="5081"/>
    <cellStyle name="Note 3 7_JE 5 2002.2 FED" xfId="5082"/>
    <cellStyle name="Note 3 8" xfId="3124"/>
    <cellStyle name="Note 3 8 2" xfId="3125"/>
    <cellStyle name="Note 3 8 2 2" xfId="5083"/>
    <cellStyle name="Note 3 8 2 3" xfId="5084"/>
    <cellStyle name="Note 3 8 3" xfId="5085"/>
    <cellStyle name="Note 3 8 4" xfId="5086"/>
    <cellStyle name="Note 3 8_JE 5 2002.2 FED" xfId="5087"/>
    <cellStyle name="Note 3 9" xfId="3126"/>
    <cellStyle name="Note 3 9 2" xfId="3127"/>
    <cellStyle name="Note 3 9 2 2" xfId="5088"/>
    <cellStyle name="Note 3 9 2 3" xfId="5089"/>
    <cellStyle name="Note 3 9 3" xfId="5090"/>
    <cellStyle name="Note 3 9 4" xfId="5091"/>
    <cellStyle name="Note 3 9_JE 5 2002.2 FED" xfId="5092"/>
    <cellStyle name="Note 3_JE 5 2002.2 FED" xfId="5093"/>
    <cellStyle name="Note 30" xfId="3128"/>
    <cellStyle name="Note 30 2" xfId="3129"/>
    <cellStyle name="Note 31" xfId="3130"/>
    <cellStyle name="Note 31 2" xfId="3131"/>
    <cellStyle name="Note 32" xfId="3132"/>
    <cellStyle name="Note 32 2" xfId="3133"/>
    <cellStyle name="Note 33" xfId="3134"/>
    <cellStyle name="Note 33 2" xfId="3135"/>
    <cellStyle name="Note 34" xfId="3136"/>
    <cellStyle name="Note 34 2" xfId="3137"/>
    <cellStyle name="Note 35" xfId="3138"/>
    <cellStyle name="Note 35 2" xfId="3139"/>
    <cellStyle name="Note 36" xfId="3140"/>
    <cellStyle name="Note 36 2" xfId="3141"/>
    <cellStyle name="Note 36 3" xfId="3142"/>
    <cellStyle name="Note 36 4" xfId="3143"/>
    <cellStyle name="Note 36 5" xfId="3144"/>
    <cellStyle name="Note 36 6" xfId="3145"/>
    <cellStyle name="Note 37" xfId="3146"/>
    <cellStyle name="Note 37 2" xfId="3147"/>
    <cellStyle name="Note 38" xfId="3148"/>
    <cellStyle name="Note 38 2" xfId="3149"/>
    <cellStyle name="Note 39" xfId="9459"/>
    <cellStyle name="Note 4" xfId="3150"/>
    <cellStyle name="Note 4 10" xfId="5094"/>
    <cellStyle name="Note 4 10 2" xfId="5095"/>
    <cellStyle name="Note 4 10 3" xfId="5096"/>
    <cellStyle name="Note 4 11" xfId="5097"/>
    <cellStyle name="Note 4 11 2" xfId="5098"/>
    <cellStyle name="Note 4 11 3" xfId="5099"/>
    <cellStyle name="Note 4 12" xfId="5100"/>
    <cellStyle name="Note 4 13" xfId="5101"/>
    <cellStyle name="Note 4 2" xfId="3151"/>
    <cellStyle name="Note 4 2 2" xfId="3152"/>
    <cellStyle name="Note 4 2 2 2" xfId="5102"/>
    <cellStyle name="Note 4 2 2 3" xfId="5103"/>
    <cellStyle name="Note 4 2 3" xfId="5104"/>
    <cellStyle name="Note 4 2 4" xfId="5105"/>
    <cellStyle name="Note 4 2_JE 5 2002.2 FED" xfId="5106"/>
    <cellStyle name="Note 4 3" xfId="5107"/>
    <cellStyle name="Note 4 3 2" xfId="5108"/>
    <cellStyle name="Note 4 3 2 2" xfId="5109"/>
    <cellStyle name="Note 4 3 2 3" xfId="5110"/>
    <cellStyle name="Note 4 3 3" xfId="5111"/>
    <cellStyle name="Note 4 3 4" xfId="5112"/>
    <cellStyle name="Note 4 3_JE 5 2002.2 FED" xfId="5113"/>
    <cellStyle name="Note 4 4" xfId="5114"/>
    <cellStyle name="Note 4 4 2" xfId="5115"/>
    <cellStyle name="Note 4 4 2 2" xfId="5116"/>
    <cellStyle name="Note 4 4 2 3" xfId="5117"/>
    <cellStyle name="Note 4 4 3" xfId="5118"/>
    <cellStyle name="Note 4 4 4" xfId="5119"/>
    <cellStyle name="Note 4 4_JE 5 2002.2 FED" xfId="5120"/>
    <cellStyle name="Note 4 5" xfId="5121"/>
    <cellStyle name="Note 4 5 2" xfId="5122"/>
    <cellStyle name="Note 4 5 2 2" xfId="5123"/>
    <cellStyle name="Note 4 5 2 3" xfId="5124"/>
    <cellStyle name="Note 4 5 3" xfId="5125"/>
    <cellStyle name="Note 4 5 4" xfId="5126"/>
    <cellStyle name="Note 4 5_JE 5 2002.2 FED" xfId="5127"/>
    <cellStyle name="Note 4 6" xfId="5128"/>
    <cellStyle name="Note 4 6 2" xfId="5129"/>
    <cellStyle name="Note 4 6 2 2" xfId="5130"/>
    <cellStyle name="Note 4 6 2 3" xfId="5131"/>
    <cellStyle name="Note 4 6 3" xfId="5132"/>
    <cellStyle name="Note 4 6 4" xfId="5133"/>
    <cellStyle name="Note 4 6_JE 5 2002.2 FED" xfId="5134"/>
    <cellStyle name="Note 4 7" xfId="5135"/>
    <cellStyle name="Note 4 7 2" xfId="5136"/>
    <cellStyle name="Note 4 7 2 2" xfId="5137"/>
    <cellStyle name="Note 4 7 2 3" xfId="5138"/>
    <cellStyle name="Note 4 7 3" xfId="5139"/>
    <cellStyle name="Note 4 7 4" xfId="5140"/>
    <cellStyle name="Note 4 7_JE 5 2002.2 FED" xfId="5141"/>
    <cellStyle name="Note 4 8" xfId="5142"/>
    <cellStyle name="Note 4 8 2" xfId="5143"/>
    <cellStyle name="Note 4 8 2 2" xfId="5144"/>
    <cellStyle name="Note 4 8 2 3" xfId="5145"/>
    <cellStyle name="Note 4 8 3" xfId="5146"/>
    <cellStyle name="Note 4 8 4" xfId="5147"/>
    <cellStyle name="Note 4 8_JE 5 2002.2 FED" xfId="5148"/>
    <cellStyle name="Note 4 9" xfId="5149"/>
    <cellStyle name="Note 4 9 2" xfId="5150"/>
    <cellStyle name="Note 4 9 2 2" xfId="5151"/>
    <cellStyle name="Note 4 9 2 3" xfId="5152"/>
    <cellStyle name="Note 4 9 3" xfId="5153"/>
    <cellStyle name="Note 4 9 4" xfId="5154"/>
    <cellStyle name="Note 4 9_JE 5 2002.2 FED" xfId="5155"/>
    <cellStyle name="Note 4_JE 5 2002.2 FED" xfId="5156"/>
    <cellStyle name="Note 40" xfId="9460"/>
    <cellStyle name="Note 41" xfId="9461"/>
    <cellStyle name="Note 5" xfId="3153"/>
    <cellStyle name="Note 5 10" xfId="5157"/>
    <cellStyle name="Note 5 10 2" xfId="5158"/>
    <cellStyle name="Note 5 10 3" xfId="5159"/>
    <cellStyle name="Note 5 11" xfId="5160"/>
    <cellStyle name="Note 5 12" xfId="5161"/>
    <cellStyle name="Note 5 2" xfId="3154"/>
    <cellStyle name="Note 5 2 2" xfId="3155"/>
    <cellStyle name="Note 5 2 2 2" xfId="5162"/>
    <cellStyle name="Note 5 2 2 3" xfId="5163"/>
    <cellStyle name="Note 5 2 3" xfId="5164"/>
    <cellStyle name="Note 5 2 4" xfId="5165"/>
    <cellStyle name="Note 5 2_JE 5 2002.2 FED" xfId="5166"/>
    <cellStyle name="Note 5 3" xfId="3156"/>
    <cellStyle name="Note 5 3 2" xfId="5167"/>
    <cellStyle name="Note 5 3 2 2" xfId="5168"/>
    <cellStyle name="Note 5 3 2 3" xfId="5169"/>
    <cellStyle name="Note 5 3 3" xfId="5170"/>
    <cellStyle name="Note 5 3 4" xfId="5171"/>
    <cellStyle name="Note 5 3_JE 5 2002.2 FED" xfId="5172"/>
    <cellStyle name="Note 5 4" xfId="5173"/>
    <cellStyle name="Note 5 4 2" xfId="5174"/>
    <cellStyle name="Note 5 4 2 2" xfId="5175"/>
    <cellStyle name="Note 5 4 2 3" xfId="5176"/>
    <cellStyle name="Note 5 4 3" xfId="5177"/>
    <cellStyle name="Note 5 4 4" xfId="5178"/>
    <cellStyle name="Note 5 4_JE 5 2002.2 FED" xfId="5179"/>
    <cellStyle name="Note 5 5" xfId="5180"/>
    <cellStyle name="Note 5 5 2" xfId="5181"/>
    <cellStyle name="Note 5 5 2 2" xfId="5182"/>
    <cellStyle name="Note 5 5 2 3" xfId="5183"/>
    <cellStyle name="Note 5 5 3" xfId="5184"/>
    <cellStyle name="Note 5 5 4" xfId="5185"/>
    <cellStyle name="Note 5 5_JE 5 2002.2 FED" xfId="5186"/>
    <cellStyle name="Note 5 6" xfId="5187"/>
    <cellStyle name="Note 5 6 2" xfId="5188"/>
    <cellStyle name="Note 5 6 2 2" xfId="5189"/>
    <cellStyle name="Note 5 6 2 3" xfId="5190"/>
    <cellStyle name="Note 5 6 3" xfId="5191"/>
    <cellStyle name="Note 5 6 4" xfId="5192"/>
    <cellStyle name="Note 5 6_JE 5 2002.2 FED" xfId="5193"/>
    <cellStyle name="Note 5 7" xfId="5194"/>
    <cellStyle name="Note 5 7 2" xfId="5195"/>
    <cellStyle name="Note 5 7 2 2" xfId="5196"/>
    <cellStyle name="Note 5 7 2 3" xfId="5197"/>
    <cellStyle name="Note 5 7 3" xfId="5198"/>
    <cellStyle name="Note 5 7 4" xfId="5199"/>
    <cellStyle name="Note 5 7_JE 5 2002.2 FED" xfId="5200"/>
    <cellStyle name="Note 5 8" xfId="5201"/>
    <cellStyle name="Note 5 8 2" xfId="5202"/>
    <cellStyle name="Note 5 8 2 2" xfId="5203"/>
    <cellStyle name="Note 5 8 2 3" xfId="5204"/>
    <cellStyle name="Note 5 8 3" xfId="5205"/>
    <cellStyle name="Note 5 8 4" xfId="5206"/>
    <cellStyle name="Note 5 8_JE 5 2002.2 FED" xfId="5207"/>
    <cellStyle name="Note 5 9" xfId="5208"/>
    <cellStyle name="Note 5 9 2" xfId="5209"/>
    <cellStyle name="Note 5 9 2 2" xfId="5210"/>
    <cellStyle name="Note 5 9 2 3" xfId="5211"/>
    <cellStyle name="Note 5 9 3" xfId="5212"/>
    <cellStyle name="Note 5 9 4" xfId="5213"/>
    <cellStyle name="Note 5 9_JE 5 2002.2 FED" xfId="5214"/>
    <cellStyle name="Note 5_JE 5 2002.2 FED" xfId="5215"/>
    <cellStyle name="Note 6" xfId="3157"/>
    <cellStyle name="Note 6 10" xfId="5216"/>
    <cellStyle name="Note 6 10 2" xfId="5217"/>
    <cellStyle name="Note 6 10 3" xfId="5218"/>
    <cellStyle name="Note 6 11" xfId="5219"/>
    <cellStyle name="Note 6 12" xfId="5220"/>
    <cellStyle name="Note 6 2" xfId="3158"/>
    <cellStyle name="Note 6 2 2" xfId="3159"/>
    <cellStyle name="Note 6 2 2 2" xfId="5221"/>
    <cellStyle name="Note 6 2 2 3" xfId="5222"/>
    <cellStyle name="Note 6 2 3" xfId="5223"/>
    <cellStyle name="Note 6 2 4" xfId="5224"/>
    <cellStyle name="Note 6 2_JE 5 2002.2 FED" xfId="5225"/>
    <cellStyle name="Note 6 3" xfId="3160"/>
    <cellStyle name="Note 6 3 2" xfId="5226"/>
    <cellStyle name="Note 6 3 2 2" xfId="5227"/>
    <cellStyle name="Note 6 3 2 3" xfId="5228"/>
    <cellStyle name="Note 6 3 3" xfId="5229"/>
    <cellStyle name="Note 6 3 4" xfId="5230"/>
    <cellStyle name="Note 6 3_JE 5 2002.2 FED" xfId="5231"/>
    <cellStyle name="Note 6 4" xfId="5232"/>
    <cellStyle name="Note 6 4 2" xfId="5233"/>
    <cellStyle name="Note 6 4 2 2" xfId="5234"/>
    <cellStyle name="Note 6 4 2 3" xfId="5235"/>
    <cellStyle name="Note 6 4 3" xfId="5236"/>
    <cellStyle name="Note 6 4 4" xfId="5237"/>
    <cellStyle name="Note 6 4_JE 5 2002.2 FED" xfId="5238"/>
    <cellStyle name="Note 6 5" xfId="5239"/>
    <cellStyle name="Note 6 5 2" xfId="5240"/>
    <cellStyle name="Note 6 5 2 2" xfId="5241"/>
    <cellStyle name="Note 6 5 2 3" xfId="5242"/>
    <cellStyle name="Note 6 5 3" xfId="5243"/>
    <cellStyle name="Note 6 5 4" xfId="5244"/>
    <cellStyle name="Note 6 5_JE 5 2002.2 FED" xfId="5245"/>
    <cellStyle name="Note 6 6" xfId="5246"/>
    <cellStyle name="Note 6 6 2" xfId="5247"/>
    <cellStyle name="Note 6 6 2 2" xfId="5248"/>
    <cellStyle name="Note 6 6 2 3" xfId="5249"/>
    <cellStyle name="Note 6 6 3" xfId="5250"/>
    <cellStyle name="Note 6 6 4" xfId="5251"/>
    <cellStyle name="Note 6 6_JE 5 2002.2 FED" xfId="5252"/>
    <cellStyle name="Note 6 7" xfId="5253"/>
    <cellStyle name="Note 6 7 2" xfId="5254"/>
    <cellStyle name="Note 6 7 2 2" xfId="5255"/>
    <cellStyle name="Note 6 7 2 3" xfId="5256"/>
    <cellStyle name="Note 6 7 3" xfId="5257"/>
    <cellStyle name="Note 6 7 4" xfId="5258"/>
    <cellStyle name="Note 6 7_JE 5 2002.2 FED" xfId="5259"/>
    <cellStyle name="Note 6 8" xfId="5260"/>
    <cellStyle name="Note 6 8 2" xfId="5261"/>
    <cellStyle name="Note 6 8 2 2" xfId="5262"/>
    <cellStyle name="Note 6 8 2 3" xfId="5263"/>
    <cellStyle name="Note 6 8 3" xfId="5264"/>
    <cellStyle name="Note 6 8 4" xfId="5265"/>
    <cellStyle name="Note 6 8_JE 5 2002.2 FED" xfId="5266"/>
    <cellStyle name="Note 6 9" xfId="5267"/>
    <cellStyle name="Note 6 9 2" xfId="5268"/>
    <cellStyle name="Note 6 9 2 2" xfId="5269"/>
    <cellStyle name="Note 6 9 2 3" xfId="5270"/>
    <cellStyle name="Note 6 9 3" xfId="5271"/>
    <cellStyle name="Note 6 9 4" xfId="5272"/>
    <cellStyle name="Note 6 9_JE 5 2002.2 FED" xfId="5273"/>
    <cellStyle name="Note 6_JE 5 2002.2 FED" xfId="5274"/>
    <cellStyle name="Note 7" xfId="3161"/>
    <cellStyle name="Note 7 2" xfId="3162"/>
    <cellStyle name="Note 7 2 2" xfId="3163"/>
    <cellStyle name="Note 7 2 2 2" xfId="5275"/>
    <cellStyle name="Note 7 2 2 3" xfId="5276"/>
    <cellStyle name="Note 7 2 3" xfId="5277"/>
    <cellStyle name="Note 7 2 4" xfId="5278"/>
    <cellStyle name="Note 7 2_JE 5 2002.2 FED" xfId="5279"/>
    <cellStyle name="Note 7 3" xfId="3164"/>
    <cellStyle name="Note 7 3 2" xfId="5280"/>
    <cellStyle name="Note 7 3 2 2" xfId="5281"/>
    <cellStyle name="Note 7 3 2 3" xfId="5282"/>
    <cellStyle name="Note 7 3 3" xfId="5283"/>
    <cellStyle name="Note 7 3 4" xfId="5284"/>
    <cellStyle name="Note 7 3_JE 5 2002.2 FED" xfId="5285"/>
    <cellStyle name="Note 7 4" xfId="5286"/>
    <cellStyle name="Note 7 4 2" xfId="5287"/>
    <cellStyle name="Note 7 4 2 2" xfId="5288"/>
    <cellStyle name="Note 7 4 2 3" xfId="5289"/>
    <cellStyle name="Note 7 4 3" xfId="5290"/>
    <cellStyle name="Note 7 4 4" xfId="5291"/>
    <cellStyle name="Note 7 4_JE 5 2002.2 FED" xfId="5292"/>
    <cellStyle name="Note 7 5" xfId="5293"/>
    <cellStyle name="Note 7 5 2" xfId="5294"/>
    <cellStyle name="Note 7 5 2 2" xfId="5295"/>
    <cellStyle name="Note 7 5 2 3" xfId="5296"/>
    <cellStyle name="Note 7 5 3" xfId="5297"/>
    <cellStyle name="Note 7 5 4" xfId="5298"/>
    <cellStyle name="Note 7 5_JE 5 2002.2 FED" xfId="5299"/>
    <cellStyle name="Note 7 6" xfId="5300"/>
    <cellStyle name="Note 7 6 2" xfId="5301"/>
    <cellStyle name="Note 7 6 3" xfId="5302"/>
    <cellStyle name="Note 7 7" xfId="5303"/>
    <cellStyle name="Note 7 8" xfId="5304"/>
    <cellStyle name="Note 7_JE 5 2002.2 FED" xfId="5305"/>
    <cellStyle name="Note 8" xfId="3165"/>
    <cellStyle name="Note 8 2" xfId="3166"/>
    <cellStyle name="Note 8 2 2" xfId="3167"/>
    <cellStyle name="Note 8 2 2 2" xfId="5306"/>
    <cellStyle name="Note 8 2 2 3" xfId="5307"/>
    <cellStyle name="Note 8 2 3" xfId="5308"/>
    <cellStyle name="Note 8 2 4" xfId="5309"/>
    <cellStyle name="Note 8 2_JE 5 2002.2 FED" xfId="5310"/>
    <cellStyle name="Note 8 3" xfId="3168"/>
    <cellStyle name="Note 8 3 2" xfId="5311"/>
    <cellStyle name="Note 8 3 2 2" xfId="5312"/>
    <cellStyle name="Note 8 3 2 3" xfId="5313"/>
    <cellStyle name="Note 8 3 3" xfId="5314"/>
    <cellStyle name="Note 8 3 4" xfId="5315"/>
    <cellStyle name="Note 8 3_JE 5 2002.2 FED" xfId="5316"/>
    <cellStyle name="Note 8 4" xfId="5317"/>
    <cellStyle name="Note 8 4 2" xfId="5318"/>
    <cellStyle name="Note 8 4 2 2" xfId="5319"/>
    <cellStyle name="Note 8 4 2 3" xfId="5320"/>
    <cellStyle name="Note 8 4 3" xfId="5321"/>
    <cellStyle name="Note 8 4 4" xfId="5322"/>
    <cellStyle name="Note 8 4_JE 5 2002.2 FED" xfId="5323"/>
    <cellStyle name="Note 8 5" xfId="5324"/>
    <cellStyle name="Note 8 5 2" xfId="5325"/>
    <cellStyle name="Note 8 5 2 2" xfId="5326"/>
    <cellStyle name="Note 8 5 2 3" xfId="5327"/>
    <cellStyle name="Note 8 5 3" xfId="5328"/>
    <cellStyle name="Note 8 5 4" xfId="5329"/>
    <cellStyle name="Note 8 5_JE 5 2002.2 FED" xfId="5330"/>
    <cellStyle name="Note 8 6" xfId="5331"/>
    <cellStyle name="Note 8 6 2" xfId="5332"/>
    <cellStyle name="Note 8 6 3" xfId="5333"/>
    <cellStyle name="Note 8 7" xfId="5334"/>
    <cellStyle name="Note 8 8" xfId="5335"/>
    <cellStyle name="Note 8_JE 5 2002.2 FED" xfId="5336"/>
    <cellStyle name="Note 9" xfId="3169"/>
    <cellStyle name="Note 9 2" xfId="3170"/>
    <cellStyle name="Note 9 2 2" xfId="3171"/>
    <cellStyle name="Note 9 2 2 2" xfId="5337"/>
    <cellStyle name="Note 9 2 2 3" xfId="5338"/>
    <cellStyle name="Note 9 2 3" xfId="5339"/>
    <cellStyle name="Note 9 2 4" xfId="5340"/>
    <cellStyle name="Note 9 2_JE 5 2002.2 FED" xfId="5341"/>
    <cellStyle name="Note 9 3" xfId="3172"/>
    <cellStyle name="Note 9 3 2" xfId="5342"/>
    <cellStyle name="Note 9 3 2 2" xfId="5343"/>
    <cellStyle name="Note 9 3 2 3" xfId="5344"/>
    <cellStyle name="Note 9 3 3" xfId="5345"/>
    <cellStyle name="Note 9 3 4" xfId="5346"/>
    <cellStyle name="Note 9 3_JE 5 2002.2 FED" xfId="5347"/>
    <cellStyle name="Note 9 4" xfId="5348"/>
    <cellStyle name="Note 9 4 2" xfId="5349"/>
    <cellStyle name="Note 9 4 2 2" xfId="5350"/>
    <cellStyle name="Note 9 4 2 3" xfId="5351"/>
    <cellStyle name="Note 9 4 3" xfId="5352"/>
    <cellStyle name="Note 9 4 4" xfId="5353"/>
    <cellStyle name="Note 9 4_JE 5 2002.2 FED" xfId="5354"/>
    <cellStyle name="Note 9 5" xfId="5355"/>
    <cellStyle name="Note 9 5 2" xfId="5356"/>
    <cellStyle name="Note 9 5 2 2" xfId="5357"/>
    <cellStyle name="Note 9 5 2 3" xfId="5358"/>
    <cellStyle name="Note 9 5 3" xfId="5359"/>
    <cellStyle name="Note 9 5 4" xfId="5360"/>
    <cellStyle name="Note 9 5_JE 5 2002.2 FED" xfId="5361"/>
    <cellStyle name="Note 9 6" xfId="5362"/>
    <cellStyle name="Note 9 6 2" xfId="5363"/>
    <cellStyle name="Note 9 6 3" xfId="5364"/>
    <cellStyle name="Note 9 7" xfId="5365"/>
    <cellStyle name="Note 9 8" xfId="5366"/>
    <cellStyle name="Note 9_JE 5 2002.2 FED" xfId="5367"/>
    <cellStyle name="Output" xfId="50" builtinId="21" customBuiltin="1"/>
    <cellStyle name="Output 10" xfId="3173"/>
    <cellStyle name="Output 10 2" xfId="3174"/>
    <cellStyle name="Output 11" xfId="3175"/>
    <cellStyle name="Output 11 2" xfId="3176"/>
    <cellStyle name="Output 12" xfId="3177"/>
    <cellStyle name="Output 12 2" xfId="3178"/>
    <cellStyle name="Output 13" xfId="3179"/>
    <cellStyle name="Output 13 2" xfId="3180"/>
    <cellStyle name="Output 14" xfId="3181"/>
    <cellStyle name="Output 14 2" xfId="3182"/>
    <cellStyle name="Output 15" xfId="3183"/>
    <cellStyle name="Output 15 2" xfId="3184"/>
    <cellStyle name="Output 16" xfId="3185"/>
    <cellStyle name="Output 16 2" xfId="3186"/>
    <cellStyle name="Output 17" xfId="3187"/>
    <cellStyle name="Output 17 2" xfId="3188"/>
    <cellStyle name="Output 18" xfId="3189"/>
    <cellStyle name="Output 18 2" xfId="3190"/>
    <cellStyle name="Output 19" xfId="3191"/>
    <cellStyle name="Output 19 2" xfId="3192"/>
    <cellStyle name="Output 2" xfId="3193"/>
    <cellStyle name="Output 2 2" xfId="3194"/>
    <cellStyle name="Output 2 3" xfId="3195"/>
    <cellStyle name="Output 20" xfId="3196"/>
    <cellStyle name="Output 21" xfId="3197"/>
    <cellStyle name="Output 22" xfId="3198"/>
    <cellStyle name="Output 23" xfId="3199"/>
    <cellStyle name="Output 24" xfId="3200"/>
    <cellStyle name="Output 25" xfId="3201"/>
    <cellStyle name="Output 26" xfId="3202"/>
    <cellStyle name="Output 27" xfId="3203"/>
    <cellStyle name="Output 28" xfId="3204"/>
    <cellStyle name="Output 29" xfId="3205"/>
    <cellStyle name="Output 3" xfId="3206"/>
    <cellStyle name="Output 3 2" xfId="3207"/>
    <cellStyle name="Output 30" xfId="3208"/>
    <cellStyle name="Output 31" xfId="3209"/>
    <cellStyle name="Output 32" xfId="3210"/>
    <cellStyle name="Output 33" xfId="3211"/>
    <cellStyle name="Output 34" xfId="3212"/>
    <cellStyle name="Output 35" xfId="3213"/>
    <cellStyle name="Output 36" xfId="3214"/>
    <cellStyle name="Output 37" xfId="9462"/>
    <cellStyle name="Output 4" xfId="3215"/>
    <cellStyle name="Output 4 2" xfId="3216"/>
    <cellStyle name="Output 5" xfId="3217"/>
    <cellStyle name="Output 5 2" xfId="3218"/>
    <cellStyle name="Output 6" xfId="3219"/>
    <cellStyle name="Output 6 2" xfId="3220"/>
    <cellStyle name="Output 7" xfId="3221"/>
    <cellStyle name="Output 7 2" xfId="3222"/>
    <cellStyle name="Output 8" xfId="3223"/>
    <cellStyle name="Output 8 2" xfId="3224"/>
    <cellStyle name="Output 9" xfId="3225"/>
    <cellStyle name="Output 9 2" xfId="3226"/>
    <cellStyle name="Percent" xfId="51" builtinId="5"/>
    <cellStyle name="Percent [1]" xfId="3227"/>
    <cellStyle name="Percent [1] 2" xfId="3228"/>
    <cellStyle name="Percent [1] 2 2" xfId="3229"/>
    <cellStyle name="Percent [1] 2 2 2" xfId="3230"/>
    <cellStyle name="Percent [1] 2 3" xfId="3231"/>
    <cellStyle name="Percent [1] 3" xfId="3232"/>
    <cellStyle name="Percent [2]" xfId="3233"/>
    <cellStyle name="Percent [2] 2" xfId="3234"/>
    <cellStyle name="Percent [2] 2 2" xfId="3235"/>
    <cellStyle name="Percent [2] 2 2 2" xfId="3236"/>
    <cellStyle name="Percent [2] 2 3" xfId="3237"/>
    <cellStyle name="Percent [2] 3" xfId="3238"/>
    <cellStyle name="Percent 10" xfId="3239"/>
    <cellStyle name="Percent 10 2" xfId="3240"/>
    <cellStyle name="Percent 10 2 2" xfId="3241"/>
    <cellStyle name="Percent 10 26" xfId="9463"/>
    <cellStyle name="Percent 10 3" xfId="3242"/>
    <cellStyle name="Percent 10 3 2" xfId="3243"/>
    <cellStyle name="Percent 10 4" xfId="3244"/>
    <cellStyle name="Percent 10 4 2" xfId="3245"/>
    <cellStyle name="Percent 10 5" xfId="3246"/>
    <cellStyle name="Percent 11" xfId="3247"/>
    <cellStyle name="Percent 11 2" xfId="3248"/>
    <cellStyle name="Percent 11 2 2" xfId="3249"/>
    <cellStyle name="Percent 11 3" xfId="3250"/>
    <cellStyle name="Percent 12" xfId="3251"/>
    <cellStyle name="Percent 12 2" xfId="3252"/>
    <cellStyle name="Percent 12 2 2" xfId="3253"/>
    <cellStyle name="Percent 12 3" xfId="3254"/>
    <cellStyle name="Percent 13" xfId="3255"/>
    <cellStyle name="Percent 13 2" xfId="3256"/>
    <cellStyle name="Percent 13 2 2" xfId="3257"/>
    <cellStyle name="Percent 13 3" xfId="3258"/>
    <cellStyle name="Percent 130 2" xfId="9464"/>
    <cellStyle name="Percent 14" xfId="3259"/>
    <cellStyle name="Percent 14 2" xfId="3260"/>
    <cellStyle name="Percent 14 2 2" xfId="3261"/>
    <cellStyle name="Percent 14 3" xfId="3262"/>
    <cellStyle name="Percent 15" xfId="3263"/>
    <cellStyle name="Percent 15 2" xfId="3264"/>
    <cellStyle name="Percent 15 2 2" xfId="3265"/>
    <cellStyle name="Percent 15 3" xfId="3266"/>
    <cellStyle name="Percent 16" xfId="3267"/>
    <cellStyle name="Percent 16 2" xfId="3268"/>
    <cellStyle name="Percent 16 2 2" xfId="3269"/>
    <cellStyle name="Percent 16 3" xfId="3270"/>
    <cellStyle name="Percent 17" xfId="3271"/>
    <cellStyle name="Percent 17 2" xfId="3272"/>
    <cellStyle name="Percent 17 2 2" xfId="3273"/>
    <cellStyle name="Percent 17 3" xfId="3274"/>
    <cellStyle name="Percent 18" xfId="3275"/>
    <cellStyle name="Percent 18 2" xfId="3276"/>
    <cellStyle name="Percent 19" xfId="3277"/>
    <cellStyle name="Percent 19 2" xfId="3278"/>
    <cellStyle name="Percent 2" xfId="52"/>
    <cellStyle name="Percent 2 10" xfId="3279"/>
    <cellStyle name="Percent 2 10 2" xfId="3280"/>
    <cellStyle name="Percent 2 11" xfId="3281"/>
    <cellStyle name="Percent 2 11 2" xfId="3282"/>
    <cellStyle name="Percent 2 12" xfId="3283"/>
    <cellStyle name="Percent 2 12 2" xfId="3284"/>
    <cellStyle name="Percent 2 13" xfId="3285"/>
    <cellStyle name="Percent 2 13 2" xfId="3286"/>
    <cellStyle name="Percent 2 14" xfId="3287"/>
    <cellStyle name="Percent 2 14 2" xfId="3288"/>
    <cellStyle name="Percent 2 15" xfId="3289"/>
    <cellStyle name="Percent 2 15 2" xfId="3290"/>
    <cellStyle name="Percent 2 16" xfId="3291"/>
    <cellStyle name="Percent 2 16 2" xfId="3292"/>
    <cellStyle name="Percent 2 17" xfId="3293"/>
    <cellStyle name="Percent 2 17 2" xfId="3294"/>
    <cellStyle name="Percent 2 18" xfId="3295"/>
    <cellStyle name="Percent 2 18 2" xfId="3296"/>
    <cellStyle name="Percent 2 19" xfId="3297"/>
    <cellStyle name="Percent 2 19 2" xfId="3298"/>
    <cellStyle name="Percent 2 2" xfId="3299"/>
    <cellStyle name="Percent 2 2 2" xfId="3300"/>
    <cellStyle name="Percent 2 2 2 2" xfId="5368"/>
    <cellStyle name="Percent 2 2 2 3" xfId="5369"/>
    <cellStyle name="Percent 2 2 3" xfId="5370"/>
    <cellStyle name="Percent 2 2 4" xfId="5371"/>
    <cellStyle name="Percent 2 20" xfId="3301"/>
    <cellStyle name="Percent 2 20 2" xfId="3302"/>
    <cellStyle name="Percent 2 21" xfId="3303"/>
    <cellStyle name="Percent 2 21 2" xfId="3304"/>
    <cellStyle name="Percent 2 22" xfId="3305"/>
    <cellStyle name="Percent 2 22 2" xfId="3306"/>
    <cellStyle name="Percent 2 23" xfId="3307"/>
    <cellStyle name="Percent 2 23 2" xfId="3308"/>
    <cellStyle name="Percent 2 24" xfId="3309"/>
    <cellStyle name="Percent 2 24 2" xfId="3310"/>
    <cellStyle name="Percent 2 25" xfId="3311"/>
    <cellStyle name="Percent 2 25 2" xfId="3312"/>
    <cellStyle name="Percent 2 26" xfId="3313"/>
    <cellStyle name="Percent 2 26 2" xfId="3314"/>
    <cellStyle name="Percent 2 27" xfId="3315"/>
    <cellStyle name="Percent 2 27 2" xfId="3316"/>
    <cellStyle name="Percent 2 28" xfId="3317"/>
    <cellStyle name="Percent 2 28 2" xfId="3318"/>
    <cellStyle name="Percent 2 29" xfId="3319"/>
    <cellStyle name="Percent 2 29 2" xfId="3320"/>
    <cellStyle name="Percent 2 3" xfId="3321"/>
    <cellStyle name="Percent 2 3 2" xfId="3322"/>
    <cellStyle name="Percent 2 3 2 2" xfId="5372"/>
    <cellStyle name="Percent 2 3 2 3" xfId="5373"/>
    <cellStyle name="Percent 2 3 3" xfId="5374"/>
    <cellStyle name="Percent 2 3 4" xfId="5375"/>
    <cellStyle name="Percent 2 30" xfId="3323"/>
    <cellStyle name="Percent 2 30 2" xfId="3324"/>
    <cellStyle name="Percent 2 31" xfId="3325"/>
    <cellStyle name="Percent 2 31 2" xfId="3326"/>
    <cellStyle name="Percent 2 32" xfId="3327"/>
    <cellStyle name="Percent 2 32 2" xfId="3328"/>
    <cellStyle name="Percent 2 33" xfId="3329"/>
    <cellStyle name="Percent 2 33 2" xfId="3330"/>
    <cellStyle name="Percent 2 34" xfId="3331"/>
    <cellStyle name="Percent 2 34 2" xfId="3332"/>
    <cellStyle name="Percent 2 35" xfId="3333"/>
    <cellStyle name="Percent 2 35 2" xfId="3334"/>
    <cellStyle name="Percent 2 36" xfId="3335"/>
    <cellStyle name="Percent 2 36 2" xfId="3336"/>
    <cellStyle name="Percent 2 37" xfId="3337"/>
    <cellStyle name="Percent 2 37 2" xfId="3338"/>
    <cellStyle name="Percent 2 38" xfId="3339"/>
    <cellStyle name="Percent 2 38 2" xfId="3340"/>
    <cellStyle name="Percent 2 39" xfId="3341"/>
    <cellStyle name="Percent 2 39 2" xfId="3342"/>
    <cellStyle name="Percent 2 4" xfId="3343"/>
    <cellStyle name="Percent 2 4 2" xfId="3344"/>
    <cellStyle name="Percent 2 4 2 2" xfId="5376"/>
    <cellStyle name="Percent 2 4 2 3" xfId="5377"/>
    <cellStyle name="Percent 2 4 3" xfId="5378"/>
    <cellStyle name="Percent 2 4 4" xfId="5379"/>
    <cellStyle name="Percent 2 40" xfId="3345"/>
    <cellStyle name="Percent 2 40 2" xfId="3346"/>
    <cellStyle name="Percent 2 41" xfId="3347"/>
    <cellStyle name="Percent 2 41 2" xfId="3348"/>
    <cellStyle name="Percent 2 42" xfId="3349"/>
    <cellStyle name="Percent 2 42 2" xfId="3350"/>
    <cellStyle name="Percent 2 43" xfId="3351"/>
    <cellStyle name="Percent 2 43 2" xfId="3352"/>
    <cellStyle name="Percent 2 44" xfId="3353"/>
    <cellStyle name="Percent 2 44 2" xfId="3354"/>
    <cellStyle name="Percent 2 45" xfId="3355"/>
    <cellStyle name="Percent 2 45 2" xfId="3356"/>
    <cellStyle name="Percent 2 46" xfId="3357"/>
    <cellStyle name="Percent 2 46 2" xfId="3358"/>
    <cellStyle name="Percent 2 47" xfId="3359"/>
    <cellStyle name="Percent 2 47 2" xfId="3360"/>
    <cellStyle name="Percent 2 48" xfId="3361"/>
    <cellStyle name="Percent 2 48 2" xfId="3362"/>
    <cellStyle name="Percent 2 49" xfId="3363"/>
    <cellStyle name="Percent 2 49 2" xfId="3364"/>
    <cellStyle name="Percent 2 5" xfId="3365"/>
    <cellStyle name="Percent 2 5 2" xfId="3366"/>
    <cellStyle name="Percent 2 5 2 2" xfId="5380"/>
    <cellStyle name="Percent 2 5 2 3" xfId="5381"/>
    <cellStyle name="Percent 2 5 3" xfId="5382"/>
    <cellStyle name="Percent 2 5 4" xfId="5383"/>
    <cellStyle name="Percent 2 50" xfId="3367"/>
    <cellStyle name="Percent 2 50 2" xfId="3368"/>
    <cellStyle name="Percent 2 51" xfId="3369"/>
    <cellStyle name="Percent 2 51 2" xfId="3370"/>
    <cellStyle name="Percent 2 52" xfId="3371"/>
    <cellStyle name="Percent 2 52 2" xfId="3372"/>
    <cellStyle name="Percent 2 53" xfId="3373"/>
    <cellStyle name="Percent 2 53 2" xfId="3374"/>
    <cellStyle name="Percent 2 54" xfId="3375"/>
    <cellStyle name="Percent 2 54 2" xfId="3376"/>
    <cellStyle name="Percent 2 55" xfId="3377"/>
    <cellStyle name="Percent 2 55 2" xfId="3378"/>
    <cellStyle name="Percent 2 56" xfId="3379"/>
    <cellStyle name="Percent 2 56 2" xfId="3380"/>
    <cellStyle name="Percent 2 57" xfId="3381"/>
    <cellStyle name="Percent 2 57 2" xfId="3382"/>
    <cellStyle name="Percent 2 58" xfId="3383"/>
    <cellStyle name="Percent 2 58 2" xfId="3384"/>
    <cellStyle name="Percent 2 59" xfId="3385"/>
    <cellStyle name="Percent 2 59 2" xfId="3386"/>
    <cellStyle name="Percent 2 6" xfId="3387"/>
    <cellStyle name="Percent 2 6 2" xfId="3388"/>
    <cellStyle name="Percent 2 6 3" xfId="5384"/>
    <cellStyle name="Percent 2 60" xfId="3389"/>
    <cellStyle name="Percent 2 60 2" xfId="3390"/>
    <cellStyle name="Percent 2 61" xfId="3391"/>
    <cellStyle name="Percent 2 61 2" xfId="3392"/>
    <cellStyle name="Percent 2 62" xfId="3393"/>
    <cellStyle name="Percent 2 62 2" xfId="3394"/>
    <cellStyle name="Percent 2 63" xfId="3395"/>
    <cellStyle name="Percent 2 63 2" xfId="3396"/>
    <cellStyle name="Percent 2 64" xfId="3397"/>
    <cellStyle name="Percent 2 64 2" xfId="3398"/>
    <cellStyle name="Percent 2 65" xfId="3399"/>
    <cellStyle name="Percent 2 65 2" xfId="3400"/>
    <cellStyle name="Percent 2 66" xfId="3401"/>
    <cellStyle name="Percent 2 66 2" xfId="3402"/>
    <cellStyle name="Percent 2 67" xfId="3403"/>
    <cellStyle name="Percent 2 67 2" xfId="3404"/>
    <cellStyle name="Percent 2 68" xfId="3405"/>
    <cellStyle name="Percent 2 68 2" xfId="3406"/>
    <cellStyle name="Percent 2 69" xfId="3407"/>
    <cellStyle name="Percent 2 69 2" xfId="3408"/>
    <cellStyle name="Percent 2 7" xfId="3409"/>
    <cellStyle name="Percent 2 7 2" xfId="3410"/>
    <cellStyle name="Percent 2 70" xfId="3411"/>
    <cellStyle name="Percent 2 70 2" xfId="3412"/>
    <cellStyle name="Percent 2 71" xfId="3413"/>
    <cellStyle name="Percent 2 71 2" xfId="3414"/>
    <cellStyle name="Percent 2 72" xfId="3415"/>
    <cellStyle name="Percent 2 72 2" xfId="3416"/>
    <cellStyle name="Percent 2 73" xfId="3417"/>
    <cellStyle name="Percent 2 73 2" xfId="3418"/>
    <cellStyle name="Percent 2 74" xfId="3419"/>
    <cellStyle name="Percent 2 74 2" xfId="3420"/>
    <cellStyle name="Percent 2 75" xfId="3421"/>
    <cellStyle name="Percent 2 75 2" xfId="3422"/>
    <cellStyle name="Percent 2 76" xfId="3423"/>
    <cellStyle name="Percent 2 76 2" xfId="3424"/>
    <cellStyle name="Percent 2 77" xfId="3425"/>
    <cellStyle name="Percent 2 77 2" xfId="3426"/>
    <cellStyle name="Percent 2 78" xfId="3427"/>
    <cellStyle name="Percent 2 78 2" xfId="3428"/>
    <cellStyle name="Percent 2 79" xfId="3429"/>
    <cellStyle name="Percent 2 8" xfId="3430"/>
    <cellStyle name="Percent 2 8 2" xfId="3431"/>
    <cellStyle name="Percent 2 80" xfId="5385"/>
    <cellStyle name="Percent 2 9" xfId="3432"/>
    <cellStyle name="Percent 2 9 2" xfId="3433"/>
    <cellStyle name="Percent 20" xfId="3434"/>
    <cellStyle name="Percent 20 2" xfId="3435"/>
    <cellStyle name="Percent 21" xfId="3436"/>
    <cellStyle name="Percent 21 2" xfId="3437"/>
    <cellStyle name="Percent 22" xfId="3438"/>
    <cellStyle name="Percent 22 2" xfId="3439"/>
    <cellStyle name="Percent 23" xfId="3440"/>
    <cellStyle name="Percent 23 2" xfId="3441"/>
    <cellStyle name="Percent 24" xfId="3442"/>
    <cellStyle name="Percent 24 2" xfId="3443"/>
    <cellStyle name="Percent 25" xfId="5386"/>
    <cellStyle name="Percent 26" xfId="5387"/>
    <cellStyle name="Percent 27" xfId="5388"/>
    <cellStyle name="Percent 28" xfId="9393"/>
    <cellStyle name="Percent 29" xfId="3444"/>
    <cellStyle name="Percent 29 2" xfId="3445"/>
    <cellStyle name="Percent 29 2 2" xfId="3446"/>
    <cellStyle name="Percent 29 3" xfId="3447"/>
    <cellStyle name="Percent 29 3 2" xfId="3448"/>
    <cellStyle name="Percent 29 4" xfId="3449"/>
    <cellStyle name="Percent 29 4 2" xfId="3450"/>
    <cellStyle name="Percent 29 5" xfId="3451"/>
    <cellStyle name="Percent 3" xfId="53"/>
    <cellStyle name="Percent 3 2" xfId="3452"/>
    <cellStyle name="Percent 3 2 2" xfId="3453"/>
    <cellStyle name="Percent 3 3" xfId="3454"/>
    <cellStyle name="Percent 3 3 2" xfId="3455"/>
    <cellStyle name="Percent 3 4" xfId="3456"/>
    <cellStyle name="Percent 3 4 2" xfId="3457"/>
    <cellStyle name="Percent 3 5" xfId="3458"/>
    <cellStyle name="Percent 30" xfId="9465"/>
    <cellStyle name="Percent 31" xfId="9466"/>
    <cellStyle name="Percent 32" xfId="9467"/>
    <cellStyle name="Percent 4" xfId="3459"/>
    <cellStyle name="Percent 4 2" xfId="3460"/>
    <cellStyle name="Percent 4 2 2" xfId="3461"/>
    <cellStyle name="Percent 4 2 2 2" xfId="3462"/>
    <cellStyle name="Percent 4 2 3" xfId="3463"/>
    <cellStyle name="Percent 4 2 3 2" xfId="3464"/>
    <cellStyle name="Percent 4 2 4" xfId="3465"/>
    <cellStyle name="Percent 4 2 4 2" xfId="3466"/>
    <cellStyle name="Percent 4 2 5" xfId="3467"/>
    <cellStyle name="Percent 4 3" xfId="3468"/>
    <cellStyle name="Percent 4 3 2" xfId="3469"/>
    <cellStyle name="Percent 4 4" xfId="3470"/>
    <cellStyle name="Percent 5" xfId="3471"/>
    <cellStyle name="Percent 5 2" xfId="3472"/>
    <cellStyle name="Percent 5 2 2" xfId="3473"/>
    <cellStyle name="Percent 5 3" xfId="3474"/>
    <cellStyle name="Percent 5 3 2" xfId="3475"/>
    <cellStyle name="Percent 5 4" xfId="3476"/>
    <cellStyle name="Percent 6" xfId="3477"/>
    <cellStyle name="Percent 6 2" xfId="3478"/>
    <cellStyle name="Percent 6 2 2" xfId="3479"/>
    <cellStyle name="Percent 6 3" xfId="3480"/>
    <cellStyle name="Percent 6 3 2" xfId="3481"/>
    <cellStyle name="Percent 6 4" xfId="3482"/>
    <cellStyle name="Percent 7" xfId="3483"/>
    <cellStyle name="Percent 7 2" xfId="3484"/>
    <cellStyle name="Percent 7 2 2" xfId="3485"/>
    <cellStyle name="Percent 8" xfId="3486"/>
    <cellStyle name="Percent 8 2" xfId="3487"/>
    <cellStyle name="Percent 8 2 2" xfId="3488"/>
    <cellStyle name="Percent 8 3" xfId="3489"/>
    <cellStyle name="Percent 9" xfId="3490"/>
    <cellStyle name="Percent 9 2" xfId="3491"/>
    <cellStyle name="Percent 9 2 2" xfId="3492"/>
    <cellStyle name="Percent 9 3" xfId="3493"/>
    <cellStyle name="Percent[2]" xfId="3494"/>
    <cellStyle name="Percent[2] 2" xfId="3495"/>
    <cellStyle name="Percent[2] 2 2" xfId="3496"/>
    <cellStyle name="Percent[2] 2 2 2" xfId="3497"/>
    <cellStyle name="Percent[2] 2 3" xfId="3498"/>
    <cellStyle name="Percent[2] 3" xfId="3499"/>
    <cellStyle name="PSChar" xfId="54"/>
    <cellStyle name="PSChar 10" xfId="3500"/>
    <cellStyle name="PSChar 10 2" xfId="5389"/>
    <cellStyle name="PSChar 10 2 2" xfId="5390"/>
    <cellStyle name="PSChar 10 2 2 2" xfId="5391"/>
    <cellStyle name="PSChar 10 2 3" xfId="5392"/>
    <cellStyle name="PSChar 10 3" xfId="5393"/>
    <cellStyle name="PSChar 10 3 2" xfId="5394"/>
    <cellStyle name="PSChar 10 3 2 2" xfId="5395"/>
    <cellStyle name="PSChar 10 3 3" xfId="5396"/>
    <cellStyle name="PSChar 10 4" xfId="5397"/>
    <cellStyle name="PSChar 10 4 2" xfId="5398"/>
    <cellStyle name="PSChar 10 4 2 2" xfId="5399"/>
    <cellStyle name="PSChar 10 4 3" xfId="5400"/>
    <cellStyle name="PSChar 10 5" xfId="5401"/>
    <cellStyle name="PSChar 10 5 2" xfId="5402"/>
    <cellStyle name="PSChar 10 5 2 2" xfId="5403"/>
    <cellStyle name="PSChar 10 5 3" xfId="5404"/>
    <cellStyle name="PSChar 10 6" xfId="5405"/>
    <cellStyle name="PSChar 10 6 2" xfId="5406"/>
    <cellStyle name="PSChar 10 7" xfId="5407"/>
    <cellStyle name="PSChar 11" xfId="3501"/>
    <cellStyle name="PSChar 11 2" xfId="5408"/>
    <cellStyle name="PSChar 11 2 2" xfId="5409"/>
    <cellStyle name="PSChar 11 2 2 2" xfId="5410"/>
    <cellStyle name="PSChar 11 2 3" xfId="5411"/>
    <cellStyle name="PSChar 11 3" xfId="5412"/>
    <cellStyle name="PSChar 11 3 2" xfId="5413"/>
    <cellStyle name="PSChar 11 3 2 2" xfId="5414"/>
    <cellStyle name="PSChar 11 3 3" xfId="5415"/>
    <cellStyle name="PSChar 11 4" xfId="5416"/>
    <cellStyle name="PSChar 11 4 2" xfId="5417"/>
    <cellStyle name="PSChar 11 4 2 2" xfId="5418"/>
    <cellStyle name="PSChar 11 4 3" xfId="5419"/>
    <cellStyle name="PSChar 11 5" xfId="5420"/>
    <cellStyle name="PSChar 11 5 2" xfId="5421"/>
    <cellStyle name="PSChar 11 5 2 2" xfId="5422"/>
    <cellStyle name="PSChar 11 5 3" xfId="5423"/>
    <cellStyle name="PSChar 11 6" xfId="5424"/>
    <cellStyle name="PSChar 11 6 2" xfId="5425"/>
    <cellStyle name="PSChar 11 7" xfId="5426"/>
    <cellStyle name="PSChar 12" xfId="3502"/>
    <cellStyle name="PSChar 12 2" xfId="5427"/>
    <cellStyle name="PSChar 12 2 2" xfId="5428"/>
    <cellStyle name="PSChar 12 2 2 2" xfId="5429"/>
    <cellStyle name="PSChar 12 2 3" xfId="5430"/>
    <cellStyle name="PSChar 12 3" xfId="5431"/>
    <cellStyle name="PSChar 12 3 2" xfId="5432"/>
    <cellStyle name="PSChar 12 3 2 2" xfId="5433"/>
    <cellStyle name="PSChar 12 3 3" xfId="5434"/>
    <cellStyle name="PSChar 12 4" xfId="5435"/>
    <cellStyle name="PSChar 12 4 2" xfId="5436"/>
    <cellStyle name="PSChar 12 4 2 2" xfId="5437"/>
    <cellStyle name="PSChar 12 4 3" xfId="5438"/>
    <cellStyle name="PSChar 12 5" xfId="5439"/>
    <cellStyle name="PSChar 12 5 2" xfId="5440"/>
    <cellStyle name="PSChar 12 5 2 2" xfId="5441"/>
    <cellStyle name="PSChar 12 5 3" xfId="5442"/>
    <cellStyle name="PSChar 12 6" xfId="5443"/>
    <cellStyle name="PSChar 12 6 2" xfId="5444"/>
    <cellStyle name="PSChar 12 7" xfId="5445"/>
    <cellStyle name="PSChar 13" xfId="5446"/>
    <cellStyle name="PSChar 13 2" xfId="5447"/>
    <cellStyle name="PSChar 13 2 2" xfId="5448"/>
    <cellStyle name="PSChar 13 2 2 2" xfId="5449"/>
    <cellStyle name="PSChar 13 2 3" xfId="5450"/>
    <cellStyle name="PSChar 13 3" xfId="5451"/>
    <cellStyle name="PSChar 13 3 2" xfId="5452"/>
    <cellStyle name="PSChar 13 3 2 2" xfId="5453"/>
    <cellStyle name="PSChar 13 3 3" xfId="5454"/>
    <cellStyle name="PSChar 13 4" xfId="5455"/>
    <cellStyle name="PSChar 13 4 2" xfId="5456"/>
    <cellStyle name="PSChar 13 4 2 2" xfId="5457"/>
    <cellStyle name="PSChar 13 4 3" xfId="5458"/>
    <cellStyle name="PSChar 13 5" xfId="5459"/>
    <cellStyle name="PSChar 13 5 2" xfId="5460"/>
    <cellStyle name="PSChar 13 5 2 2" xfId="5461"/>
    <cellStyle name="PSChar 13 5 3" xfId="5462"/>
    <cellStyle name="PSChar 13 6" xfId="5463"/>
    <cellStyle name="PSChar 13 6 2" xfId="5464"/>
    <cellStyle name="PSChar 13 7" xfId="5465"/>
    <cellStyle name="PSChar 14" xfId="5466"/>
    <cellStyle name="PSChar 14 2" xfId="5467"/>
    <cellStyle name="PSChar 14 2 2" xfId="5468"/>
    <cellStyle name="PSChar 14 2 2 2" xfId="5469"/>
    <cellStyle name="PSChar 14 2 3" xfId="5470"/>
    <cellStyle name="PSChar 14 3" xfId="5471"/>
    <cellStyle name="PSChar 14 3 2" xfId="5472"/>
    <cellStyle name="PSChar 14 3 2 2" xfId="5473"/>
    <cellStyle name="PSChar 14 3 3" xfId="5474"/>
    <cellStyle name="PSChar 14 4" xfId="5475"/>
    <cellStyle name="PSChar 14 4 2" xfId="5476"/>
    <cellStyle name="PSChar 14 4 2 2" xfId="5477"/>
    <cellStyle name="PSChar 14 4 3" xfId="5478"/>
    <cellStyle name="PSChar 14 5" xfId="5479"/>
    <cellStyle name="PSChar 14 5 2" xfId="5480"/>
    <cellStyle name="PSChar 14 5 2 2" xfId="5481"/>
    <cellStyle name="PSChar 14 5 3" xfId="5482"/>
    <cellStyle name="PSChar 14 6" xfId="5483"/>
    <cellStyle name="PSChar 14 6 2" xfId="5484"/>
    <cellStyle name="PSChar 14 7" xfId="5485"/>
    <cellStyle name="PSChar 15" xfId="5486"/>
    <cellStyle name="PSChar 15 2" xfId="5487"/>
    <cellStyle name="PSChar 15 2 2" xfId="5488"/>
    <cellStyle name="PSChar 15 2 2 2" xfId="5489"/>
    <cellStyle name="PSChar 15 2 3" xfId="5490"/>
    <cellStyle name="PSChar 15 3" xfId="5491"/>
    <cellStyle name="PSChar 15 3 2" xfId="5492"/>
    <cellStyle name="PSChar 15 3 2 2" xfId="5493"/>
    <cellStyle name="PSChar 15 3 3" xfId="5494"/>
    <cellStyle name="PSChar 15 4" xfId="5495"/>
    <cellStyle name="PSChar 15 4 2" xfId="5496"/>
    <cellStyle name="PSChar 15 4 2 2" xfId="5497"/>
    <cellStyle name="PSChar 15 4 3" xfId="5498"/>
    <cellStyle name="PSChar 15 5" xfId="5499"/>
    <cellStyle name="PSChar 15 5 2" xfId="5500"/>
    <cellStyle name="PSChar 15 5 2 2" xfId="5501"/>
    <cellStyle name="PSChar 15 5 3" xfId="5502"/>
    <cellStyle name="PSChar 15 6" xfId="5503"/>
    <cellStyle name="PSChar 15 6 2" xfId="5504"/>
    <cellStyle name="PSChar 15 7" xfId="5505"/>
    <cellStyle name="PSChar 16" xfId="5506"/>
    <cellStyle name="PSChar 2" xfId="3503"/>
    <cellStyle name="PSChar 2 10" xfId="5507"/>
    <cellStyle name="PSChar 2 10 2" xfId="5508"/>
    <cellStyle name="PSChar 2 11" xfId="5509"/>
    <cellStyle name="PSChar 2 2" xfId="3504"/>
    <cellStyle name="PSChar 2 2 2" xfId="5510"/>
    <cellStyle name="PSChar 2 2 2 2" xfId="5511"/>
    <cellStyle name="PSChar 2 2 3" xfId="5512"/>
    <cellStyle name="PSChar 2 3" xfId="5513"/>
    <cellStyle name="PSChar 2 3 2" xfId="5514"/>
    <cellStyle name="PSChar 2 3 2 2" xfId="5515"/>
    <cellStyle name="PSChar 2 3 3" xfId="5516"/>
    <cellStyle name="PSChar 2 4" xfId="5517"/>
    <cellStyle name="PSChar 2 4 2" xfId="5518"/>
    <cellStyle name="PSChar 2 4 2 2" xfId="5519"/>
    <cellStyle name="PSChar 2 4 3" xfId="5520"/>
    <cellStyle name="PSChar 2 5" xfId="5521"/>
    <cellStyle name="PSChar 2 5 2" xfId="5522"/>
    <cellStyle name="PSChar 2 5 2 2" xfId="5523"/>
    <cellStyle name="PSChar 2 5 3" xfId="5524"/>
    <cellStyle name="PSChar 2 6" xfId="5525"/>
    <cellStyle name="PSChar 2 6 2" xfId="5526"/>
    <cellStyle name="PSChar 2 6 2 2" xfId="5527"/>
    <cellStyle name="PSChar 2 6 3" xfId="5528"/>
    <cellStyle name="PSChar 2 7" xfId="5529"/>
    <cellStyle name="PSChar 2 7 2" xfId="5530"/>
    <cellStyle name="PSChar 2 7 2 2" xfId="5531"/>
    <cellStyle name="PSChar 2 7 3" xfId="5532"/>
    <cellStyle name="PSChar 2 8" xfId="5533"/>
    <cellStyle name="PSChar 2 8 2" xfId="5534"/>
    <cellStyle name="PSChar 2 8 2 2" xfId="5535"/>
    <cellStyle name="PSChar 2 8 3" xfId="5536"/>
    <cellStyle name="PSChar 2 9" xfId="5537"/>
    <cellStyle name="PSChar 2 9 2" xfId="5538"/>
    <cellStyle name="PSChar 2 9 2 2" xfId="5539"/>
    <cellStyle name="PSChar 2 9 3" xfId="5540"/>
    <cellStyle name="PSChar 3" xfId="3505"/>
    <cellStyle name="PSChar 3 10" xfId="5541"/>
    <cellStyle name="PSChar 3 10 2" xfId="5542"/>
    <cellStyle name="PSChar 3 11" xfId="5543"/>
    <cellStyle name="PSChar 3 2" xfId="5544"/>
    <cellStyle name="PSChar 3 2 2" xfId="5545"/>
    <cellStyle name="PSChar 3 2 2 2" xfId="5546"/>
    <cellStyle name="PSChar 3 2 3" xfId="5547"/>
    <cellStyle name="PSChar 3 3" xfId="5548"/>
    <cellStyle name="PSChar 3 3 2" xfId="5549"/>
    <cellStyle name="PSChar 3 3 2 2" xfId="5550"/>
    <cellStyle name="PSChar 3 3 3" xfId="5551"/>
    <cellStyle name="PSChar 3 4" xfId="5552"/>
    <cellStyle name="PSChar 3 4 2" xfId="5553"/>
    <cellStyle name="PSChar 3 4 2 2" xfId="5554"/>
    <cellStyle name="PSChar 3 4 3" xfId="5555"/>
    <cellStyle name="PSChar 3 5" xfId="5556"/>
    <cellStyle name="PSChar 3 5 2" xfId="5557"/>
    <cellStyle name="PSChar 3 5 2 2" xfId="5558"/>
    <cellStyle name="PSChar 3 5 3" xfId="5559"/>
    <cellStyle name="PSChar 3 6" xfId="5560"/>
    <cellStyle name="PSChar 3 6 2" xfId="5561"/>
    <cellStyle name="PSChar 3 6 2 2" xfId="5562"/>
    <cellStyle name="PSChar 3 6 3" xfId="5563"/>
    <cellStyle name="PSChar 3 7" xfId="5564"/>
    <cellStyle name="PSChar 3 7 2" xfId="5565"/>
    <cellStyle name="PSChar 3 7 2 2" xfId="5566"/>
    <cellStyle name="PSChar 3 7 3" xfId="5567"/>
    <cellStyle name="PSChar 3 8" xfId="5568"/>
    <cellStyle name="PSChar 3 8 2" xfId="5569"/>
    <cellStyle name="PSChar 3 8 2 2" xfId="5570"/>
    <cellStyle name="PSChar 3 8 3" xfId="5571"/>
    <cellStyle name="PSChar 3 9" xfId="5572"/>
    <cellStyle name="PSChar 3 9 2" xfId="5573"/>
    <cellStyle name="PSChar 3 9 2 2" xfId="5574"/>
    <cellStyle name="PSChar 3 9 3" xfId="5575"/>
    <cellStyle name="PSChar 4" xfId="3506"/>
    <cellStyle name="PSChar 4 10" xfId="5576"/>
    <cellStyle name="PSChar 4 10 2" xfId="5577"/>
    <cellStyle name="PSChar 4 11" xfId="5578"/>
    <cellStyle name="PSChar 4 2" xfId="5579"/>
    <cellStyle name="PSChar 4 2 2" xfId="5580"/>
    <cellStyle name="PSChar 4 2 2 2" xfId="5581"/>
    <cellStyle name="PSChar 4 2 3" xfId="5582"/>
    <cellStyle name="PSChar 4 3" xfId="5583"/>
    <cellStyle name="PSChar 4 3 2" xfId="5584"/>
    <cellStyle name="PSChar 4 3 2 2" xfId="5585"/>
    <cellStyle name="PSChar 4 3 3" xfId="5586"/>
    <cellStyle name="PSChar 4 4" xfId="5587"/>
    <cellStyle name="PSChar 4 4 2" xfId="5588"/>
    <cellStyle name="PSChar 4 4 2 2" xfId="5589"/>
    <cellStyle name="PSChar 4 4 3" xfId="5590"/>
    <cellStyle name="PSChar 4 5" xfId="5591"/>
    <cellStyle name="PSChar 4 5 2" xfId="5592"/>
    <cellStyle name="PSChar 4 5 2 2" xfId="5593"/>
    <cellStyle name="PSChar 4 5 3" xfId="5594"/>
    <cellStyle name="PSChar 4 6" xfId="5595"/>
    <cellStyle name="PSChar 4 6 2" xfId="5596"/>
    <cellStyle name="PSChar 4 6 2 2" xfId="5597"/>
    <cellStyle name="PSChar 4 6 3" xfId="5598"/>
    <cellStyle name="PSChar 4 7" xfId="5599"/>
    <cellStyle name="PSChar 4 7 2" xfId="5600"/>
    <cellStyle name="PSChar 4 7 2 2" xfId="5601"/>
    <cellStyle name="PSChar 4 7 3" xfId="5602"/>
    <cellStyle name="PSChar 4 8" xfId="5603"/>
    <cellStyle name="PSChar 4 8 2" xfId="5604"/>
    <cellStyle name="PSChar 4 8 2 2" xfId="5605"/>
    <cellStyle name="PSChar 4 8 3" xfId="5606"/>
    <cellStyle name="PSChar 4 9" xfId="5607"/>
    <cellStyle name="PSChar 4 9 2" xfId="5608"/>
    <cellStyle name="PSChar 4 9 2 2" xfId="5609"/>
    <cellStyle name="PSChar 4 9 3" xfId="5610"/>
    <cellStyle name="PSChar 5" xfId="3507"/>
    <cellStyle name="PSChar 5 10" xfId="5611"/>
    <cellStyle name="PSChar 5 10 2" xfId="5612"/>
    <cellStyle name="PSChar 5 11" xfId="5613"/>
    <cellStyle name="PSChar 5 2" xfId="5614"/>
    <cellStyle name="PSChar 5 2 2" xfId="5615"/>
    <cellStyle name="PSChar 5 2 2 2" xfId="5616"/>
    <cellStyle name="PSChar 5 2 3" xfId="5617"/>
    <cellStyle name="PSChar 5 3" xfId="5618"/>
    <cellStyle name="PSChar 5 3 2" xfId="5619"/>
    <cellStyle name="PSChar 5 3 2 2" xfId="5620"/>
    <cellStyle name="PSChar 5 3 3" xfId="5621"/>
    <cellStyle name="PSChar 5 4" xfId="5622"/>
    <cellStyle name="PSChar 5 4 2" xfId="5623"/>
    <cellStyle name="PSChar 5 4 2 2" xfId="5624"/>
    <cellStyle name="PSChar 5 4 3" xfId="5625"/>
    <cellStyle name="PSChar 5 5" xfId="5626"/>
    <cellStyle name="PSChar 5 5 2" xfId="5627"/>
    <cellStyle name="PSChar 5 5 2 2" xfId="5628"/>
    <cellStyle name="PSChar 5 5 3" xfId="5629"/>
    <cellStyle name="PSChar 5 6" xfId="5630"/>
    <cellStyle name="PSChar 5 6 2" xfId="5631"/>
    <cellStyle name="PSChar 5 6 2 2" xfId="5632"/>
    <cellStyle name="PSChar 5 6 3" xfId="5633"/>
    <cellStyle name="PSChar 5 7" xfId="5634"/>
    <cellStyle name="PSChar 5 7 2" xfId="5635"/>
    <cellStyle name="PSChar 5 7 2 2" xfId="5636"/>
    <cellStyle name="PSChar 5 7 3" xfId="5637"/>
    <cellStyle name="PSChar 5 8" xfId="5638"/>
    <cellStyle name="PSChar 5 8 2" xfId="5639"/>
    <cellStyle name="PSChar 5 8 2 2" xfId="5640"/>
    <cellStyle name="PSChar 5 8 3" xfId="5641"/>
    <cellStyle name="PSChar 5 9" xfId="5642"/>
    <cellStyle name="PSChar 5 9 2" xfId="5643"/>
    <cellStyle name="PSChar 5 9 2 2" xfId="5644"/>
    <cellStyle name="PSChar 5 9 3" xfId="5645"/>
    <cellStyle name="PSChar 6" xfId="3508"/>
    <cellStyle name="PSChar 6 10" xfId="5646"/>
    <cellStyle name="PSChar 6 10 2" xfId="5647"/>
    <cellStyle name="PSChar 6 11" xfId="5648"/>
    <cellStyle name="PSChar 6 2" xfId="5649"/>
    <cellStyle name="PSChar 6 2 2" xfId="5650"/>
    <cellStyle name="PSChar 6 2 2 2" xfId="5651"/>
    <cellStyle name="PSChar 6 2 3" xfId="5652"/>
    <cellStyle name="PSChar 6 3" xfId="5653"/>
    <cellStyle name="PSChar 6 3 2" xfId="5654"/>
    <cellStyle name="PSChar 6 3 2 2" xfId="5655"/>
    <cellStyle name="PSChar 6 3 3" xfId="5656"/>
    <cellStyle name="PSChar 6 4" xfId="5657"/>
    <cellStyle name="PSChar 6 4 2" xfId="5658"/>
    <cellStyle name="PSChar 6 4 2 2" xfId="5659"/>
    <cellStyle name="PSChar 6 4 3" xfId="5660"/>
    <cellStyle name="PSChar 6 5" xfId="5661"/>
    <cellStyle name="PSChar 6 5 2" xfId="5662"/>
    <cellStyle name="PSChar 6 5 2 2" xfId="5663"/>
    <cellStyle name="PSChar 6 5 3" xfId="5664"/>
    <cellStyle name="PSChar 6 6" xfId="5665"/>
    <cellStyle name="PSChar 6 6 2" xfId="5666"/>
    <cellStyle name="PSChar 6 6 2 2" xfId="5667"/>
    <cellStyle name="PSChar 6 6 3" xfId="5668"/>
    <cellStyle name="PSChar 6 7" xfId="5669"/>
    <cellStyle name="PSChar 6 7 2" xfId="5670"/>
    <cellStyle name="PSChar 6 7 2 2" xfId="5671"/>
    <cellStyle name="PSChar 6 7 3" xfId="5672"/>
    <cellStyle name="PSChar 6 8" xfId="5673"/>
    <cellStyle name="PSChar 6 8 2" xfId="5674"/>
    <cellStyle name="PSChar 6 8 2 2" xfId="5675"/>
    <cellStyle name="PSChar 6 8 3" xfId="5676"/>
    <cellStyle name="PSChar 6 9" xfId="5677"/>
    <cellStyle name="PSChar 6 9 2" xfId="5678"/>
    <cellStyle name="PSChar 6 9 2 2" xfId="5679"/>
    <cellStyle name="PSChar 6 9 3" xfId="5680"/>
    <cellStyle name="PSChar 7" xfId="3509"/>
    <cellStyle name="PSChar 7 2" xfId="5681"/>
    <cellStyle name="PSChar 7 2 2" xfId="5682"/>
    <cellStyle name="PSChar 7 2 2 2" xfId="5683"/>
    <cellStyle name="PSChar 7 2 3" xfId="5684"/>
    <cellStyle name="PSChar 7 3" xfId="5685"/>
    <cellStyle name="PSChar 7 3 2" xfId="5686"/>
    <cellStyle name="PSChar 7 3 2 2" xfId="5687"/>
    <cellStyle name="PSChar 7 3 3" xfId="5688"/>
    <cellStyle name="PSChar 7 4" xfId="5689"/>
    <cellStyle name="PSChar 7 4 2" xfId="5690"/>
    <cellStyle name="PSChar 7 4 2 2" xfId="5691"/>
    <cellStyle name="PSChar 7 4 3" xfId="5692"/>
    <cellStyle name="PSChar 7 5" xfId="5693"/>
    <cellStyle name="PSChar 7 5 2" xfId="5694"/>
    <cellStyle name="PSChar 7 5 2 2" xfId="5695"/>
    <cellStyle name="PSChar 7 5 3" xfId="5696"/>
    <cellStyle name="PSChar 7 6" xfId="5697"/>
    <cellStyle name="PSChar 7 6 2" xfId="5698"/>
    <cellStyle name="PSChar 7 7" xfId="5699"/>
    <cellStyle name="PSChar 8" xfId="3510"/>
    <cellStyle name="PSChar 8 2" xfId="5700"/>
    <cellStyle name="PSChar 8 2 2" xfId="5701"/>
    <cellStyle name="PSChar 8 2 2 2" xfId="5702"/>
    <cellStyle name="PSChar 8 2 3" xfId="5703"/>
    <cellStyle name="PSChar 8 3" xfId="5704"/>
    <cellStyle name="PSChar 8 3 2" xfId="5705"/>
    <cellStyle name="PSChar 8 3 2 2" xfId="5706"/>
    <cellStyle name="PSChar 8 3 3" xfId="5707"/>
    <cellStyle name="PSChar 8 4" xfId="5708"/>
    <cellStyle name="PSChar 8 4 2" xfId="5709"/>
    <cellStyle name="PSChar 8 4 2 2" xfId="5710"/>
    <cellStyle name="PSChar 8 4 3" xfId="5711"/>
    <cellStyle name="PSChar 8 5" xfId="5712"/>
    <cellStyle name="PSChar 8 5 2" xfId="5713"/>
    <cellStyle name="PSChar 8 5 2 2" xfId="5714"/>
    <cellStyle name="PSChar 8 5 3" xfId="5715"/>
    <cellStyle name="PSChar 8 6" xfId="5716"/>
    <cellStyle name="PSChar 8 6 2" xfId="5717"/>
    <cellStyle name="PSChar 8 7" xfId="5718"/>
    <cellStyle name="PSChar 9" xfId="3511"/>
    <cellStyle name="PSChar 9 2" xfId="5719"/>
    <cellStyle name="PSChar 9 2 2" xfId="5720"/>
    <cellStyle name="PSChar 9 2 2 2" xfId="5721"/>
    <cellStyle name="PSChar 9 2 3" xfId="5722"/>
    <cellStyle name="PSChar 9 3" xfId="5723"/>
    <cellStyle name="PSChar 9 3 2" xfId="5724"/>
    <cellStyle name="PSChar 9 3 2 2" xfId="5725"/>
    <cellStyle name="PSChar 9 3 3" xfId="5726"/>
    <cellStyle name="PSChar 9 4" xfId="5727"/>
    <cellStyle name="PSChar 9 4 2" xfId="5728"/>
    <cellStyle name="PSChar 9 4 2 2" xfId="5729"/>
    <cellStyle name="PSChar 9 4 3" xfId="5730"/>
    <cellStyle name="PSChar 9 5" xfId="5731"/>
    <cellStyle name="PSChar 9 5 2" xfId="5732"/>
    <cellStyle name="PSChar 9 5 2 2" xfId="5733"/>
    <cellStyle name="PSChar 9 5 3" xfId="5734"/>
    <cellStyle name="PSChar 9 6" xfId="5735"/>
    <cellStyle name="PSChar 9 6 2" xfId="5736"/>
    <cellStyle name="PSChar 9 7" xfId="5737"/>
    <cellStyle name="PSDate" xfId="55"/>
    <cellStyle name="PSDate 10" xfId="3512"/>
    <cellStyle name="PSDate 10 2" xfId="5738"/>
    <cellStyle name="PSDate 10 2 2" xfId="5739"/>
    <cellStyle name="PSDate 10 2 2 2" xfId="5740"/>
    <cellStyle name="PSDate 10 2 3" xfId="5741"/>
    <cellStyle name="PSDate 10 3" xfId="5742"/>
    <cellStyle name="PSDate 10 3 2" xfId="5743"/>
    <cellStyle name="PSDate 10 3 2 2" xfId="5744"/>
    <cellStyle name="PSDate 10 3 3" xfId="5745"/>
    <cellStyle name="PSDate 10 4" xfId="5746"/>
    <cellStyle name="PSDate 10 4 2" xfId="5747"/>
    <cellStyle name="PSDate 10 4 2 2" xfId="5748"/>
    <cellStyle name="PSDate 10 4 3" xfId="5749"/>
    <cellStyle name="PSDate 10 5" xfId="5750"/>
    <cellStyle name="PSDate 10 5 2" xfId="5751"/>
    <cellStyle name="PSDate 10 5 2 2" xfId="5752"/>
    <cellStyle name="PSDate 10 5 3" xfId="5753"/>
    <cellStyle name="PSDate 10 6" xfId="5754"/>
    <cellStyle name="PSDate 10 6 2" xfId="5755"/>
    <cellStyle name="PSDate 10 7" xfId="5756"/>
    <cellStyle name="PSDate 11" xfId="3513"/>
    <cellStyle name="PSDate 11 2" xfId="5757"/>
    <cellStyle name="PSDate 11 2 2" xfId="5758"/>
    <cellStyle name="PSDate 11 2 2 2" xfId="5759"/>
    <cellStyle name="PSDate 11 2 3" xfId="5760"/>
    <cellStyle name="PSDate 11 3" xfId="5761"/>
    <cellStyle name="PSDate 11 3 2" xfId="5762"/>
    <cellStyle name="PSDate 11 3 2 2" xfId="5763"/>
    <cellStyle name="PSDate 11 3 3" xfId="5764"/>
    <cellStyle name="PSDate 11 4" xfId="5765"/>
    <cellStyle name="PSDate 11 4 2" xfId="5766"/>
    <cellStyle name="PSDate 11 4 2 2" xfId="5767"/>
    <cellStyle name="PSDate 11 4 3" xfId="5768"/>
    <cellStyle name="PSDate 11 5" xfId="5769"/>
    <cellStyle name="PSDate 11 5 2" xfId="5770"/>
    <cellStyle name="PSDate 11 5 2 2" xfId="5771"/>
    <cellStyle name="PSDate 11 5 3" xfId="5772"/>
    <cellStyle name="PSDate 11 6" xfId="5773"/>
    <cellStyle name="PSDate 11 6 2" xfId="5774"/>
    <cellStyle name="PSDate 11 7" xfId="5775"/>
    <cellStyle name="PSDate 12" xfId="3514"/>
    <cellStyle name="PSDate 12 2" xfId="5776"/>
    <cellStyle name="PSDate 12 2 2" xfId="5777"/>
    <cellStyle name="PSDate 12 2 2 2" xfId="5778"/>
    <cellStyle name="PSDate 12 2 3" xfId="5779"/>
    <cellStyle name="PSDate 12 3" xfId="5780"/>
    <cellStyle name="PSDate 12 3 2" xfId="5781"/>
    <cellStyle name="PSDate 12 3 2 2" xfId="5782"/>
    <cellStyle name="PSDate 12 3 3" xfId="5783"/>
    <cellStyle name="PSDate 12 4" xfId="5784"/>
    <cellStyle name="PSDate 12 4 2" xfId="5785"/>
    <cellStyle name="PSDate 12 4 2 2" xfId="5786"/>
    <cellStyle name="PSDate 12 4 3" xfId="5787"/>
    <cellStyle name="PSDate 12 5" xfId="5788"/>
    <cellStyle name="PSDate 12 5 2" xfId="5789"/>
    <cellStyle name="PSDate 12 5 2 2" xfId="5790"/>
    <cellStyle name="PSDate 12 5 3" xfId="5791"/>
    <cellStyle name="PSDate 12 6" xfId="5792"/>
    <cellStyle name="PSDate 12 6 2" xfId="5793"/>
    <cellStyle name="PSDate 12 7" xfId="5794"/>
    <cellStyle name="PSDate 13" xfId="5795"/>
    <cellStyle name="PSDate 13 2" xfId="5796"/>
    <cellStyle name="PSDate 13 2 2" xfId="5797"/>
    <cellStyle name="PSDate 13 2 2 2" xfId="5798"/>
    <cellStyle name="PSDate 13 2 3" xfId="5799"/>
    <cellStyle name="PSDate 13 3" xfId="5800"/>
    <cellStyle name="PSDate 13 3 2" xfId="5801"/>
    <cellStyle name="PSDate 13 3 2 2" xfId="5802"/>
    <cellStyle name="PSDate 13 3 3" xfId="5803"/>
    <cellStyle name="PSDate 13 4" xfId="5804"/>
    <cellStyle name="PSDate 13 4 2" xfId="5805"/>
    <cellStyle name="PSDate 13 4 2 2" xfId="5806"/>
    <cellStyle name="PSDate 13 4 3" xfId="5807"/>
    <cellStyle name="PSDate 13 5" xfId="5808"/>
    <cellStyle name="PSDate 13 5 2" xfId="5809"/>
    <cellStyle name="PSDate 13 5 2 2" xfId="5810"/>
    <cellStyle name="PSDate 13 5 3" xfId="5811"/>
    <cellStyle name="PSDate 13 6" xfId="5812"/>
    <cellStyle name="PSDate 13 6 2" xfId="5813"/>
    <cellStyle name="PSDate 13 7" xfId="5814"/>
    <cellStyle name="PSDate 14" xfId="5815"/>
    <cellStyle name="PSDate 14 2" xfId="5816"/>
    <cellStyle name="PSDate 14 2 2" xfId="5817"/>
    <cellStyle name="PSDate 14 2 2 2" xfId="5818"/>
    <cellStyle name="PSDate 14 2 3" xfId="5819"/>
    <cellStyle name="PSDate 14 3" xfId="5820"/>
    <cellStyle name="PSDate 14 3 2" xfId="5821"/>
    <cellStyle name="PSDate 14 3 2 2" xfId="5822"/>
    <cellStyle name="PSDate 14 3 3" xfId="5823"/>
    <cellStyle name="PSDate 14 4" xfId="5824"/>
    <cellStyle name="PSDate 14 4 2" xfId="5825"/>
    <cellStyle name="PSDate 14 4 2 2" xfId="5826"/>
    <cellStyle name="PSDate 14 4 3" xfId="5827"/>
    <cellStyle name="PSDate 14 5" xfId="5828"/>
    <cellStyle name="PSDate 14 5 2" xfId="5829"/>
    <cellStyle name="PSDate 14 5 2 2" xfId="5830"/>
    <cellStyle name="PSDate 14 5 3" xfId="5831"/>
    <cellStyle name="PSDate 14 6" xfId="5832"/>
    <cellStyle name="PSDate 14 6 2" xfId="5833"/>
    <cellStyle name="PSDate 14 7" xfId="5834"/>
    <cellStyle name="PSDate 15" xfId="5835"/>
    <cellStyle name="PSDate 15 2" xfId="5836"/>
    <cellStyle name="PSDate 15 2 2" xfId="5837"/>
    <cellStyle name="PSDate 15 2 2 2" xfId="5838"/>
    <cellStyle name="PSDate 15 2 3" xfId="5839"/>
    <cellStyle name="PSDate 15 3" xfId="5840"/>
    <cellStyle name="PSDate 15 3 2" xfId="5841"/>
    <cellStyle name="PSDate 15 3 2 2" xfId="5842"/>
    <cellStyle name="PSDate 15 3 3" xfId="5843"/>
    <cellStyle name="PSDate 15 4" xfId="5844"/>
    <cellStyle name="PSDate 15 4 2" xfId="5845"/>
    <cellStyle name="PSDate 15 4 2 2" xfId="5846"/>
    <cellStyle name="PSDate 15 4 3" xfId="5847"/>
    <cellStyle name="PSDate 15 5" xfId="5848"/>
    <cellStyle name="PSDate 15 5 2" xfId="5849"/>
    <cellStyle name="PSDate 15 5 2 2" xfId="5850"/>
    <cellStyle name="PSDate 15 5 3" xfId="5851"/>
    <cellStyle name="PSDate 15 6" xfId="5852"/>
    <cellStyle name="PSDate 15 6 2" xfId="5853"/>
    <cellStyle name="PSDate 15 7" xfId="5854"/>
    <cellStyle name="PSDate 16" xfId="5855"/>
    <cellStyle name="PSDate 2" xfId="3515"/>
    <cellStyle name="PSDate 2 10" xfId="5856"/>
    <cellStyle name="PSDate 2 10 2" xfId="5857"/>
    <cellStyle name="PSDate 2 11" xfId="5858"/>
    <cellStyle name="PSDate 2 2" xfId="3516"/>
    <cellStyle name="PSDate 2 2 2" xfId="5859"/>
    <cellStyle name="PSDate 2 2 2 2" xfId="5860"/>
    <cellStyle name="PSDate 2 2 3" xfId="5861"/>
    <cellStyle name="PSDate 2 3" xfId="5862"/>
    <cellStyle name="PSDate 2 3 2" xfId="5863"/>
    <cellStyle name="PSDate 2 3 2 2" xfId="5864"/>
    <cellStyle name="PSDate 2 3 3" xfId="5865"/>
    <cellStyle name="PSDate 2 4" xfId="5866"/>
    <cellStyle name="PSDate 2 4 2" xfId="5867"/>
    <cellStyle name="PSDate 2 4 2 2" xfId="5868"/>
    <cellStyle name="PSDate 2 4 3" xfId="5869"/>
    <cellStyle name="PSDate 2 5" xfId="5870"/>
    <cellStyle name="PSDate 2 5 2" xfId="5871"/>
    <cellStyle name="PSDate 2 5 2 2" xfId="5872"/>
    <cellStyle name="PSDate 2 5 3" xfId="5873"/>
    <cellStyle name="PSDate 2 6" xfId="5874"/>
    <cellStyle name="PSDate 2 6 2" xfId="5875"/>
    <cellStyle name="PSDate 2 6 2 2" xfId="5876"/>
    <cellStyle name="PSDate 2 6 3" xfId="5877"/>
    <cellStyle name="PSDate 2 7" xfId="5878"/>
    <cellStyle name="PSDate 2 7 2" xfId="5879"/>
    <cellStyle name="PSDate 2 7 2 2" xfId="5880"/>
    <cellStyle name="PSDate 2 7 3" xfId="5881"/>
    <cellStyle name="PSDate 2 8" xfId="5882"/>
    <cellStyle name="PSDate 2 8 2" xfId="5883"/>
    <cellStyle name="PSDate 2 8 2 2" xfId="5884"/>
    <cellStyle name="PSDate 2 8 3" xfId="5885"/>
    <cellStyle name="PSDate 2 9" xfId="5886"/>
    <cellStyle name="PSDate 2 9 2" xfId="5887"/>
    <cellStyle name="PSDate 2 9 2 2" xfId="5888"/>
    <cellStyle name="PSDate 2 9 3" xfId="5889"/>
    <cellStyle name="PSDate 3" xfId="3517"/>
    <cellStyle name="PSDate 3 10" xfId="5890"/>
    <cellStyle name="PSDate 3 10 2" xfId="5891"/>
    <cellStyle name="PSDate 3 11" xfId="5892"/>
    <cellStyle name="PSDate 3 2" xfId="5893"/>
    <cellStyle name="PSDate 3 2 2" xfId="5894"/>
    <cellStyle name="PSDate 3 2 2 2" xfId="5895"/>
    <cellStyle name="PSDate 3 2 3" xfId="5896"/>
    <cellStyle name="PSDate 3 3" xfId="5897"/>
    <cellStyle name="PSDate 3 3 2" xfId="5898"/>
    <cellStyle name="PSDate 3 3 2 2" xfId="5899"/>
    <cellStyle name="PSDate 3 3 3" xfId="5900"/>
    <cellStyle name="PSDate 3 4" xfId="5901"/>
    <cellStyle name="PSDate 3 4 2" xfId="5902"/>
    <cellStyle name="PSDate 3 4 2 2" xfId="5903"/>
    <cellStyle name="PSDate 3 4 3" xfId="5904"/>
    <cellStyle name="PSDate 3 5" xfId="5905"/>
    <cellStyle name="PSDate 3 5 2" xfId="5906"/>
    <cellStyle name="PSDate 3 5 2 2" xfId="5907"/>
    <cellStyle name="PSDate 3 5 3" xfId="5908"/>
    <cellStyle name="PSDate 3 6" xfId="5909"/>
    <cellStyle name="PSDate 3 6 2" xfId="5910"/>
    <cellStyle name="PSDate 3 6 2 2" xfId="5911"/>
    <cellStyle name="PSDate 3 6 3" xfId="5912"/>
    <cellStyle name="PSDate 3 7" xfId="5913"/>
    <cellStyle name="PSDate 3 7 2" xfId="5914"/>
    <cellStyle name="PSDate 3 7 2 2" xfId="5915"/>
    <cellStyle name="PSDate 3 7 3" xfId="5916"/>
    <cellStyle name="PSDate 3 8" xfId="5917"/>
    <cellStyle name="PSDate 3 8 2" xfId="5918"/>
    <cellStyle name="PSDate 3 8 2 2" xfId="5919"/>
    <cellStyle name="PSDate 3 8 3" xfId="5920"/>
    <cellStyle name="PSDate 3 9" xfId="5921"/>
    <cellStyle name="PSDate 3 9 2" xfId="5922"/>
    <cellStyle name="PSDate 3 9 2 2" xfId="5923"/>
    <cellStyle name="PSDate 3 9 3" xfId="5924"/>
    <cellStyle name="PSDate 4" xfId="3518"/>
    <cellStyle name="PSDate 4 10" xfId="5925"/>
    <cellStyle name="PSDate 4 10 2" xfId="5926"/>
    <cellStyle name="PSDate 4 11" xfId="5927"/>
    <cellStyle name="PSDate 4 2" xfId="5928"/>
    <cellStyle name="PSDate 4 2 2" xfId="5929"/>
    <cellStyle name="PSDate 4 2 2 2" xfId="5930"/>
    <cellStyle name="PSDate 4 2 3" xfId="5931"/>
    <cellStyle name="PSDate 4 3" xfId="5932"/>
    <cellStyle name="PSDate 4 3 2" xfId="5933"/>
    <cellStyle name="PSDate 4 3 2 2" xfId="5934"/>
    <cellStyle name="PSDate 4 3 3" xfId="5935"/>
    <cellStyle name="PSDate 4 4" xfId="5936"/>
    <cellStyle name="PSDate 4 4 2" xfId="5937"/>
    <cellStyle name="PSDate 4 4 2 2" xfId="5938"/>
    <cellStyle name="PSDate 4 4 3" xfId="5939"/>
    <cellStyle name="PSDate 4 5" xfId="5940"/>
    <cellStyle name="PSDate 4 5 2" xfId="5941"/>
    <cellStyle name="PSDate 4 5 2 2" xfId="5942"/>
    <cellStyle name="PSDate 4 5 3" xfId="5943"/>
    <cellStyle name="PSDate 4 6" xfId="5944"/>
    <cellStyle name="PSDate 4 6 2" xfId="5945"/>
    <cellStyle name="PSDate 4 6 2 2" xfId="5946"/>
    <cellStyle name="PSDate 4 6 3" xfId="5947"/>
    <cellStyle name="PSDate 4 7" xfId="5948"/>
    <cellStyle name="PSDate 4 7 2" xfId="5949"/>
    <cellStyle name="PSDate 4 7 2 2" xfId="5950"/>
    <cellStyle name="PSDate 4 7 3" xfId="5951"/>
    <cellStyle name="PSDate 4 8" xfId="5952"/>
    <cellStyle name="PSDate 4 8 2" xfId="5953"/>
    <cellStyle name="PSDate 4 8 2 2" xfId="5954"/>
    <cellStyle name="PSDate 4 8 3" xfId="5955"/>
    <cellStyle name="PSDate 4 9" xfId="5956"/>
    <cellStyle name="PSDate 4 9 2" xfId="5957"/>
    <cellStyle name="PSDate 4 9 2 2" xfId="5958"/>
    <cellStyle name="PSDate 4 9 3" xfId="5959"/>
    <cellStyle name="PSDate 5" xfId="3519"/>
    <cellStyle name="PSDate 5 10" xfId="5960"/>
    <cellStyle name="PSDate 5 10 2" xfId="5961"/>
    <cellStyle name="PSDate 5 11" xfId="5962"/>
    <cellStyle name="PSDate 5 2" xfId="5963"/>
    <cellStyle name="PSDate 5 2 2" xfId="5964"/>
    <cellStyle name="PSDate 5 2 2 2" xfId="5965"/>
    <cellStyle name="PSDate 5 2 3" xfId="5966"/>
    <cellStyle name="PSDate 5 3" xfId="5967"/>
    <cellStyle name="PSDate 5 3 2" xfId="5968"/>
    <cellStyle name="PSDate 5 3 2 2" xfId="5969"/>
    <cellStyle name="PSDate 5 3 3" xfId="5970"/>
    <cellStyle name="PSDate 5 4" xfId="5971"/>
    <cellStyle name="PSDate 5 4 2" xfId="5972"/>
    <cellStyle name="PSDate 5 4 2 2" xfId="5973"/>
    <cellStyle name="PSDate 5 4 3" xfId="5974"/>
    <cellStyle name="PSDate 5 5" xfId="5975"/>
    <cellStyle name="PSDate 5 5 2" xfId="5976"/>
    <cellStyle name="PSDate 5 5 2 2" xfId="5977"/>
    <cellStyle name="PSDate 5 5 3" xfId="5978"/>
    <cellStyle name="PSDate 5 6" xfId="5979"/>
    <cellStyle name="PSDate 5 6 2" xfId="5980"/>
    <cellStyle name="PSDate 5 6 2 2" xfId="5981"/>
    <cellStyle name="PSDate 5 6 3" xfId="5982"/>
    <cellStyle name="PSDate 5 7" xfId="5983"/>
    <cellStyle name="PSDate 5 7 2" xfId="5984"/>
    <cellStyle name="PSDate 5 7 2 2" xfId="5985"/>
    <cellStyle name="PSDate 5 7 3" xfId="5986"/>
    <cellStyle name="PSDate 5 8" xfId="5987"/>
    <cellStyle name="PSDate 5 8 2" xfId="5988"/>
    <cellStyle name="PSDate 5 8 2 2" xfId="5989"/>
    <cellStyle name="PSDate 5 8 3" xfId="5990"/>
    <cellStyle name="PSDate 5 9" xfId="5991"/>
    <cellStyle name="PSDate 5 9 2" xfId="5992"/>
    <cellStyle name="PSDate 5 9 2 2" xfId="5993"/>
    <cellStyle name="PSDate 5 9 3" xfId="5994"/>
    <cellStyle name="PSDate 6" xfId="3520"/>
    <cellStyle name="PSDate 6 10" xfId="5995"/>
    <cellStyle name="PSDate 6 10 2" xfId="5996"/>
    <cellStyle name="PSDate 6 11" xfId="5997"/>
    <cellStyle name="PSDate 6 2" xfId="5998"/>
    <cellStyle name="PSDate 6 2 2" xfId="5999"/>
    <cellStyle name="PSDate 6 2 2 2" xfId="6000"/>
    <cellStyle name="PSDate 6 2 3" xfId="6001"/>
    <cellStyle name="PSDate 6 3" xfId="6002"/>
    <cellStyle name="PSDate 6 3 2" xfId="6003"/>
    <cellStyle name="PSDate 6 3 2 2" xfId="6004"/>
    <cellStyle name="PSDate 6 3 3" xfId="6005"/>
    <cellStyle name="PSDate 6 4" xfId="6006"/>
    <cellStyle name="PSDate 6 4 2" xfId="6007"/>
    <cellStyle name="PSDate 6 4 2 2" xfId="6008"/>
    <cellStyle name="PSDate 6 4 3" xfId="6009"/>
    <cellStyle name="PSDate 6 5" xfId="6010"/>
    <cellStyle name="PSDate 6 5 2" xfId="6011"/>
    <cellStyle name="PSDate 6 5 2 2" xfId="6012"/>
    <cellStyle name="PSDate 6 5 3" xfId="6013"/>
    <cellStyle name="PSDate 6 6" xfId="6014"/>
    <cellStyle name="PSDate 6 6 2" xfId="6015"/>
    <cellStyle name="PSDate 6 6 2 2" xfId="6016"/>
    <cellStyle name="PSDate 6 6 3" xfId="6017"/>
    <cellStyle name="PSDate 6 7" xfId="6018"/>
    <cellStyle name="PSDate 6 7 2" xfId="6019"/>
    <cellStyle name="PSDate 6 7 2 2" xfId="6020"/>
    <cellStyle name="PSDate 6 7 3" xfId="6021"/>
    <cellStyle name="PSDate 6 8" xfId="6022"/>
    <cellStyle name="PSDate 6 8 2" xfId="6023"/>
    <cellStyle name="PSDate 6 8 2 2" xfId="6024"/>
    <cellStyle name="PSDate 6 8 3" xfId="6025"/>
    <cellStyle name="PSDate 6 9" xfId="6026"/>
    <cellStyle name="PSDate 6 9 2" xfId="6027"/>
    <cellStyle name="PSDate 6 9 2 2" xfId="6028"/>
    <cellStyle name="PSDate 6 9 3" xfId="6029"/>
    <cellStyle name="PSDate 7" xfId="3521"/>
    <cellStyle name="PSDate 7 2" xfId="6030"/>
    <cellStyle name="PSDate 7 2 2" xfId="6031"/>
    <cellStyle name="PSDate 7 2 2 2" xfId="6032"/>
    <cellStyle name="PSDate 7 2 3" xfId="6033"/>
    <cellStyle name="PSDate 7 3" xfId="6034"/>
    <cellStyle name="PSDate 7 3 2" xfId="6035"/>
    <cellStyle name="PSDate 7 3 2 2" xfId="6036"/>
    <cellStyle name="PSDate 7 3 3" xfId="6037"/>
    <cellStyle name="PSDate 7 4" xfId="6038"/>
    <cellStyle name="PSDate 7 4 2" xfId="6039"/>
    <cellStyle name="PSDate 7 4 2 2" xfId="6040"/>
    <cellStyle name="PSDate 7 4 3" xfId="6041"/>
    <cellStyle name="PSDate 7 5" xfId="6042"/>
    <cellStyle name="PSDate 7 5 2" xfId="6043"/>
    <cellStyle name="PSDate 7 5 2 2" xfId="6044"/>
    <cellStyle name="PSDate 7 5 3" xfId="6045"/>
    <cellStyle name="PSDate 7 6" xfId="6046"/>
    <cellStyle name="PSDate 7 6 2" xfId="6047"/>
    <cellStyle name="PSDate 7 7" xfId="6048"/>
    <cellStyle name="PSDate 8" xfId="3522"/>
    <cellStyle name="PSDate 8 2" xfId="6049"/>
    <cellStyle name="PSDate 8 2 2" xfId="6050"/>
    <cellStyle name="PSDate 8 2 2 2" xfId="6051"/>
    <cellStyle name="PSDate 8 2 3" xfId="6052"/>
    <cellStyle name="PSDate 8 3" xfId="6053"/>
    <cellStyle name="PSDate 8 3 2" xfId="6054"/>
    <cellStyle name="PSDate 8 3 2 2" xfId="6055"/>
    <cellStyle name="PSDate 8 3 3" xfId="6056"/>
    <cellStyle name="PSDate 8 4" xfId="6057"/>
    <cellStyle name="PSDate 8 4 2" xfId="6058"/>
    <cellStyle name="PSDate 8 4 2 2" xfId="6059"/>
    <cellStyle name="PSDate 8 4 3" xfId="6060"/>
    <cellStyle name="PSDate 8 5" xfId="6061"/>
    <cellStyle name="PSDate 8 5 2" xfId="6062"/>
    <cellStyle name="PSDate 8 5 2 2" xfId="6063"/>
    <cellStyle name="PSDate 8 5 3" xfId="6064"/>
    <cellStyle name="PSDate 8 6" xfId="6065"/>
    <cellStyle name="PSDate 8 6 2" xfId="6066"/>
    <cellStyle name="PSDate 8 7" xfId="6067"/>
    <cellStyle name="PSDate 9" xfId="3523"/>
    <cellStyle name="PSDate 9 2" xfId="6068"/>
    <cellStyle name="PSDate 9 2 2" xfId="6069"/>
    <cellStyle name="PSDate 9 2 2 2" xfId="6070"/>
    <cellStyle name="PSDate 9 2 3" xfId="6071"/>
    <cellStyle name="PSDate 9 3" xfId="6072"/>
    <cellStyle name="PSDate 9 3 2" xfId="6073"/>
    <cellStyle name="PSDate 9 3 2 2" xfId="6074"/>
    <cellStyle name="PSDate 9 3 3" xfId="6075"/>
    <cellStyle name="PSDate 9 4" xfId="6076"/>
    <cellStyle name="PSDate 9 4 2" xfId="6077"/>
    <cellStyle name="PSDate 9 4 2 2" xfId="6078"/>
    <cellStyle name="PSDate 9 4 3" xfId="6079"/>
    <cellStyle name="PSDate 9 5" xfId="6080"/>
    <cellStyle name="PSDate 9 5 2" xfId="6081"/>
    <cellStyle name="PSDate 9 5 2 2" xfId="6082"/>
    <cellStyle name="PSDate 9 5 3" xfId="6083"/>
    <cellStyle name="PSDate 9 6" xfId="6084"/>
    <cellStyle name="PSDate 9 6 2" xfId="6085"/>
    <cellStyle name="PSDate 9 7" xfId="6086"/>
    <cellStyle name="PSDec" xfId="56"/>
    <cellStyle name="PSDec 10" xfId="3524"/>
    <cellStyle name="PSDec 10 2" xfId="6087"/>
    <cellStyle name="PSDec 10 2 2" xfId="6088"/>
    <cellStyle name="PSDec 10 2 2 2" xfId="6089"/>
    <cellStyle name="PSDec 10 2 3" xfId="6090"/>
    <cellStyle name="PSDec 10 3" xfId="6091"/>
    <cellStyle name="PSDec 10 3 2" xfId="6092"/>
    <cellStyle name="PSDec 10 3 2 2" xfId="6093"/>
    <cellStyle name="PSDec 10 3 3" xfId="6094"/>
    <cellStyle name="PSDec 10 4" xfId="6095"/>
    <cellStyle name="PSDec 10 4 2" xfId="6096"/>
    <cellStyle name="PSDec 10 4 2 2" xfId="6097"/>
    <cellStyle name="PSDec 10 4 3" xfId="6098"/>
    <cellStyle name="PSDec 10 5" xfId="6099"/>
    <cellStyle name="PSDec 10 5 2" xfId="6100"/>
    <cellStyle name="PSDec 10 5 2 2" xfId="6101"/>
    <cellStyle name="PSDec 10 5 3" xfId="6102"/>
    <cellStyle name="PSDec 10 6" xfId="6103"/>
    <cellStyle name="PSDec 10 6 2" xfId="6104"/>
    <cellStyle name="PSDec 10 7" xfId="6105"/>
    <cellStyle name="PSDec 11" xfId="3525"/>
    <cellStyle name="PSDec 11 2" xfId="6106"/>
    <cellStyle name="PSDec 11 2 2" xfId="6107"/>
    <cellStyle name="PSDec 11 2 2 2" xfId="6108"/>
    <cellStyle name="PSDec 11 2 3" xfId="6109"/>
    <cellStyle name="PSDec 11 3" xfId="6110"/>
    <cellStyle name="PSDec 11 3 2" xfId="6111"/>
    <cellStyle name="PSDec 11 3 2 2" xfId="6112"/>
    <cellStyle name="PSDec 11 3 3" xfId="6113"/>
    <cellStyle name="PSDec 11 4" xfId="6114"/>
    <cellStyle name="PSDec 11 4 2" xfId="6115"/>
    <cellStyle name="PSDec 11 4 2 2" xfId="6116"/>
    <cellStyle name="PSDec 11 4 3" xfId="6117"/>
    <cellStyle name="PSDec 11 5" xfId="6118"/>
    <cellStyle name="PSDec 11 5 2" xfId="6119"/>
    <cellStyle name="PSDec 11 5 2 2" xfId="6120"/>
    <cellStyle name="PSDec 11 5 3" xfId="6121"/>
    <cellStyle name="PSDec 11 6" xfId="6122"/>
    <cellStyle name="PSDec 11 6 2" xfId="6123"/>
    <cellStyle name="PSDec 11 7" xfId="6124"/>
    <cellStyle name="PSDec 12" xfId="3526"/>
    <cellStyle name="PSDec 12 2" xfId="6125"/>
    <cellStyle name="PSDec 12 2 2" xfId="6126"/>
    <cellStyle name="PSDec 12 2 2 2" xfId="6127"/>
    <cellStyle name="PSDec 12 2 3" xfId="6128"/>
    <cellStyle name="PSDec 12 3" xfId="6129"/>
    <cellStyle name="PSDec 12 3 2" xfId="6130"/>
    <cellStyle name="PSDec 12 3 2 2" xfId="6131"/>
    <cellStyle name="PSDec 12 3 3" xfId="6132"/>
    <cellStyle name="PSDec 12 4" xfId="6133"/>
    <cellStyle name="PSDec 12 4 2" xfId="6134"/>
    <cellStyle name="PSDec 12 4 2 2" xfId="6135"/>
    <cellStyle name="PSDec 12 4 3" xfId="6136"/>
    <cellStyle name="PSDec 12 5" xfId="6137"/>
    <cellStyle name="PSDec 12 5 2" xfId="6138"/>
    <cellStyle name="PSDec 12 5 2 2" xfId="6139"/>
    <cellStyle name="PSDec 12 5 3" xfId="6140"/>
    <cellStyle name="PSDec 12 6" xfId="6141"/>
    <cellStyle name="PSDec 12 6 2" xfId="6142"/>
    <cellStyle name="PSDec 12 7" xfId="6143"/>
    <cellStyle name="PSDec 13" xfId="6144"/>
    <cellStyle name="PSDec 13 2" xfId="6145"/>
    <cellStyle name="PSDec 13 2 2" xfId="6146"/>
    <cellStyle name="PSDec 13 2 2 2" xfId="6147"/>
    <cellStyle name="PSDec 13 2 3" xfId="6148"/>
    <cellStyle name="PSDec 13 3" xfId="6149"/>
    <cellStyle name="PSDec 13 3 2" xfId="6150"/>
    <cellStyle name="PSDec 13 3 2 2" xfId="6151"/>
    <cellStyle name="PSDec 13 3 3" xfId="6152"/>
    <cellStyle name="PSDec 13 4" xfId="6153"/>
    <cellStyle name="PSDec 13 4 2" xfId="6154"/>
    <cellStyle name="PSDec 13 4 2 2" xfId="6155"/>
    <cellStyle name="PSDec 13 4 3" xfId="6156"/>
    <cellStyle name="PSDec 13 5" xfId="6157"/>
    <cellStyle name="PSDec 13 5 2" xfId="6158"/>
    <cellStyle name="PSDec 13 5 2 2" xfId="6159"/>
    <cellStyle name="PSDec 13 5 3" xfId="6160"/>
    <cellStyle name="PSDec 13 6" xfId="6161"/>
    <cellStyle name="PSDec 13 6 2" xfId="6162"/>
    <cellStyle name="PSDec 13 7" xfId="6163"/>
    <cellStyle name="PSDec 14" xfId="6164"/>
    <cellStyle name="PSDec 14 2" xfId="6165"/>
    <cellStyle name="PSDec 14 2 2" xfId="6166"/>
    <cellStyle name="PSDec 14 2 2 2" xfId="6167"/>
    <cellStyle name="PSDec 14 2 3" xfId="6168"/>
    <cellStyle name="PSDec 14 3" xfId="6169"/>
    <cellStyle name="PSDec 14 3 2" xfId="6170"/>
    <cellStyle name="PSDec 14 3 2 2" xfId="6171"/>
    <cellStyle name="PSDec 14 3 3" xfId="6172"/>
    <cellStyle name="PSDec 14 4" xfId="6173"/>
    <cellStyle name="PSDec 14 4 2" xfId="6174"/>
    <cellStyle name="PSDec 14 4 2 2" xfId="6175"/>
    <cellStyle name="PSDec 14 4 3" xfId="6176"/>
    <cellStyle name="PSDec 14 5" xfId="6177"/>
    <cellStyle name="PSDec 14 5 2" xfId="6178"/>
    <cellStyle name="PSDec 14 5 2 2" xfId="6179"/>
    <cellStyle name="PSDec 14 5 3" xfId="6180"/>
    <cellStyle name="PSDec 14 6" xfId="6181"/>
    <cellStyle name="PSDec 14 6 2" xfId="6182"/>
    <cellStyle name="PSDec 14 7" xfId="6183"/>
    <cellStyle name="PSDec 15" xfId="6184"/>
    <cellStyle name="PSDec 15 2" xfId="6185"/>
    <cellStyle name="PSDec 15 2 2" xfId="6186"/>
    <cellStyle name="PSDec 15 2 2 2" xfId="6187"/>
    <cellStyle name="PSDec 15 2 3" xfId="6188"/>
    <cellStyle name="PSDec 15 3" xfId="6189"/>
    <cellStyle name="PSDec 15 3 2" xfId="6190"/>
    <cellStyle name="PSDec 15 3 2 2" xfId="6191"/>
    <cellStyle name="PSDec 15 3 3" xfId="6192"/>
    <cellStyle name="PSDec 15 4" xfId="6193"/>
    <cellStyle name="PSDec 15 4 2" xfId="6194"/>
    <cellStyle name="PSDec 15 4 2 2" xfId="6195"/>
    <cellStyle name="PSDec 15 4 3" xfId="6196"/>
    <cellStyle name="PSDec 15 5" xfId="6197"/>
    <cellStyle name="PSDec 15 5 2" xfId="6198"/>
    <cellStyle name="PSDec 15 5 2 2" xfId="6199"/>
    <cellStyle name="PSDec 15 5 3" xfId="6200"/>
    <cellStyle name="PSDec 15 6" xfId="6201"/>
    <cellStyle name="PSDec 15 6 2" xfId="6202"/>
    <cellStyle name="PSDec 15 7" xfId="6203"/>
    <cellStyle name="PSDec 16" xfId="6204"/>
    <cellStyle name="PSDec 2" xfId="3527"/>
    <cellStyle name="PSDec 2 10" xfId="6205"/>
    <cellStyle name="PSDec 2 10 2" xfId="6206"/>
    <cellStyle name="PSDec 2 11" xfId="6207"/>
    <cellStyle name="PSDec 2 2" xfId="3528"/>
    <cellStyle name="PSDec 2 2 2" xfId="6208"/>
    <cellStyle name="PSDec 2 2 2 2" xfId="6209"/>
    <cellStyle name="PSDec 2 2 3" xfId="6210"/>
    <cellStyle name="PSDec 2 3" xfId="6211"/>
    <cellStyle name="PSDec 2 3 2" xfId="6212"/>
    <cellStyle name="PSDec 2 3 2 2" xfId="6213"/>
    <cellStyle name="PSDec 2 3 3" xfId="6214"/>
    <cellStyle name="PSDec 2 4" xfId="6215"/>
    <cellStyle name="PSDec 2 4 2" xfId="6216"/>
    <cellStyle name="PSDec 2 4 2 2" xfId="6217"/>
    <cellStyle name="PSDec 2 4 3" xfId="6218"/>
    <cellStyle name="PSDec 2 5" xfId="6219"/>
    <cellStyle name="PSDec 2 5 2" xfId="6220"/>
    <cellStyle name="PSDec 2 5 2 2" xfId="6221"/>
    <cellStyle name="PSDec 2 5 3" xfId="6222"/>
    <cellStyle name="PSDec 2 6" xfId="6223"/>
    <cellStyle name="PSDec 2 6 2" xfId="6224"/>
    <cellStyle name="PSDec 2 6 2 2" xfId="6225"/>
    <cellStyle name="PSDec 2 6 3" xfId="6226"/>
    <cellStyle name="PSDec 2 7" xfId="6227"/>
    <cellStyle name="PSDec 2 7 2" xfId="6228"/>
    <cellStyle name="PSDec 2 7 2 2" xfId="6229"/>
    <cellStyle name="PSDec 2 7 3" xfId="6230"/>
    <cellStyle name="PSDec 2 8" xfId="6231"/>
    <cellStyle name="PSDec 2 8 2" xfId="6232"/>
    <cellStyle name="PSDec 2 8 2 2" xfId="6233"/>
    <cellStyle name="PSDec 2 8 3" xfId="6234"/>
    <cellStyle name="PSDec 2 9" xfId="6235"/>
    <cellStyle name="PSDec 2 9 2" xfId="6236"/>
    <cellStyle name="PSDec 2 9 2 2" xfId="6237"/>
    <cellStyle name="PSDec 2 9 3" xfId="6238"/>
    <cellStyle name="PSDec 3" xfId="3529"/>
    <cellStyle name="PSDec 3 10" xfId="6239"/>
    <cellStyle name="PSDec 3 10 2" xfId="6240"/>
    <cellStyle name="PSDec 3 11" xfId="6241"/>
    <cellStyle name="PSDec 3 2" xfId="6242"/>
    <cellStyle name="PSDec 3 2 2" xfId="6243"/>
    <cellStyle name="PSDec 3 2 2 2" xfId="6244"/>
    <cellStyle name="PSDec 3 2 3" xfId="6245"/>
    <cellStyle name="PSDec 3 3" xfId="6246"/>
    <cellStyle name="PSDec 3 3 2" xfId="6247"/>
    <cellStyle name="PSDec 3 3 2 2" xfId="6248"/>
    <cellStyle name="PSDec 3 3 3" xfId="6249"/>
    <cellStyle name="PSDec 3 4" xfId="6250"/>
    <cellStyle name="PSDec 3 4 2" xfId="6251"/>
    <cellStyle name="PSDec 3 4 2 2" xfId="6252"/>
    <cellStyle name="PSDec 3 4 3" xfId="6253"/>
    <cellStyle name="PSDec 3 5" xfId="6254"/>
    <cellStyle name="PSDec 3 5 2" xfId="6255"/>
    <cellStyle name="PSDec 3 5 2 2" xfId="6256"/>
    <cellStyle name="PSDec 3 5 3" xfId="6257"/>
    <cellStyle name="PSDec 3 6" xfId="6258"/>
    <cellStyle name="PSDec 3 6 2" xfId="6259"/>
    <cellStyle name="PSDec 3 6 2 2" xfId="6260"/>
    <cellStyle name="PSDec 3 6 3" xfId="6261"/>
    <cellStyle name="PSDec 3 7" xfId="6262"/>
    <cellStyle name="PSDec 3 7 2" xfId="6263"/>
    <cellStyle name="PSDec 3 7 2 2" xfId="6264"/>
    <cellStyle name="PSDec 3 7 3" xfId="6265"/>
    <cellStyle name="PSDec 3 8" xfId="6266"/>
    <cellStyle name="PSDec 3 8 2" xfId="6267"/>
    <cellStyle name="PSDec 3 8 2 2" xfId="6268"/>
    <cellStyle name="PSDec 3 8 3" xfId="6269"/>
    <cellStyle name="PSDec 3 9" xfId="6270"/>
    <cellStyle name="PSDec 3 9 2" xfId="6271"/>
    <cellStyle name="PSDec 3 9 2 2" xfId="6272"/>
    <cellStyle name="PSDec 3 9 3" xfId="6273"/>
    <cellStyle name="PSDec 4" xfId="3530"/>
    <cellStyle name="PSDec 4 10" xfId="6274"/>
    <cellStyle name="PSDec 4 10 2" xfId="6275"/>
    <cellStyle name="PSDec 4 11" xfId="6276"/>
    <cellStyle name="PSDec 4 2" xfId="6277"/>
    <cellStyle name="PSDec 4 2 2" xfId="6278"/>
    <cellStyle name="PSDec 4 2 2 2" xfId="6279"/>
    <cellStyle name="PSDec 4 2 3" xfId="6280"/>
    <cellStyle name="PSDec 4 3" xfId="6281"/>
    <cellStyle name="PSDec 4 3 2" xfId="6282"/>
    <cellStyle name="PSDec 4 3 2 2" xfId="6283"/>
    <cellStyle name="PSDec 4 3 3" xfId="6284"/>
    <cellStyle name="PSDec 4 4" xfId="6285"/>
    <cellStyle name="PSDec 4 4 2" xfId="6286"/>
    <cellStyle name="PSDec 4 4 2 2" xfId="6287"/>
    <cellStyle name="PSDec 4 4 3" xfId="6288"/>
    <cellStyle name="PSDec 4 5" xfId="6289"/>
    <cellStyle name="PSDec 4 5 2" xfId="6290"/>
    <cellStyle name="PSDec 4 5 2 2" xfId="6291"/>
    <cellStyle name="PSDec 4 5 3" xfId="6292"/>
    <cellStyle name="PSDec 4 6" xfId="6293"/>
    <cellStyle name="PSDec 4 6 2" xfId="6294"/>
    <cellStyle name="PSDec 4 6 2 2" xfId="6295"/>
    <cellStyle name="PSDec 4 6 3" xfId="6296"/>
    <cellStyle name="PSDec 4 7" xfId="6297"/>
    <cellStyle name="PSDec 4 7 2" xfId="6298"/>
    <cellStyle name="PSDec 4 7 2 2" xfId="6299"/>
    <cellStyle name="PSDec 4 7 3" xfId="6300"/>
    <cellStyle name="PSDec 4 8" xfId="6301"/>
    <cellStyle name="PSDec 4 8 2" xfId="6302"/>
    <cellStyle name="PSDec 4 8 2 2" xfId="6303"/>
    <cellStyle name="PSDec 4 8 3" xfId="6304"/>
    <cellStyle name="PSDec 4 9" xfId="6305"/>
    <cellStyle name="PSDec 4 9 2" xfId="6306"/>
    <cellStyle name="PSDec 4 9 2 2" xfId="6307"/>
    <cellStyle name="PSDec 4 9 3" xfId="6308"/>
    <cellStyle name="PSDec 5" xfId="3531"/>
    <cellStyle name="PSDec 5 10" xfId="6309"/>
    <cellStyle name="PSDec 5 10 2" xfId="6310"/>
    <cellStyle name="PSDec 5 11" xfId="6311"/>
    <cellStyle name="PSDec 5 2" xfId="6312"/>
    <cellStyle name="PSDec 5 2 2" xfId="6313"/>
    <cellStyle name="PSDec 5 2 2 2" xfId="6314"/>
    <cellStyle name="PSDec 5 2 3" xfId="6315"/>
    <cellStyle name="PSDec 5 3" xfId="6316"/>
    <cellStyle name="PSDec 5 3 2" xfId="6317"/>
    <cellStyle name="PSDec 5 3 2 2" xfId="6318"/>
    <cellStyle name="PSDec 5 3 3" xfId="6319"/>
    <cellStyle name="PSDec 5 4" xfId="6320"/>
    <cellStyle name="PSDec 5 4 2" xfId="6321"/>
    <cellStyle name="PSDec 5 4 2 2" xfId="6322"/>
    <cellStyle name="PSDec 5 4 3" xfId="6323"/>
    <cellStyle name="PSDec 5 5" xfId="6324"/>
    <cellStyle name="PSDec 5 5 2" xfId="6325"/>
    <cellStyle name="PSDec 5 5 2 2" xfId="6326"/>
    <cellStyle name="PSDec 5 5 3" xfId="6327"/>
    <cellStyle name="PSDec 5 6" xfId="6328"/>
    <cellStyle name="PSDec 5 6 2" xfId="6329"/>
    <cellStyle name="PSDec 5 6 2 2" xfId="6330"/>
    <cellStyle name="PSDec 5 6 3" xfId="6331"/>
    <cellStyle name="PSDec 5 7" xfId="6332"/>
    <cellStyle name="PSDec 5 7 2" xfId="6333"/>
    <cellStyle name="PSDec 5 7 2 2" xfId="6334"/>
    <cellStyle name="PSDec 5 7 3" xfId="6335"/>
    <cellStyle name="PSDec 5 8" xfId="6336"/>
    <cellStyle name="PSDec 5 8 2" xfId="6337"/>
    <cellStyle name="PSDec 5 8 2 2" xfId="6338"/>
    <cellStyle name="PSDec 5 8 3" xfId="6339"/>
    <cellStyle name="PSDec 5 9" xfId="6340"/>
    <cellStyle name="PSDec 5 9 2" xfId="6341"/>
    <cellStyle name="PSDec 5 9 2 2" xfId="6342"/>
    <cellStyle name="PSDec 5 9 3" xfId="6343"/>
    <cellStyle name="PSDec 6" xfId="3532"/>
    <cellStyle name="PSDec 6 10" xfId="6344"/>
    <cellStyle name="PSDec 6 10 2" xfId="6345"/>
    <cellStyle name="PSDec 6 11" xfId="6346"/>
    <cellStyle name="PSDec 6 2" xfId="6347"/>
    <cellStyle name="PSDec 6 2 2" xfId="6348"/>
    <cellStyle name="PSDec 6 2 2 2" xfId="6349"/>
    <cellStyle name="PSDec 6 2 3" xfId="6350"/>
    <cellStyle name="PSDec 6 3" xfId="6351"/>
    <cellStyle name="PSDec 6 3 2" xfId="6352"/>
    <cellStyle name="PSDec 6 3 2 2" xfId="6353"/>
    <cellStyle name="PSDec 6 3 3" xfId="6354"/>
    <cellStyle name="PSDec 6 4" xfId="6355"/>
    <cellStyle name="PSDec 6 4 2" xfId="6356"/>
    <cellStyle name="PSDec 6 4 2 2" xfId="6357"/>
    <cellStyle name="PSDec 6 4 3" xfId="6358"/>
    <cellStyle name="PSDec 6 5" xfId="6359"/>
    <cellStyle name="PSDec 6 5 2" xfId="6360"/>
    <cellStyle name="PSDec 6 5 2 2" xfId="6361"/>
    <cellStyle name="PSDec 6 5 3" xfId="6362"/>
    <cellStyle name="PSDec 6 6" xfId="6363"/>
    <cellStyle name="PSDec 6 6 2" xfId="6364"/>
    <cellStyle name="PSDec 6 6 2 2" xfId="6365"/>
    <cellStyle name="PSDec 6 6 3" xfId="6366"/>
    <cellStyle name="PSDec 6 7" xfId="6367"/>
    <cellStyle name="PSDec 6 7 2" xfId="6368"/>
    <cellStyle name="PSDec 6 7 2 2" xfId="6369"/>
    <cellStyle name="PSDec 6 7 3" xfId="6370"/>
    <cellStyle name="PSDec 6 8" xfId="6371"/>
    <cellStyle name="PSDec 6 8 2" xfId="6372"/>
    <cellStyle name="PSDec 6 8 2 2" xfId="6373"/>
    <cellStyle name="PSDec 6 8 3" xfId="6374"/>
    <cellStyle name="PSDec 6 9" xfId="6375"/>
    <cellStyle name="PSDec 6 9 2" xfId="6376"/>
    <cellStyle name="PSDec 6 9 2 2" xfId="6377"/>
    <cellStyle name="PSDec 6 9 3" xfId="6378"/>
    <cellStyle name="PSDec 7" xfId="3533"/>
    <cellStyle name="PSDec 7 2" xfId="6379"/>
    <cellStyle name="PSDec 7 2 2" xfId="6380"/>
    <cellStyle name="PSDec 7 2 2 2" xfId="6381"/>
    <cellStyle name="PSDec 7 2 3" xfId="6382"/>
    <cellStyle name="PSDec 7 3" xfId="6383"/>
    <cellStyle name="PSDec 7 3 2" xfId="6384"/>
    <cellStyle name="PSDec 7 3 2 2" xfId="6385"/>
    <cellStyle name="PSDec 7 3 3" xfId="6386"/>
    <cellStyle name="PSDec 7 4" xfId="6387"/>
    <cellStyle name="PSDec 7 4 2" xfId="6388"/>
    <cellStyle name="PSDec 7 4 2 2" xfId="6389"/>
    <cellStyle name="PSDec 7 4 3" xfId="6390"/>
    <cellStyle name="PSDec 7 5" xfId="6391"/>
    <cellStyle name="PSDec 7 5 2" xfId="6392"/>
    <cellStyle name="PSDec 7 5 2 2" xfId="6393"/>
    <cellStyle name="PSDec 7 5 3" xfId="6394"/>
    <cellStyle name="PSDec 7 6" xfId="6395"/>
    <cellStyle name="PSDec 7 6 2" xfId="6396"/>
    <cellStyle name="PSDec 7 7" xfId="6397"/>
    <cellStyle name="PSDec 8" xfId="3534"/>
    <cellStyle name="PSDec 8 2" xfId="6398"/>
    <cellStyle name="PSDec 8 2 2" xfId="6399"/>
    <cellStyle name="PSDec 8 2 2 2" xfId="6400"/>
    <cellStyle name="PSDec 8 2 3" xfId="6401"/>
    <cellStyle name="PSDec 8 3" xfId="6402"/>
    <cellStyle name="PSDec 8 3 2" xfId="6403"/>
    <cellStyle name="PSDec 8 3 2 2" xfId="6404"/>
    <cellStyle name="PSDec 8 3 3" xfId="6405"/>
    <cellStyle name="PSDec 8 4" xfId="6406"/>
    <cellStyle name="PSDec 8 4 2" xfId="6407"/>
    <cellStyle name="PSDec 8 4 2 2" xfId="6408"/>
    <cellStyle name="PSDec 8 4 3" xfId="6409"/>
    <cellStyle name="PSDec 8 5" xfId="6410"/>
    <cellStyle name="PSDec 8 5 2" xfId="6411"/>
    <cellStyle name="PSDec 8 5 2 2" xfId="6412"/>
    <cellStyle name="PSDec 8 5 3" xfId="6413"/>
    <cellStyle name="PSDec 8 6" xfId="6414"/>
    <cellStyle name="PSDec 8 6 2" xfId="6415"/>
    <cellStyle name="PSDec 8 7" xfId="6416"/>
    <cellStyle name="PSDec 9" xfId="3535"/>
    <cellStyle name="PSDec 9 2" xfId="6417"/>
    <cellStyle name="PSDec 9 2 2" xfId="6418"/>
    <cellStyle name="PSDec 9 2 2 2" xfId="6419"/>
    <cellStyle name="PSDec 9 2 3" xfId="6420"/>
    <cellStyle name="PSDec 9 3" xfId="6421"/>
    <cellStyle name="PSDec 9 3 2" xfId="6422"/>
    <cellStyle name="PSDec 9 3 2 2" xfId="6423"/>
    <cellStyle name="PSDec 9 3 3" xfId="6424"/>
    <cellStyle name="PSDec 9 4" xfId="6425"/>
    <cellStyle name="PSDec 9 4 2" xfId="6426"/>
    <cellStyle name="PSDec 9 4 2 2" xfId="6427"/>
    <cellStyle name="PSDec 9 4 3" xfId="6428"/>
    <cellStyle name="PSDec 9 5" xfId="6429"/>
    <cellStyle name="PSDec 9 5 2" xfId="6430"/>
    <cellStyle name="PSDec 9 5 2 2" xfId="6431"/>
    <cellStyle name="PSDec 9 5 3" xfId="6432"/>
    <cellStyle name="PSDec 9 6" xfId="6433"/>
    <cellStyle name="PSDec 9 6 2" xfId="6434"/>
    <cellStyle name="PSDec 9 7" xfId="6435"/>
    <cellStyle name="PSHeading" xfId="57"/>
    <cellStyle name="PSHeading 10" xfId="3536"/>
    <cellStyle name="PSHeading 10 2" xfId="6436"/>
    <cellStyle name="PSHeading 10 2 2" xfId="6437"/>
    <cellStyle name="PSHeading 10 2 2 2" xfId="6438"/>
    <cellStyle name="PSHeading 10 2 3" xfId="6439"/>
    <cellStyle name="PSHeading 10 2_JE 5 2002.2 FED" xfId="6440"/>
    <cellStyle name="PSHeading 10 3" xfId="6441"/>
    <cellStyle name="PSHeading 10 3 2" xfId="6442"/>
    <cellStyle name="PSHeading 10 3 2 2" xfId="6443"/>
    <cellStyle name="PSHeading 10 3 3" xfId="6444"/>
    <cellStyle name="PSHeading 10 3_JE 5 2002.2 FED" xfId="6445"/>
    <cellStyle name="PSHeading 10 4" xfId="6446"/>
    <cellStyle name="PSHeading 10 4 2" xfId="6447"/>
    <cellStyle name="PSHeading 10 4 2 2" xfId="6448"/>
    <cellStyle name="PSHeading 10 4 3" xfId="6449"/>
    <cellStyle name="PSHeading 10 4_JE 5 2002.2 FED" xfId="6450"/>
    <cellStyle name="PSHeading 10 5" xfId="6451"/>
    <cellStyle name="PSHeading 10 5 2" xfId="6452"/>
    <cellStyle name="PSHeading 10 5 2 2" xfId="6453"/>
    <cellStyle name="PSHeading 10 5 3" xfId="6454"/>
    <cellStyle name="PSHeading 10 5_JE 5 2002.2 FED" xfId="6455"/>
    <cellStyle name="PSHeading 10 6" xfId="6456"/>
    <cellStyle name="PSHeading 10 6 2" xfId="6457"/>
    <cellStyle name="PSHeading 10 7" xfId="6458"/>
    <cellStyle name="PSHeading 10_JE 5 2002.2 FED" xfId="6459"/>
    <cellStyle name="PSHeading 11" xfId="3537"/>
    <cellStyle name="PSHeading 11 2" xfId="6460"/>
    <cellStyle name="PSHeading 11 2 2" xfId="6461"/>
    <cellStyle name="PSHeading 11 2 2 2" xfId="6462"/>
    <cellStyle name="PSHeading 11 2 3" xfId="6463"/>
    <cellStyle name="PSHeading 11 2_JE 5 2002.2 FED" xfId="6464"/>
    <cellStyle name="PSHeading 11 3" xfId="6465"/>
    <cellStyle name="PSHeading 11 3 2" xfId="6466"/>
    <cellStyle name="PSHeading 11 3 2 2" xfId="6467"/>
    <cellStyle name="PSHeading 11 3 3" xfId="6468"/>
    <cellStyle name="PSHeading 11 3_JE 5 2002.2 FED" xfId="6469"/>
    <cellStyle name="PSHeading 11 4" xfId="6470"/>
    <cellStyle name="PSHeading 11 4 2" xfId="6471"/>
    <cellStyle name="PSHeading 11 4 2 2" xfId="6472"/>
    <cellStyle name="PSHeading 11 4 3" xfId="6473"/>
    <cellStyle name="PSHeading 11 4_JE 5 2002.2 FED" xfId="6474"/>
    <cellStyle name="PSHeading 11 5" xfId="6475"/>
    <cellStyle name="PSHeading 11 5 2" xfId="6476"/>
    <cellStyle name="PSHeading 11 5 2 2" xfId="6477"/>
    <cellStyle name="PSHeading 11 5 3" xfId="6478"/>
    <cellStyle name="PSHeading 11 5_JE 5 2002.2 FED" xfId="6479"/>
    <cellStyle name="PSHeading 11 6" xfId="6480"/>
    <cellStyle name="PSHeading 11 6 2" xfId="6481"/>
    <cellStyle name="PSHeading 11 7" xfId="6482"/>
    <cellStyle name="PSHeading 11_JE 5 2002.2 FED" xfId="6483"/>
    <cellStyle name="PSHeading 12" xfId="3538"/>
    <cellStyle name="PSHeading 12 2" xfId="6484"/>
    <cellStyle name="PSHeading 12 2 2" xfId="6485"/>
    <cellStyle name="PSHeading 12 2 2 2" xfId="6486"/>
    <cellStyle name="PSHeading 12 2 3" xfId="6487"/>
    <cellStyle name="PSHeading 12 2_JE 5 2002.2 FED" xfId="6488"/>
    <cellStyle name="PSHeading 12 3" xfId="6489"/>
    <cellStyle name="PSHeading 12 3 2" xfId="6490"/>
    <cellStyle name="PSHeading 12 3 2 2" xfId="6491"/>
    <cellStyle name="PSHeading 12 3 3" xfId="6492"/>
    <cellStyle name="PSHeading 12 3_JE 5 2002.2 FED" xfId="6493"/>
    <cellStyle name="PSHeading 12 4" xfId="6494"/>
    <cellStyle name="PSHeading 12 4 2" xfId="6495"/>
    <cellStyle name="PSHeading 12 4 2 2" xfId="6496"/>
    <cellStyle name="PSHeading 12 4 3" xfId="6497"/>
    <cellStyle name="PSHeading 12 4_JE 5 2002.2 FED" xfId="6498"/>
    <cellStyle name="PSHeading 12 5" xfId="6499"/>
    <cellStyle name="PSHeading 12 5 2" xfId="6500"/>
    <cellStyle name="PSHeading 12 5 2 2" xfId="6501"/>
    <cellStyle name="PSHeading 12 5 3" xfId="6502"/>
    <cellStyle name="PSHeading 12 5_JE 5 2002.2 FED" xfId="6503"/>
    <cellStyle name="PSHeading 12 6" xfId="6504"/>
    <cellStyle name="PSHeading 12 6 2" xfId="6505"/>
    <cellStyle name="PSHeading 12 7" xfId="6506"/>
    <cellStyle name="PSHeading 12_JE 5 2002.2 FED" xfId="6507"/>
    <cellStyle name="PSHeading 13" xfId="6508"/>
    <cellStyle name="PSHeading 13 2" xfId="6509"/>
    <cellStyle name="PSHeading 13 2 2" xfId="6510"/>
    <cellStyle name="PSHeading 13 2 2 2" xfId="6511"/>
    <cellStyle name="PSHeading 13 2 3" xfId="6512"/>
    <cellStyle name="PSHeading 13 2_JE 5 2002.2 FED" xfId="6513"/>
    <cellStyle name="PSHeading 13 3" xfId="6514"/>
    <cellStyle name="PSHeading 13 3 2" xfId="6515"/>
    <cellStyle name="PSHeading 13 3 2 2" xfId="6516"/>
    <cellStyle name="PSHeading 13 3 3" xfId="6517"/>
    <cellStyle name="PSHeading 13 3_JE 5 2002.2 FED" xfId="6518"/>
    <cellStyle name="PSHeading 13 4" xfId="6519"/>
    <cellStyle name="PSHeading 13 4 2" xfId="6520"/>
    <cellStyle name="PSHeading 13 4 2 2" xfId="6521"/>
    <cellStyle name="PSHeading 13 4 3" xfId="6522"/>
    <cellStyle name="PSHeading 13 4_JE 5 2002.2 FED" xfId="6523"/>
    <cellStyle name="PSHeading 13 5" xfId="6524"/>
    <cellStyle name="PSHeading 13 5 2" xfId="6525"/>
    <cellStyle name="PSHeading 13 5 2 2" xfId="6526"/>
    <cellStyle name="PSHeading 13 5 3" xfId="6527"/>
    <cellStyle name="PSHeading 13 5_JE 5 2002.2 FED" xfId="6528"/>
    <cellStyle name="PSHeading 13 6" xfId="6529"/>
    <cellStyle name="PSHeading 13 6 2" xfId="6530"/>
    <cellStyle name="PSHeading 13 7" xfId="6531"/>
    <cellStyle name="PSHeading 13_JE 5 2002.2 FED" xfId="6532"/>
    <cellStyle name="PSHeading 14" xfId="6533"/>
    <cellStyle name="PSHeading 14 2" xfId="6534"/>
    <cellStyle name="PSHeading 14 2 2" xfId="6535"/>
    <cellStyle name="PSHeading 14 2 2 2" xfId="6536"/>
    <cellStyle name="PSHeading 14 2 3" xfId="6537"/>
    <cellStyle name="PSHeading 14 2_JE 5 2002.2 FED" xfId="6538"/>
    <cellStyle name="PSHeading 14 3" xfId="6539"/>
    <cellStyle name="PSHeading 14 3 2" xfId="6540"/>
    <cellStyle name="PSHeading 14 3 2 2" xfId="6541"/>
    <cellStyle name="PSHeading 14 3 3" xfId="6542"/>
    <cellStyle name="PSHeading 14 3_JE 5 2002.2 FED" xfId="6543"/>
    <cellStyle name="PSHeading 14 4" xfId="6544"/>
    <cellStyle name="PSHeading 14 4 2" xfId="6545"/>
    <cellStyle name="PSHeading 14 4 2 2" xfId="6546"/>
    <cellStyle name="PSHeading 14 4 3" xfId="6547"/>
    <cellStyle name="PSHeading 14 4_JE 5 2002.2 FED" xfId="6548"/>
    <cellStyle name="PSHeading 14 5" xfId="6549"/>
    <cellStyle name="PSHeading 14 5 2" xfId="6550"/>
    <cellStyle name="PSHeading 14 5 2 2" xfId="6551"/>
    <cellStyle name="PSHeading 14 5 3" xfId="6552"/>
    <cellStyle name="PSHeading 14 5_JE 5 2002.2 FED" xfId="6553"/>
    <cellStyle name="PSHeading 14 6" xfId="6554"/>
    <cellStyle name="PSHeading 14 6 2" xfId="6555"/>
    <cellStyle name="PSHeading 14 7" xfId="6556"/>
    <cellStyle name="PSHeading 14_JE 5 2002.2 FED" xfId="6557"/>
    <cellStyle name="PSHeading 15" xfId="6558"/>
    <cellStyle name="PSHeading 15 2" xfId="6559"/>
    <cellStyle name="PSHeading 15 2 2" xfId="6560"/>
    <cellStyle name="PSHeading 15 2 2 2" xfId="6561"/>
    <cellStyle name="PSHeading 15 2 3" xfId="6562"/>
    <cellStyle name="PSHeading 15 2_JE 5 2002.2 FED" xfId="6563"/>
    <cellStyle name="PSHeading 15 3" xfId="6564"/>
    <cellStyle name="PSHeading 15 3 2" xfId="6565"/>
    <cellStyle name="PSHeading 15 3 2 2" xfId="6566"/>
    <cellStyle name="PSHeading 15 3 3" xfId="6567"/>
    <cellStyle name="PSHeading 15 3_JE 5 2002.2 FED" xfId="6568"/>
    <cellStyle name="PSHeading 15 4" xfId="6569"/>
    <cellStyle name="PSHeading 15 4 2" xfId="6570"/>
    <cellStyle name="PSHeading 15 4 2 2" xfId="6571"/>
    <cellStyle name="PSHeading 15 4 3" xfId="6572"/>
    <cellStyle name="PSHeading 15 4_JE 5 2002.2 FED" xfId="6573"/>
    <cellStyle name="PSHeading 15 5" xfId="6574"/>
    <cellStyle name="PSHeading 15 5 2" xfId="6575"/>
    <cellStyle name="PSHeading 15 5 2 2" xfId="6576"/>
    <cellStyle name="PSHeading 15 5 3" xfId="6577"/>
    <cellStyle name="PSHeading 15 5_JE 5 2002.2 FED" xfId="6578"/>
    <cellStyle name="PSHeading 15 6" xfId="6579"/>
    <cellStyle name="PSHeading 15 6 2" xfId="6580"/>
    <cellStyle name="PSHeading 15 7" xfId="6581"/>
    <cellStyle name="PSHeading 15_JE 5 2002.2 FED" xfId="6582"/>
    <cellStyle name="PSHeading 16" xfId="6583"/>
    <cellStyle name="PSHeading 17" xfId="6584"/>
    <cellStyle name="PSHeading 18" xfId="6585"/>
    <cellStyle name="PSHeading 19" xfId="6586"/>
    <cellStyle name="PSHeading 2" xfId="3539"/>
    <cellStyle name="PSHeading 2 10" xfId="6587"/>
    <cellStyle name="PSHeading 2 10 2" xfId="6588"/>
    <cellStyle name="PSHeading 2 11" xfId="6589"/>
    <cellStyle name="PSHeading 2 2" xfId="3540"/>
    <cellStyle name="PSHeading 2 2 2" xfId="6590"/>
    <cellStyle name="PSHeading 2 2 2 2" xfId="6591"/>
    <cellStyle name="PSHeading 2 2 3" xfId="6592"/>
    <cellStyle name="PSHeading 2 2_JE 5 2002.2 FED" xfId="6593"/>
    <cellStyle name="PSHeading 2 3" xfId="6594"/>
    <cellStyle name="PSHeading 2 3 2" xfId="6595"/>
    <cellStyle name="PSHeading 2 3 2 2" xfId="6596"/>
    <cellStyle name="PSHeading 2 3 3" xfId="6597"/>
    <cellStyle name="PSHeading 2 3_JE 5 2002.2 FED" xfId="6598"/>
    <cellStyle name="PSHeading 2 4" xfId="6599"/>
    <cellStyle name="PSHeading 2 4 2" xfId="6600"/>
    <cellStyle name="PSHeading 2 4 2 2" xfId="6601"/>
    <cellStyle name="PSHeading 2 4 3" xfId="6602"/>
    <cellStyle name="PSHeading 2 4_JE 5 2002.2 FED" xfId="6603"/>
    <cellStyle name="PSHeading 2 5" xfId="6604"/>
    <cellStyle name="PSHeading 2 5 2" xfId="6605"/>
    <cellStyle name="PSHeading 2 5 2 2" xfId="6606"/>
    <cellStyle name="PSHeading 2 5 3" xfId="6607"/>
    <cellStyle name="PSHeading 2 5_JE 5 2002.2 FED" xfId="6608"/>
    <cellStyle name="PSHeading 2 6" xfId="6609"/>
    <cellStyle name="PSHeading 2 6 2" xfId="6610"/>
    <cellStyle name="PSHeading 2 6 2 2" xfId="6611"/>
    <cellStyle name="PSHeading 2 6 3" xfId="6612"/>
    <cellStyle name="PSHeading 2 6_JE 5 2002.2 FED" xfId="6613"/>
    <cellStyle name="PSHeading 2 7" xfId="6614"/>
    <cellStyle name="PSHeading 2 7 2" xfId="6615"/>
    <cellStyle name="PSHeading 2 7 2 2" xfId="6616"/>
    <cellStyle name="PSHeading 2 7 3" xfId="6617"/>
    <cellStyle name="PSHeading 2 7_JE 5 2002.2 FED" xfId="6618"/>
    <cellStyle name="PSHeading 2 8" xfId="6619"/>
    <cellStyle name="PSHeading 2 8 2" xfId="6620"/>
    <cellStyle name="PSHeading 2 8 2 2" xfId="6621"/>
    <cellStyle name="PSHeading 2 8 3" xfId="6622"/>
    <cellStyle name="PSHeading 2 8_JE 5 2002.2 FED" xfId="6623"/>
    <cellStyle name="PSHeading 2 9" xfId="6624"/>
    <cellStyle name="PSHeading 2 9 2" xfId="6625"/>
    <cellStyle name="PSHeading 2 9 2 2" xfId="6626"/>
    <cellStyle name="PSHeading 2 9 3" xfId="6627"/>
    <cellStyle name="PSHeading 2 9_JE 5 2002.2 FED" xfId="6628"/>
    <cellStyle name="PSHeading 2_JE 5 2002.2 FED" xfId="6629"/>
    <cellStyle name="PSHeading 3" xfId="3541"/>
    <cellStyle name="PSHeading 3 10" xfId="6630"/>
    <cellStyle name="PSHeading 3 10 2" xfId="6631"/>
    <cellStyle name="PSHeading 3 11" xfId="6632"/>
    <cellStyle name="PSHeading 3 2" xfId="6633"/>
    <cellStyle name="PSHeading 3 2 2" xfId="6634"/>
    <cellStyle name="PSHeading 3 2 2 2" xfId="6635"/>
    <cellStyle name="PSHeading 3 2 3" xfId="6636"/>
    <cellStyle name="PSHeading 3 2_JE 5 2002.2 FED" xfId="6637"/>
    <cellStyle name="PSHeading 3 3" xfId="6638"/>
    <cellStyle name="PSHeading 3 3 2" xfId="6639"/>
    <cellStyle name="PSHeading 3 3 2 2" xfId="6640"/>
    <cellStyle name="PSHeading 3 3 3" xfId="6641"/>
    <cellStyle name="PSHeading 3 3_JE 5 2002.2 FED" xfId="6642"/>
    <cellStyle name="PSHeading 3 4" xfId="6643"/>
    <cellStyle name="PSHeading 3 4 2" xfId="6644"/>
    <cellStyle name="PSHeading 3 4 2 2" xfId="6645"/>
    <cellStyle name="PSHeading 3 4 3" xfId="6646"/>
    <cellStyle name="PSHeading 3 4_JE 5 2002.2 FED" xfId="6647"/>
    <cellStyle name="PSHeading 3 5" xfId="6648"/>
    <cellStyle name="PSHeading 3 5 2" xfId="6649"/>
    <cellStyle name="PSHeading 3 5 2 2" xfId="6650"/>
    <cellStyle name="PSHeading 3 5 3" xfId="6651"/>
    <cellStyle name="PSHeading 3 5_JE 5 2002.2 FED" xfId="6652"/>
    <cellStyle name="PSHeading 3 6" xfId="6653"/>
    <cellStyle name="PSHeading 3 6 2" xfId="6654"/>
    <cellStyle name="PSHeading 3 6 2 2" xfId="6655"/>
    <cellStyle name="PSHeading 3 6 3" xfId="6656"/>
    <cellStyle name="PSHeading 3 6_JE 5 2002.2 FED" xfId="6657"/>
    <cellStyle name="PSHeading 3 7" xfId="6658"/>
    <cellStyle name="PSHeading 3 7 2" xfId="6659"/>
    <cellStyle name="PSHeading 3 7 2 2" xfId="6660"/>
    <cellStyle name="PSHeading 3 7 3" xfId="6661"/>
    <cellStyle name="PSHeading 3 7_JE 5 2002.2 FED" xfId="6662"/>
    <cellStyle name="PSHeading 3 8" xfId="6663"/>
    <cellStyle name="PSHeading 3 8 2" xfId="6664"/>
    <cellStyle name="PSHeading 3 8 2 2" xfId="6665"/>
    <cellStyle name="PSHeading 3 8 3" xfId="6666"/>
    <cellStyle name="PSHeading 3 8_JE 5 2002.2 FED" xfId="6667"/>
    <cellStyle name="PSHeading 3 9" xfId="6668"/>
    <cellStyle name="PSHeading 3 9 2" xfId="6669"/>
    <cellStyle name="PSHeading 3 9 2 2" xfId="6670"/>
    <cellStyle name="PSHeading 3 9 3" xfId="6671"/>
    <cellStyle name="PSHeading 3 9_JE 5 2002.2 FED" xfId="6672"/>
    <cellStyle name="PSHeading 3_JE 5 2002.2 FED" xfId="6673"/>
    <cellStyle name="PSHeading 4" xfId="3542"/>
    <cellStyle name="PSHeading 4 10" xfId="6674"/>
    <cellStyle name="PSHeading 4 10 2" xfId="6675"/>
    <cellStyle name="PSHeading 4 11" xfId="6676"/>
    <cellStyle name="PSHeading 4 2" xfId="6677"/>
    <cellStyle name="PSHeading 4 2 2" xfId="6678"/>
    <cellStyle name="PSHeading 4 2 2 2" xfId="6679"/>
    <cellStyle name="PSHeading 4 2 3" xfId="6680"/>
    <cellStyle name="PSHeading 4 2_JE 5 2002.2 FED" xfId="6681"/>
    <cellStyle name="PSHeading 4 3" xfId="6682"/>
    <cellStyle name="PSHeading 4 3 2" xfId="6683"/>
    <cellStyle name="PSHeading 4 3 2 2" xfId="6684"/>
    <cellStyle name="PSHeading 4 3 3" xfId="6685"/>
    <cellStyle name="PSHeading 4 3_JE 5 2002.2 FED" xfId="6686"/>
    <cellStyle name="PSHeading 4 4" xfId="6687"/>
    <cellStyle name="PSHeading 4 4 2" xfId="6688"/>
    <cellStyle name="PSHeading 4 4 2 2" xfId="6689"/>
    <cellStyle name="PSHeading 4 4 3" xfId="6690"/>
    <cellStyle name="PSHeading 4 4_JE 5 2002.2 FED" xfId="6691"/>
    <cellStyle name="PSHeading 4 5" xfId="6692"/>
    <cellStyle name="PSHeading 4 5 2" xfId="6693"/>
    <cellStyle name="PSHeading 4 5 2 2" xfId="6694"/>
    <cellStyle name="PSHeading 4 5 3" xfId="6695"/>
    <cellStyle name="PSHeading 4 5_JE 5 2002.2 FED" xfId="6696"/>
    <cellStyle name="PSHeading 4 6" xfId="6697"/>
    <cellStyle name="PSHeading 4 6 2" xfId="6698"/>
    <cellStyle name="PSHeading 4 6 2 2" xfId="6699"/>
    <cellStyle name="PSHeading 4 6 3" xfId="6700"/>
    <cellStyle name="PSHeading 4 6_JE 5 2002.2 FED" xfId="6701"/>
    <cellStyle name="PSHeading 4 7" xfId="6702"/>
    <cellStyle name="PSHeading 4 7 2" xfId="6703"/>
    <cellStyle name="PSHeading 4 7 2 2" xfId="6704"/>
    <cellStyle name="PSHeading 4 7 3" xfId="6705"/>
    <cellStyle name="PSHeading 4 7_JE 5 2002.2 FED" xfId="6706"/>
    <cellStyle name="PSHeading 4 8" xfId="6707"/>
    <cellStyle name="PSHeading 4 8 2" xfId="6708"/>
    <cellStyle name="PSHeading 4 8 2 2" xfId="6709"/>
    <cellStyle name="PSHeading 4 8 3" xfId="6710"/>
    <cellStyle name="PSHeading 4 8_JE 5 2002.2 FED" xfId="6711"/>
    <cellStyle name="PSHeading 4 9" xfId="6712"/>
    <cellStyle name="PSHeading 4 9 2" xfId="6713"/>
    <cellStyle name="PSHeading 4 9 2 2" xfId="6714"/>
    <cellStyle name="PSHeading 4 9 3" xfId="6715"/>
    <cellStyle name="PSHeading 4 9_JE 5 2002.2 FED" xfId="6716"/>
    <cellStyle name="PSHeading 4_JE 5 2002.2 FED" xfId="6717"/>
    <cellStyle name="PSHeading 5" xfId="3543"/>
    <cellStyle name="PSHeading 5 10" xfId="6718"/>
    <cellStyle name="PSHeading 5 10 2" xfId="6719"/>
    <cellStyle name="PSHeading 5 11" xfId="6720"/>
    <cellStyle name="PSHeading 5 2" xfId="6721"/>
    <cellStyle name="PSHeading 5 2 2" xfId="6722"/>
    <cellStyle name="PSHeading 5 2 2 2" xfId="6723"/>
    <cellStyle name="PSHeading 5 2 3" xfId="6724"/>
    <cellStyle name="PSHeading 5 2_JE 5 2002.2 FED" xfId="6725"/>
    <cellStyle name="PSHeading 5 3" xfId="6726"/>
    <cellStyle name="PSHeading 5 3 2" xfId="6727"/>
    <cellStyle name="PSHeading 5 3 2 2" xfId="6728"/>
    <cellStyle name="PSHeading 5 3 3" xfId="6729"/>
    <cellStyle name="PSHeading 5 3_JE 5 2002.2 FED" xfId="6730"/>
    <cellStyle name="PSHeading 5 4" xfId="6731"/>
    <cellStyle name="PSHeading 5 4 2" xfId="6732"/>
    <cellStyle name="PSHeading 5 4 2 2" xfId="6733"/>
    <cellStyle name="PSHeading 5 4 3" xfId="6734"/>
    <cellStyle name="PSHeading 5 4_JE 5 2002.2 FED" xfId="6735"/>
    <cellStyle name="PSHeading 5 5" xfId="6736"/>
    <cellStyle name="PSHeading 5 5 2" xfId="6737"/>
    <cellStyle name="PSHeading 5 5 2 2" xfId="6738"/>
    <cellStyle name="PSHeading 5 5 3" xfId="6739"/>
    <cellStyle name="PSHeading 5 5_JE 5 2002.2 FED" xfId="6740"/>
    <cellStyle name="PSHeading 5 6" xfId="6741"/>
    <cellStyle name="PSHeading 5 6 2" xfId="6742"/>
    <cellStyle name="PSHeading 5 6 2 2" xfId="6743"/>
    <cellStyle name="PSHeading 5 6 3" xfId="6744"/>
    <cellStyle name="PSHeading 5 6_JE 5 2002.2 FED" xfId="6745"/>
    <cellStyle name="PSHeading 5 7" xfId="6746"/>
    <cellStyle name="PSHeading 5 7 2" xfId="6747"/>
    <cellStyle name="PSHeading 5 7 2 2" xfId="6748"/>
    <cellStyle name="PSHeading 5 7 3" xfId="6749"/>
    <cellStyle name="PSHeading 5 7_JE 5 2002.2 FED" xfId="6750"/>
    <cellStyle name="PSHeading 5 8" xfId="6751"/>
    <cellStyle name="PSHeading 5 8 2" xfId="6752"/>
    <cellStyle name="PSHeading 5 8 2 2" xfId="6753"/>
    <cellStyle name="PSHeading 5 8 3" xfId="6754"/>
    <cellStyle name="PSHeading 5 8_JE 5 2002.2 FED" xfId="6755"/>
    <cellStyle name="PSHeading 5 9" xfId="6756"/>
    <cellStyle name="PSHeading 5 9 2" xfId="6757"/>
    <cellStyle name="PSHeading 5 9 2 2" xfId="6758"/>
    <cellStyle name="PSHeading 5 9 3" xfId="6759"/>
    <cellStyle name="PSHeading 5 9_JE 5 2002.2 FED" xfId="6760"/>
    <cellStyle name="PSHeading 5_JE 5 2002.2 FED" xfId="6761"/>
    <cellStyle name="PSHeading 6" xfId="3544"/>
    <cellStyle name="PSHeading 6 10" xfId="6762"/>
    <cellStyle name="PSHeading 6 10 2" xfId="6763"/>
    <cellStyle name="PSHeading 6 11" xfId="6764"/>
    <cellStyle name="PSHeading 6 2" xfId="6765"/>
    <cellStyle name="PSHeading 6 2 2" xfId="6766"/>
    <cellStyle name="PSHeading 6 2 2 2" xfId="6767"/>
    <cellStyle name="PSHeading 6 2 3" xfId="6768"/>
    <cellStyle name="PSHeading 6 2_JE 5 2002.2 FED" xfId="6769"/>
    <cellStyle name="PSHeading 6 3" xfId="6770"/>
    <cellStyle name="PSHeading 6 3 2" xfId="6771"/>
    <cellStyle name="PSHeading 6 3 2 2" xfId="6772"/>
    <cellStyle name="PSHeading 6 3 3" xfId="6773"/>
    <cellStyle name="PSHeading 6 3_JE 5 2002.2 FED" xfId="6774"/>
    <cellStyle name="PSHeading 6 4" xfId="6775"/>
    <cellStyle name="PSHeading 6 4 2" xfId="6776"/>
    <cellStyle name="PSHeading 6 4 2 2" xfId="6777"/>
    <cellStyle name="PSHeading 6 4 3" xfId="6778"/>
    <cellStyle name="PSHeading 6 4_JE 5 2002.2 FED" xfId="6779"/>
    <cellStyle name="PSHeading 6 5" xfId="6780"/>
    <cellStyle name="PSHeading 6 5 2" xfId="6781"/>
    <cellStyle name="PSHeading 6 5 2 2" xfId="6782"/>
    <cellStyle name="PSHeading 6 5 3" xfId="6783"/>
    <cellStyle name="PSHeading 6 5_JE 5 2002.2 FED" xfId="6784"/>
    <cellStyle name="PSHeading 6 6" xfId="6785"/>
    <cellStyle name="PSHeading 6 6 2" xfId="6786"/>
    <cellStyle name="PSHeading 6 6 2 2" xfId="6787"/>
    <cellStyle name="PSHeading 6 6 3" xfId="6788"/>
    <cellStyle name="PSHeading 6 6_JE 5 2002.2 FED" xfId="6789"/>
    <cellStyle name="PSHeading 6 7" xfId="6790"/>
    <cellStyle name="PSHeading 6 7 2" xfId="6791"/>
    <cellStyle name="PSHeading 6 7 2 2" xfId="6792"/>
    <cellStyle name="PSHeading 6 7 3" xfId="6793"/>
    <cellStyle name="PSHeading 6 7_JE 5 2002.2 FED" xfId="6794"/>
    <cellStyle name="PSHeading 6 8" xfId="6795"/>
    <cellStyle name="PSHeading 6 8 2" xfId="6796"/>
    <cellStyle name="PSHeading 6 8 2 2" xfId="6797"/>
    <cellStyle name="PSHeading 6 8 3" xfId="6798"/>
    <cellStyle name="PSHeading 6 8_JE 5 2002.2 FED" xfId="6799"/>
    <cellStyle name="PSHeading 6 9" xfId="6800"/>
    <cellStyle name="PSHeading 6 9 2" xfId="6801"/>
    <cellStyle name="PSHeading 6 9 2 2" xfId="6802"/>
    <cellStyle name="PSHeading 6 9 3" xfId="6803"/>
    <cellStyle name="PSHeading 6 9_JE 5 2002.2 FED" xfId="6804"/>
    <cellStyle name="PSHeading 6_JE 5 2002.2 FED" xfId="6805"/>
    <cellStyle name="PSHeading 7" xfId="3545"/>
    <cellStyle name="PSHeading 7 2" xfId="6806"/>
    <cellStyle name="PSHeading 7 2 2" xfId="6807"/>
    <cellStyle name="PSHeading 7 2 2 2" xfId="6808"/>
    <cellStyle name="PSHeading 7 2 3" xfId="6809"/>
    <cellStyle name="PSHeading 7 2_JE 5 2002.2 FED" xfId="6810"/>
    <cellStyle name="PSHeading 7 3" xfId="6811"/>
    <cellStyle name="PSHeading 7 3 2" xfId="6812"/>
    <cellStyle name="PSHeading 7 3 2 2" xfId="6813"/>
    <cellStyle name="PSHeading 7 3 3" xfId="6814"/>
    <cellStyle name="PSHeading 7 3_JE 5 2002.2 FED" xfId="6815"/>
    <cellStyle name="PSHeading 7 4" xfId="6816"/>
    <cellStyle name="PSHeading 7 4 2" xfId="6817"/>
    <cellStyle name="PSHeading 7 4 2 2" xfId="6818"/>
    <cellStyle name="PSHeading 7 4 3" xfId="6819"/>
    <cellStyle name="PSHeading 7 4_JE 5 2002.2 FED" xfId="6820"/>
    <cellStyle name="PSHeading 7 5" xfId="6821"/>
    <cellStyle name="PSHeading 7 5 2" xfId="6822"/>
    <cellStyle name="PSHeading 7 5 2 2" xfId="6823"/>
    <cellStyle name="PSHeading 7 5 3" xfId="6824"/>
    <cellStyle name="PSHeading 7 5_JE 5 2002.2 FED" xfId="6825"/>
    <cellStyle name="PSHeading 7 6" xfId="6826"/>
    <cellStyle name="PSHeading 7 6 2" xfId="6827"/>
    <cellStyle name="PSHeading 7 7" xfId="6828"/>
    <cellStyle name="PSHeading 7_JE 5 2002.2 FED" xfId="6829"/>
    <cellStyle name="PSHeading 8" xfId="3546"/>
    <cellStyle name="PSHeading 8 2" xfId="6830"/>
    <cellStyle name="PSHeading 8 2 2" xfId="6831"/>
    <cellStyle name="PSHeading 8 2 2 2" xfId="6832"/>
    <cellStyle name="PSHeading 8 2 3" xfId="6833"/>
    <cellStyle name="PSHeading 8 2_JE 5 2002.2 FED" xfId="6834"/>
    <cellStyle name="PSHeading 8 3" xfId="6835"/>
    <cellStyle name="PSHeading 8 3 2" xfId="6836"/>
    <cellStyle name="PSHeading 8 3 2 2" xfId="6837"/>
    <cellStyle name="PSHeading 8 3 3" xfId="6838"/>
    <cellStyle name="PSHeading 8 3_JE 5 2002.2 FED" xfId="6839"/>
    <cellStyle name="PSHeading 8 4" xfId="6840"/>
    <cellStyle name="PSHeading 8 4 2" xfId="6841"/>
    <cellStyle name="PSHeading 8 4 2 2" xfId="6842"/>
    <cellStyle name="PSHeading 8 4 3" xfId="6843"/>
    <cellStyle name="PSHeading 8 4_JE 5 2002.2 FED" xfId="6844"/>
    <cellStyle name="PSHeading 8 5" xfId="6845"/>
    <cellStyle name="PSHeading 8 5 2" xfId="6846"/>
    <cellStyle name="PSHeading 8 5 2 2" xfId="6847"/>
    <cellStyle name="PSHeading 8 5 3" xfId="6848"/>
    <cellStyle name="PSHeading 8 5_JE 5 2002.2 FED" xfId="6849"/>
    <cellStyle name="PSHeading 8 6" xfId="6850"/>
    <cellStyle name="PSHeading 8 6 2" xfId="6851"/>
    <cellStyle name="PSHeading 8 7" xfId="6852"/>
    <cellStyle name="PSHeading 8_JE 5 2002.2 FED" xfId="6853"/>
    <cellStyle name="PSHeading 9" xfId="3547"/>
    <cellStyle name="PSHeading 9 2" xfId="6854"/>
    <cellStyle name="PSHeading 9 2 2" xfId="6855"/>
    <cellStyle name="PSHeading 9 2 2 2" xfId="6856"/>
    <cellStyle name="PSHeading 9 2 3" xfId="6857"/>
    <cellStyle name="PSHeading 9 2_JE 5 2002.2 FED" xfId="6858"/>
    <cellStyle name="PSHeading 9 3" xfId="6859"/>
    <cellStyle name="PSHeading 9 3 2" xfId="6860"/>
    <cellStyle name="PSHeading 9 3 2 2" xfId="6861"/>
    <cellStyle name="PSHeading 9 3 3" xfId="6862"/>
    <cellStyle name="PSHeading 9 3_JE 5 2002.2 FED" xfId="6863"/>
    <cellStyle name="PSHeading 9 4" xfId="6864"/>
    <cellStyle name="PSHeading 9 4 2" xfId="6865"/>
    <cellStyle name="PSHeading 9 4 2 2" xfId="6866"/>
    <cellStyle name="PSHeading 9 4 3" xfId="6867"/>
    <cellStyle name="PSHeading 9 4_JE 5 2002.2 FED" xfId="6868"/>
    <cellStyle name="PSHeading 9 5" xfId="6869"/>
    <cellStyle name="PSHeading 9 5 2" xfId="6870"/>
    <cellStyle name="PSHeading 9 5 2 2" xfId="6871"/>
    <cellStyle name="PSHeading 9 5 3" xfId="6872"/>
    <cellStyle name="PSHeading 9 5_JE 5 2002.2 FED" xfId="6873"/>
    <cellStyle name="PSHeading 9 6" xfId="6874"/>
    <cellStyle name="PSHeading 9 6 2" xfId="6875"/>
    <cellStyle name="PSHeading 9 7" xfId="6876"/>
    <cellStyle name="PSHeading 9_JE 5 2002.2 FED" xfId="6877"/>
    <cellStyle name="PSHeading_11-03.1 Pepco" xfId="3548"/>
    <cellStyle name="PSInt" xfId="58"/>
    <cellStyle name="PSInt 10" xfId="3549"/>
    <cellStyle name="PSInt 10 2" xfId="6878"/>
    <cellStyle name="PSInt 10 2 2" xfId="6879"/>
    <cellStyle name="PSInt 10 2 2 2" xfId="6880"/>
    <cellStyle name="PSInt 10 2 3" xfId="6881"/>
    <cellStyle name="PSInt 10 3" xfId="6882"/>
    <cellStyle name="PSInt 10 3 2" xfId="6883"/>
    <cellStyle name="PSInt 10 3 2 2" xfId="6884"/>
    <cellStyle name="PSInt 10 3 3" xfId="6885"/>
    <cellStyle name="PSInt 10 4" xfId="6886"/>
    <cellStyle name="PSInt 10 4 2" xfId="6887"/>
    <cellStyle name="PSInt 10 4 2 2" xfId="6888"/>
    <cellStyle name="PSInt 10 4 3" xfId="6889"/>
    <cellStyle name="PSInt 10 5" xfId="6890"/>
    <cellStyle name="PSInt 10 5 2" xfId="6891"/>
    <cellStyle name="PSInt 10 5 2 2" xfId="6892"/>
    <cellStyle name="PSInt 10 5 3" xfId="6893"/>
    <cellStyle name="PSInt 10 6" xfId="6894"/>
    <cellStyle name="PSInt 10 6 2" xfId="6895"/>
    <cellStyle name="PSInt 10 7" xfId="6896"/>
    <cellStyle name="PSInt 11" xfId="3550"/>
    <cellStyle name="PSInt 11 2" xfId="6897"/>
    <cellStyle name="PSInt 11 2 2" xfId="6898"/>
    <cellStyle name="PSInt 11 2 2 2" xfId="6899"/>
    <cellStyle name="PSInt 11 2 3" xfId="6900"/>
    <cellStyle name="PSInt 11 3" xfId="6901"/>
    <cellStyle name="PSInt 11 3 2" xfId="6902"/>
    <cellStyle name="PSInt 11 3 2 2" xfId="6903"/>
    <cellStyle name="PSInt 11 3 3" xfId="6904"/>
    <cellStyle name="PSInt 11 4" xfId="6905"/>
    <cellStyle name="PSInt 11 4 2" xfId="6906"/>
    <cellStyle name="PSInt 11 4 2 2" xfId="6907"/>
    <cellStyle name="PSInt 11 4 3" xfId="6908"/>
    <cellStyle name="PSInt 11 5" xfId="6909"/>
    <cellStyle name="PSInt 11 5 2" xfId="6910"/>
    <cellStyle name="PSInt 11 5 2 2" xfId="6911"/>
    <cellStyle name="PSInt 11 5 3" xfId="6912"/>
    <cellStyle name="PSInt 11 6" xfId="6913"/>
    <cellStyle name="PSInt 11 6 2" xfId="6914"/>
    <cellStyle name="PSInt 11 7" xfId="6915"/>
    <cellStyle name="PSInt 12" xfId="3551"/>
    <cellStyle name="PSInt 12 2" xfId="6916"/>
    <cellStyle name="PSInt 12 2 2" xfId="6917"/>
    <cellStyle name="PSInt 12 2 2 2" xfId="6918"/>
    <cellStyle name="PSInt 12 2 3" xfId="6919"/>
    <cellStyle name="PSInt 12 3" xfId="6920"/>
    <cellStyle name="PSInt 12 3 2" xfId="6921"/>
    <cellStyle name="PSInt 12 3 2 2" xfId="6922"/>
    <cellStyle name="PSInt 12 3 3" xfId="6923"/>
    <cellStyle name="PSInt 12 4" xfId="6924"/>
    <cellStyle name="PSInt 12 4 2" xfId="6925"/>
    <cellStyle name="PSInt 12 4 2 2" xfId="6926"/>
    <cellStyle name="PSInt 12 4 3" xfId="6927"/>
    <cellStyle name="PSInt 12 5" xfId="6928"/>
    <cellStyle name="PSInt 12 5 2" xfId="6929"/>
    <cellStyle name="PSInt 12 5 2 2" xfId="6930"/>
    <cellStyle name="PSInt 12 5 3" xfId="6931"/>
    <cellStyle name="PSInt 12 6" xfId="6932"/>
    <cellStyle name="PSInt 12 6 2" xfId="6933"/>
    <cellStyle name="PSInt 12 7" xfId="6934"/>
    <cellStyle name="PSInt 13" xfId="6935"/>
    <cellStyle name="PSInt 13 2" xfId="6936"/>
    <cellStyle name="PSInt 13 2 2" xfId="6937"/>
    <cellStyle name="PSInt 13 2 2 2" xfId="6938"/>
    <cellStyle name="PSInt 13 2 3" xfId="6939"/>
    <cellStyle name="PSInt 13 3" xfId="6940"/>
    <cellStyle name="PSInt 13 3 2" xfId="6941"/>
    <cellStyle name="PSInt 13 3 2 2" xfId="6942"/>
    <cellStyle name="PSInt 13 3 3" xfId="6943"/>
    <cellStyle name="PSInt 13 4" xfId="6944"/>
    <cellStyle name="PSInt 13 4 2" xfId="6945"/>
    <cellStyle name="PSInt 13 4 2 2" xfId="6946"/>
    <cellStyle name="PSInt 13 4 3" xfId="6947"/>
    <cellStyle name="PSInt 13 5" xfId="6948"/>
    <cellStyle name="PSInt 13 5 2" xfId="6949"/>
    <cellStyle name="PSInt 13 5 2 2" xfId="6950"/>
    <cellStyle name="PSInt 13 5 3" xfId="6951"/>
    <cellStyle name="PSInt 13 6" xfId="6952"/>
    <cellStyle name="PSInt 13 6 2" xfId="6953"/>
    <cellStyle name="PSInt 13 7" xfId="6954"/>
    <cellStyle name="PSInt 14" xfId="6955"/>
    <cellStyle name="PSInt 14 2" xfId="6956"/>
    <cellStyle name="PSInt 14 2 2" xfId="6957"/>
    <cellStyle name="PSInt 14 2 2 2" xfId="6958"/>
    <cellStyle name="PSInt 14 2 3" xfId="6959"/>
    <cellStyle name="PSInt 14 3" xfId="6960"/>
    <cellStyle name="PSInt 14 3 2" xfId="6961"/>
    <cellStyle name="PSInt 14 3 2 2" xfId="6962"/>
    <cellStyle name="PSInt 14 3 3" xfId="6963"/>
    <cellStyle name="PSInt 14 4" xfId="6964"/>
    <cellStyle name="PSInt 14 4 2" xfId="6965"/>
    <cellStyle name="PSInt 14 4 2 2" xfId="6966"/>
    <cellStyle name="PSInt 14 4 3" xfId="6967"/>
    <cellStyle name="PSInt 14 5" xfId="6968"/>
    <cellStyle name="PSInt 14 5 2" xfId="6969"/>
    <cellStyle name="PSInt 14 5 2 2" xfId="6970"/>
    <cellStyle name="PSInt 14 5 3" xfId="6971"/>
    <cellStyle name="PSInt 14 6" xfId="6972"/>
    <cellStyle name="PSInt 14 6 2" xfId="6973"/>
    <cellStyle name="PSInt 14 7" xfId="6974"/>
    <cellStyle name="PSInt 15" xfId="6975"/>
    <cellStyle name="PSInt 15 2" xfId="6976"/>
    <cellStyle name="PSInt 15 2 2" xfId="6977"/>
    <cellStyle name="PSInt 15 2 2 2" xfId="6978"/>
    <cellStyle name="PSInt 15 2 3" xfId="6979"/>
    <cellStyle name="PSInt 15 3" xfId="6980"/>
    <cellStyle name="PSInt 15 3 2" xfId="6981"/>
    <cellStyle name="PSInt 15 3 2 2" xfId="6982"/>
    <cellStyle name="PSInt 15 3 3" xfId="6983"/>
    <cellStyle name="PSInt 15 4" xfId="6984"/>
    <cellStyle name="PSInt 15 4 2" xfId="6985"/>
    <cellStyle name="PSInt 15 4 2 2" xfId="6986"/>
    <cellStyle name="PSInt 15 4 3" xfId="6987"/>
    <cellStyle name="PSInt 15 5" xfId="6988"/>
    <cellStyle name="PSInt 15 5 2" xfId="6989"/>
    <cellStyle name="PSInt 15 5 2 2" xfId="6990"/>
    <cellStyle name="PSInt 15 5 3" xfId="6991"/>
    <cellStyle name="PSInt 15 6" xfId="6992"/>
    <cellStyle name="PSInt 15 6 2" xfId="6993"/>
    <cellStyle name="PSInt 15 7" xfId="6994"/>
    <cellStyle name="PSInt 16" xfId="6995"/>
    <cellStyle name="PSInt 2" xfId="3552"/>
    <cellStyle name="PSInt 2 10" xfId="6996"/>
    <cellStyle name="PSInt 2 10 2" xfId="6997"/>
    <cellStyle name="PSInt 2 11" xfId="6998"/>
    <cellStyle name="PSInt 2 2" xfId="3553"/>
    <cellStyle name="PSInt 2 2 2" xfId="6999"/>
    <cellStyle name="PSInt 2 2 2 2" xfId="7000"/>
    <cellStyle name="PSInt 2 2 3" xfId="7001"/>
    <cellStyle name="PSInt 2 3" xfId="7002"/>
    <cellStyle name="PSInt 2 3 2" xfId="7003"/>
    <cellStyle name="PSInt 2 3 2 2" xfId="7004"/>
    <cellStyle name="PSInt 2 3 3" xfId="7005"/>
    <cellStyle name="PSInt 2 4" xfId="7006"/>
    <cellStyle name="PSInt 2 4 2" xfId="7007"/>
    <cellStyle name="PSInt 2 4 2 2" xfId="7008"/>
    <cellStyle name="PSInt 2 4 3" xfId="7009"/>
    <cellStyle name="PSInt 2 5" xfId="7010"/>
    <cellStyle name="PSInt 2 5 2" xfId="7011"/>
    <cellStyle name="PSInt 2 5 2 2" xfId="7012"/>
    <cellStyle name="PSInt 2 5 3" xfId="7013"/>
    <cellStyle name="PSInt 2 6" xfId="7014"/>
    <cellStyle name="PSInt 2 6 2" xfId="7015"/>
    <cellStyle name="PSInt 2 6 2 2" xfId="7016"/>
    <cellStyle name="PSInt 2 6 3" xfId="7017"/>
    <cellStyle name="PSInt 2 7" xfId="7018"/>
    <cellStyle name="PSInt 2 7 2" xfId="7019"/>
    <cellStyle name="PSInt 2 7 2 2" xfId="7020"/>
    <cellStyle name="PSInt 2 7 3" xfId="7021"/>
    <cellStyle name="PSInt 2 8" xfId="7022"/>
    <cellStyle name="PSInt 2 8 2" xfId="7023"/>
    <cellStyle name="PSInt 2 8 2 2" xfId="7024"/>
    <cellStyle name="PSInt 2 8 3" xfId="7025"/>
    <cellStyle name="PSInt 2 9" xfId="7026"/>
    <cellStyle name="PSInt 2 9 2" xfId="7027"/>
    <cellStyle name="PSInt 2 9 2 2" xfId="7028"/>
    <cellStyle name="PSInt 2 9 3" xfId="7029"/>
    <cellStyle name="PSInt 3" xfId="3554"/>
    <cellStyle name="PSInt 3 10" xfId="7030"/>
    <cellStyle name="PSInt 3 10 2" xfId="7031"/>
    <cellStyle name="PSInt 3 11" xfId="7032"/>
    <cellStyle name="PSInt 3 2" xfId="7033"/>
    <cellStyle name="PSInt 3 2 2" xfId="7034"/>
    <cellStyle name="PSInt 3 2 2 2" xfId="7035"/>
    <cellStyle name="PSInt 3 2 3" xfId="7036"/>
    <cellStyle name="PSInt 3 3" xfId="7037"/>
    <cellStyle name="PSInt 3 3 2" xfId="7038"/>
    <cellStyle name="PSInt 3 3 2 2" xfId="7039"/>
    <cellStyle name="PSInt 3 3 3" xfId="7040"/>
    <cellStyle name="PSInt 3 4" xfId="7041"/>
    <cellStyle name="PSInt 3 4 2" xfId="7042"/>
    <cellStyle name="PSInt 3 4 2 2" xfId="7043"/>
    <cellStyle name="PSInt 3 4 3" xfId="7044"/>
    <cellStyle name="PSInt 3 5" xfId="7045"/>
    <cellStyle name="PSInt 3 5 2" xfId="7046"/>
    <cellStyle name="PSInt 3 5 2 2" xfId="7047"/>
    <cellStyle name="PSInt 3 5 3" xfId="7048"/>
    <cellStyle name="PSInt 3 6" xfId="7049"/>
    <cellStyle name="PSInt 3 6 2" xfId="7050"/>
    <cellStyle name="PSInt 3 6 2 2" xfId="7051"/>
    <cellStyle name="PSInt 3 6 3" xfId="7052"/>
    <cellStyle name="PSInt 3 7" xfId="7053"/>
    <cellStyle name="PSInt 3 7 2" xfId="7054"/>
    <cellStyle name="PSInt 3 7 2 2" xfId="7055"/>
    <cellStyle name="PSInt 3 7 3" xfId="7056"/>
    <cellStyle name="PSInt 3 8" xfId="7057"/>
    <cellStyle name="PSInt 3 8 2" xfId="7058"/>
    <cellStyle name="PSInt 3 8 2 2" xfId="7059"/>
    <cellStyle name="PSInt 3 8 3" xfId="7060"/>
    <cellStyle name="PSInt 3 9" xfId="7061"/>
    <cellStyle name="PSInt 3 9 2" xfId="7062"/>
    <cellStyle name="PSInt 3 9 2 2" xfId="7063"/>
    <cellStyle name="PSInt 3 9 3" xfId="7064"/>
    <cellStyle name="PSInt 4" xfId="3555"/>
    <cellStyle name="PSInt 4 10" xfId="7065"/>
    <cellStyle name="PSInt 4 10 2" xfId="7066"/>
    <cellStyle name="PSInt 4 11" xfId="7067"/>
    <cellStyle name="PSInt 4 2" xfId="7068"/>
    <cellStyle name="PSInt 4 2 2" xfId="7069"/>
    <cellStyle name="PSInt 4 2 2 2" xfId="7070"/>
    <cellStyle name="PSInt 4 2 3" xfId="7071"/>
    <cellStyle name="PSInt 4 3" xfId="7072"/>
    <cellStyle name="PSInt 4 3 2" xfId="7073"/>
    <cellStyle name="PSInt 4 3 2 2" xfId="7074"/>
    <cellStyle name="PSInt 4 3 3" xfId="7075"/>
    <cellStyle name="PSInt 4 4" xfId="7076"/>
    <cellStyle name="PSInt 4 4 2" xfId="7077"/>
    <cellStyle name="PSInt 4 4 2 2" xfId="7078"/>
    <cellStyle name="PSInt 4 4 3" xfId="7079"/>
    <cellStyle name="PSInt 4 5" xfId="7080"/>
    <cellStyle name="PSInt 4 5 2" xfId="7081"/>
    <cellStyle name="PSInt 4 5 2 2" xfId="7082"/>
    <cellStyle name="PSInt 4 5 3" xfId="7083"/>
    <cellStyle name="PSInt 4 6" xfId="7084"/>
    <cellStyle name="PSInt 4 6 2" xfId="7085"/>
    <cellStyle name="PSInt 4 6 2 2" xfId="7086"/>
    <cellStyle name="PSInt 4 6 3" xfId="7087"/>
    <cellStyle name="PSInt 4 7" xfId="7088"/>
    <cellStyle name="PSInt 4 7 2" xfId="7089"/>
    <cellStyle name="PSInt 4 7 2 2" xfId="7090"/>
    <cellStyle name="PSInt 4 7 3" xfId="7091"/>
    <cellStyle name="PSInt 4 8" xfId="7092"/>
    <cellStyle name="PSInt 4 8 2" xfId="7093"/>
    <cellStyle name="PSInt 4 8 2 2" xfId="7094"/>
    <cellStyle name="PSInt 4 8 3" xfId="7095"/>
    <cellStyle name="PSInt 4 9" xfId="7096"/>
    <cellStyle name="PSInt 4 9 2" xfId="7097"/>
    <cellStyle name="PSInt 4 9 2 2" xfId="7098"/>
    <cellStyle name="PSInt 4 9 3" xfId="7099"/>
    <cellStyle name="PSInt 5" xfId="3556"/>
    <cellStyle name="PSInt 5 10" xfId="7100"/>
    <cellStyle name="PSInt 5 10 2" xfId="7101"/>
    <cellStyle name="PSInt 5 11" xfId="7102"/>
    <cellStyle name="PSInt 5 2" xfId="7103"/>
    <cellStyle name="PSInt 5 2 2" xfId="7104"/>
    <cellStyle name="PSInt 5 2 2 2" xfId="7105"/>
    <cellStyle name="PSInt 5 2 3" xfId="7106"/>
    <cellStyle name="PSInt 5 3" xfId="7107"/>
    <cellStyle name="PSInt 5 3 2" xfId="7108"/>
    <cellStyle name="PSInt 5 3 2 2" xfId="7109"/>
    <cellStyle name="PSInt 5 3 3" xfId="7110"/>
    <cellStyle name="PSInt 5 4" xfId="7111"/>
    <cellStyle name="PSInt 5 4 2" xfId="7112"/>
    <cellStyle name="PSInt 5 4 2 2" xfId="7113"/>
    <cellStyle name="PSInt 5 4 3" xfId="7114"/>
    <cellStyle name="PSInt 5 5" xfId="7115"/>
    <cellStyle name="PSInt 5 5 2" xfId="7116"/>
    <cellStyle name="PSInt 5 5 2 2" xfId="7117"/>
    <cellStyle name="PSInt 5 5 3" xfId="7118"/>
    <cellStyle name="PSInt 5 6" xfId="7119"/>
    <cellStyle name="PSInt 5 6 2" xfId="7120"/>
    <cellStyle name="PSInt 5 6 2 2" xfId="7121"/>
    <cellStyle name="PSInt 5 6 3" xfId="7122"/>
    <cellStyle name="PSInt 5 7" xfId="7123"/>
    <cellStyle name="PSInt 5 7 2" xfId="7124"/>
    <cellStyle name="PSInt 5 7 2 2" xfId="7125"/>
    <cellStyle name="PSInt 5 7 3" xfId="7126"/>
    <cellStyle name="PSInt 5 8" xfId="7127"/>
    <cellStyle name="PSInt 5 8 2" xfId="7128"/>
    <cellStyle name="PSInt 5 8 2 2" xfId="7129"/>
    <cellStyle name="PSInt 5 8 3" xfId="7130"/>
    <cellStyle name="PSInt 5 9" xfId="7131"/>
    <cellStyle name="PSInt 5 9 2" xfId="7132"/>
    <cellStyle name="PSInt 5 9 2 2" xfId="7133"/>
    <cellStyle name="PSInt 5 9 3" xfId="7134"/>
    <cellStyle name="PSInt 6" xfId="3557"/>
    <cellStyle name="PSInt 6 10" xfId="7135"/>
    <cellStyle name="PSInt 6 10 2" xfId="7136"/>
    <cellStyle name="PSInt 6 11" xfId="7137"/>
    <cellStyle name="PSInt 6 2" xfId="7138"/>
    <cellStyle name="PSInt 6 2 2" xfId="7139"/>
    <cellStyle name="PSInt 6 2 2 2" xfId="7140"/>
    <cellStyle name="PSInt 6 2 3" xfId="7141"/>
    <cellStyle name="PSInt 6 3" xfId="7142"/>
    <cellStyle name="PSInt 6 3 2" xfId="7143"/>
    <cellStyle name="PSInt 6 3 2 2" xfId="7144"/>
    <cellStyle name="PSInt 6 3 3" xfId="7145"/>
    <cellStyle name="PSInt 6 4" xfId="7146"/>
    <cellStyle name="PSInt 6 4 2" xfId="7147"/>
    <cellStyle name="PSInt 6 4 2 2" xfId="7148"/>
    <cellStyle name="PSInt 6 4 3" xfId="7149"/>
    <cellStyle name="PSInt 6 5" xfId="7150"/>
    <cellStyle name="PSInt 6 5 2" xfId="7151"/>
    <cellStyle name="PSInt 6 5 2 2" xfId="7152"/>
    <cellStyle name="PSInt 6 5 3" xfId="7153"/>
    <cellStyle name="PSInt 6 6" xfId="7154"/>
    <cellStyle name="PSInt 6 6 2" xfId="7155"/>
    <cellStyle name="PSInt 6 6 2 2" xfId="7156"/>
    <cellStyle name="PSInt 6 6 3" xfId="7157"/>
    <cellStyle name="PSInt 6 7" xfId="7158"/>
    <cellStyle name="PSInt 6 7 2" xfId="7159"/>
    <cellStyle name="PSInt 6 7 2 2" xfId="7160"/>
    <cellStyle name="PSInt 6 7 3" xfId="7161"/>
    <cellStyle name="PSInt 6 8" xfId="7162"/>
    <cellStyle name="PSInt 6 8 2" xfId="7163"/>
    <cellStyle name="PSInt 6 8 2 2" xfId="7164"/>
    <cellStyle name="PSInt 6 8 3" xfId="7165"/>
    <cellStyle name="PSInt 6 9" xfId="7166"/>
    <cellStyle name="PSInt 6 9 2" xfId="7167"/>
    <cellStyle name="PSInt 6 9 2 2" xfId="7168"/>
    <cellStyle name="PSInt 6 9 3" xfId="7169"/>
    <cellStyle name="PSInt 7" xfId="3558"/>
    <cellStyle name="PSInt 7 2" xfId="7170"/>
    <cellStyle name="PSInt 7 2 2" xfId="7171"/>
    <cellStyle name="PSInt 7 2 2 2" xfId="7172"/>
    <cellStyle name="PSInt 7 2 3" xfId="7173"/>
    <cellStyle name="PSInt 7 3" xfId="7174"/>
    <cellStyle name="PSInt 7 3 2" xfId="7175"/>
    <cellStyle name="PSInt 7 3 2 2" xfId="7176"/>
    <cellStyle name="PSInt 7 3 3" xfId="7177"/>
    <cellStyle name="PSInt 7 4" xfId="7178"/>
    <cellStyle name="PSInt 7 4 2" xfId="7179"/>
    <cellStyle name="PSInt 7 4 2 2" xfId="7180"/>
    <cellStyle name="PSInt 7 4 3" xfId="7181"/>
    <cellStyle name="PSInt 7 5" xfId="7182"/>
    <cellStyle name="PSInt 7 5 2" xfId="7183"/>
    <cellStyle name="PSInt 7 5 2 2" xfId="7184"/>
    <cellStyle name="PSInt 7 5 3" xfId="7185"/>
    <cellStyle name="PSInt 7 6" xfId="7186"/>
    <cellStyle name="PSInt 7 6 2" xfId="7187"/>
    <cellStyle name="PSInt 7 7" xfId="7188"/>
    <cellStyle name="PSInt 8" xfId="3559"/>
    <cellStyle name="PSInt 8 2" xfId="7189"/>
    <cellStyle name="PSInt 8 2 2" xfId="7190"/>
    <cellStyle name="PSInt 8 2 2 2" xfId="7191"/>
    <cellStyle name="PSInt 8 2 3" xfId="7192"/>
    <cellStyle name="PSInt 8 3" xfId="7193"/>
    <cellStyle name="PSInt 8 3 2" xfId="7194"/>
    <cellStyle name="PSInt 8 3 2 2" xfId="7195"/>
    <cellStyle name="PSInt 8 3 3" xfId="7196"/>
    <cellStyle name="PSInt 8 4" xfId="7197"/>
    <cellStyle name="PSInt 8 4 2" xfId="7198"/>
    <cellStyle name="PSInt 8 4 2 2" xfId="7199"/>
    <cellStyle name="PSInt 8 4 3" xfId="7200"/>
    <cellStyle name="PSInt 8 5" xfId="7201"/>
    <cellStyle name="PSInt 8 5 2" xfId="7202"/>
    <cellStyle name="PSInt 8 5 2 2" xfId="7203"/>
    <cellStyle name="PSInt 8 5 3" xfId="7204"/>
    <cellStyle name="PSInt 8 6" xfId="7205"/>
    <cellStyle name="PSInt 8 6 2" xfId="7206"/>
    <cellStyle name="PSInt 8 7" xfId="7207"/>
    <cellStyle name="PSInt 9" xfId="3560"/>
    <cellStyle name="PSInt 9 2" xfId="7208"/>
    <cellStyle name="PSInt 9 2 2" xfId="7209"/>
    <cellStyle name="PSInt 9 2 2 2" xfId="7210"/>
    <cellStyle name="PSInt 9 2 3" xfId="7211"/>
    <cellStyle name="PSInt 9 3" xfId="7212"/>
    <cellStyle name="PSInt 9 3 2" xfId="7213"/>
    <cellStyle name="PSInt 9 3 2 2" xfId="7214"/>
    <cellStyle name="PSInt 9 3 3" xfId="7215"/>
    <cellStyle name="PSInt 9 4" xfId="7216"/>
    <cellStyle name="PSInt 9 4 2" xfId="7217"/>
    <cellStyle name="PSInt 9 4 2 2" xfId="7218"/>
    <cellStyle name="PSInt 9 4 3" xfId="7219"/>
    <cellStyle name="PSInt 9 5" xfId="7220"/>
    <cellStyle name="PSInt 9 5 2" xfId="7221"/>
    <cellStyle name="PSInt 9 5 2 2" xfId="7222"/>
    <cellStyle name="PSInt 9 5 3" xfId="7223"/>
    <cellStyle name="PSInt 9 6" xfId="7224"/>
    <cellStyle name="PSInt 9 6 2" xfId="7225"/>
    <cellStyle name="PSInt 9 7" xfId="7226"/>
    <cellStyle name="PSSpacer" xfId="59"/>
    <cellStyle name="PSSpacer 10" xfId="3561"/>
    <cellStyle name="PSSpacer 10 2" xfId="7227"/>
    <cellStyle name="PSSpacer 10 2 2" xfId="7228"/>
    <cellStyle name="PSSpacer 10 2 2 2" xfId="7229"/>
    <cellStyle name="PSSpacer 10 2 3" xfId="7230"/>
    <cellStyle name="PSSpacer 10 3" xfId="7231"/>
    <cellStyle name="PSSpacer 10 3 2" xfId="7232"/>
    <cellStyle name="PSSpacer 10 3 2 2" xfId="7233"/>
    <cellStyle name="PSSpacer 10 3 3" xfId="7234"/>
    <cellStyle name="PSSpacer 10 4" xfId="7235"/>
    <cellStyle name="PSSpacer 10 4 2" xfId="7236"/>
    <cellStyle name="PSSpacer 10 4 2 2" xfId="7237"/>
    <cellStyle name="PSSpacer 10 4 3" xfId="7238"/>
    <cellStyle name="PSSpacer 10 5" xfId="7239"/>
    <cellStyle name="PSSpacer 10 5 2" xfId="7240"/>
    <cellStyle name="PSSpacer 10 5 2 2" xfId="7241"/>
    <cellStyle name="PSSpacer 10 5 3" xfId="7242"/>
    <cellStyle name="PSSpacer 10 6" xfId="7243"/>
    <cellStyle name="PSSpacer 10 6 2" xfId="7244"/>
    <cellStyle name="PSSpacer 10 7" xfId="7245"/>
    <cellStyle name="PSSpacer 11" xfId="3562"/>
    <cellStyle name="PSSpacer 11 2" xfId="7246"/>
    <cellStyle name="PSSpacer 11 2 2" xfId="7247"/>
    <cellStyle name="PSSpacer 11 2 2 2" xfId="7248"/>
    <cellStyle name="PSSpacer 11 2 3" xfId="7249"/>
    <cellStyle name="PSSpacer 11 3" xfId="7250"/>
    <cellStyle name="PSSpacer 11 3 2" xfId="7251"/>
    <cellStyle name="PSSpacer 11 3 2 2" xfId="7252"/>
    <cellStyle name="PSSpacer 11 3 3" xfId="7253"/>
    <cellStyle name="PSSpacer 11 4" xfId="7254"/>
    <cellStyle name="PSSpacer 11 4 2" xfId="7255"/>
    <cellStyle name="PSSpacer 11 4 2 2" xfId="7256"/>
    <cellStyle name="PSSpacer 11 4 3" xfId="7257"/>
    <cellStyle name="PSSpacer 11 5" xfId="7258"/>
    <cellStyle name="PSSpacer 11 5 2" xfId="7259"/>
    <cellStyle name="PSSpacer 11 5 2 2" xfId="7260"/>
    <cellStyle name="PSSpacer 11 5 3" xfId="7261"/>
    <cellStyle name="PSSpacer 11 6" xfId="7262"/>
    <cellStyle name="PSSpacer 11 6 2" xfId="7263"/>
    <cellStyle name="PSSpacer 11 7" xfId="7264"/>
    <cellStyle name="PSSpacer 12" xfId="3563"/>
    <cellStyle name="PSSpacer 12 2" xfId="7265"/>
    <cellStyle name="PSSpacer 12 2 2" xfId="7266"/>
    <cellStyle name="PSSpacer 12 2 2 2" xfId="7267"/>
    <cellStyle name="PSSpacer 12 2 3" xfId="7268"/>
    <cellStyle name="PSSpacer 12 3" xfId="7269"/>
    <cellStyle name="PSSpacer 12 3 2" xfId="7270"/>
    <cellStyle name="PSSpacer 12 3 2 2" xfId="7271"/>
    <cellStyle name="PSSpacer 12 3 3" xfId="7272"/>
    <cellStyle name="PSSpacer 12 4" xfId="7273"/>
    <cellStyle name="PSSpacer 12 4 2" xfId="7274"/>
    <cellStyle name="PSSpacer 12 4 2 2" xfId="7275"/>
    <cellStyle name="PSSpacer 12 4 3" xfId="7276"/>
    <cellStyle name="PSSpacer 12 5" xfId="7277"/>
    <cellStyle name="PSSpacer 12 5 2" xfId="7278"/>
    <cellStyle name="PSSpacer 12 5 2 2" xfId="7279"/>
    <cellStyle name="PSSpacer 12 5 3" xfId="7280"/>
    <cellStyle name="PSSpacer 12 6" xfId="7281"/>
    <cellStyle name="PSSpacer 12 6 2" xfId="7282"/>
    <cellStyle name="PSSpacer 12 7" xfId="7283"/>
    <cellStyle name="PSSpacer 13" xfId="7284"/>
    <cellStyle name="PSSpacer 13 2" xfId="7285"/>
    <cellStyle name="PSSpacer 13 2 2" xfId="7286"/>
    <cellStyle name="PSSpacer 13 2 2 2" xfId="7287"/>
    <cellStyle name="PSSpacer 13 2 3" xfId="7288"/>
    <cellStyle name="PSSpacer 13 3" xfId="7289"/>
    <cellStyle name="PSSpacer 13 3 2" xfId="7290"/>
    <cellStyle name="PSSpacer 13 3 2 2" xfId="7291"/>
    <cellStyle name="PSSpacer 13 3 3" xfId="7292"/>
    <cellStyle name="PSSpacer 13 4" xfId="7293"/>
    <cellStyle name="PSSpacer 13 4 2" xfId="7294"/>
    <cellStyle name="PSSpacer 13 4 2 2" xfId="7295"/>
    <cellStyle name="PSSpacer 13 4 3" xfId="7296"/>
    <cellStyle name="PSSpacer 13 5" xfId="7297"/>
    <cellStyle name="PSSpacer 13 5 2" xfId="7298"/>
    <cellStyle name="PSSpacer 13 5 2 2" xfId="7299"/>
    <cellStyle name="PSSpacer 13 5 3" xfId="7300"/>
    <cellStyle name="PSSpacer 13 6" xfId="7301"/>
    <cellStyle name="PSSpacer 13 6 2" xfId="7302"/>
    <cellStyle name="PSSpacer 13 7" xfId="7303"/>
    <cellStyle name="PSSpacer 14" xfId="7304"/>
    <cellStyle name="PSSpacer 14 2" xfId="7305"/>
    <cellStyle name="PSSpacer 14 2 2" xfId="7306"/>
    <cellStyle name="PSSpacer 14 2 2 2" xfId="7307"/>
    <cellStyle name="PSSpacer 14 2 3" xfId="7308"/>
    <cellStyle name="PSSpacer 14 3" xfId="7309"/>
    <cellStyle name="PSSpacer 14 3 2" xfId="7310"/>
    <cellStyle name="PSSpacer 14 3 2 2" xfId="7311"/>
    <cellStyle name="PSSpacer 14 3 3" xfId="7312"/>
    <cellStyle name="PSSpacer 14 4" xfId="7313"/>
    <cellStyle name="PSSpacer 14 4 2" xfId="7314"/>
    <cellStyle name="PSSpacer 14 4 2 2" xfId="7315"/>
    <cellStyle name="PSSpacer 14 4 3" xfId="7316"/>
    <cellStyle name="PSSpacer 14 5" xfId="7317"/>
    <cellStyle name="PSSpacer 14 5 2" xfId="7318"/>
    <cellStyle name="PSSpacer 14 5 2 2" xfId="7319"/>
    <cellStyle name="PSSpacer 14 5 3" xfId="7320"/>
    <cellStyle name="PSSpacer 14 6" xfId="7321"/>
    <cellStyle name="PSSpacer 14 6 2" xfId="7322"/>
    <cellStyle name="PSSpacer 14 7" xfId="7323"/>
    <cellStyle name="PSSpacer 15" xfId="7324"/>
    <cellStyle name="PSSpacer 15 2" xfId="7325"/>
    <cellStyle name="PSSpacer 15 2 2" xfId="7326"/>
    <cellStyle name="PSSpacer 15 2 2 2" xfId="7327"/>
    <cellStyle name="PSSpacer 15 2 3" xfId="7328"/>
    <cellStyle name="PSSpacer 15 3" xfId="7329"/>
    <cellStyle name="PSSpacer 15 3 2" xfId="7330"/>
    <cellStyle name="PSSpacer 15 3 2 2" xfId="7331"/>
    <cellStyle name="PSSpacer 15 3 3" xfId="7332"/>
    <cellStyle name="PSSpacer 15 4" xfId="7333"/>
    <cellStyle name="PSSpacer 15 4 2" xfId="7334"/>
    <cellStyle name="PSSpacer 15 4 2 2" xfId="7335"/>
    <cellStyle name="PSSpacer 15 4 3" xfId="7336"/>
    <cellStyle name="PSSpacer 15 5" xfId="7337"/>
    <cellStyle name="PSSpacer 15 5 2" xfId="7338"/>
    <cellStyle name="PSSpacer 15 5 2 2" xfId="7339"/>
    <cellStyle name="PSSpacer 15 5 3" xfId="7340"/>
    <cellStyle name="PSSpacer 15 6" xfId="7341"/>
    <cellStyle name="PSSpacer 15 6 2" xfId="7342"/>
    <cellStyle name="PSSpacer 15 7" xfId="7343"/>
    <cellStyle name="PSSpacer 16" xfId="7344"/>
    <cellStyle name="PSSpacer 2" xfId="3564"/>
    <cellStyle name="PSSpacer 2 10" xfId="7345"/>
    <cellStyle name="PSSpacer 2 10 2" xfId="7346"/>
    <cellStyle name="PSSpacer 2 11" xfId="7347"/>
    <cellStyle name="PSSpacer 2 2" xfId="3565"/>
    <cellStyle name="PSSpacer 2 2 2" xfId="7348"/>
    <cellStyle name="PSSpacer 2 2 2 2" xfId="7349"/>
    <cellStyle name="PSSpacer 2 2 3" xfId="7350"/>
    <cellStyle name="PSSpacer 2 3" xfId="7351"/>
    <cellStyle name="PSSpacer 2 3 2" xfId="7352"/>
    <cellStyle name="PSSpacer 2 3 2 2" xfId="7353"/>
    <cellStyle name="PSSpacer 2 3 3" xfId="7354"/>
    <cellStyle name="PSSpacer 2 4" xfId="7355"/>
    <cellStyle name="PSSpacer 2 4 2" xfId="7356"/>
    <cellStyle name="PSSpacer 2 4 2 2" xfId="7357"/>
    <cellStyle name="PSSpacer 2 4 3" xfId="7358"/>
    <cellStyle name="PSSpacer 2 5" xfId="7359"/>
    <cellStyle name="PSSpacer 2 5 2" xfId="7360"/>
    <cellStyle name="PSSpacer 2 5 2 2" xfId="7361"/>
    <cellStyle name="PSSpacer 2 5 3" xfId="7362"/>
    <cellStyle name="PSSpacer 2 6" xfId="7363"/>
    <cellStyle name="PSSpacer 2 6 2" xfId="7364"/>
    <cellStyle name="PSSpacer 2 6 2 2" xfId="7365"/>
    <cellStyle name="PSSpacer 2 6 3" xfId="7366"/>
    <cellStyle name="PSSpacer 2 7" xfId="7367"/>
    <cellStyle name="PSSpacer 2 7 2" xfId="7368"/>
    <cellStyle name="PSSpacer 2 7 2 2" xfId="7369"/>
    <cellStyle name="PSSpacer 2 7 3" xfId="7370"/>
    <cellStyle name="PSSpacer 2 8" xfId="7371"/>
    <cellStyle name="PSSpacer 2 8 2" xfId="7372"/>
    <cellStyle name="PSSpacer 2 8 2 2" xfId="7373"/>
    <cellStyle name="PSSpacer 2 8 3" xfId="7374"/>
    <cellStyle name="PSSpacer 2 9" xfId="7375"/>
    <cellStyle name="PSSpacer 2 9 2" xfId="7376"/>
    <cellStyle name="PSSpacer 2 9 2 2" xfId="7377"/>
    <cellStyle name="PSSpacer 2 9 3" xfId="7378"/>
    <cellStyle name="PSSpacer 3" xfId="3566"/>
    <cellStyle name="PSSpacer 3 10" xfId="7379"/>
    <cellStyle name="PSSpacer 3 10 2" xfId="7380"/>
    <cellStyle name="PSSpacer 3 11" xfId="7381"/>
    <cellStyle name="PSSpacer 3 2" xfId="7382"/>
    <cellStyle name="PSSpacer 3 2 2" xfId="7383"/>
    <cellStyle name="PSSpacer 3 2 2 2" xfId="7384"/>
    <cellStyle name="PSSpacer 3 2 3" xfId="7385"/>
    <cellStyle name="PSSpacer 3 3" xfId="7386"/>
    <cellStyle name="PSSpacer 3 3 2" xfId="7387"/>
    <cellStyle name="PSSpacer 3 3 2 2" xfId="7388"/>
    <cellStyle name="PSSpacer 3 3 3" xfId="7389"/>
    <cellStyle name="PSSpacer 3 4" xfId="7390"/>
    <cellStyle name="PSSpacer 3 4 2" xfId="7391"/>
    <cellStyle name="PSSpacer 3 4 2 2" xfId="7392"/>
    <cellStyle name="PSSpacer 3 4 3" xfId="7393"/>
    <cellStyle name="PSSpacer 3 5" xfId="7394"/>
    <cellStyle name="PSSpacer 3 5 2" xfId="7395"/>
    <cellStyle name="PSSpacer 3 5 2 2" xfId="7396"/>
    <cellStyle name="PSSpacer 3 5 3" xfId="7397"/>
    <cellStyle name="PSSpacer 3 6" xfId="7398"/>
    <cellStyle name="PSSpacer 3 6 2" xfId="7399"/>
    <cellStyle name="PSSpacer 3 6 2 2" xfId="7400"/>
    <cellStyle name="PSSpacer 3 6 3" xfId="7401"/>
    <cellStyle name="PSSpacer 3 7" xfId="7402"/>
    <cellStyle name="PSSpacer 3 7 2" xfId="7403"/>
    <cellStyle name="PSSpacer 3 7 2 2" xfId="7404"/>
    <cellStyle name="PSSpacer 3 7 3" xfId="7405"/>
    <cellStyle name="PSSpacer 3 8" xfId="7406"/>
    <cellStyle name="PSSpacer 3 8 2" xfId="7407"/>
    <cellStyle name="PSSpacer 3 8 2 2" xfId="7408"/>
    <cellStyle name="PSSpacer 3 8 3" xfId="7409"/>
    <cellStyle name="PSSpacer 3 9" xfId="7410"/>
    <cellStyle name="PSSpacer 3 9 2" xfId="7411"/>
    <cellStyle name="PSSpacer 3 9 2 2" xfId="7412"/>
    <cellStyle name="PSSpacer 3 9 3" xfId="7413"/>
    <cellStyle name="PSSpacer 4" xfId="3567"/>
    <cellStyle name="PSSpacer 4 10" xfId="7414"/>
    <cellStyle name="PSSpacer 4 10 2" xfId="7415"/>
    <cellStyle name="PSSpacer 4 11" xfId="7416"/>
    <cellStyle name="PSSpacer 4 2" xfId="7417"/>
    <cellStyle name="PSSpacer 4 2 2" xfId="7418"/>
    <cellStyle name="PSSpacer 4 2 2 2" xfId="7419"/>
    <cellStyle name="PSSpacer 4 2 3" xfId="7420"/>
    <cellStyle name="PSSpacer 4 3" xfId="7421"/>
    <cellStyle name="PSSpacer 4 3 2" xfId="7422"/>
    <cellStyle name="PSSpacer 4 3 2 2" xfId="7423"/>
    <cellStyle name="PSSpacer 4 3 3" xfId="7424"/>
    <cellStyle name="PSSpacer 4 4" xfId="7425"/>
    <cellStyle name="PSSpacer 4 4 2" xfId="7426"/>
    <cellStyle name="PSSpacer 4 4 2 2" xfId="7427"/>
    <cellStyle name="PSSpacer 4 4 3" xfId="7428"/>
    <cellStyle name="PSSpacer 4 5" xfId="7429"/>
    <cellStyle name="PSSpacer 4 5 2" xfId="7430"/>
    <cellStyle name="PSSpacer 4 5 2 2" xfId="7431"/>
    <cellStyle name="PSSpacer 4 5 3" xfId="7432"/>
    <cellStyle name="PSSpacer 4 6" xfId="7433"/>
    <cellStyle name="PSSpacer 4 6 2" xfId="7434"/>
    <cellStyle name="PSSpacer 4 6 2 2" xfId="7435"/>
    <cellStyle name="PSSpacer 4 6 3" xfId="7436"/>
    <cellStyle name="PSSpacer 4 7" xfId="7437"/>
    <cellStyle name="PSSpacer 4 7 2" xfId="7438"/>
    <cellStyle name="PSSpacer 4 7 2 2" xfId="7439"/>
    <cellStyle name="PSSpacer 4 7 3" xfId="7440"/>
    <cellStyle name="PSSpacer 4 8" xfId="7441"/>
    <cellStyle name="PSSpacer 4 8 2" xfId="7442"/>
    <cellStyle name="PSSpacer 4 8 2 2" xfId="7443"/>
    <cellStyle name="PSSpacer 4 8 3" xfId="7444"/>
    <cellStyle name="PSSpacer 4 9" xfId="7445"/>
    <cellStyle name="PSSpacer 4 9 2" xfId="7446"/>
    <cellStyle name="PSSpacer 4 9 2 2" xfId="7447"/>
    <cellStyle name="PSSpacer 4 9 3" xfId="7448"/>
    <cellStyle name="PSSpacer 5" xfId="3568"/>
    <cellStyle name="PSSpacer 5 10" xfId="7449"/>
    <cellStyle name="PSSpacer 5 10 2" xfId="7450"/>
    <cellStyle name="PSSpacer 5 11" xfId="7451"/>
    <cellStyle name="PSSpacer 5 2" xfId="7452"/>
    <cellStyle name="PSSpacer 5 2 2" xfId="7453"/>
    <cellStyle name="PSSpacer 5 2 2 2" xfId="7454"/>
    <cellStyle name="PSSpacer 5 2 3" xfId="7455"/>
    <cellStyle name="PSSpacer 5 3" xfId="7456"/>
    <cellStyle name="PSSpacer 5 3 2" xfId="7457"/>
    <cellStyle name="PSSpacer 5 3 2 2" xfId="7458"/>
    <cellStyle name="PSSpacer 5 3 3" xfId="7459"/>
    <cellStyle name="PSSpacer 5 4" xfId="7460"/>
    <cellStyle name="PSSpacer 5 4 2" xfId="7461"/>
    <cellStyle name="PSSpacer 5 4 2 2" xfId="7462"/>
    <cellStyle name="PSSpacer 5 4 3" xfId="7463"/>
    <cellStyle name="PSSpacer 5 5" xfId="7464"/>
    <cellStyle name="PSSpacer 5 5 2" xfId="7465"/>
    <cellStyle name="PSSpacer 5 5 2 2" xfId="7466"/>
    <cellStyle name="PSSpacer 5 5 3" xfId="7467"/>
    <cellStyle name="PSSpacer 5 6" xfId="7468"/>
    <cellStyle name="PSSpacer 5 6 2" xfId="7469"/>
    <cellStyle name="PSSpacer 5 6 2 2" xfId="7470"/>
    <cellStyle name="PSSpacer 5 6 3" xfId="7471"/>
    <cellStyle name="PSSpacer 5 7" xfId="7472"/>
    <cellStyle name="PSSpacer 5 7 2" xfId="7473"/>
    <cellStyle name="PSSpacer 5 7 2 2" xfId="7474"/>
    <cellStyle name="PSSpacer 5 7 3" xfId="7475"/>
    <cellStyle name="PSSpacer 5 8" xfId="7476"/>
    <cellStyle name="PSSpacer 5 8 2" xfId="7477"/>
    <cellStyle name="PSSpacer 5 8 2 2" xfId="7478"/>
    <cellStyle name="PSSpacer 5 8 3" xfId="7479"/>
    <cellStyle name="PSSpacer 5 9" xfId="7480"/>
    <cellStyle name="PSSpacer 5 9 2" xfId="7481"/>
    <cellStyle name="PSSpacer 5 9 2 2" xfId="7482"/>
    <cellStyle name="PSSpacer 5 9 3" xfId="7483"/>
    <cellStyle name="PSSpacer 6" xfId="3569"/>
    <cellStyle name="PSSpacer 6 10" xfId="7484"/>
    <cellStyle name="PSSpacer 6 10 2" xfId="7485"/>
    <cellStyle name="PSSpacer 6 11" xfId="7486"/>
    <cellStyle name="PSSpacer 6 2" xfId="7487"/>
    <cellStyle name="PSSpacer 6 2 2" xfId="7488"/>
    <cellStyle name="PSSpacer 6 2 2 2" xfId="7489"/>
    <cellStyle name="PSSpacer 6 2 3" xfId="7490"/>
    <cellStyle name="PSSpacer 6 3" xfId="7491"/>
    <cellStyle name="PSSpacer 6 3 2" xfId="7492"/>
    <cellStyle name="PSSpacer 6 3 2 2" xfId="7493"/>
    <cellStyle name="PSSpacer 6 3 3" xfId="7494"/>
    <cellStyle name="PSSpacer 6 4" xfId="7495"/>
    <cellStyle name="PSSpacer 6 4 2" xfId="7496"/>
    <cellStyle name="PSSpacer 6 4 2 2" xfId="7497"/>
    <cellStyle name="PSSpacer 6 4 3" xfId="7498"/>
    <cellStyle name="PSSpacer 6 5" xfId="7499"/>
    <cellStyle name="PSSpacer 6 5 2" xfId="7500"/>
    <cellStyle name="PSSpacer 6 5 2 2" xfId="7501"/>
    <cellStyle name="PSSpacer 6 5 3" xfId="7502"/>
    <cellStyle name="PSSpacer 6 6" xfId="7503"/>
    <cellStyle name="PSSpacer 6 6 2" xfId="7504"/>
    <cellStyle name="PSSpacer 6 6 2 2" xfId="7505"/>
    <cellStyle name="PSSpacer 6 6 3" xfId="7506"/>
    <cellStyle name="PSSpacer 6 7" xfId="7507"/>
    <cellStyle name="PSSpacer 6 7 2" xfId="7508"/>
    <cellStyle name="PSSpacer 6 7 2 2" xfId="7509"/>
    <cellStyle name="PSSpacer 6 7 3" xfId="7510"/>
    <cellStyle name="PSSpacer 6 8" xfId="7511"/>
    <cellStyle name="PSSpacer 6 8 2" xfId="7512"/>
    <cellStyle name="PSSpacer 6 8 2 2" xfId="7513"/>
    <cellStyle name="PSSpacer 6 8 3" xfId="7514"/>
    <cellStyle name="PSSpacer 6 9" xfId="7515"/>
    <cellStyle name="PSSpacer 6 9 2" xfId="7516"/>
    <cellStyle name="PSSpacer 6 9 2 2" xfId="7517"/>
    <cellStyle name="PSSpacer 6 9 3" xfId="7518"/>
    <cellStyle name="PSSpacer 7" xfId="3570"/>
    <cellStyle name="PSSpacer 7 2" xfId="7519"/>
    <cellStyle name="PSSpacer 7 2 2" xfId="7520"/>
    <cellStyle name="PSSpacer 7 2 2 2" xfId="7521"/>
    <cellStyle name="PSSpacer 7 2 3" xfId="7522"/>
    <cellStyle name="PSSpacer 7 3" xfId="7523"/>
    <cellStyle name="PSSpacer 7 3 2" xfId="7524"/>
    <cellStyle name="PSSpacer 7 3 2 2" xfId="7525"/>
    <cellStyle name="PSSpacer 7 3 3" xfId="7526"/>
    <cellStyle name="PSSpacer 7 4" xfId="7527"/>
    <cellStyle name="PSSpacer 7 4 2" xfId="7528"/>
    <cellStyle name="PSSpacer 7 4 2 2" xfId="7529"/>
    <cellStyle name="PSSpacer 7 4 3" xfId="7530"/>
    <cellStyle name="PSSpacer 7 5" xfId="7531"/>
    <cellStyle name="PSSpacer 7 5 2" xfId="7532"/>
    <cellStyle name="PSSpacer 7 5 2 2" xfId="7533"/>
    <cellStyle name="PSSpacer 7 5 3" xfId="7534"/>
    <cellStyle name="PSSpacer 7 6" xfId="7535"/>
    <cellStyle name="PSSpacer 7 6 2" xfId="7536"/>
    <cellStyle name="PSSpacer 7 7" xfId="7537"/>
    <cellStyle name="PSSpacer 8" xfId="3571"/>
    <cellStyle name="PSSpacer 8 2" xfId="7538"/>
    <cellStyle name="PSSpacer 8 2 2" xfId="7539"/>
    <cellStyle name="PSSpacer 8 2 2 2" xfId="7540"/>
    <cellStyle name="PSSpacer 8 2 3" xfId="7541"/>
    <cellStyle name="PSSpacer 8 3" xfId="7542"/>
    <cellStyle name="PSSpacer 8 3 2" xfId="7543"/>
    <cellStyle name="PSSpacer 8 3 2 2" xfId="7544"/>
    <cellStyle name="PSSpacer 8 3 3" xfId="7545"/>
    <cellStyle name="PSSpacer 8 4" xfId="7546"/>
    <cellStyle name="PSSpacer 8 4 2" xfId="7547"/>
    <cellStyle name="PSSpacer 8 4 2 2" xfId="7548"/>
    <cellStyle name="PSSpacer 8 4 3" xfId="7549"/>
    <cellStyle name="PSSpacer 8 5" xfId="7550"/>
    <cellStyle name="PSSpacer 8 5 2" xfId="7551"/>
    <cellStyle name="PSSpacer 8 5 2 2" xfId="7552"/>
    <cellStyle name="PSSpacer 8 5 3" xfId="7553"/>
    <cellStyle name="PSSpacer 8 6" xfId="7554"/>
    <cellStyle name="PSSpacer 8 6 2" xfId="7555"/>
    <cellStyle name="PSSpacer 8 7" xfId="7556"/>
    <cellStyle name="PSSpacer 9" xfId="3572"/>
    <cellStyle name="PSSpacer 9 2" xfId="7557"/>
    <cellStyle name="PSSpacer 9 2 2" xfId="7558"/>
    <cellStyle name="PSSpacer 9 2 2 2" xfId="7559"/>
    <cellStyle name="PSSpacer 9 2 3" xfId="7560"/>
    <cellStyle name="PSSpacer 9 3" xfId="7561"/>
    <cellStyle name="PSSpacer 9 3 2" xfId="7562"/>
    <cellStyle name="PSSpacer 9 3 2 2" xfId="7563"/>
    <cellStyle name="PSSpacer 9 3 3" xfId="7564"/>
    <cellStyle name="PSSpacer 9 4" xfId="7565"/>
    <cellStyle name="PSSpacer 9 4 2" xfId="7566"/>
    <cellStyle name="PSSpacer 9 4 2 2" xfId="7567"/>
    <cellStyle name="PSSpacer 9 4 3" xfId="7568"/>
    <cellStyle name="PSSpacer 9 5" xfId="7569"/>
    <cellStyle name="PSSpacer 9 5 2" xfId="7570"/>
    <cellStyle name="PSSpacer 9 5 2 2" xfId="7571"/>
    <cellStyle name="PSSpacer 9 5 3" xfId="7572"/>
    <cellStyle name="PSSpacer 9 6" xfId="7573"/>
    <cellStyle name="PSSpacer 9 6 2" xfId="7574"/>
    <cellStyle name="PSSpacer 9 7" xfId="7575"/>
    <cellStyle name="RangeBelow" xfId="3573"/>
    <cellStyle name="RangeBelow 10" xfId="7576"/>
    <cellStyle name="RangeBelow 10 2" xfId="7577"/>
    <cellStyle name="RangeBelow 10 2 2" xfId="7578"/>
    <cellStyle name="RangeBelow 10 2 2 2" xfId="7579"/>
    <cellStyle name="RangeBelow 10 2 3" xfId="7580"/>
    <cellStyle name="RangeBelow 10 3" xfId="7581"/>
    <cellStyle name="RangeBelow 10 3 2" xfId="7582"/>
    <cellStyle name="RangeBelow 10 3 2 2" xfId="7583"/>
    <cellStyle name="RangeBelow 10 3 3" xfId="7584"/>
    <cellStyle name="RangeBelow 10 4" xfId="7585"/>
    <cellStyle name="RangeBelow 10 4 2" xfId="7586"/>
    <cellStyle name="RangeBelow 10 4 2 2" xfId="7587"/>
    <cellStyle name="RangeBelow 10 4 3" xfId="7588"/>
    <cellStyle name="RangeBelow 10 5" xfId="7589"/>
    <cellStyle name="RangeBelow 10 5 2" xfId="7590"/>
    <cellStyle name="RangeBelow 10 5 2 2" xfId="7591"/>
    <cellStyle name="RangeBelow 10 5 3" xfId="7592"/>
    <cellStyle name="RangeBelow 10 6" xfId="7593"/>
    <cellStyle name="RangeBelow 10 6 2" xfId="7594"/>
    <cellStyle name="RangeBelow 10 7" xfId="7595"/>
    <cellStyle name="RangeBelow 11" xfId="7596"/>
    <cellStyle name="RangeBelow 11 2" xfId="7597"/>
    <cellStyle name="RangeBelow 11 2 2" xfId="7598"/>
    <cellStyle name="RangeBelow 11 2 2 2" xfId="7599"/>
    <cellStyle name="RangeBelow 11 2 3" xfId="7600"/>
    <cellStyle name="RangeBelow 11 3" xfId="7601"/>
    <cellStyle name="RangeBelow 11 3 2" xfId="7602"/>
    <cellStyle name="RangeBelow 11 3 2 2" xfId="7603"/>
    <cellStyle name="RangeBelow 11 3 3" xfId="7604"/>
    <cellStyle name="RangeBelow 11 4" xfId="7605"/>
    <cellStyle name="RangeBelow 11 4 2" xfId="7606"/>
    <cellStyle name="RangeBelow 11 4 2 2" xfId="7607"/>
    <cellStyle name="RangeBelow 11 4 3" xfId="7608"/>
    <cellStyle name="RangeBelow 11 5" xfId="7609"/>
    <cellStyle name="RangeBelow 11 5 2" xfId="7610"/>
    <cellStyle name="RangeBelow 11 5 2 2" xfId="7611"/>
    <cellStyle name="RangeBelow 11 5 3" xfId="7612"/>
    <cellStyle name="RangeBelow 11 6" xfId="7613"/>
    <cellStyle name="RangeBelow 11 6 2" xfId="7614"/>
    <cellStyle name="RangeBelow 11 7" xfId="7615"/>
    <cellStyle name="RangeBelow 12" xfId="7616"/>
    <cellStyle name="RangeBelow 12 2" xfId="7617"/>
    <cellStyle name="RangeBelow 12 2 2" xfId="7618"/>
    <cellStyle name="RangeBelow 12 2 2 2" xfId="7619"/>
    <cellStyle name="RangeBelow 12 2 3" xfId="7620"/>
    <cellStyle name="RangeBelow 12 3" xfId="7621"/>
    <cellStyle name="RangeBelow 12 3 2" xfId="7622"/>
    <cellStyle name="RangeBelow 12 3 2 2" xfId="7623"/>
    <cellStyle name="RangeBelow 12 3 3" xfId="7624"/>
    <cellStyle name="RangeBelow 12 4" xfId="7625"/>
    <cellStyle name="RangeBelow 12 4 2" xfId="7626"/>
    <cellStyle name="RangeBelow 12 4 2 2" xfId="7627"/>
    <cellStyle name="RangeBelow 12 4 3" xfId="7628"/>
    <cellStyle name="RangeBelow 12 5" xfId="7629"/>
    <cellStyle name="RangeBelow 12 5 2" xfId="7630"/>
    <cellStyle name="RangeBelow 12 5 2 2" xfId="7631"/>
    <cellStyle name="RangeBelow 12 5 3" xfId="7632"/>
    <cellStyle name="RangeBelow 12 6" xfId="7633"/>
    <cellStyle name="RangeBelow 12 6 2" xfId="7634"/>
    <cellStyle name="RangeBelow 12 7" xfId="7635"/>
    <cellStyle name="RangeBelow 13" xfId="7636"/>
    <cellStyle name="RangeBelow 13 2" xfId="7637"/>
    <cellStyle name="RangeBelow 13 2 2" xfId="7638"/>
    <cellStyle name="RangeBelow 13 2 2 2" xfId="7639"/>
    <cellStyle name="RangeBelow 13 2 3" xfId="7640"/>
    <cellStyle name="RangeBelow 13 3" xfId="7641"/>
    <cellStyle name="RangeBelow 13 3 2" xfId="7642"/>
    <cellStyle name="RangeBelow 13 3 2 2" xfId="7643"/>
    <cellStyle name="RangeBelow 13 3 3" xfId="7644"/>
    <cellStyle name="RangeBelow 13 4" xfId="7645"/>
    <cellStyle name="RangeBelow 13 4 2" xfId="7646"/>
    <cellStyle name="RangeBelow 13 4 2 2" xfId="7647"/>
    <cellStyle name="RangeBelow 13 4 3" xfId="7648"/>
    <cellStyle name="RangeBelow 13 5" xfId="7649"/>
    <cellStyle name="RangeBelow 13 5 2" xfId="7650"/>
    <cellStyle name="RangeBelow 13 5 2 2" xfId="7651"/>
    <cellStyle name="RangeBelow 13 5 3" xfId="7652"/>
    <cellStyle name="RangeBelow 13 6" xfId="7653"/>
    <cellStyle name="RangeBelow 13 6 2" xfId="7654"/>
    <cellStyle name="RangeBelow 13 7" xfId="7655"/>
    <cellStyle name="RangeBelow 14" xfId="7656"/>
    <cellStyle name="RangeBelow 14 2" xfId="7657"/>
    <cellStyle name="RangeBelow 14 2 2" xfId="7658"/>
    <cellStyle name="RangeBelow 14 2 2 2" xfId="7659"/>
    <cellStyle name="RangeBelow 14 2 3" xfId="7660"/>
    <cellStyle name="RangeBelow 14 3" xfId="7661"/>
    <cellStyle name="RangeBelow 14 3 2" xfId="7662"/>
    <cellStyle name="RangeBelow 14 3 2 2" xfId="7663"/>
    <cellStyle name="RangeBelow 14 3 3" xfId="7664"/>
    <cellStyle name="RangeBelow 14 4" xfId="7665"/>
    <cellStyle name="RangeBelow 14 4 2" xfId="7666"/>
    <cellStyle name="RangeBelow 14 4 2 2" xfId="7667"/>
    <cellStyle name="RangeBelow 14 4 3" xfId="7668"/>
    <cellStyle name="RangeBelow 14 5" xfId="7669"/>
    <cellStyle name="RangeBelow 14 5 2" xfId="7670"/>
    <cellStyle name="RangeBelow 14 5 2 2" xfId="7671"/>
    <cellStyle name="RangeBelow 14 5 3" xfId="7672"/>
    <cellStyle name="RangeBelow 14 6" xfId="7673"/>
    <cellStyle name="RangeBelow 14 6 2" xfId="7674"/>
    <cellStyle name="RangeBelow 14 7" xfId="7675"/>
    <cellStyle name="RangeBelow 15" xfId="7676"/>
    <cellStyle name="RangeBelow 15 2" xfId="7677"/>
    <cellStyle name="RangeBelow 15 2 2" xfId="7678"/>
    <cellStyle name="RangeBelow 15 2 2 2" xfId="7679"/>
    <cellStyle name="RangeBelow 15 2 3" xfId="7680"/>
    <cellStyle name="RangeBelow 15 3" xfId="7681"/>
    <cellStyle name="RangeBelow 15 3 2" xfId="7682"/>
    <cellStyle name="RangeBelow 15 3 2 2" xfId="7683"/>
    <cellStyle name="RangeBelow 15 3 3" xfId="7684"/>
    <cellStyle name="RangeBelow 15 4" xfId="7685"/>
    <cellStyle name="RangeBelow 15 4 2" xfId="7686"/>
    <cellStyle name="RangeBelow 15 4 2 2" xfId="7687"/>
    <cellStyle name="RangeBelow 15 4 3" xfId="7688"/>
    <cellStyle name="RangeBelow 15 5" xfId="7689"/>
    <cellStyle name="RangeBelow 15 5 2" xfId="7690"/>
    <cellStyle name="RangeBelow 15 5 2 2" xfId="7691"/>
    <cellStyle name="RangeBelow 15 5 3" xfId="7692"/>
    <cellStyle name="RangeBelow 15 6" xfId="7693"/>
    <cellStyle name="RangeBelow 15 6 2" xfId="7694"/>
    <cellStyle name="RangeBelow 15 7" xfId="7695"/>
    <cellStyle name="RangeBelow 16" xfId="7696"/>
    <cellStyle name="RangeBelow 2" xfId="3574"/>
    <cellStyle name="RangeBelow 2 10" xfId="7697"/>
    <cellStyle name="RangeBelow 2 10 2" xfId="7698"/>
    <cellStyle name="RangeBelow 2 11" xfId="7699"/>
    <cellStyle name="RangeBelow 2 2" xfId="3575"/>
    <cellStyle name="RangeBelow 2 2 2" xfId="7700"/>
    <cellStyle name="RangeBelow 2 2 2 2" xfId="7701"/>
    <cellStyle name="RangeBelow 2 2 3" xfId="7702"/>
    <cellStyle name="RangeBelow 2 3" xfId="7703"/>
    <cellStyle name="RangeBelow 2 3 2" xfId="7704"/>
    <cellStyle name="RangeBelow 2 3 2 2" xfId="7705"/>
    <cellStyle name="RangeBelow 2 3 3" xfId="7706"/>
    <cellStyle name="RangeBelow 2 4" xfId="7707"/>
    <cellStyle name="RangeBelow 2 4 2" xfId="7708"/>
    <cellStyle name="RangeBelow 2 4 2 2" xfId="7709"/>
    <cellStyle name="RangeBelow 2 4 3" xfId="7710"/>
    <cellStyle name="RangeBelow 2 5" xfId="7711"/>
    <cellStyle name="RangeBelow 2 5 2" xfId="7712"/>
    <cellStyle name="RangeBelow 2 5 2 2" xfId="7713"/>
    <cellStyle name="RangeBelow 2 5 3" xfId="7714"/>
    <cellStyle name="RangeBelow 2 6" xfId="7715"/>
    <cellStyle name="RangeBelow 2 6 2" xfId="7716"/>
    <cellStyle name="RangeBelow 2 6 2 2" xfId="7717"/>
    <cellStyle name="RangeBelow 2 6 3" xfId="7718"/>
    <cellStyle name="RangeBelow 2 7" xfId="7719"/>
    <cellStyle name="RangeBelow 2 7 2" xfId="7720"/>
    <cellStyle name="RangeBelow 2 7 2 2" xfId="7721"/>
    <cellStyle name="RangeBelow 2 7 3" xfId="7722"/>
    <cellStyle name="RangeBelow 2 8" xfId="7723"/>
    <cellStyle name="RangeBelow 2 8 2" xfId="7724"/>
    <cellStyle name="RangeBelow 2 8 2 2" xfId="7725"/>
    <cellStyle name="RangeBelow 2 8 3" xfId="7726"/>
    <cellStyle name="RangeBelow 2 9" xfId="7727"/>
    <cellStyle name="RangeBelow 2 9 2" xfId="7728"/>
    <cellStyle name="RangeBelow 2 9 2 2" xfId="7729"/>
    <cellStyle name="RangeBelow 2 9 3" xfId="7730"/>
    <cellStyle name="RangeBelow 3" xfId="3576"/>
    <cellStyle name="RangeBelow 3 10" xfId="7731"/>
    <cellStyle name="RangeBelow 3 10 2" xfId="7732"/>
    <cellStyle name="RangeBelow 3 11" xfId="7733"/>
    <cellStyle name="RangeBelow 3 2" xfId="7734"/>
    <cellStyle name="RangeBelow 3 2 2" xfId="7735"/>
    <cellStyle name="RangeBelow 3 2 2 2" xfId="7736"/>
    <cellStyle name="RangeBelow 3 2 3" xfId="7737"/>
    <cellStyle name="RangeBelow 3 3" xfId="7738"/>
    <cellStyle name="RangeBelow 3 3 2" xfId="7739"/>
    <cellStyle name="RangeBelow 3 3 2 2" xfId="7740"/>
    <cellStyle name="RangeBelow 3 3 3" xfId="7741"/>
    <cellStyle name="RangeBelow 3 4" xfId="7742"/>
    <cellStyle name="RangeBelow 3 4 2" xfId="7743"/>
    <cellStyle name="RangeBelow 3 4 2 2" xfId="7744"/>
    <cellStyle name="RangeBelow 3 4 3" xfId="7745"/>
    <cellStyle name="RangeBelow 3 5" xfId="7746"/>
    <cellStyle name="RangeBelow 3 5 2" xfId="7747"/>
    <cellStyle name="RangeBelow 3 5 2 2" xfId="7748"/>
    <cellStyle name="RangeBelow 3 5 3" xfId="7749"/>
    <cellStyle name="RangeBelow 3 6" xfId="7750"/>
    <cellStyle name="RangeBelow 3 6 2" xfId="7751"/>
    <cellStyle name="RangeBelow 3 6 2 2" xfId="7752"/>
    <cellStyle name="RangeBelow 3 6 3" xfId="7753"/>
    <cellStyle name="RangeBelow 3 7" xfId="7754"/>
    <cellStyle name="RangeBelow 3 7 2" xfId="7755"/>
    <cellStyle name="RangeBelow 3 7 2 2" xfId="7756"/>
    <cellStyle name="RangeBelow 3 7 3" xfId="7757"/>
    <cellStyle name="RangeBelow 3 8" xfId="7758"/>
    <cellStyle name="RangeBelow 3 8 2" xfId="7759"/>
    <cellStyle name="RangeBelow 3 8 2 2" xfId="7760"/>
    <cellStyle name="RangeBelow 3 8 3" xfId="7761"/>
    <cellStyle name="RangeBelow 3 9" xfId="7762"/>
    <cellStyle name="RangeBelow 3 9 2" xfId="7763"/>
    <cellStyle name="RangeBelow 3 9 2 2" xfId="7764"/>
    <cellStyle name="RangeBelow 3 9 3" xfId="7765"/>
    <cellStyle name="RangeBelow 4" xfId="7766"/>
    <cellStyle name="RangeBelow 4 10" xfId="7767"/>
    <cellStyle name="RangeBelow 4 10 2" xfId="7768"/>
    <cellStyle name="RangeBelow 4 11" xfId="7769"/>
    <cellStyle name="RangeBelow 4 2" xfId="7770"/>
    <cellStyle name="RangeBelow 4 2 2" xfId="7771"/>
    <cellStyle name="RangeBelow 4 2 2 2" xfId="7772"/>
    <cellStyle name="RangeBelow 4 2 3" xfId="7773"/>
    <cellStyle name="RangeBelow 4 3" xfId="7774"/>
    <cellStyle name="RangeBelow 4 3 2" xfId="7775"/>
    <cellStyle name="RangeBelow 4 3 2 2" xfId="7776"/>
    <cellStyle name="RangeBelow 4 3 3" xfId="7777"/>
    <cellStyle name="RangeBelow 4 4" xfId="7778"/>
    <cellStyle name="RangeBelow 4 4 2" xfId="7779"/>
    <cellStyle name="RangeBelow 4 4 2 2" xfId="7780"/>
    <cellStyle name="RangeBelow 4 4 3" xfId="7781"/>
    <cellStyle name="RangeBelow 4 5" xfId="7782"/>
    <cellStyle name="RangeBelow 4 5 2" xfId="7783"/>
    <cellStyle name="RangeBelow 4 5 2 2" xfId="7784"/>
    <cellStyle name="RangeBelow 4 5 3" xfId="7785"/>
    <cellStyle name="RangeBelow 4 6" xfId="7786"/>
    <cellStyle name="RangeBelow 4 6 2" xfId="7787"/>
    <cellStyle name="RangeBelow 4 6 2 2" xfId="7788"/>
    <cellStyle name="RangeBelow 4 6 3" xfId="7789"/>
    <cellStyle name="RangeBelow 4 7" xfId="7790"/>
    <cellStyle name="RangeBelow 4 7 2" xfId="7791"/>
    <cellStyle name="RangeBelow 4 7 2 2" xfId="7792"/>
    <cellStyle name="RangeBelow 4 7 3" xfId="7793"/>
    <cellStyle name="RangeBelow 4 8" xfId="7794"/>
    <cellStyle name="RangeBelow 4 8 2" xfId="7795"/>
    <cellStyle name="RangeBelow 4 8 2 2" xfId="7796"/>
    <cellStyle name="RangeBelow 4 8 3" xfId="7797"/>
    <cellStyle name="RangeBelow 4 9" xfId="7798"/>
    <cellStyle name="RangeBelow 4 9 2" xfId="7799"/>
    <cellStyle name="RangeBelow 4 9 2 2" xfId="7800"/>
    <cellStyle name="RangeBelow 4 9 3" xfId="7801"/>
    <cellStyle name="RangeBelow 5" xfId="7802"/>
    <cellStyle name="RangeBelow 5 10" xfId="7803"/>
    <cellStyle name="RangeBelow 5 10 2" xfId="7804"/>
    <cellStyle name="RangeBelow 5 11" xfId="7805"/>
    <cellStyle name="RangeBelow 5 2" xfId="7806"/>
    <cellStyle name="RangeBelow 5 2 2" xfId="7807"/>
    <cellStyle name="RangeBelow 5 2 2 2" xfId="7808"/>
    <cellStyle name="RangeBelow 5 2 3" xfId="7809"/>
    <cellStyle name="RangeBelow 5 3" xfId="7810"/>
    <cellStyle name="RangeBelow 5 3 2" xfId="7811"/>
    <cellStyle name="RangeBelow 5 3 2 2" xfId="7812"/>
    <cellStyle name="RangeBelow 5 3 3" xfId="7813"/>
    <cellStyle name="RangeBelow 5 4" xfId="7814"/>
    <cellStyle name="RangeBelow 5 4 2" xfId="7815"/>
    <cellStyle name="RangeBelow 5 4 2 2" xfId="7816"/>
    <cellStyle name="RangeBelow 5 4 3" xfId="7817"/>
    <cellStyle name="RangeBelow 5 5" xfId="7818"/>
    <cellStyle name="RangeBelow 5 5 2" xfId="7819"/>
    <cellStyle name="RangeBelow 5 5 2 2" xfId="7820"/>
    <cellStyle name="RangeBelow 5 5 3" xfId="7821"/>
    <cellStyle name="RangeBelow 5 6" xfId="7822"/>
    <cellStyle name="RangeBelow 5 6 2" xfId="7823"/>
    <cellStyle name="RangeBelow 5 6 2 2" xfId="7824"/>
    <cellStyle name="RangeBelow 5 6 3" xfId="7825"/>
    <cellStyle name="RangeBelow 5 7" xfId="7826"/>
    <cellStyle name="RangeBelow 5 7 2" xfId="7827"/>
    <cellStyle name="RangeBelow 5 7 2 2" xfId="7828"/>
    <cellStyle name="RangeBelow 5 7 3" xfId="7829"/>
    <cellStyle name="RangeBelow 5 8" xfId="7830"/>
    <cellStyle name="RangeBelow 5 8 2" xfId="7831"/>
    <cellStyle name="RangeBelow 5 8 2 2" xfId="7832"/>
    <cellStyle name="RangeBelow 5 8 3" xfId="7833"/>
    <cellStyle name="RangeBelow 5 9" xfId="7834"/>
    <cellStyle name="RangeBelow 5 9 2" xfId="7835"/>
    <cellStyle name="RangeBelow 5 9 2 2" xfId="7836"/>
    <cellStyle name="RangeBelow 5 9 3" xfId="7837"/>
    <cellStyle name="RangeBelow 6" xfId="7838"/>
    <cellStyle name="RangeBelow 6 10" xfId="7839"/>
    <cellStyle name="RangeBelow 6 10 2" xfId="7840"/>
    <cellStyle name="RangeBelow 6 11" xfId="7841"/>
    <cellStyle name="RangeBelow 6 2" xfId="7842"/>
    <cellStyle name="RangeBelow 6 2 2" xfId="7843"/>
    <cellStyle name="RangeBelow 6 2 2 2" xfId="7844"/>
    <cellStyle name="RangeBelow 6 2 3" xfId="7845"/>
    <cellStyle name="RangeBelow 6 3" xfId="7846"/>
    <cellStyle name="RangeBelow 6 3 2" xfId="7847"/>
    <cellStyle name="RangeBelow 6 3 2 2" xfId="7848"/>
    <cellStyle name="RangeBelow 6 3 3" xfId="7849"/>
    <cellStyle name="RangeBelow 6 4" xfId="7850"/>
    <cellStyle name="RangeBelow 6 4 2" xfId="7851"/>
    <cellStyle name="RangeBelow 6 4 2 2" xfId="7852"/>
    <cellStyle name="RangeBelow 6 4 3" xfId="7853"/>
    <cellStyle name="RangeBelow 6 5" xfId="7854"/>
    <cellStyle name="RangeBelow 6 5 2" xfId="7855"/>
    <cellStyle name="RangeBelow 6 5 2 2" xfId="7856"/>
    <cellStyle name="RangeBelow 6 5 3" xfId="7857"/>
    <cellStyle name="RangeBelow 6 6" xfId="7858"/>
    <cellStyle name="RangeBelow 6 6 2" xfId="7859"/>
    <cellStyle name="RangeBelow 6 6 2 2" xfId="7860"/>
    <cellStyle name="RangeBelow 6 6 3" xfId="7861"/>
    <cellStyle name="RangeBelow 6 7" xfId="7862"/>
    <cellStyle name="RangeBelow 6 7 2" xfId="7863"/>
    <cellStyle name="RangeBelow 6 7 2 2" xfId="7864"/>
    <cellStyle name="RangeBelow 6 7 3" xfId="7865"/>
    <cellStyle name="RangeBelow 6 8" xfId="7866"/>
    <cellStyle name="RangeBelow 6 8 2" xfId="7867"/>
    <cellStyle name="RangeBelow 6 8 2 2" xfId="7868"/>
    <cellStyle name="RangeBelow 6 8 3" xfId="7869"/>
    <cellStyle name="RangeBelow 6 9" xfId="7870"/>
    <cellStyle name="RangeBelow 6 9 2" xfId="7871"/>
    <cellStyle name="RangeBelow 6 9 2 2" xfId="7872"/>
    <cellStyle name="RangeBelow 6 9 3" xfId="7873"/>
    <cellStyle name="RangeBelow 7" xfId="7874"/>
    <cellStyle name="RangeBelow 7 2" xfId="7875"/>
    <cellStyle name="RangeBelow 7 2 2" xfId="7876"/>
    <cellStyle name="RangeBelow 7 2 2 2" xfId="7877"/>
    <cellStyle name="RangeBelow 7 2 3" xfId="7878"/>
    <cellStyle name="RangeBelow 7 3" xfId="7879"/>
    <cellStyle name="RangeBelow 7 3 2" xfId="7880"/>
    <cellStyle name="RangeBelow 7 3 2 2" xfId="7881"/>
    <cellStyle name="RangeBelow 7 3 3" xfId="7882"/>
    <cellStyle name="RangeBelow 7 4" xfId="7883"/>
    <cellStyle name="RangeBelow 7 4 2" xfId="7884"/>
    <cellStyle name="RangeBelow 7 4 2 2" xfId="7885"/>
    <cellStyle name="RangeBelow 7 4 3" xfId="7886"/>
    <cellStyle name="RangeBelow 7 5" xfId="7887"/>
    <cellStyle name="RangeBelow 7 5 2" xfId="7888"/>
    <cellStyle name="RangeBelow 7 5 2 2" xfId="7889"/>
    <cellStyle name="RangeBelow 7 5 3" xfId="7890"/>
    <cellStyle name="RangeBelow 7 6" xfId="7891"/>
    <cellStyle name="RangeBelow 7 6 2" xfId="7892"/>
    <cellStyle name="RangeBelow 7 7" xfId="7893"/>
    <cellStyle name="RangeBelow 8" xfId="7894"/>
    <cellStyle name="RangeBelow 8 2" xfId="7895"/>
    <cellStyle name="RangeBelow 8 2 2" xfId="7896"/>
    <cellStyle name="RangeBelow 8 2 2 2" xfId="7897"/>
    <cellStyle name="RangeBelow 8 2 3" xfId="7898"/>
    <cellStyle name="RangeBelow 8 3" xfId="7899"/>
    <cellStyle name="RangeBelow 8 3 2" xfId="7900"/>
    <cellStyle name="RangeBelow 8 3 2 2" xfId="7901"/>
    <cellStyle name="RangeBelow 8 3 3" xfId="7902"/>
    <cellStyle name="RangeBelow 8 4" xfId="7903"/>
    <cellStyle name="RangeBelow 8 4 2" xfId="7904"/>
    <cellStyle name="RangeBelow 8 4 2 2" xfId="7905"/>
    <cellStyle name="RangeBelow 8 4 3" xfId="7906"/>
    <cellStyle name="RangeBelow 8 5" xfId="7907"/>
    <cellStyle name="RangeBelow 8 5 2" xfId="7908"/>
    <cellStyle name="RangeBelow 8 5 2 2" xfId="7909"/>
    <cellStyle name="RangeBelow 8 5 3" xfId="7910"/>
    <cellStyle name="RangeBelow 8 6" xfId="7911"/>
    <cellStyle name="RangeBelow 8 6 2" xfId="7912"/>
    <cellStyle name="RangeBelow 8 7" xfId="7913"/>
    <cellStyle name="RangeBelow 9" xfId="7914"/>
    <cellStyle name="RangeBelow 9 2" xfId="7915"/>
    <cellStyle name="RangeBelow 9 2 2" xfId="7916"/>
    <cellStyle name="RangeBelow 9 2 2 2" xfId="7917"/>
    <cellStyle name="RangeBelow 9 2 3" xfId="7918"/>
    <cellStyle name="RangeBelow 9 3" xfId="7919"/>
    <cellStyle name="RangeBelow 9 3 2" xfId="7920"/>
    <cellStyle name="RangeBelow 9 3 2 2" xfId="7921"/>
    <cellStyle name="RangeBelow 9 3 3" xfId="7922"/>
    <cellStyle name="RangeBelow 9 4" xfId="7923"/>
    <cellStyle name="RangeBelow 9 4 2" xfId="7924"/>
    <cellStyle name="RangeBelow 9 4 2 2" xfId="7925"/>
    <cellStyle name="RangeBelow 9 4 3" xfId="7926"/>
    <cellStyle name="RangeBelow 9 5" xfId="7927"/>
    <cellStyle name="RangeBelow 9 5 2" xfId="7928"/>
    <cellStyle name="RangeBelow 9 5 2 2" xfId="7929"/>
    <cellStyle name="RangeBelow 9 5 3" xfId="7930"/>
    <cellStyle name="RangeBelow 9 6" xfId="7931"/>
    <cellStyle name="RangeBelow 9 6 2" xfId="7932"/>
    <cellStyle name="RangeBelow 9 7" xfId="7933"/>
    <cellStyle name="RangeBelow_11-03.1 Pepco" xfId="3577"/>
    <cellStyle name="ROW #'S" xfId="3578"/>
    <cellStyle name="RowLevel_1 2" xfId="7934"/>
    <cellStyle name="SAPBEXaggData" xfId="3579"/>
    <cellStyle name="SAPBEXaggDataEmph" xfId="3580"/>
    <cellStyle name="SAPBEXaggItem" xfId="3581"/>
    <cellStyle name="SAPBEXaggItemX" xfId="3582"/>
    <cellStyle name="SAPBEXchaText" xfId="3583"/>
    <cellStyle name="SAPBEXchaText 2" xfId="3584"/>
    <cellStyle name="SAPBEXchaText 2 2" xfId="3585"/>
    <cellStyle name="SAPBEXchaText 2 2 2" xfId="3586"/>
    <cellStyle name="SAPBEXchaText 2 3" xfId="3587"/>
    <cellStyle name="SAPBEXchaText 3" xfId="3588"/>
    <cellStyle name="SAPBEXexcBad7" xfId="3589"/>
    <cellStyle name="SAPBEXexcBad8" xfId="3590"/>
    <cellStyle name="SAPBEXexcBad9" xfId="3591"/>
    <cellStyle name="SAPBEXexcCritical4" xfId="3592"/>
    <cellStyle name="SAPBEXexcCritical5" xfId="3593"/>
    <cellStyle name="SAPBEXexcCritical6" xfId="3594"/>
    <cellStyle name="SAPBEXexcGood1" xfId="3595"/>
    <cellStyle name="SAPBEXexcGood2" xfId="3596"/>
    <cellStyle name="SAPBEXexcGood3" xfId="3597"/>
    <cellStyle name="SAPBEXfilterDrill" xfId="3598"/>
    <cellStyle name="SAPBEXfilterItem" xfId="3599"/>
    <cellStyle name="SAPBEXfilterText" xfId="3600"/>
    <cellStyle name="SAPBEXfilterText 2" xfId="3601"/>
    <cellStyle name="SAPBEXformats" xfId="3602"/>
    <cellStyle name="SAPBEXformats 2" xfId="3603"/>
    <cellStyle name="SAPBEXformats 2 2" xfId="3604"/>
    <cellStyle name="SAPBEXformats 2 2 2" xfId="3605"/>
    <cellStyle name="SAPBEXformats 2 3" xfId="3606"/>
    <cellStyle name="SAPBEXformats 3" xfId="3607"/>
    <cellStyle name="SAPBEXheaderItem" xfId="3608"/>
    <cellStyle name="SAPBEXheaderItem 2" xfId="3609"/>
    <cellStyle name="SAPBEXheaderItem 3" xfId="3610"/>
    <cellStyle name="SAPBEXheaderItem 4" xfId="3611"/>
    <cellStyle name="SAPBEXheaderText" xfId="3612"/>
    <cellStyle name="SAPBEXheaderText 2" xfId="3613"/>
    <cellStyle name="SAPBEXheaderText 3" xfId="3614"/>
    <cellStyle name="SAPBEXheaderText 4" xfId="3615"/>
    <cellStyle name="SAPBEXHLevel0" xfId="3616"/>
    <cellStyle name="SAPBEXHLevel0 2" xfId="3617"/>
    <cellStyle name="SAPBEXHLevel0 2 2" xfId="3618"/>
    <cellStyle name="SAPBEXHLevel0 2 2 2" xfId="3619"/>
    <cellStyle name="SAPBEXHLevel0 2 3" xfId="3620"/>
    <cellStyle name="SAPBEXHLevel0 3" xfId="3621"/>
    <cellStyle name="SAPBEXHLevel0X" xfId="3622"/>
    <cellStyle name="SAPBEXHLevel0X 2" xfId="3623"/>
    <cellStyle name="SAPBEXHLevel0X 2 2" xfId="3624"/>
    <cellStyle name="SAPBEXHLevel0X 2 2 2" xfId="3625"/>
    <cellStyle name="SAPBEXHLevel0X 2 3" xfId="3626"/>
    <cellStyle name="SAPBEXHLevel0X 3" xfId="3627"/>
    <cellStyle name="SAPBEXHLevel1" xfId="3628"/>
    <cellStyle name="SAPBEXHLevel1 2" xfId="3629"/>
    <cellStyle name="SAPBEXHLevel1 2 2" xfId="3630"/>
    <cellStyle name="SAPBEXHLevel1 2 2 2" xfId="3631"/>
    <cellStyle name="SAPBEXHLevel1 2 3" xfId="3632"/>
    <cellStyle name="SAPBEXHLevel1 3" xfId="3633"/>
    <cellStyle name="SAPBEXHLevel1X" xfId="3634"/>
    <cellStyle name="SAPBEXHLevel1X 2" xfId="3635"/>
    <cellStyle name="SAPBEXHLevel1X 2 2" xfId="3636"/>
    <cellStyle name="SAPBEXHLevel1X 2 2 2" xfId="3637"/>
    <cellStyle name="SAPBEXHLevel1X 2 3" xfId="3638"/>
    <cellStyle name="SAPBEXHLevel1X 3" xfId="3639"/>
    <cellStyle name="SAPBEXHLevel2" xfId="3640"/>
    <cellStyle name="SAPBEXHLevel2 2" xfId="3641"/>
    <cellStyle name="SAPBEXHLevel2 2 2" xfId="3642"/>
    <cellStyle name="SAPBEXHLevel2 2 2 2" xfId="3643"/>
    <cellStyle name="SAPBEXHLevel2 2 3" xfId="3644"/>
    <cellStyle name="SAPBEXHLevel2 3" xfId="3645"/>
    <cellStyle name="SAPBEXHLevel2X" xfId="3646"/>
    <cellStyle name="SAPBEXHLevel2X 2" xfId="3647"/>
    <cellStyle name="SAPBEXHLevel2X 2 2" xfId="3648"/>
    <cellStyle name="SAPBEXHLevel2X 2 2 2" xfId="3649"/>
    <cellStyle name="SAPBEXHLevel2X 2 3" xfId="3650"/>
    <cellStyle name="SAPBEXHLevel2X 3" xfId="3651"/>
    <cellStyle name="SAPBEXHLevel3" xfId="3652"/>
    <cellStyle name="SAPBEXHLevel3 2" xfId="3653"/>
    <cellStyle name="SAPBEXHLevel3 2 2" xfId="3654"/>
    <cellStyle name="SAPBEXHLevel3 2 2 2" xfId="3655"/>
    <cellStyle name="SAPBEXHLevel3 2 3" xfId="3656"/>
    <cellStyle name="SAPBEXHLevel3 3" xfId="3657"/>
    <cellStyle name="SAPBEXHLevel3X" xfId="3658"/>
    <cellStyle name="SAPBEXHLevel3X 2" xfId="3659"/>
    <cellStyle name="SAPBEXHLevel3X 2 2" xfId="3660"/>
    <cellStyle name="SAPBEXHLevel3X 2 2 2" xfId="3661"/>
    <cellStyle name="SAPBEXHLevel3X 2 3" xfId="3662"/>
    <cellStyle name="SAPBEXHLevel3X 3" xfId="3663"/>
    <cellStyle name="SAPBEXinputData" xfId="3664"/>
    <cellStyle name="SAPBEXItemHeader" xfId="3665"/>
    <cellStyle name="SAPBEXresData" xfId="3666"/>
    <cellStyle name="SAPBEXresDataEmph" xfId="3667"/>
    <cellStyle name="SAPBEXresItem" xfId="3668"/>
    <cellStyle name="SAPBEXresItemX" xfId="3669"/>
    <cellStyle name="SAPBEXstdData" xfId="3670"/>
    <cellStyle name="SAPBEXstdDataEmph" xfId="3671"/>
    <cellStyle name="SAPBEXstdItem" xfId="3672"/>
    <cellStyle name="SAPBEXstdItem 10" xfId="7935"/>
    <cellStyle name="SAPBEXstdItem 10 2" xfId="7936"/>
    <cellStyle name="SAPBEXstdItem 10 2 2" xfId="7937"/>
    <cellStyle name="SAPBEXstdItem 10 2 2 2" xfId="7938"/>
    <cellStyle name="SAPBEXstdItem 10 2 3" xfId="7939"/>
    <cellStyle name="SAPBEXstdItem 10 3" xfId="7940"/>
    <cellStyle name="SAPBEXstdItem 10 3 2" xfId="7941"/>
    <cellStyle name="SAPBEXstdItem 10 3 2 2" xfId="7942"/>
    <cellStyle name="SAPBEXstdItem 10 3 3" xfId="7943"/>
    <cellStyle name="SAPBEXstdItem 10 4" xfId="7944"/>
    <cellStyle name="SAPBEXstdItem 10 4 2" xfId="7945"/>
    <cellStyle name="SAPBEXstdItem 10 4 2 2" xfId="7946"/>
    <cellStyle name="SAPBEXstdItem 10 4 3" xfId="7947"/>
    <cellStyle name="SAPBEXstdItem 10 5" xfId="7948"/>
    <cellStyle name="SAPBEXstdItem 10 5 2" xfId="7949"/>
    <cellStyle name="SAPBEXstdItem 10 5 2 2" xfId="7950"/>
    <cellStyle name="SAPBEXstdItem 10 5 3" xfId="7951"/>
    <cellStyle name="SAPBEXstdItem 10 6" xfId="7952"/>
    <cellStyle name="SAPBEXstdItem 10 6 2" xfId="7953"/>
    <cellStyle name="SAPBEXstdItem 10 7" xfId="7954"/>
    <cellStyle name="SAPBEXstdItem 11" xfId="7955"/>
    <cellStyle name="SAPBEXstdItem 11 2" xfId="7956"/>
    <cellStyle name="SAPBEXstdItem 11 2 2" xfId="7957"/>
    <cellStyle name="SAPBEXstdItem 11 2 2 2" xfId="7958"/>
    <cellStyle name="SAPBEXstdItem 11 2 3" xfId="7959"/>
    <cellStyle name="SAPBEXstdItem 11 3" xfId="7960"/>
    <cellStyle name="SAPBEXstdItem 11 3 2" xfId="7961"/>
    <cellStyle name="SAPBEXstdItem 11 3 2 2" xfId="7962"/>
    <cellStyle name="SAPBEXstdItem 11 3 3" xfId="7963"/>
    <cellStyle name="SAPBEXstdItem 11 4" xfId="7964"/>
    <cellStyle name="SAPBEXstdItem 11 4 2" xfId="7965"/>
    <cellStyle name="SAPBEXstdItem 11 4 2 2" xfId="7966"/>
    <cellStyle name="SAPBEXstdItem 11 4 3" xfId="7967"/>
    <cellStyle name="SAPBEXstdItem 11 5" xfId="7968"/>
    <cellStyle name="SAPBEXstdItem 11 5 2" xfId="7969"/>
    <cellStyle name="SAPBEXstdItem 11 5 2 2" xfId="7970"/>
    <cellStyle name="SAPBEXstdItem 11 5 3" xfId="7971"/>
    <cellStyle name="SAPBEXstdItem 11 6" xfId="7972"/>
    <cellStyle name="SAPBEXstdItem 11 6 2" xfId="7973"/>
    <cellStyle name="SAPBEXstdItem 11 7" xfId="7974"/>
    <cellStyle name="SAPBEXstdItem 12" xfId="7975"/>
    <cellStyle name="SAPBEXstdItem 12 2" xfId="7976"/>
    <cellStyle name="SAPBEXstdItem 12 2 2" xfId="7977"/>
    <cellStyle name="SAPBEXstdItem 12 2 2 2" xfId="7978"/>
    <cellStyle name="SAPBEXstdItem 12 2 3" xfId="7979"/>
    <cellStyle name="SAPBEXstdItem 12 3" xfId="7980"/>
    <cellStyle name="SAPBEXstdItem 12 3 2" xfId="7981"/>
    <cellStyle name="SAPBEXstdItem 12 3 2 2" xfId="7982"/>
    <cellStyle name="SAPBEXstdItem 12 3 3" xfId="7983"/>
    <cellStyle name="SAPBEXstdItem 12 4" xfId="7984"/>
    <cellStyle name="SAPBEXstdItem 12 4 2" xfId="7985"/>
    <cellStyle name="SAPBEXstdItem 12 4 2 2" xfId="7986"/>
    <cellStyle name="SAPBEXstdItem 12 4 3" xfId="7987"/>
    <cellStyle name="SAPBEXstdItem 12 5" xfId="7988"/>
    <cellStyle name="SAPBEXstdItem 12 5 2" xfId="7989"/>
    <cellStyle name="SAPBEXstdItem 12 5 2 2" xfId="7990"/>
    <cellStyle name="SAPBEXstdItem 12 5 3" xfId="7991"/>
    <cellStyle name="SAPBEXstdItem 12 6" xfId="7992"/>
    <cellStyle name="SAPBEXstdItem 12 6 2" xfId="7993"/>
    <cellStyle name="SAPBEXstdItem 12 7" xfId="7994"/>
    <cellStyle name="SAPBEXstdItem 13" xfId="7995"/>
    <cellStyle name="SAPBEXstdItem 13 2" xfId="7996"/>
    <cellStyle name="SAPBEXstdItem 13 2 2" xfId="7997"/>
    <cellStyle name="SAPBEXstdItem 13 2 2 2" xfId="7998"/>
    <cellStyle name="SAPBEXstdItem 13 2 3" xfId="7999"/>
    <cellStyle name="SAPBEXstdItem 13 3" xfId="8000"/>
    <cellStyle name="SAPBEXstdItem 13 3 2" xfId="8001"/>
    <cellStyle name="SAPBEXstdItem 13 3 2 2" xfId="8002"/>
    <cellStyle name="SAPBEXstdItem 13 3 3" xfId="8003"/>
    <cellStyle name="SAPBEXstdItem 13 4" xfId="8004"/>
    <cellStyle name="SAPBEXstdItem 13 4 2" xfId="8005"/>
    <cellStyle name="SAPBEXstdItem 13 4 2 2" xfId="8006"/>
    <cellStyle name="SAPBEXstdItem 13 4 3" xfId="8007"/>
    <cellStyle name="SAPBEXstdItem 13 5" xfId="8008"/>
    <cellStyle name="SAPBEXstdItem 13 5 2" xfId="8009"/>
    <cellStyle name="SAPBEXstdItem 13 5 2 2" xfId="8010"/>
    <cellStyle name="SAPBEXstdItem 13 5 3" xfId="8011"/>
    <cellStyle name="SAPBEXstdItem 13 6" xfId="8012"/>
    <cellStyle name="SAPBEXstdItem 13 6 2" xfId="8013"/>
    <cellStyle name="SAPBEXstdItem 13 7" xfId="8014"/>
    <cellStyle name="SAPBEXstdItem 14" xfId="8015"/>
    <cellStyle name="SAPBEXstdItem 14 2" xfId="8016"/>
    <cellStyle name="SAPBEXstdItem 14 2 2" xfId="8017"/>
    <cellStyle name="SAPBEXstdItem 14 2 2 2" xfId="8018"/>
    <cellStyle name="SAPBEXstdItem 14 2 3" xfId="8019"/>
    <cellStyle name="SAPBEXstdItem 14 3" xfId="8020"/>
    <cellStyle name="SAPBEXstdItem 14 3 2" xfId="8021"/>
    <cellStyle name="SAPBEXstdItem 14 3 2 2" xfId="8022"/>
    <cellStyle name="SAPBEXstdItem 14 3 3" xfId="8023"/>
    <cellStyle name="SAPBEXstdItem 14 4" xfId="8024"/>
    <cellStyle name="SAPBEXstdItem 14 4 2" xfId="8025"/>
    <cellStyle name="SAPBEXstdItem 14 4 2 2" xfId="8026"/>
    <cellStyle name="SAPBEXstdItem 14 4 3" xfId="8027"/>
    <cellStyle name="SAPBEXstdItem 14 5" xfId="8028"/>
    <cellStyle name="SAPBEXstdItem 14 5 2" xfId="8029"/>
    <cellStyle name="SAPBEXstdItem 14 5 2 2" xfId="8030"/>
    <cellStyle name="SAPBEXstdItem 14 5 3" xfId="8031"/>
    <cellStyle name="SAPBEXstdItem 14 6" xfId="8032"/>
    <cellStyle name="SAPBEXstdItem 14 6 2" xfId="8033"/>
    <cellStyle name="SAPBEXstdItem 14 7" xfId="8034"/>
    <cellStyle name="SAPBEXstdItem 15" xfId="8035"/>
    <cellStyle name="SAPBEXstdItem 15 2" xfId="8036"/>
    <cellStyle name="SAPBEXstdItem 15 2 2" xfId="8037"/>
    <cellStyle name="SAPBEXstdItem 15 2 2 2" xfId="8038"/>
    <cellStyle name="SAPBEXstdItem 15 2 3" xfId="8039"/>
    <cellStyle name="SAPBEXstdItem 15 3" xfId="8040"/>
    <cellStyle name="SAPBEXstdItem 15 3 2" xfId="8041"/>
    <cellStyle name="SAPBEXstdItem 15 3 2 2" xfId="8042"/>
    <cellStyle name="SAPBEXstdItem 15 3 3" xfId="8043"/>
    <cellStyle name="SAPBEXstdItem 15 4" xfId="8044"/>
    <cellStyle name="SAPBEXstdItem 15 4 2" xfId="8045"/>
    <cellStyle name="SAPBEXstdItem 15 4 2 2" xfId="8046"/>
    <cellStyle name="SAPBEXstdItem 15 4 3" xfId="8047"/>
    <cellStyle name="SAPBEXstdItem 15 5" xfId="8048"/>
    <cellStyle name="SAPBEXstdItem 15 5 2" xfId="8049"/>
    <cellStyle name="SAPBEXstdItem 15 5 2 2" xfId="8050"/>
    <cellStyle name="SAPBEXstdItem 15 5 3" xfId="8051"/>
    <cellStyle name="SAPBEXstdItem 15 6" xfId="8052"/>
    <cellStyle name="SAPBEXstdItem 15 6 2" xfId="8053"/>
    <cellStyle name="SAPBEXstdItem 15 7" xfId="8054"/>
    <cellStyle name="SAPBEXstdItem 16" xfId="8055"/>
    <cellStyle name="SAPBEXstdItem 16 2" xfId="8056"/>
    <cellStyle name="SAPBEXstdItem 16 2 2" xfId="8057"/>
    <cellStyle name="SAPBEXstdItem 16 2 2 2" xfId="8058"/>
    <cellStyle name="SAPBEXstdItem 16 2 3" xfId="8059"/>
    <cellStyle name="SAPBEXstdItem 16 3" xfId="8060"/>
    <cellStyle name="SAPBEXstdItem 16 3 2" xfId="8061"/>
    <cellStyle name="SAPBEXstdItem 16 3 2 2" xfId="8062"/>
    <cellStyle name="SAPBEXstdItem 16 3 3" xfId="8063"/>
    <cellStyle name="SAPBEXstdItem 16 4" xfId="8064"/>
    <cellStyle name="SAPBEXstdItem 16 4 2" xfId="8065"/>
    <cellStyle name="SAPBEXstdItem 16 4 2 2" xfId="8066"/>
    <cellStyle name="SAPBEXstdItem 16 4 3" xfId="8067"/>
    <cellStyle name="SAPBEXstdItem 16 5" xfId="8068"/>
    <cellStyle name="SAPBEXstdItem 16 5 2" xfId="8069"/>
    <cellStyle name="SAPBEXstdItem 16 5 2 2" xfId="8070"/>
    <cellStyle name="SAPBEXstdItem 16 5 3" xfId="8071"/>
    <cellStyle name="SAPBEXstdItem 16 6" xfId="8072"/>
    <cellStyle name="SAPBEXstdItem 16 6 2" xfId="8073"/>
    <cellStyle name="SAPBEXstdItem 16 7" xfId="8074"/>
    <cellStyle name="SAPBEXstdItem 17" xfId="8075"/>
    <cellStyle name="SAPBEXstdItem 17 2" xfId="8076"/>
    <cellStyle name="SAPBEXstdItem 17 2 2" xfId="8077"/>
    <cellStyle name="SAPBEXstdItem 17 2 2 2" xfId="8078"/>
    <cellStyle name="SAPBEXstdItem 17 2 3" xfId="8079"/>
    <cellStyle name="SAPBEXstdItem 17 3" xfId="8080"/>
    <cellStyle name="SAPBEXstdItem 17 3 2" xfId="8081"/>
    <cellStyle name="SAPBEXstdItem 17 3 2 2" xfId="8082"/>
    <cellStyle name="SAPBEXstdItem 17 3 3" xfId="8083"/>
    <cellStyle name="SAPBEXstdItem 17 4" xfId="8084"/>
    <cellStyle name="SAPBEXstdItem 17 4 2" xfId="8085"/>
    <cellStyle name="SAPBEXstdItem 17 4 2 2" xfId="8086"/>
    <cellStyle name="SAPBEXstdItem 17 4 3" xfId="8087"/>
    <cellStyle name="SAPBEXstdItem 17 5" xfId="8088"/>
    <cellStyle name="SAPBEXstdItem 17 5 2" xfId="8089"/>
    <cellStyle name="SAPBEXstdItem 17 5 2 2" xfId="8090"/>
    <cellStyle name="SAPBEXstdItem 17 5 3" xfId="8091"/>
    <cellStyle name="SAPBEXstdItem 17 6" xfId="8092"/>
    <cellStyle name="SAPBEXstdItem 17 6 2" xfId="8093"/>
    <cellStyle name="SAPBEXstdItem 17 7" xfId="8094"/>
    <cellStyle name="SAPBEXstdItem 18" xfId="8095"/>
    <cellStyle name="SAPBEXstdItem 18 2" xfId="8096"/>
    <cellStyle name="SAPBEXstdItem 18 2 2" xfId="8097"/>
    <cellStyle name="SAPBEXstdItem 18 2 2 2" xfId="8098"/>
    <cellStyle name="SAPBEXstdItem 18 2 3" xfId="8099"/>
    <cellStyle name="SAPBEXstdItem 18 3" xfId="8100"/>
    <cellStyle name="SAPBEXstdItem 18 3 2" xfId="8101"/>
    <cellStyle name="SAPBEXstdItem 18 3 2 2" xfId="8102"/>
    <cellStyle name="SAPBEXstdItem 18 3 3" xfId="8103"/>
    <cellStyle name="SAPBEXstdItem 18 4" xfId="8104"/>
    <cellStyle name="SAPBEXstdItem 18 4 2" xfId="8105"/>
    <cellStyle name="SAPBEXstdItem 18 4 2 2" xfId="8106"/>
    <cellStyle name="SAPBEXstdItem 18 4 3" xfId="8107"/>
    <cellStyle name="SAPBEXstdItem 18 5" xfId="8108"/>
    <cellStyle name="SAPBEXstdItem 18 5 2" xfId="8109"/>
    <cellStyle name="SAPBEXstdItem 18 5 2 2" xfId="8110"/>
    <cellStyle name="SAPBEXstdItem 18 5 3" xfId="8111"/>
    <cellStyle name="SAPBEXstdItem 18 6" xfId="8112"/>
    <cellStyle name="SAPBEXstdItem 18 6 2" xfId="8113"/>
    <cellStyle name="SAPBEXstdItem 18 7" xfId="8114"/>
    <cellStyle name="SAPBEXstdItem 19" xfId="8115"/>
    <cellStyle name="SAPBEXstdItem 19 2" xfId="8116"/>
    <cellStyle name="SAPBEXstdItem 19 2 2" xfId="8117"/>
    <cellStyle name="SAPBEXstdItem 19 2 2 2" xfId="8118"/>
    <cellStyle name="SAPBEXstdItem 19 2 3" xfId="8119"/>
    <cellStyle name="SAPBEXstdItem 19 3" xfId="8120"/>
    <cellStyle name="SAPBEXstdItem 19 3 2" xfId="8121"/>
    <cellStyle name="SAPBEXstdItem 19 3 2 2" xfId="8122"/>
    <cellStyle name="SAPBEXstdItem 19 3 3" xfId="8123"/>
    <cellStyle name="SAPBEXstdItem 19 4" xfId="8124"/>
    <cellStyle name="SAPBEXstdItem 19 4 2" xfId="8125"/>
    <cellStyle name="SAPBEXstdItem 19 4 2 2" xfId="8126"/>
    <cellStyle name="SAPBEXstdItem 19 4 3" xfId="8127"/>
    <cellStyle name="SAPBEXstdItem 19 5" xfId="8128"/>
    <cellStyle name="SAPBEXstdItem 19 5 2" xfId="8129"/>
    <cellStyle name="SAPBEXstdItem 19 5 2 2" xfId="8130"/>
    <cellStyle name="SAPBEXstdItem 19 5 3" xfId="8131"/>
    <cellStyle name="SAPBEXstdItem 19 6" xfId="8132"/>
    <cellStyle name="SAPBEXstdItem 19 6 2" xfId="8133"/>
    <cellStyle name="SAPBEXstdItem 19 7" xfId="8134"/>
    <cellStyle name="SAPBEXstdItem 2" xfId="3673"/>
    <cellStyle name="SAPBEXstdItem 2 2" xfId="3674"/>
    <cellStyle name="SAPBEXstdItem 2 2 2" xfId="8135"/>
    <cellStyle name="SAPBEXstdItem 2 2 2 2" xfId="8136"/>
    <cellStyle name="SAPBEXstdItem 2 2 3" xfId="8137"/>
    <cellStyle name="SAPBEXstdItem 2 3" xfId="8138"/>
    <cellStyle name="SAPBEXstdItem 2 3 2" xfId="8139"/>
    <cellStyle name="SAPBEXstdItem 2 4" xfId="8140"/>
    <cellStyle name="SAPBEXstdItem 20" xfId="8141"/>
    <cellStyle name="SAPBEXstdItem 20 2" xfId="8142"/>
    <cellStyle name="SAPBEXstdItem 20 2 2" xfId="8143"/>
    <cellStyle name="SAPBEXstdItem 20 3" xfId="8144"/>
    <cellStyle name="SAPBEXstdItem 21" xfId="8145"/>
    <cellStyle name="SAPBEXstdItem 21 2" xfId="8146"/>
    <cellStyle name="SAPBEXstdItem 21 2 2" xfId="8147"/>
    <cellStyle name="SAPBEXstdItem 21 3" xfId="8148"/>
    <cellStyle name="SAPBEXstdItem 22" xfId="8149"/>
    <cellStyle name="SAPBEXstdItem 22 2" xfId="8150"/>
    <cellStyle name="SAPBEXstdItem 22 2 2" xfId="8151"/>
    <cellStyle name="SAPBEXstdItem 22 3" xfId="8152"/>
    <cellStyle name="SAPBEXstdItem 23" xfId="8153"/>
    <cellStyle name="SAPBEXstdItem 23 2" xfId="8154"/>
    <cellStyle name="SAPBEXstdItem 23 2 2" xfId="8155"/>
    <cellStyle name="SAPBEXstdItem 23 3" xfId="8156"/>
    <cellStyle name="SAPBEXstdItem 24" xfId="8157"/>
    <cellStyle name="SAPBEXstdItem 24 2" xfId="8158"/>
    <cellStyle name="SAPBEXstdItem 24 2 2" xfId="8159"/>
    <cellStyle name="SAPBEXstdItem 24 3" xfId="8160"/>
    <cellStyle name="SAPBEXstdItem 25" xfId="8161"/>
    <cellStyle name="SAPBEXstdItem 25 2" xfId="8162"/>
    <cellStyle name="SAPBEXstdItem 25 2 2" xfId="8163"/>
    <cellStyle name="SAPBEXstdItem 25 3" xfId="8164"/>
    <cellStyle name="SAPBEXstdItem 26" xfId="8165"/>
    <cellStyle name="SAPBEXstdItem 26 2" xfId="8166"/>
    <cellStyle name="SAPBEXstdItem 26 2 2" xfId="8167"/>
    <cellStyle name="SAPBEXstdItem 26 3" xfId="8168"/>
    <cellStyle name="SAPBEXstdItem 27" xfId="8169"/>
    <cellStyle name="SAPBEXstdItem 27 2" xfId="8170"/>
    <cellStyle name="SAPBEXstdItem 27 2 2" xfId="8171"/>
    <cellStyle name="SAPBEXstdItem 27 3" xfId="8172"/>
    <cellStyle name="SAPBEXstdItem 28" xfId="8173"/>
    <cellStyle name="SAPBEXstdItem 28 2" xfId="8174"/>
    <cellStyle name="SAPBEXstdItem 29" xfId="8175"/>
    <cellStyle name="SAPBEXstdItem 29 2" xfId="8176"/>
    <cellStyle name="SAPBEXstdItem 3" xfId="3675"/>
    <cellStyle name="SAPBEXstdItem 3 2" xfId="8177"/>
    <cellStyle name="SAPBEXstdItem 3 2 2" xfId="8178"/>
    <cellStyle name="SAPBEXstdItem 3 2 2 2" xfId="8179"/>
    <cellStyle name="SAPBEXstdItem 3 2 3" xfId="8180"/>
    <cellStyle name="SAPBEXstdItem 3 3" xfId="8181"/>
    <cellStyle name="SAPBEXstdItem 3 3 2" xfId="8182"/>
    <cellStyle name="SAPBEXstdItem 3 4" xfId="8183"/>
    <cellStyle name="SAPBEXstdItem 30" xfId="8184"/>
    <cellStyle name="SAPBEXstdItem 30 2" xfId="8185"/>
    <cellStyle name="SAPBEXstdItem 31" xfId="8186"/>
    <cellStyle name="SAPBEXstdItem 31 2" xfId="8187"/>
    <cellStyle name="SAPBEXstdItem 32" xfId="8188"/>
    <cellStyle name="SAPBEXstdItem 32 2" xfId="8189"/>
    <cellStyle name="SAPBEXstdItem 33" xfId="8190"/>
    <cellStyle name="SAPBEXstdItem 4" xfId="8191"/>
    <cellStyle name="SAPBEXstdItem 4 2" xfId="8192"/>
    <cellStyle name="SAPBEXstdItem 4 2 2" xfId="8193"/>
    <cellStyle name="SAPBEXstdItem 4 2 2 2" xfId="8194"/>
    <cellStyle name="SAPBEXstdItem 4 2 3" xfId="8195"/>
    <cellStyle name="SAPBEXstdItem 4 3" xfId="8196"/>
    <cellStyle name="SAPBEXstdItem 4 3 2" xfId="8197"/>
    <cellStyle name="SAPBEXstdItem 4 4" xfId="8198"/>
    <cellStyle name="SAPBEXstdItem 5" xfId="8199"/>
    <cellStyle name="SAPBEXstdItem 5 2" xfId="8200"/>
    <cellStyle name="SAPBEXstdItem 5 2 2" xfId="8201"/>
    <cellStyle name="SAPBEXstdItem 5 2 2 2" xfId="8202"/>
    <cellStyle name="SAPBEXstdItem 5 2 3" xfId="8203"/>
    <cellStyle name="SAPBEXstdItem 5 3" xfId="8204"/>
    <cellStyle name="SAPBEXstdItem 5 3 2" xfId="8205"/>
    <cellStyle name="SAPBEXstdItem 5 4" xfId="8206"/>
    <cellStyle name="SAPBEXstdItem 6" xfId="8207"/>
    <cellStyle name="SAPBEXstdItem 6 2" xfId="8208"/>
    <cellStyle name="SAPBEXstdItem 6 2 2" xfId="8209"/>
    <cellStyle name="SAPBEXstdItem 6 2 2 2" xfId="8210"/>
    <cellStyle name="SAPBEXstdItem 6 2 3" xfId="8211"/>
    <cellStyle name="SAPBEXstdItem 6 3" xfId="8212"/>
    <cellStyle name="SAPBEXstdItem 6 3 2" xfId="8213"/>
    <cellStyle name="SAPBEXstdItem 6 4" xfId="8214"/>
    <cellStyle name="SAPBEXstdItem 7" xfId="8215"/>
    <cellStyle name="SAPBEXstdItem 7 2" xfId="8216"/>
    <cellStyle name="SAPBEXstdItem 7 2 2" xfId="8217"/>
    <cellStyle name="SAPBEXstdItem 7 2 2 2" xfId="8218"/>
    <cellStyle name="SAPBEXstdItem 7 2 3" xfId="8219"/>
    <cellStyle name="SAPBEXstdItem 7 3" xfId="8220"/>
    <cellStyle name="SAPBEXstdItem 7 3 2" xfId="8221"/>
    <cellStyle name="SAPBEXstdItem 7 4" xfId="8222"/>
    <cellStyle name="SAPBEXstdItem 8" xfId="8223"/>
    <cellStyle name="SAPBEXstdItem 8 2" xfId="8224"/>
    <cellStyle name="SAPBEXstdItem 8 2 2" xfId="8225"/>
    <cellStyle name="SAPBEXstdItem 8 2 2 2" xfId="8226"/>
    <cellStyle name="SAPBEXstdItem 8 2 3" xfId="8227"/>
    <cellStyle name="SAPBEXstdItem 8 3" xfId="8228"/>
    <cellStyle name="SAPBEXstdItem 8 3 2" xfId="8229"/>
    <cellStyle name="SAPBEXstdItem 8 4" xfId="8230"/>
    <cellStyle name="SAPBEXstdItem 9" xfId="8231"/>
    <cellStyle name="SAPBEXstdItem 9 2" xfId="8232"/>
    <cellStyle name="SAPBEXstdItem 9 2 2" xfId="8233"/>
    <cellStyle name="SAPBEXstdItem 9 2 2 2" xfId="8234"/>
    <cellStyle name="SAPBEXstdItem 9 2 3" xfId="8235"/>
    <cellStyle name="SAPBEXstdItem 9 3" xfId="8236"/>
    <cellStyle name="SAPBEXstdItem 9 3 2" xfId="8237"/>
    <cellStyle name="SAPBEXstdItem 9 4" xfId="8238"/>
    <cellStyle name="SAPBEXstdItem_11-03.1 Pepco" xfId="3676"/>
    <cellStyle name="SAPBEXstdItemX" xfId="3677"/>
    <cellStyle name="SAPBEXstdItemX 2" xfId="3678"/>
    <cellStyle name="SAPBEXstdItemX 2 2" xfId="3679"/>
    <cellStyle name="SAPBEXstdItemX 2 2 2" xfId="3680"/>
    <cellStyle name="SAPBEXstdItemX 2 3" xfId="3681"/>
    <cellStyle name="SAPBEXstdItemX 3" xfId="3682"/>
    <cellStyle name="SAPBEXtitle" xfId="3683"/>
    <cellStyle name="SAPBEXtitle 2" xfId="8239"/>
    <cellStyle name="SAPBEXunassignedItem" xfId="3684"/>
    <cellStyle name="SAPBEXundefined" xfId="3685"/>
    <cellStyle name="Sheet Title" xfId="3686"/>
    <cellStyle name="Style 1" xfId="3687"/>
    <cellStyle name="Style 1 2" xfId="3688"/>
    <cellStyle name="Style 1 2 2" xfId="3689"/>
    <cellStyle name="Style 1 2 2 2" xfId="3690"/>
    <cellStyle name="Style 1 2 3" xfId="3691"/>
    <cellStyle name="Style 1 3" xfId="3692"/>
    <cellStyle name="STYLE1" xfId="3693"/>
    <cellStyle name="STYLE1 10" xfId="3694"/>
    <cellStyle name="STYLE1 10 2" xfId="8240"/>
    <cellStyle name="STYLE1 10 2 2" xfId="8241"/>
    <cellStyle name="STYLE1 10 2 2 2" xfId="8242"/>
    <cellStyle name="STYLE1 10 2 3" xfId="8243"/>
    <cellStyle name="STYLE1 10 3" xfId="8244"/>
    <cellStyle name="STYLE1 10 3 2" xfId="8245"/>
    <cellStyle name="STYLE1 10 3 2 2" xfId="8246"/>
    <cellStyle name="STYLE1 10 3 3" xfId="8247"/>
    <cellStyle name="STYLE1 10 4" xfId="8248"/>
    <cellStyle name="STYLE1 10 4 2" xfId="8249"/>
    <cellStyle name="STYLE1 10 4 2 2" xfId="8250"/>
    <cellStyle name="STYLE1 10 4 3" xfId="8251"/>
    <cellStyle name="STYLE1 10 5" xfId="8252"/>
    <cellStyle name="STYLE1 10 5 2" xfId="8253"/>
    <cellStyle name="STYLE1 10 5 2 2" xfId="8254"/>
    <cellStyle name="STYLE1 10 5 3" xfId="8255"/>
    <cellStyle name="STYLE1 10 6" xfId="8256"/>
    <cellStyle name="STYLE1 10 6 2" xfId="8257"/>
    <cellStyle name="STYLE1 10 7" xfId="8258"/>
    <cellStyle name="STYLE1 11" xfId="3695"/>
    <cellStyle name="STYLE1 11 2" xfId="8259"/>
    <cellStyle name="STYLE1 11 2 2" xfId="8260"/>
    <cellStyle name="STYLE1 11 2 2 2" xfId="8261"/>
    <cellStyle name="STYLE1 11 2 3" xfId="8262"/>
    <cellStyle name="STYLE1 11 3" xfId="8263"/>
    <cellStyle name="STYLE1 11 3 2" xfId="8264"/>
    <cellStyle name="STYLE1 11 3 2 2" xfId="8265"/>
    <cellStyle name="STYLE1 11 3 3" xfId="8266"/>
    <cellStyle name="STYLE1 11 4" xfId="8267"/>
    <cellStyle name="STYLE1 11 4 2" xfId="8268"/>
    <cellStyle name="STYLE1 11 4 2 2" xfId="8269"/>
    <cellStyle name="STYLE1 11 4 3" xfId="8270"/>
    <cellStyle name="STYLE1 11 5" xfId="8271"/>
    <cellStyle name="STYLE1 11 5 2" xfId="8272"/>
    <cellStyle name="STYLE1 11 5 2 2" xfId="8273"/>
    <cellStyle name="STYLE1 11 5 3" xfId="8274"/>
    <cellStyle name="STYLE1 11 6" xfId="8275"/>
    <cellStyle name="STYLE1 11 6 2" xfId="8276"/>
    <cellStyle name="STYLE1 11 7" xfId="8277"/>
    <cellStyle name="STYLE1 12" xfId="3696"/>
    <cellStyle name="STYLE1 12 2" xfId="8278"/>
    <cellStyle name="STYLE1 12 2 2" xfId="8279"/>
    <cellStyle name="STYLE1 12 2 2 2" xfId="8280"/>
    <cellStyle name="STYLE1 12 2 3" xfId="8281"/>
    <cellStyle name="STYLE1 12 3" xfId="8282"/>
    <cellStyle name="STYLE1 12 3 2" xfId="8283"/>
    <cellStyle name="STYLE1 12 3 2 2" xfId="8284"/>
    <cellStyle name="STYLE1 12 3 3" xfId="8285"/>
    <cellStyle name="STYLE1 12 4" xfId="8286"/>
    <cellStyle name="STYLE1 12 4 2" xfId="8287"/>
    <cellStyle name="STYLE1 12 4 2 2" xfId="8288"/>
    <cellStyle name="STYLE1 12 4 3" xfId="8289"/>
    <cellStyle name="STYLE1 12 5" xfId="8290"/>
    <cellStyle name="STYLE1 12 5 2" xfId="8291"/>
    <cellStyle name="STYLE1 12 5 2 2" xfId="8292"/>
    <cellStyle name="STYLE1 12 5 3" xfId="8293"/>
    <cellStyle name="STYLE1 12 6" xfId="8294"/>
    <cellStyle name="STYLE1 12 6 2" xfId="8295"/>
    <cellStyle name="STYLE1 12 7" xfId="8296"/>
    <cellStyle name="STYLE1 13" xfId="3697"/>
    <cellStyle name="STYLE1 13 2" xfId="8297"/>
    <cellStyle name="STYLE1 13 2 2" xfId="8298"/>
    <cellStyle name="STYLE1 13 2 2 2" xfId="8299"/>
    <cellStyle name="STYLE1 13 2 3" xfId="8300"/>
    <cellStyle name="STYLE1 13 3" xfId="8301"/>
    <cellStyle name="STYLE1 13 3 2" xfId="8302"/>
    <cellStyle name="STYLE1 13 3 2 2" xfId="8303"/>
    <cellStyle name="STYLE1 13 3 3" xfId="8304"/>
    <cellStyle name="STYLE1 13 4" xfId="8305"/>
    <cellStyle name="STYLE1 13 4 2" xfId="8306"/>
    <cellStyle name="STYLE1 13 4 2 2" xfId="8307"/>
    <cellStyle name="STYLE1 13 4 3" xfId="8308"/>
    <cellStyle name="STYLE1 13 5" xfId="8309"/>
    <cellStyle name="STYLE1 13 5 2" xfId="8310"/>
    <cellStyle name="STYLE1 13 5 2 2" xfId="8311"/>
    <cellStyle name="STYLE1 13 5 3" xfId="8312"/>
    <cellStyle name="STYLE1 13 6" xfId="8313"/>
    <cellStyle name="STYLE1 13 6 2" xfId="8314"/>
    <cellStyle name="STYLE1 13 7" xfId="8315"/>
    <cellStyle name="STYLE1 14" xfId="3698"/>
    <cellStyle name="STYLE1 14 2" xfId="8316"/>
    <cellStyle name="STYLE1 14 2 2" xfId="8317"/>
    <cellStyle name="STYLE1 14 2 2 2" xfId="8318"/>
    <cellStyle name="STYLE1 14 2 3" xfId="8319"/>
    <cellStyle name="STYLE1 14 3" xfId="8320"/>
    <cellStyle name="STYLE1 14 3 2" xfId="8321"/>
    <cellStyle name="STYLE1 14 3 2 2" xfId="8322"/>
    <cellStyle name="STYLE1 14 3 3" xfId="8323"/>
    <cellStyle name="STYLE1 14 4" xfId="8324"/>
    <cellStyle name="STYLE1 14 4 2" xfId="8325"/>
    <cellStyle name="STYLE1 14 4 2 2" xfId="8326"/>
    <cellStyle name="STYLE1 14 4 3" xfId="8327"/>
    <cellStyle name="STYLE1 14 5" xfId="8328"/>
    <cellStyle name="STYLE1 14 5 2" xfId="8329"/>
    <cellStyle name="STYLE1 14 5 2 2" xfId="8330"/>
    <cellStyle name="STYLE1 14 5 3" xfId="8331"/>
    <cellStyle name="STYLE1 14 6" xfId="8332"/>
    <cellStyle name="STYLE1 14 6 2" xfId="8333"/>
    <cellStyle name="STYLE1 14 7" xfId="8334"/>
    <cellStyle name="STYLE1 15" xfId="3699"/>
    <cellStyle name="STYLE1 15 2" xfId="8335"/>
    <cellStyle name="STYLE1 15 2 2" xfId="8336"/>
    <cellStyle name="STYLE1 15 2 2 2" xfId="8337"/>
    <cellStyle name="STYLE1 15 2 3" xfId="8338"/>
    <cellStyle name="STYLE1 15 3" xfId="8339"/>
    <cellStyle name="STYLE1 15 3 2" xfId="8340"/>
    <cellStyle name="STYLE1 15 3 2 2" xfId="8341"/>
    <cellStyle name="STYLE1 15 3 3" xfId="8342"/>
    <cellStyle name="STYLE1 15 4" xfId="8343"/>
    <cellStyle name="STYLE1 15 4 2" xfId="8344"/>
    <cellStyle name="STYLE1 15 4 2 2" xfId="8345"/>
    <cellStyle name="STYLE1 15 4 3" xfId="8346"/>
    <cellStyle name="STYLE1 15 5" xfId="8347"/>
    <cellStyle name="STYLE1 15 5 2" xfId="8348"/>
    <cellStyle name="STYLE1 15 5 2 2" xfId="8349"/>
    <cellStyle name="STYLE1 15 5 3" xfId="8350"/>
    <cellStyle name="STYLE1 15 6" xfId="8351"/>
    <cellStyle name="STYLE1 15 6 2" xfId="8352"/>
    <cellStyle name="STYLE1 15 7" xfId="8353"/>
    <cellStyle name="STYLE1 16" xfId="3700"/>
    <cellStyle name="STYLE1 16 2" xfId="8354"/>
    <cellStyle name="STYLE1 16 2 2" xfId="8355"/>
    <cellStyle name="STYLE1 16 2 2 2" xfId="8356"/>
    <cellStyle name="STYLE1 16 2 3" xfId="8357"/>
    <cellStyle name="STYLE1 16 3" xfId="8358"/>
    <cellStyle name="STYLE1 16 3 2" xfId="8359"/>
    <cellStyle name="STYLE1 16 3 2 2" xfId="8360"/>
    <cellStyle name="STYLE1 16 3 3" xfId="8361"/>
    <cellStyle name="STYLE1 16 4" xfId="8362"/>
    <cellStyle name="STYLE1 16 4 2" xfId="8363"/>
    <cellStyle name="STYLE1 16 4 2 2" xfId="8364"/>
    <cellStyle name="STYLE1 16 4 3" xfId="8365"/>
    <cellStyle name="STYLE1 16 5" xfId="8366"/>
    <cellStyle name="STYLE1 16 5 2" xfId="8367"/>
    <cellStyle name="STYLE1 16 5 2 2" xfId="8368"/>
    <cellStyle name="STYLE1 16 5 3" xfId="8369"/>
    <cellStyle name="STYLE1 16 6" xfId="8370"/>
    <cellStyle name="STYLE1 16 6 2" xfId="8371"/>
    <cellStyle name="STYLE1 16 7" xfId="8372"/>
    <cellStyle name="STYLE1 17" xfId="3701"/>
    <cellStyle name="STYLE1 17 2" xfId="8373"/>
    <cellStyle name="STYLE1 17 2 2" xfId="8374"/>
    <cellStyle name="STYLE1 17 2 2 2" xfId="8375"/>
    <cellStyle name="STYLE1 17 2 3" xfId="8376"/>
    <cellStyle name="STYLE1 17 3" xfId="8377"/>
    <cellStyle name="STYLE1 17 3 2" xfId="8378"/>
    <cellStyle name="STYLE1 17 3 2 2" xfId="8379"/>
    <cellStyle name="STYLE1 17 3 3" xfId="8380"/>
    <cellStyle name="STYLE1 17 4" xfId="8381"/>
    <cellStyle name="STYLE1 17 4 2" xfId="8382"/>
    <cellStyle name="STYLE1 17 4 2 2" xfId="8383"/>
    <cellStyle name="STYLE1 17 4 3" xfId="8384"/>
    <cellStyle name="STYLE1 17 5" xfId="8385"/>
    <cellStyle name="STYLE1 17 5 2" xfId="8386"/>
    <cellStyle name="STYLE1 17 5 2 2" xfId="8387"/>
    <cellStyle name="STYLE1 17 5 3" xfId="8388"/>
    <cellStyle name="STYLE1 17 6" xfId="8389"/>
    <cellStyle name="STYLE1 17 6 2" xfId="8390"/>
    <cellStyle name="STYLE1 17 7" xfId="8391"/>
    <cellStyle name="STYLE1 18" xfId="3702"/>
    <cellStyle name="STYLE1 18 2" xfId="8392"/>
    <cellStyle name="STYLE1 18 2 2" xfId="8393"/>
    <cellStyle name="STYLE1 18 2 2 2" xfId="8394"/>
    <cellStyle name="STYLE1 18 2 3" xfId="8395"/>
    <cellStyle name="STYLE1 18 3" xfId="8396"/>
    <cellStyle name="STYLE1 18 3 2" xfId="8397"/>
    <cellStyle name="STYLE1 18 3 2 2" xfId="8398"/>
    <cellStyle name="STYLE1 18 3 3" xfId="8399"/>
    <cellStyle name="STYLE1 18 4" xfId="8400"/>
    <cellStyle name="STYLE1 18 4 2" xfId="8401"/>
    <cellStyle name="STYLE1 18 4 2 2" xfId="8402"/>
    <cellStyle name="STYLE1 18 4 3" xfId="8403"/>
    <cellStyle name="STYLE1 18 5" xfId="8404"/>
    <cellStyle name="STYLE1 18 5 2" xfId="8405"/>
    <cellStyle name="STYLE1 18 5 2 2" xfId="8406"/>
    <cellStyle name="STYLE1 18 5 3" xfId="8407"/>
    <cellStyle name="STYLE1 18 6" xfId="8408"/>
    <cellStyle name="STYLE1 18 6 2" xfId="8409"/>
    <cellStyle name="STYLE1 18 7" xfId="8410"/>
    <cellStyle name="STYLE1 19" xfId="3703"/>
    <cellStyle name="STYLE1 19 2" xfId="8411"/>
    <cellStyle name="STYLE1 19 2 2" xfId="8412"/>
    <cellStyle name="STYLE1 19 2 2 2" xfId="8413"/>
    <cellStyle name="STYLE1 19 2 3" xfId="8414"/>
    <cellStyle name="STYLE1 19 3" xfId="8415"/>
    <cellStyle name="STYLE1 19 3 2" xfId="8416"/>
    <cellStyle name="STYLE1 19 3 2 2" xfId="8417"/>
    <cellStyle name="STYLE1 19 3 3" xfId="8418"/>
    <cellStyle name="STYLE1 19 4" xfId="8419"/>
    <cellStyle name="STYLE1 19 4 2" xfId="8420"/>
    <cellStyle name="STYLE1 19 4 2 2" xfId="8421"/>
    <cellStyle name="STYLE1 19 4 3" xfId="8422"/>
    <cellStyle name="STYLE1 19 5" xfId="8423"/>
    <cellStyle name="STYLE1 19 5 2" xfId="8424"/>
    <cellStyle name="STYLE1 19 5 2 2" xfId="8425"/>
    <cellStyle name="STYLE1 19 5 3" xfId="8426"/>
    <cellStyle name="STYLE1 19 6" xfId="8427"/>
    <cellStyle name="STYLE1 19 6 2" xfId="8428"/>
    <cellStyle name="STYLE1 19 7" xfId="8429"/>
    <cellStyle name="STYLE1 2" xfId="3704"/>
    <cellStyle name="STYLE1 2 2" xfId="3705"/>
    <cellStyle name="STYLE1 2 2 2" xfId="8430"/>
    <cellStyle name="STYLE1 2 2 2 2" xfId="8431"/>
    <cellStyle name="STYLE1 2 2 3" xfId="8432"/>
    <cellStyle name="STYLE1 2 3" xfId="8433"/>
    <cellStyle name="STYLE1 2 3 2" xfId="8434"/>
    <cellStyle name="STYLE1 2 4" xfId="8435"/>
    <cellStyle name="STYLE1 2_11-03 - PHI Consolidated - Summary of FIN 48 Related To DC Q4 2010" xfId="3706"/>
    <cellStyle name="STYLE1 20" xfId="3707"/>
    <cellStyle name="STYLE1 20 2" xfId="8436"/>
    <cellStyle name="STYLE1 20 2 2" xfId="8437"/>
    <cellStyle name="STYLE1 20 3" xfId="8438"/>
    <cellStyle name="STYLE1 21" xfId="3708"/>
    <cellStyle name="STYLE1 21 2" xfId="8439"/>
    <cellStyle name="STYLE1 21 2 2" xfId="8440"/>
    <cellStyle name="STYLE1 21 3" xfId="8441"/>
    <cellStyle name="STYLE1 22" xfId="3709"/>
    <cellStyle name="STYLE1 22 2" xfId="8442"/>
    <cellStyle name="STYLE1 22 2 2" xfId="8443"/>
    <cellStyle name="STYLE1 22 3" xfId="8444"/>
    <cellStyle name="STYLE1 23" xfId="3710"/>
    <cellStyle name="STYLE1 23 2" xfId="8445"/>
    <cellStyle name="STYLE1 23 2 2" xfId="8446"/>
    <cellStyle name="STYLE1 23 3" xfId="8447"/>
    <cellStyle name="STYLE1 24" xfId="3711"/>
    <cellStyle name="STYLE1 24 2" xfId="8448"/>
    <cellStyle name="STYLE1 24 2 2" xfId="8449"/>
    <cellStyle name="STYLE1 24 3" xfId="8450"/>
    <cellStyle name="STYLE1 25" xfId="3712"/>
    <cellStyle name="STYLE1 25 2" xfId="8451"/>
    <cellStyle name="STYLE1 25 2 2" xfId="8452"/>
    <cellStyle name="STYLE1 25 3" xfId="8453"/>
    <cellStyle name="STYLE1 26" xfId="3713"/>
    <cellStyle name="STYLE1 26 2" xfId="8454"/>
    <cellStyle name="STYLE1 26 2 2" xfId="8455"/>
    <cellStyle name="STYLE1 26 3" xfId="8456"/>
    <cellStyle name="STYLE1 27" xfId="3714"/>
    <cellStyle name="STYLE1 27 2" xfId="8457"/>
    <cellStyle name="STYLE1 27 2 2" xfId="8458"/>
    <cellStyle name="STYLE1 27 3" xfId="8459"/>
    <cellStyle name="STYLE1 28" xfId="3715"/>
    <cellStyle name="STYLE1 28 2" xfId="8460"/>
    <cellStyle name="STYLE1 29" xfId="3716"/>
    <cellStyle name="STYLE1 29 2" xfId="8461"/>
    <cellStyle name="STYLE1 3" xfId="3717"/>
    <cellStyle name="STYLE1 3 2" xfId="8462"/>
    <cellStyle name="STYLE1 3 2 2" xfId="8463"/>
    <cellStyle name="STYLE1 3 2 2 2" xfId="8464"/>
    <cellStyle name="STYLE1 3 2 3" xfId="8465"/>
    <cellStyle name="STYLE1 3 3" xfId="8466"/>
    <cellStyle name="STYLE1 3 3 2" xfId="8467"/>
    <cellStyle name="STYLE1 3 4" xfId="8468"/>
    <cellStyle name="STYLE1 30" xfId="3718"/>
    <cellStyle name="STYLE1 30 2" xfId="8469"/>
    <cellStyle name="STYLE1 31" xfId="8470"/>
    <cellStyle name="STYLE1 31 2" xfId="8471"/>
    <cellStyle name="STYLE1 32" xfId="8472"/>
    <cellStyle name="STYLE1 32 2" xfId="8473"/>
    <cellStyle name="STYLE1 33" xfId="8474"/>
    <cellStyle name="STYLE1 4" xfId="3719"/>
    <cellStyle name="STYLE1 4 2" xfId="8475"/>
    <cellStyle name="STYLE1 4 2 2" xfId="8476"/>
    <cellStyle name="STYLE1 4 2 2 2" xfId="8477"/>
    <cellStyle name="STYLE1 4 2 3" xfId="8478"/>
    <cellStyle name="STYLE1 4 3" xfId="8479"/>
    <cellStyle name="STYLE1 4 3 2" xfId="8480"/>
    <cellStyle name="STYLE1 4 4" xfId="8481"/>
    <cellStyle name="STYLE1 5" xfId="3720"/>
    <cellStyle name="STYLE1 5 2" xfId="8482"/>
    <cellStyle name="STYLE1 5 2 2" xfId="8483"/>
    <cellStyle name="STYLE1 5 2 2 2" xfId="8484"/>
    <cellStyle name="STYLE1 5 2 3" xfId="8485"/>
    <cellStyle name="STYLE1 5 3" xfId="8486"/>
    <cellStyle name="STYLE1 5 3 2" xfId="8487"/>
    <cellStyle name="STYLE1 5 4" xfId="8488"/>
    <cellStyle name="STYLE1 6" xfId="3721"/>
    <cellStyle name="STYLE1 6 2" xfId="8489"/>
    <cellStyle name="STYLE1 6 2 2" xfId="8490"/>
    <cellStyle name="STYLE1 6 2 2 2" xfId="8491"/>
    <cellStyle name="STYLE1 6 2 3" xfId="8492"/>
    <cellStyle name="STYLE1 6 3" xfId="8493"/>
    <cellStyle name="STYLE1 6 3 2" xfId="8494"/>
    <cellStyle name="STYLE1 6 4" xfId="8495"/>
    <cellStyle name="STYLE1 7" xfId="3722"/>
    <cellStyle name="STYLE1 7 2" xfId="8496"/>
    <cellStyle name="STYLE1 7 2 2" xfId="8497"/>
    <cellStyle name="STYLE1 7 2 2 2" xfId="8498"/>
    <cellStyle name="STYLE1 7 2 3" xfId="8499"/>
    <cellStyle name="STYLE1 7 3" xfId="8500"/>
    <cellStyle name="STYLE1 7 3 2" xfId="8501"/>
    <cellStyle name="STYLE1 7 4" xfId="8502"/>
    <cellStyle name="STYLE1 8" xfId="3723"/>
    <cellStyle name="STYLE1 8 2" xfId="8503"/>
    <cellStyle name="STYLE1 8 2 2" xfId="8504"/>
    <cellStyle name="STYLE1 8 2 2 2" xfId="8505"/>
    <cellStyle name="STYLE1 8 2 3" xfId="8506"/>
    <cellStyle name="STYLE1 8 3" xfId="8507"/>
    <cellStyle name="STYLE1 8 3 2" xfId="8508"/>
    <cellStyle name="STYLE1 8 4" xfId="8509"/>
    <cellStyle name="STYLE1 9" xfId="3724"/>
    <cellStyle name="STYLE1 9 2" xfId="8510"/>
    <cellStyle name="STYLE1 9 2 2" xfId="8511"/>
    <cellStyle name="STYLE1 9 2 2 2" xfId="8512"/>
    <cellStyle name="STYLE1 9 2 3" xfId="8513"/>
    <cellStyle name="STYLE1 9 3" xfId="8514"/>
    <cellStyle name="STYLE1 9 3 2" xfId="8515"/>
    <cellStyle name="STYLE1 9 4" xfId="8516"/>
    <cellStyle name="STYLE1_11-03 - PHI Consolidated - Summary of FIN 48 Related To DC Q4 2010" xfId="3725"/>
    <cellStyle name="STYLE2" xfId="3726"/>
    <cellStyle name="STYLE2 2" xfId="8517"/>
    <cellStyle name="STYLE3" xfId="3727"/>
    <cellStyle name="STYLE3 2" xfId="8518"/>
    <cellStyle name="STYLE4" xfId="3728"/>
    <cellStyle name="STYLE5" xfId="3729"/>
    <cellStyle name="SubRoutine" xfId="3730"/>
    <cellStyle name="SubRoutine 10" xfId="8519"/>
    <cellStyle name="SubRoutine 10 2" xfId="8520"/>
    <cellStyle name="SubRoutine 10 2 2" xfId="8521"/>
    <cellStyle name="SubRoutine 10 2 2 2" xfId="8522"/>
    <cellStyle name="SubRoutine 10 2 3" xfId="8523"/>
    <cellStyle name="SubRoutine 10 3" xfId="8524"/>
    <cellStyle name="SubRoutine 10 3 2" xfId="8525"/>
    <cellStyle name="SubRoutine 10 3 2 2" xfId="8526"/>
    <cellStyle name="SubRoutine 10 3 3" xfId="8527"/>
    <cellStyle name="SubRoutine 10 4" xfId="8528"/>
    <cellStyle name="SubRoutine 10 4 2" xfId="8529"/>
    <cellStyle name="SubRoutine 10 4 2 2" xfId="8530"/>
    <cellStyle name="SubRoutine 10 4 3" xfId="8531"/>
    <cellStyle name="SubRoutine 10 5" xfId="8532"/>
    <cellStyle name="SubRoutine 10 5 2" xfId="8533"/>
    <cellStyle name="SubRoutine 10 5 2 2" xfId="8534"/>
    <cellStyle name="SubRoutine 10 5 3" xfId="8535"/>
    <cellStyle name="SubRoutine 10 6" xfId="8536"/>
    <cellStyle name="SubRoutine 10 6 2" xfId="8537"/>
    <cellStyle name="SubRoutine 10 7" xfId="8538"/>
    <cellStyle name="SubRoutine 11" xfId="8539"/>
    <cellStyle name="SubRoutine 11 2" xfId="8540"/>
    <cellStyle name="SubRoutine 11 2 2" xfId="8541"/>
    <cellStyle name="SubRoutine 11 2 2 2" xfId="8542"/>
    <cellStyle name="SubRoutine 11 2 2 2 2" xfId="8543"/>
    <cellStyle name="SubRoutine 11 2 2 3" xfId="8544"/>
    <cellStyle name="SubRoutine 11 2 3" xfId="8545"/>
    <cellStyle name="SubRoutine 11 2 3 2" xfId="8546"/>
    <cellStyle name="SubRoutine 11 2 4" xfId="8547"/>
    <cellStyle name="SubRoutine 11 3" xfId="8548"/>
    <cellStyle name="SubRoutine 11 3 2" xfId="8549"/>
    <cellStyle name="SubRoutine 11 3 2 2" xfId="8550"/>
    <cellStyle name="SubRoutine 11 3 2 2 2" xfId="8551"/>
    <cellStyle name="SubRoutine 11 3 2 3" xfId="8552"/>
    <cellStyle name="SubRoutine 11 3 3" xfId="8553"/>
    <cellStyle name="SubRoutine 11 3 3 2" xfId="8554"/>
    <cellStyle name="SubRoutine 11 3 4" xfId="8555"/>
    <cellStyle name="SubRoutine 11 4" xfId="8556"/>
    <cellStyle name="SubRoutine 11 4 2" xfId="8557"/>
    <cellStyle name="SubRoutine 11 4 2 2" xfId="8558"/>
    <cellStyle name="SubRoutine 11 4 2 2 2" xfId="8559"/>
    <cellStyle name="SubRoutine 11 4 2 3" xfId="8560"/>
    <cellStyle name="SubRoutine 11 4 3" xfId="8561"/>
    <cellStyle name="SubRoutine 11 4 3 2" xfId="8562"/>
    <cellStyle name="SubRoutine 11 4 4" xfId="8563"/>
    <cellStyle name="SubRoutine 11 5" xfId="8564"/>
    <cellStyle name="SubRoutine 11 5 2" xfId="8565"/>
    <cellStyle name="SubRoutine 11 5 2 2" xfId="8566"/>
    <cellStyle name="SubRoutine 11 5 2 2 2" xfId="8567"/>
    <cellStyle name="SubRoutine 11 5 2 3" xfId="8568"/>
    <cellStyle name="SubRoutine 11 5 3" xfId="8569"/>
    <cellStyle name="SubRoutine 11 5 3 2" xfId="8570"/>
    <cellStyle name="SubRoutine 11 5 4" xfId="8571"/>
    <cellStyle name="SubRoutine 11 6" xfId="8572"/>
    <cellStyle name="SubRoutine 11 6 2" xfId="8573"/>
    <cellStyle name="SubRoutine 11 6 2 2" xfId="8574"/>
    <cellStyle name="SubRoutine 11 6 3" xfId="8575"/>
    <cellStyle name="SubRoutine 11 6 4" xfId="8576"/>
    <cellStyle name="SubRoutine 11 7" xfId="8577"/>
    <cellStyle name="SubRoutine 11 7 2" xfId="8578"/>
    <cellStyle name="SubRoutine 11 8" xfId="8579"/>
    <cellStyle name="SubRoutine 12" xfId="8580"/>
    <cellStyle name="SubRoutine 12 2" xfId="8581"/>
    <cellStyle name="SubRoutine 12 2 2" xfId="8582"/>
    <cellStyle name="SubRoutine 12 2 2 2" xfId="8583"/>
    <cellStyle name="SubRoutine 12 2 2 2 2" xfId="8584"/>
    <cellStyle name="SubRoutine 12 2 2 3" xfId="8585"/>
    <cellStyle name="SubRoutine 12 2 2 4" xfId="8586"/>
    <cellStyle name="SubRoutine 12 2 3" xfId="8587"/>
    <cellStyle name="SubRoutine 12 2 3 2" xfId="8588"/>
    <cellStyle name="SubRoutine 12 2 4" xfId="8589"/>
    <cellStyle name="SubRoutine 12 2 5" xfId="8590"/>
    <cellStyle name="SubRoutine 12 3" xfId="8591"/>
    <cellStyle name="SubRoutine 12 3 2" xfId="8592"/>
    <cellStyle name="SubRoutine 12 3 2 2" xfId="8593"/>
    <cellStyle name="SubRoutine 12 3 2 2 2" xfId="8594"/>
    <cellStyle name="SubRoutine 12 3 2 3" xfId="8595"/>
    <cellStyle name="SubRoutine 12 3 2 4" xfId="8596"/>
    <cellStyle name="SubRoutine 12 3 3" xfId="8597"/>
    <cellStyle name="SubRoutine 12 3 3 2" xfId="8598"/>
    <cellStyle name="SubRoutine 12 3 4" xfId="8599"/>
    <cellStyle name="SubRoutine 12 3 5" xfId="8600"/>
    <cellStyle name="SubRoutine 12 4" xfId="8601"/>
    <cellStyle name="SubRoutine 12 4 2" xfId="8602"/>
    <cellStyle name="SubRoutine 12 4 2 2" xfId="8603"/>
    <cellStyle name="SubRoutine 12 4 2 2 2" xfId="8604"/>
    <cellStyle name="SubRoutine 12 4 2 3" xfId="8605"/>
    <cellStyle name="SubRoutine 12 4 2 4" xfId="8606"/>
    <cellStyle name="SubRoutine 12 4 3" xfId="8607"/>
    <cellStyle name="SubRoutine 12 4 3 2" xfId="8608"/>
    <cellStyle name="SubRoutine 12 4 4" xfId="8609"/>
    <cellStyle name="SubRoutine 12 4 5" xfId="8610"/>
    <cellStyle name="SubRoutine 12 5" xfId="8611"/>
    <cellStyle name="SubRoutine 12 5 2" xfId="8612"/>
    <cellStyle name="SubRoutine 12 5 2 2" xfId="8613"/>
    <cellStyle name="SubRoutine 12 5 2 2 2" xfId="8614"/>
    <cellStyle name="SubRoutine 12 5 2 3" xfId="8615"/>
    <cellStyle name="SubRoutine 12 5 2 4" xfId="8616"/>
    <cellStyle name="SubRoutine 12 5 3" xfId="8617"/>
    <cellStyle name="SubRoutine 12 5 3 2" xfId="8618"/>
    <cellStyle name="SubRoutine 12 5 4" xfId="8619"/>
    <cellStyle name="SubRoutine 12 5 5" xfId="8620"/>
    <cellStyle name="SubRoutine 12 6" xfId="8621"/>
    <cellStyle name="SubRoutine 12 6 2" xfId="8622"/>
    <cellStyle name="SubRoutine 12 6 2 2" xfId="8623"/>
    <cellStyle name="SubRoutine 12 6 3" xfId="8624"/>
    <cellStyle name="SubRoutine 12 6 4" xfId="8625"/>
    <cellStyle name="SubRoutine 12 7" xfId="8626"/>
    <cellStyle name="SubRoutine 12 7 2" xfId="8627"/>
    <cellStyle name="SubRoutine 12 8" xfId="8628"/>
    <cellStyle name="SubRoutine 12 9" xfId="8629"/>
    <cellStyle name="SubRoutine 13" xfId="8630"/>
    <cellStyle name="SubRoutine 13 2" xfId="8631"/>
    <cellStyle name="SubRoutine 13 2 2" xfId="8632"/>
    <cellStyle name="SubRoutine 13 2 2 2" xfId="8633"/>
    <cellStyle name="SubRoutine 13 2 2 2 2" xfId="8634"/>
    <cellStyle name="SubRoutine 13 2 2 3" xfId="8635"/>
    <cellStyle name="SubRoutine 13 2 2 4" xfId="8636"/>
    <cellStyle name="SubRoutine 13 2 3" xfId="8637"/>
    <cellStyle name="SubRoutine 13 2 3 2" xfId="8638"/>
    <cellStyle name="SubRoutine 13 2 4" xfId="8639"/>
    <cellStyle name="SubRoutine 13 2 5" xfId="8640"/>
    <cellStyle name="SubRoutine 13 3" xfId="8641"/>
    <cellStyle name="SubRoutine 13 3 2" xfId="8642"/>
    <cellStyle name="SubRoutine 13 3 2 2" xfId="8643"/>
    <cellStyle name="SubRoutine 13 3 2 2 2" xfId="8644"/>
    <cellStyle name="SubRoutine 13 3 2 3" xfId="8645"/>
    <cellStyle name="SubRoutine 13 3 2 4" xfId="8646"/>
    <cellStyle name="SubRoutine 13 3 3" xfId="8647"/>
    <cellStyle name="SubRoutine 13 3 3 2" xfId="8648"/>
    <cellStyle name="SubRoutine 13 3 4" xfId="8649"/>
    <cellStyle name="SubRoutine 13 3 5" xfId="8650"/>
    <cellStyle name="SubRoutine 13 4" xfId="8651"/>
    <cellStyle name="SubRoutine 13 4 2" xfId="8652"/>
    <cellStyle name="SubRoutine 13 4 2 2" xfId="8653"/>
    <cellStyle name="SubRoutine 13 4 2 2 2" xfId="8654"/>
    <cellStyle name="SubRoutine 13 4 2 3" xfId="8655"/>
    <cellStyle name="SubRoutine 13 4 2 4" xfId="8656"/>
    <cellStyle name="SubRoutine 13 4 3" xfId="8657"/>
    <cellStyle name="SubRoutine 13 4 3 2" xfId="8658"/>
    <cellStyle name="SubRoutine 13 4 4" xfId="8659"/>
    <cellStyle name="SubRoutine 13 4 5" xfId="8660"/>
    <cellStyle name="SubRoutine 13 5" xfId="8661"/>
    <cellStyle name="SubRoutine 13 5 2" xfId="8662"/>
    <cellStyle name="SubRoutine 13 5 2 2" xfId="8663"/>
    <cellStyle name="SubRoutine 13 5 2 2 2" xfId="8664"/>
    <cellStyle name="SubRoutine 13 5 2 3" xfId="8665"/>
    <cellStyle name="SubRoutine 13 5 2 4" xfId="8666"/>
    <cellStyle name="SubRoutine 13 5 3" xfId="8667"/>
    <cellStyle name="SubRoutine 13 5 3 2" xfId="8668"/>
    <cellStyle name="SubRoutine 13 5 4" xfId="8669"/>
    <cellStyle name="SubRoutine 13 5 5" xfId="8670"/>
    <cellStyle name="SubRoutine 13 6" xfId="8671"/>
    <cellStyle name="SubRoutine 13 6 2" xfId="8672"/>
    <cellStyle name="SubRoutine 13 6 2 2" xfId="8673"/>
    <cellStyle name="SubRoutine 13 6 3" xfId="8674"/>
    <cellStyle name="SubRoutine 13 6 4" xfId="8675"/>
    <cellStyle name="SubRoutine 13 7" xfId="8676"/>
    <cellStyle name="SubRoutine 13 7 2" xfId="8677"/>
    <cellStyle name="SubRoutine 13 8" xfId="8678"/>
    <cellStyle name="SubRoutine 13 9" xfId="8679"/>
    <cellStyle name="SubRoutine 14" xfId="8680"/>
    <cellStyle name="SubRoutine 14 2" xfId="8681"/>
    <cellStyle name="SubRoutine 14 2 2" xfId="8682"/>
    <cellStyle name="SubRoutine 14 2 2 2" xfId="8683"/>
    <cellStyle name="SubRoutine 14 2 2 2 2" xfId="8684"/>
    <cellStyle name="SubRoutine 14 2 2 3" xfId="8685"/>
    <cellStyle name="SubRoutine 14 2 2 4" xfId="8686"/>
    <cellStyle name="SubRoutine 14 2 3" xfId="8687"/>
    <cellStyle name="SubRoutine 14 2 3 2" xfId="8688"/>
    <cellStyle name="SubRoutine 14 2 4" xfId="8689"/>
    <cellStyle name="SubRoutine 14 2 5" xfId="8690"/>
    <cellStyle name="SubRoutine 14 3" xfId="8691"/>
    <cellStyle name="SubRoutine 14 3 2" xfId="8692"/>
    <cellStyle name="SubRoutine 14 3 2 2" xfId="8693"/>
    <cellStyle name="SubRoutine 14 3 2 2 2" xfId="8694"/>
    <cellStyle name="SubRoutine 14 3 2 3" xfId="8695"/>
    <cellStyle name="SubRoutine 14 3 2 4" xfId="8696"/>
    <cellStyle name="SubRoutine 14 3 3" xfId="8697"/>
    <cellStyle name="SubRoutine 14 3 3 2" xfId="8698"/>
    <cellStyle name="SubRoutine 14 3 4" xfId="8699"/>
    <cellStyle name="SubRoutine 14 3 5" xfId="8700"/>
    <cellStyle name="SubRoutine 14 4" xfId="8701"/>
    <cellStyle name="SubRoutine 14 4 2" xfId="8702"/>
    <cellStyle name="SubRoutine 14 4 2 2" xfId="8703"/>
    <cellStyle name="SubRoutine 14 4 2 2 2" xfId="8704"/>
    <cellStyle name="SubRoutine 14 4 2 3" xfId="8705"/>
    <cellStyle name="SubRoutine 14 4 2 4" xfId="8706"/>
    <cellStyle name="SubRoutine 14 4 3" xfId="8707"/>
    <cellStyle name="SubRoutine 14 4 3 2" xfId="8708"/>
    <cellStyle name="SubRoutine 14 4 4" xfId="8709"/>
    <cellStyle name="SubRoutine 14 4 5" xfId="8710"/>
    <cellStyle name="SubRoutine 14 5" xfId="8711"/>
    <cellStyle name="SubRoutine 14 5 2" xfId="8712"/>
    <cellStyle name="SubRoutine 14 5 2 2" xfId="8713"/>
    <cellStyle name="SubRoutine 14 5 2 2 2" xfId="8714"/>
    <cellStyle name="SubRoutine 14 5 2 3" xfId="8715"/>
    <cellStyle name="SubRoutine 14 5 2 4" xfId="8716"/>
    <cellStyle name="SubRoutine 14 5 3" xfId="8717"/>
    <cellStyle name="SubRoutine 14 5 3 2" xfId="8718"/>
    <cellStyle name="SubRoutine 14 5 4" xfId="8719"/>
    <cellStyle name="SubRoutine 14 5 5" xfId="8720"/>
    <cellStyle name="SubRoutine 14 6" xfId="8721"/>
    <cellStyle name="SubRoutine 14 6 2" xfId="8722"/>
    <cellStyle name="SubRoutine 14 6 2 2" xfId="8723"/>
    <cellStyle name="SubRoutine 14 6 3" xfId="8724"/>
    <cellStyle name="SubRoutine 14 6 4" xfId="8725"/>
    <cellStyle name="SubRoutine 14 7" xfId="8726"/>
    <cellStyle name="SubRoutine 14 7 2" xfId="8727"/>
    <cellStyle name="SubRoutine 14 8" xfId="8728"/>
    <cellStyle name="SubRoutine 14 9" xfId="8729"/>
    <cellStyle name="SubRoutine 15" xfId="8730"/>
    <cellStyle name="SubRoutine 15 2" xfId="8731"/>
    <cellStyle name="SubRoutine 15 2 2" xfId="8732"/>
    <cellStyle name="SubRoutine 15 2 2 2" xfId="8733"/>
    <cellStyle name="SubRoutine 15 2 2 2 2" xfId="8734"/>
    <cellStyle name="SubRoutine 15 2 2 3" xfId="8735"/>
    <cellStyle name="SubRoutine 15 2 2 4" xfId="8736"/>
    <cellStyle name="SubRoutine 15 2 3" xfId="8737"/>
    <cellStyle name="SubRoutine 15 2 3 2" xfId="8738"/>
    <cellStyle name="SubRoutine 15 2 4" xfId="8739"/>
    <cellStyle name="SubRoutine 15 2 5" xfId="8740"/>
    <cellStyle name="SubRoutine 15 3" xfId="8741"/>
    <cellStyle name="SubRoutine 15 3 2" xfId="8742"/>
    <cellStyle name="SubRoutine 15 3 2 2" xfId="8743"/>
    <cellStyle name="SubRoutine 15 3 2 2 2" xfId="8744"/>
    <cellStyle name="SubRoutine 15 3 2 3" xfId="8745"/>
    <cellStyle name="SubRoutine 15 3 2 4" xfId="8746"/>
    <cellStyle name="SubRoutine 15 3 3" xfId="8747"/>
    <cellStyle name="SubRoutine 15 3 3 2" xfId="8748"/>
    <cellStyle name="SubRoutine 15 3 4" xfId="8749"/>
    <cellStyle name="SubRoutine 15 3 5" xfId="8750"/>
    <cellStyle name="SubRoutine 15 4" xfId="8751"/>
    <cellStyle name="SubRoutine 15 4 2" xfId="8752"/>
    <cellStyle name="SubRoutine 15 4 2 2" xfId="8753"/>
    <cellStyle name="SubRoutine 15 4 2 2 2" xfId="8754"/>
    <cellStyle name="SubRoutine 15 4 2 3" xfId="8755"/>
    <cellStyle name="SubRoutine 15 4 2 4" xfId="8756"/>
    <cellStyle name="SubRoutine 15 4 3" xfId="8757"/>
    <cellStyle name="SubRoutine 15 4 3 2" xfId="8758"/>
    <cellStyle name="SubRoutine 15 4 4" xfId="8759"/>
    <cellStyle name="SubRoutine 15 4 5" xfId="8760"/>
    <cellStyle name="SubRoutine 15 5" xfId="8761"/>
    <cellStyle name="SubRoutine 15 5 2" xfId="8762"/>
    <cellStyle name="SubRoutine 15 5 2 2" xfId="8763"/>
    <cellStyle name="SubRoutine 15 5 2 2 2" xfId="8764"/>
    <cellStyle name="SubRoutine 15 5 2 3" xfId="8765"/>
    <cellStyle name="SubRoutine 15 5 2 4" xfId="8766"/>
    <cellStyle name="SubRoutine 15 5 3" xfId="8767"/>
    <cellStyle name="SubRoutine 15 5 3 2" xfId="8768"/>
    <cellStyle name="SubRoutine 15 5 4" xfId="8769"/>
    <cellStyle name="SubRoutine 15 5 5" xfId="8770"/>
    <cellStyle name="SubRoutine 15 6" xfId="8771"/>
    <cellStyle name="SubRoutine 15 6 2" xfId="8772"/>
    <cellStyle name="SubRoutine 15 6 2 2" xfId="8773"/>
    <cellStyle name="SubRoutine 15 6 3" xfId="8774"/>
    <cellStyle name="SubRoutine 15 6 4" xfId="8775"/>
    <cellStyle name="SubRoutine 15 7" xfId="8776"/>
    <cellStyle name="SubRoutine 15 7 2" xfId="8777"/>
    <cellStyle name="SubRoutine 15 8" xfId="8778"/>
    <cellStyle name="SubRoutine 15 9" xfId="8779"/>
    <cellStyle name="SubRoutine 16" xfId="8780"/>
    <cellStyle name="SubRoutine 2" xfId="3731"/>
    <cellStyle name="SubRoutine 2 10" xfId="8781"/>
    <cellStyle name="SubRoutine 2 10 2" xfId="8782"/>
    <cellStyle name="SubRoutine 2 10 2 2" xfId="8783"/>
    <cellStyle name="SubRoutine 2 10 3" xfId="8784"/>
    <cellStyle name="SubRoutine 2 10 4" xfId="8785"/>
    <cellStyle name="SubRoutine 2 11" xfId="8786"/>
    <cellStyle name="SubRoutine 2 11 2" xfId="8787"/>
    <cellStyle name="SubRoutine 2 12" xfId="8788"/>
    <cellStyle name="SubRoutine 2 13" xfId="8789"/>
    <cellStyle name="SubRoutine 2 2" xfId="3732"/>
    <cellStyle name="SubRoutine 2 2 2" xfId="8790"/>
    <cellStyle name="SubRoutine 2 2 2 2" xfId="8791"/>
    <cellStyle name="SubRoutine 2 2 2 2 2" xfId="8792"/>
    <cellStyle name="SubRoutine 2 2 2 3" xfId="8793"/>
    <cellStyle name="SubRoutine 2 2 2 4" xfId="8794"/>
    <cellStyle name="SubRoutine 2 2 3" xfId="8795"/>
    <cellStyle name="SubRoutine 2 2 3 2" xfId="8796"/>
    <cellStyle name="SubRoutine 2 2 4" xfId="8797"/>
    <cellStyle name="SubRoutine 2 2 5" xfId="8798"/>
    <cellStyle name="SubRoutine 2 3" xfId="8799"/>
    <cellStyle name="SubRoutine 2 3 2" xfId="8800"/>
    <cellStyle name="SubRoutine 2 3 2 2" xfId="8801"/>
    <cellStyle name="SubRoutine 2 3 2 2 2" xfId="8802"/>
    <cellStyle name="SubRoutine 2 3 2 3" xfId="8803"/>
    <cellStyle name="SubRoutine 2 3 2 4" xfId="8804"/>
    <cellStyle name="SubRoutine 2 3 3" xfId="8805"/>
    <cellStyle name="SubRoutine 2 3 3 2" xfId="8806"/>
    <cellStyle name="SubRoutine 2 3 4" xfId="8807"/>
    <cellStyle name="SubRoutine 2 3 5" xfId="8808"/>
    <cellStyle name="SubRoutine 2 4" xfId="8809"/>
    <cellStyle name="SubRoutine 2 4 2" xfId="8810"/>
    <cellStyle name="SubRoutine 2 4 2 2" xfId="8811"/>
    <cellStyle name="SubRoutine 2 4 2 2 2" xfId="8812"/>
    <cellStyle name="SubRoutine 2 4 2 3" xfId="8813"/>
    <cellStyle name="SubRoutine 2 4 2 4" xfId="8814"/>
    <cellStyle name="SubRoutine 2 4 3" xfId="8815"/>
    <cellStyle name="SubRoutine 2 4 3 2" xfId="8816"/>
    <cellStyle name="SubRoutine 2 4 4" xfId="8817"/>
    <cellStyle name="SubRoutine 2 4 5" xfId="8818"/>
    <cellStyle name="SubRoutine 2 5" xfId="8819"/>
    <cellStyle name="SubRoutine 2 5 2" xfId="8820"/>
    <cellStyle name="SubRoutine 2 5 2 2" xfId="8821"/>
    <cellStyle name="SubRoutine 2 5 2 2 2" xfId="8822"/>
    <cellStyle name="SubRoutine 2 5 2 3" xfId="8823"/>
    <cellStyle name="SubRoutine 2 5 2 4" xfId="8824"/>
    <cellStyle name="SubRoutine 2 5 3" xfId="8825"/>
    <cellStyle name="SubRoutine 2 5 3 2" xfId="8826"/>
    <cellStyle name="SubRoutine 2 5 4" xfId="8827"/>
    <cellStyle name="SubRoutine 2 5 5" xfId="8828"/>
    <cellStyle name="SubRoutine 2 6" xfId="8829"/>
    <cellStyle name="SubRoutine 2 6 2" xfId="8830"/>
    <cellStyle name="SubRoutine 2 6 2 2" xfId="8831"/>
    <cellStyle name="SubRoutine 2 6 2 2 2" xfId="8832"/>
    <cellStyle name="SubRoutine 2 6 2 3" xfId="8833"/>
    <cellStyle name="SubRoutine 2 6 2 4" xfId="8834"/>
    <cellStyle name="SubRoutine 2 6 3" xfId="8835"/>
    <cellStyle name="SubRoutine 2 6 3 2" xfId="8836"/>
    <cellStyle name="SubRoutine 2 6 4" xfId="8837"/>
    <cellStyle name="SubRoutine 2 6 5" xfId="8838"/>
    <cellStyle name="SubRoutine 2 7" xfId="8839"/>
    <cellStyle name="SubRoutine 2 7 2" xfId="8840"/>
    <cellStyle name="SubRoutine 2 7 2 2" xfId="8841"/>
    <cellStyle name="SubRoutine 2 7 2 2 2" xfId="8842"/>
    <cellStyle name="SubRoutine 2 7 2 3" xfId="8843"/>
    <cellStyle name="SubRoutine 2 7 2 4" xfId="8844"/>
    <cellStyle name="SubRoutine 2 7 3" xfId="8845"/>
    <cellStyle name="SubRoutine 2 7 3 2" xfId="8846"/>
    <cellStyle name="SubRoutine 2 7 4" xfId="8847"/>
    <cellStyle name="SubRoutine 2 7 5" xfId="8848"/>
    <cellStyle name="SubRoutine 2 8" xfId="8849"/>
    <cellStyle name="SubRoutine 2 8 2" xfId="8850"/>
    <cellStyle name="SubRoutine 2 8 2 2" xfId="8851"/>
    <cellStyle name="SubRoutine 2 8 2 2 2" xfId="8852"/>
    <cellStyle name="SubRoutine 2 8 2 3" xfId="8853"/>
    <cellStyle name="SubRoutine 2 8 2 4" xfId="8854"/>
    <cellStyle name="SubRoutine 2 8 3" xfId="8855"/>
    <cellStyle name="SubRoutine 2 8 3 2" xfId="8856"/>
    <cellStyle name="SubRoutine 2 8 4" xfId="8857"/>
    <cellStyle name="SubRoutine 2 8 5" xfId="8858"/>
    <cellStyle name="SubRoutine 2 9" xfId="8859"/>
    <cellStyle name="SubRoutine 2 9 2" xfId="8860"/>
    <cellStyle name="SubRoutine 2 9 2 2" xfId="8861"/>
    <cellStyle name="SubRoutine 2 9 2 2 2" xfId="8862"/>
    <cellStyle name="SubRoutine 2 9 2 3" xfId="8863"/>
    <cellStyle name="SubRoutine 2 9 2 4" xfId="8864"/>
    <cellStyle name="SubRoutine 2 9 3" xfId="8865"/>
    <cellStyle name="SubRoutine 2 9 3 2" xfId="8866"/>
    <cellStyle name="SubRoutine 2 9 4" xfId="8867"/>
    <cellStyle name="SubRoutine 2 9 5" xfId="8868"/>
    <cellStyle name="SubRoutine 3" xfId="3733"/>
    <cellStyle name="SubRoutine 3 10" xfId="8869"/>
    <cellStyle name="SubRoutine 3 10 2" xfId="8870"/>
    <cellStyle name="SubRoutine 3 10 2 2" xfId="8871"/>
    <cellStyle name="SubRoutine 3 10 3" xfId="8872"/>
    <cellStyle name="SubRoutine 3 10 4" xfId="8873"/>
    <cellStyle name="SubRoutine 3 11" xfId="8874"/>
    <cellStyle name="SubRoutine 3 11 2" xfId="8875"/>
    <cellStyle name="SubRoutine 3 12" xfId="8876"/>
    <cellStyle name="SubRoutine 3 13" xfId="8877"/>
    <cellStyle name="SubRoutine 3 2" xfId="8878"/>
    <cellStyle name="SubRoutine 3 2 2" xfId="8879"/>
    <cellStyle name="SubRoutine 3 2 2 2" xfId="8880"/>
    <cellStyle name="SubRoutine 3 2 2 2 2" xfId="8881"/>
    <cellStyle name="SubRoutine 3 2 2 3" xfId="8882"/>
    <cellStyle name="SubRoutine 3 2 2 4" xfId="8883"/>
    <cellStyle name="SubRoutine 3 2 3" xfId="8884"/>
    <cellStyle name="SubRoutine 3 2 3 2" xfId="8885"/>
    <cellStyle name="SubRoutine 3 2 4" xfId="8886"/>
    <cellStyle name="SubRoutine 3 2 5" xfId="8887"/>
    <cellStyle name="SubRoutine 3 3" xfId="8888"/>
    <cellStyle name="SubRoutine 3 3 2" xfId="8889"/>
    <cellStyle name="SubRoutine 3 3 2 2" xfId="8890"/>
    <cellStyle name="SubRoutine 3 3 2 2 2" xfId="8891"/>
    <cellStyle name="SubRoutine 3 3 2 3" xfId="8892"/>
    <cellStyle name="SubRoutine 3 3 2 4" xfId="8893"/>
    <cellStyle name="SubRoutine 3 3 3" xfId="8894"/>
    <cellStyle name="SubRoutine 3 3 3 2" xfId="8895"/>
    <cellStyle name="SubRoutine 3 3 4" xfId="8896"/>
    <cellStyle name="SubRoutine 3 3 5" xfId="8897"/>
    <cellStyle name="SubRoutine 3 4" xfId="8898"/>
    <cellStyle name="SubRoutine 3 4 2" xfId="8899"/>
    <cellStyle name="SubRoutine 3 4 2 2" xfId="8900"/>
    <cellStyle name="SubRoutine 3 4 2 2 2" xfId="8901"/>
    <cellStyle name="SubRoutine 3 4 2 3" xfId="8902"/>
    <cellStyle name="SubRoutine 3 4 2 4" xfId="8903"/>
    <cellStyle name="SubRoutine 3 4 3" xfId="8904"/>
    <cellStyle name="SubRoutine 3 4 3 2" xfId="8905"/>
    <cellStyle name="SubRoutine 3 4 4" xfId="8906"/>
    <cellStyle name="SubRoutine 3 4 5" xfId="8907"/>
    <cellStyle name="SubRoutine 3 5" xfId="8908"/>
    <cellStyle name="SubRoutine 3 5 2" xfId="8909"/>
    <cellStyle name="SubRoutine 3 5 2 2" xfId="8910"/>
    <cellStyle name="SubRoutine 3 5 2 2 2" xfId="8911"/>
    <cellStyle name="SubRoutine 3 5 2 3" xfId="8912"/>
    <cellStyle name="SubRoutine 3 5 2 4" xfId="8913"/>
    <cellStyle name="SubRoutine 3 5 3" xfId="8914"/>
    <cellStyle name="SubRoutine 3 5 3 2" xfId="8915"/>
    <cellStyle name="SubRoutine 3 5 4" xfId="8916"/>
    <cellStyle name="SubRoutine 3 5 5" xfId="8917"/>
    <cellStyle name="SubRoutine 3 6" xfId="8918"/>
    <cellStyle name="SubRoutine 3 6 2" xfId="8919"/>
    <cellStyle name="SubRoutine 3 6 2 2" xfId="8920"/>
    <cellStyle name="SubRoutine 3 6 2 2 2" xfId="8921"/>
    <cellStyle name="SubRoutine 3 6 2 3" xfId="8922"/>
    <cellStyle name="SubRoutine 3 6 2 4" xfId="8923"/>
    <cellStyle name="SubRoutine 3 6 3" xfId="8924"/>
    <cellStyle name="SubRoutine 3 6 3 2" xfId="8925"/>
    <cellStyle name="SubRoutine 3 6 4" xfId="8926"/>
    <cellStyle name="SubRoutine 3 6 5" xfId="8927"/>
    <cellStyle name="SubRoutine 3 7" xfId="8928"/>
    <cellStyle name="SubRoutine 3 7 2" xfId="8929"/>
    <cellStyle name="SubRoutine 3 7 2 2" xfId="8930"/>
    <cellStyle name="SubRoutine 3 7 2 2 2" xfId="8931"/>
    <cellStyle name="SubRoutine 3 7 2 3" xfId="8932"/>
    <cellStyle name="SubRoutine 3 7 2 4" xfId="8933"/>
    <cellStyle name="SubRoutine 3 7 3" xfId="8934"/>
    <cellStyle name="SubRoutine 3 7 3 2" xfId="8935"/>
    <cellStyle name="SubRoutine 3 7 4" xfId="8936"/>
    <cellStyle name="SubRoutine 3 7 5" xfId="8937"/>
    <cellStyle name="SubRoutine 3 8" xfId="8938"/>
    <cellStyle name="SubRoutine 3 8 2" xfId="8939"/>
    <cellStyle name="SubRoutine 3 8 2 2" xfId="8940"/>
    <cellStyle name="SubRoutine 3 8 2 2 2" xfId="8941"/>
    <cellStyle name="SubRoutine 3 8 2 3" xfId="8942"/>
    <cellStyle name="SubRoutine 3 8 2 4" xfId="8943"/>
    <cellStyle name="SubRoutine 3 8 3" xfId="8944"/>
    <cellStyle name="SubRoutine 3 8 3 2" xfId="8945"/>
    <cellStyle name="SubRoutine 3 8 4" xfId="8946"/>
    <cellStyle name="SubRoutine 3 8 5" xfId="8947"/>
    <cellStyle name="SubRoutine 3 9" xfId="8948"/>
    <cellStyle name="SubRoutine 3 9 2" xfId="8949"/>
    <cellStyle name="SubRoutine 3 9 2 2" xfId="8950"/>
    <cellStyle name="SubRoutine 3 9 2 2 2" xfId="8951"/>
    <cellStyle name="SubRoutine 3 9 2 3" xfId="8952"/>
    <cellStyle name="SubRoutine 3 9 2 4" xfId="8953"/>
    <cellStyle name="SubRoutine 3 9 3" xfId="8954"/>
    <cellStyle name="SubRoutine 3 9 3 2" xfId="8955"/>
    <cellStyle name="SubRoutine 3 9 4" xfId="8956"/>
    <cellStyle name="SubRoutine 3 9 5" xfId="8957"/>
    <cellStyle name="SubRoutine 4" xfId="8958"/>
    <cellStyle name="SubRoutine 4 10" xfId="8959"/>
    <cellStyle name="SubRoutine 4 10 2" xfId="8960"/>
    <cellStyle name="SubRoutine 4 10 2 2" xfId="8961"/>
    <cellStyle name="SubRoutine 4 10 3" xfId="8962"/>
    <cellStyle name="SubRoutine 4 10 4" xfId="8963"/>
    <cellStyle name="SubRoutine 4 11" xfId="8964"/>
    <cellStyle name="SubRoutine 4 11 2" xfId="8965"/>
    <cellStyle name="SubRoutine 4 12" xfId="8966"/>
    <cellStyle name="SubRoutine 4 13" xfId="8967"/>
    <cellStyle name="SubRoutine 4 2" xfId="8968"/>
    <cellStyle name="SubRoutine 4 2 2" xfId="8969"/>
    <cellStyle name="SubRoutine 4 2 2 2" xfId="8970"/>
    <cellStyle name="SubRoutine 4 2 2 2 2" xfId="8971"/>
    <cellStyle name="SubRoutine 4 2 2 3" xfId="8972"/>
    <cellStyle name="SubRoutine 4 2 2 4" xfId="8973"/>
    <cellStyle name="SubRoutine 4 2 3" xfId="8974"/>
    <cellStyle name="SubRoutine 4 2 3 2" xfId="8975"/>
    <cellStyle name="SubRoutine 4 2 4" xfId="8976"/>
    <cellStyle name="SubRoutine 4 2 5" xfId="8977"/>
    <cellStyle name="SubRoutine 4 3" xfId="8978"/>
    <cellStyle name="SubRoutine 4 3 2" xfId="8979"/>
    <cellStyle name="SubRoutine 4 3 2 2" xfId="8980"/>
    <cellStyle name="SubRoutine 4 3 2 2 2" xfId="8981"/>
    <cellStyle name="SubRoutine 4 3 2 3" xfId="8982"/>
    <cellStyle name="SubRoutine 4 3 2 4" xfId="8983"/>
    <cellStyle name="SubRoutine 4 3 3" xfId="8984"/>
    <cellStyle name="SubRoutine 4 3 3 2" xfId="8985"/>
    <cellStyle name="SubRoutine 4 3 4" xfId="8986"/>
    <cellStyle name="SubRoutine 4 3 5" xfId="8987"/>
    <cellStyle name="SubRoutine 4 4" xfId="8988"/>
    <cellStyle name="SubRoutine 4 4 2" xfId="8989"/>
    <cellStyle name="SubRoutine 4 4 2 2" xfId="8990"/>
    <cellStyle name="SubRoutine 4 4 2 2 2" xfId="8991"/>
    <cellStyle name="SubRoutine 4 4 2 3" xfId="8992"/>
    <cellStyle name="SubRoutine 4 4 2 4" xfId="8993"/>
    <cellStyle name="SubRoutine 4 4 3" xfId="8994"/>
    <cellStyle name="SubRoutine 4 4 3 2" xfId="8995"/>
    <cellStyle name="SubRoutine 4 4 4" xfId="8996"/>
    <cellStyle name="SubRoutine 4 4 5" xfId="8997"/>
    <cellStyle name="SubRoutine 4 5" xfId="8998"/>
    <cellStyle name="SubRoutine 4 5 2" xfId="8999"/>
    <cellStyle name="SubRoutine 4 5 2 2" xfId="9000"/>
    <cellStyle name="SubRoutine 4 5 2 2 2" xfId="9001"/>
    <cellStyle name="SubRoutine 4 5 2 3" xfId="9002"/>
    <cellStyle name="SubRoutine 4 5 2 4" xfId="9003"/>
    <cellStyle name="SubRoutine 4 5 3" xfId="9004"/>
    <cellStyle name="SubRoutine 4 5 3 2" xfId="9005"/>
    <cellStyle name="SubRoutine 4 5 4" xfId="9006"/>
    <cellStyle name="SubRoutine 4 5 5" xfId="9007"/>
    <cellStyle name="SubRoutine 4 6" xfId="9008"/>
    <cellStyle name="SubRoutine 4 6 2" xfId="9009"/>
    <cellStyle name="SubRoutine 4 6 2 2" xfId="9010"/>
    <cellStyle name="SubRoutine 4 6 2 2 2" xfId="9011"/>
    <cellStyle name="SubRoutine 4 6 2 3" xfId="9012"/>
    <cellStyle name="SubRoutine 4 6 2 4" xfId="9013"/>
    <cellStyle name="SubRoutine 4 6 3" xfId="9014"/>
    <cellStyle name="SubRoutine 4 6 3 2" xfId="9015"/>
    <cellStyle name="SubRoutine 4 6 4" xfId="9016"/>
    <cellStyle name="SubRoutine 4 6 5" xfId="9017"/>
    <cellStyle name="SubRoutine 4 7" xfId="9018"/>
    <cellStyle name="SubRoutine 4 7 2" xfId="9019"/>
    <cellStyle name="SubRoutine 4 7 2 2" xfId="9020"/>
    <cellStyle name="SubRoutine 4 7 2 2 2" xfId="9021"/>
    <cellStyle name="SubRoutine 4 7 2 3" xfId="9022"/>
    <cellStyle name="SubRoutine 4 7 2 4" xfId="9023"/>
    <cellStyle name="SubRoutine 4 7 3" xfId="9024"/>
    <cellStyle name="SubRoutine 4 7 3 2" xfId="9025"/>
    <cellStyle name="SubRoutine 4 7 4" xfId="9026"/>
    <cellStyle name="SubRoutine 4 7 5" xfId="9027"/>
    <cellStyle name="SubRoutine 4 8" xfId="9028"/>
    <cellStyle name="SubRoutine 4 8 2" xfId="9029"/>
    <cellStyle name="SubRoutine 4 8 2 2" xfId="9030"/>
    <cellStyle name="SubRoutine 4 8 2 2 2" xfId="9031"/>
    <cellStyle name="SubRoutine 4 8 2 3" xfId="9032"/>
    <cellStyle name="SubRoutine 4 8 2 4" xfId="9033"/>
    <cellStyle name="SubRoutine 4 8 3" xfId="9034"/>
    <cellStyle name="SubRoutine 4 8 3 2" xfId="9035"/>
    <cellStyle name="SubRoutine 4 8 4" xfId="9036"/>
    <cellStyle name="SubRoutine 4 8 5" xfId="9037"/>
    <cellStyle name="SubRoutine 4 9" xfId="9038"/>
    <cellStyle name="SubRoutine 4 9 2" xfId="9039"/>
    <cellStyle name="SubRoutine 4 9 2 2" xfId="9040"/>
    <cellStyle name="SubRoutine 4 9 2 2 2" xfId="9041"/>
    <cellStyle name="SubRoutine 4 9 2 3" xfId="9042"/>
    <cellStyle name="SubRoutine 4 9 2 4" xfId="9043"/>
    <cellStyle name="SubRoutine 4 9 3" xfId="9044"/>
    <cellStyle name="SubRoutine 4 9 3 2" xfId="9045"/>
    <cellStyle name="SubRoutine 4 9 4" xfId="9046"/>
    <cellStyle name="SubRoutine 4 9 5" xfId="9047"/>
    <cellStyle name="SubRoutine 5" xfId="9048"/>
    <cellStyle name="SubRoutine 5 10" xfId="9049"/>
    <cellStyle name="SubRoutine 5 10 2" xfId="9050"/>
    <cellStyle name="SubRoutine 5 10 2 2" xfId="9051"/>
    <cellStyle name="SubRoutine 5 10 3" xfId="9052"/>
    <cellStyle name="SubRoutine 5 10 4" xfId="9053"/>
    <cellStyle name="SubRoutine 5 11" xfId="9054"/>
    <cellStyle name="SubRoutine 5 11 2" xfId="9055"/>
    <cellStyle name="SubRoutine 5 12" xfId="9056"/>
    <cellStyle name="SubRoutine 5 13" xfId="9057"/>
    <cellStyle name="SubRoutine 5 2" xfId="9058"/>
    <cellStyle name="SubRoutine 5 2 2" xfId="9059"/>
    <cellStyle name="SubRoutine 5 2 2 2" xfId="9060"/>
    <cellStyle name="SubRoutine 5 2 2 2 2" xfId="9061"/>
    <cellStyle name="SubRoutine 5 2 2 3" xfId="9062"/>
    <cellStyle name="SubRoutine 5 2 2 4" xfId="9063"/>
    <cellStyle name="SubRoutine 5 2 3" xfId="9064"/>
    <cellStyle name="SubRoutine 5 2 3 2" xfId="9065"/>
    <cellStyle name="SubRoutine 5 2 4" xfId="9066"/>
    <cellStyle name="SubRoutine 5 2 5" xfId="9067"/>
    <cellStyle name="SubRoutine 5 3" xfId="9068"/>
    <cellStyle name="SubRoutine 5 3 2" xfId="9069"/>
    <cellStyle name="SubRoutine 5 3 2 2" xfId="9070"/>
    <cellStyle name="SubRoutine 5 3 2 2 2" xfId="9071"/>
    <cellStyle name="SubRoutine 5 3 2 3" xfId="9072"/>
    <cellStyle name="SubRoutine 5 3 2 4" xfId="9073"/>
    <cellStyle name="SubRoutine 5 3 3" xfId="9074"/>
    <cellStyle name="SubRoutine 5 3 3 2" xfId="9075"/>
    <cellStyle name="SubRoutine 5 3 4" xfId="9076"/>
    <cellStyle name="SubRoutine 5 3 5" xfId="9077"/>
    <cellStyle name="SubRoutine 5 4" xfId="9078"/>
    <cellStyle name="SubRoutine 5 4 2" xfId="9079"/>
    <cellStyle name="SubRoutine 5 4 2 2" xfId="9080"/>
    <cellStyle name="SubRoutine 5 4 2 2 2" xfId="9081"/>
    <cellStyle name="SubRoutine 5 4 2 3" xfId="9082"/>
    <cellStyle name="SubRoutine 5 4 2 4" xfId="9083"/>
    <cellStyle name="SubRoutine 5 4 3" xfId="9084"/>
    <cellStyle name="SubRoutine 5 4 3 2" xfId="9085"/>
    <cellStyle name="SubRoutine 5 4 4" xfId="9086"/>
    <cellStyle name="SubRoutine 5 4 5" xfId="9087"/>
    <cellStyle name="SubRoutine 5 5" xfId="9088"/>
    <cellStyle name="SubRoutine 5 5 2" xfId="9089"/>
    <cellStyle name="SubRoutine 5 5 2 2" xfId="9090"/>
    <cellStyle name="SubRoutine 5 5 2 2 2" xfId="9091"/>
    <cellStyle name="SubRoutine 5 5 2 3" xfId="9092"/>
    <cellStyle name="SubRoutine 5 5 2 4" xfId="9093"/>
    <cellStyle name="SubRoutine 5 5 3" xfId="9094"/>
    <cellStyle name="SubRoutine 5 5 3 2" xfId="9095"/>
    <cellStyle name="SubRoutine 5 5 4" xfId="9096"/>
    <cellStyle name="SubRoutine 5 5 5" xfId="9097"/>
    <cellStyle name="SubRoutine 5 6" xfId="9098"/>
    <cellStyle name="SubRoutine 5 6 2" xfId="9099"/>
    <cellStyle name="SubRoutine 5 6 2 2" xfId="9100"/>
    <cellStyle name="SubRoutine 5 6 2 2 2" xfId="9101"/>
    <cellStyle name="SubRoutine 5 6 2 3" xfId="9102"/>
    <cellStyle name="SubRoutine 5 6 2 4" xfId="9103"/>
    <cellStyle name="SubRoutine 5 6 3" xfId="9104"/>
    <cellStyle name="SubRoutine 5 6 3 2" xfId="9105"/>
    <cellStyle name="SubRoutine 5 6 4" xfId="9106"/>
    <cellStyle name="SubRoutine 5 6 5" xfId="9107"/>
    <cellStyle name="SubRoutine 5 7" xfId="9108"/>
    <cellStyle name="SubRoutine 5 7 2" xfId="9109"/>
    <cellStyle name="SubRoutine 5 7 2 2" xfId="9110"/>
    <cellStyle name="SubRoutine 5 7 2 2 2" xfId="9111"/>
    <cellStyle name="SubRoutine 5 7 2 3" xfId="9112"/>
    <cellStyle name="SubRoutine 5 7 2 4" xfId="9113"/>
    <cellStyle name="SubRoutine 5 7 3" xfId="9114"/>
    <cellStyle name="SubRoutine 5 7 3 2" xfId="9115"/>
    <cellStyle name="SubRoutine 5 7 4" xfId="9116"/>
    <cellStyle name="SubRoutine 5 7 5" xfId="9117"/>
    <cellStyle name="SubRoutine 5 8" xfId="9118"/>
    <cellStyle name="SubRoutine 5 8 2" xfId="9119"/>
    <cellStyle name="SubRoutine 5 8 2 2" xfId="9120"/>
    <cellStyle name="SubRoutine 5 8 2 2 2" xfId="9121"/>
    <cellStyle name="SubRoutine 5 8 2 3" xfId="9122"/>
    <cellStyle name="SubRoutine 5 8 2 4" xfId="9123"/>
    <cellStyle name="SubRoutine 5 8 3" xfId="9124"/>
    <cellStyle name="SubRoutine 5 8 3 2" xfId="9125"/>
    <cellStyle name="SubRoutine 5 8 4" xfId="9126"/>
    <cellStyle name="SubRoutine 5 8 5" xfId="9127"/>
    <cellStyle name="SubRoutine 5 9" xfId="9128"/>
    <cellStyle name="SubRoutine 5 9 2" xfId="9129"/>
    <cellStyle name="SubRoutine 5 9 2 2" xfId="9130"/>
    <cellStyle name="SubRoutine 5 9 2 2 2" xfId="9131"/>
    <cellStyle name="SubRoutine 5 9 2 3" xfId="9132"/>
    <cellStyle name="SubRoutine 5 9 2 4" xfId="9133"/>
    <cellStyle name="SubRoutine 5 9 3" xfId="9134"/>
    <cellStyle name="SubRoutine 5 9 3 2" xfId="9135"/>
    <cellStyle name="SubRoutine 5 9 4" xfId="9136"/>
    <cellStyle name="SubRoutine 5 9 5" xfId="9137"/>
    <cellStyle name="SubRoutine 6" xfId="9138"/>
    <cellStyle name="SubRoutine 6 10" xfId="9139"/>
    <cellStyle name="SubRoutine 6 10 2" xfId="9140"/>
    <cellStyle name="SubRoutine 6 10 2 2" xfId="9141"/>
    <cellStyle name="SubRoutine 6 10 3" xfId="9142"/>
    <cellStyle name="SubRoutine 6 10 4" xfId="9143"/>
    <cellStyle name="SubRoutine 6 11" xfId="9144"/>
    <cellStyle name="SubRoutine 6 11 2" xfId="9145"/>
    <cellStyle name="SubRoutine 6 12" xfId="9146"/>
    <cellStyle name="SubRoutine 6 13" xfId="9147"/>
    <cellStyle name="SubRoutine 6 2" xfId="9148"/>
    <cellStyle name="SubRoutine 6 2 2" xfId="9149"/>
    <cellStyle name="SubRoutine 6 2 2 2" xfId="9150"/>
    <cellStyle name="SubRoutine 6 2 2 2 2" xfId="9151"/>
    <cellStyle name="SubRoutine 6 2 2 3" xfId="9152"/>
    <cellStyle name="SubRoutine 6 2 2 4" xfId="9153"/>
    <cellStyle name="SubRoutine 6 2 3" xfId="9154"/>
    <cellStyle name="SubRoutine 6 2 3 2" xfId="9155"/>
    <cellStyle name="SubRoutine 6 2 4" xfId="9156"/>
    <cellStyle name="SubRoutine 6 2 5" xfId="9157"/>
    <cellStyle name="SubRoutine 6 3" xfId="9158"/>
    <cellStyle name="SubRoutine 6 3 2" xfId="9159"/>
    <cellStyle name="SubRoutine 6 3 2 2" xfId="9160"/>
    <cellStyle name="SubRoutine 6 3 2 2 2" xfId="9161"/>
    <cellStyle name="SubRoutine 6 3 2 3" xfId="9162"/>
    <cellStyle name="SubRoutine 6 3 2 4" xfId="9163"/>
    <cellStyle name="SubRoutine 6 3 3" xfId="9164"/>
    <cellStyle name="SubRoutine 6 3 3 2" xfId="9165"/>
    <cellStyle name="SubRoutine 6 3 4" xfId="9166"/>
    <cellStyle name="SubRoutine 6 3 5" xfId="9167"/>
    <cellStyle name="SubRoutine 6 4" xfId="9168"/>
    <cellStyle name="SubRoutine 6 4 2" xfId="9169"/>
    <cellStyle name="SubRoutine 6 4 2 2" xfId="9170"/>
    <cellStyle name="SubRoutine 6 4 2 2 2" xfId="9171"/>
    <cellStyle name="SubRoutine 6 4 2 3" xfId="9172"/>
    <cellStyle name="SubRoutine 6 4 2 4" xfId="9173"/>
    <cellStyle name="SubRoutine 6 4 3" xfId="9174"/>
    <cellStyle name="SubRoutine 6 4 3 2" xfId="9175"/>
    <cellStyle name="SubRoutine 6 4 4" xfId="9176"/>
    <cellStyle name="SubRoutine 6 4 5" xfId="9177"/>
    <cellStyle name="SubRoutine 6 5" xfId="9178"/>
    <cellStyle name="SubRoutine 6 5 2" xfId="9179"/>
    <cellStyle name="SubRoutine 6 5 2 2" xfId="9180"/>
    <cellStyle name="SubRoutine 6 5 2 2 2" xfId="9181"/>
    <cellStyle name="SubRoutine 6 5 2 3" xfId="9182"/>
    <cellStyle name="SubRoutine 6 5 2 4" xfId="9183"/>
    <cellStyle name="SubRoutine 6 5 3" xfId="9184"/>
    <cellStyle name="SubRoutine 6 5 3 2" xfId="9185"/>
    <cellStyle name="SubRoutine 6 5 4" xfId="9186"/>
    <cellStyle name="SubRoutine 6 5 5" xfId="9187"/>
    <cellStyle name="SubRoutine 6 6" xfId="9188"/>
    <cellStyle name="SubRoutine 6 6 2" xfId="9189"/>
    <cellStyle name="SubRoutine 6 6 2 2" xfId="9190"/>
    <cellStyle name="SubRoutine 6 6 2 2 2" xfId="9191"/>
    <cellStyle name="SubRoutine 6 6 2 3" xfId="9192"/>
    <cellStyle name="SubRoutine 6 6 2 4" xfId="9193"/>
    <cellStyle name="SubRoutine 6 6 3" xfId="9194"/>
    <cellStyle name="SubRoutine 6 6 3 2" xfId="9195"/>
    <cellStyle name="SubRoutine 6 6 4" xfId="9196"/>
    <cellStyle name="SubRoutine 6 6 5" xfId="9197"/>
    <cellStyle name="SubRoutine 6 7" xfId="9198"/>
    <cellStyle name="SubRoutine 6 7 2" xfId="9199"/>
    <cellStyle name="SubRoutine 6 7 2 2" xfId="9200"/>
    <cellStyle name="SubRoutine 6 7 2 2 2" xfId="9201"/>
    <cellStyle name="SubRoutine 6 7 2 3" xfId="9202"/>
    <cellStyle name="SubRoutine 6 7 2 4" xfId="9203"/>
    <cellStyle name="SubRoutine 6 7 3" xfId="9204"/>
    <cellStyle name="SubRoutine 6 7 3 2" xfId="9205"/>
    <cellStyle name="SubRoutine 6 7 4" xfId="9206"/>
    <cellStyle name="SubRoutine 6 7 5" xfId="9207"/>
    <cellStyle name="SubRoutine 6 8" xfId="9208"/>
    <cellStyle name="SubRoutine 6 8 2" xfId="9209"/>
    <cellStyle name="SubRoutine 6 8 2 2" xfId="9210"/>
    <cellStyle name="SubRoutine 6 8 2 2 2" xfId="9211"/>
    <cellStyle name="SubRoutine 6 8 2 3" xfId="9212"/>
    <cellStyle name="SubRoutine 6 8 2 4" xfId="9213"/>
    <cellStyle name="SubRoutine 6 8 3" xfId="9214"/>
    <cellStyle name="SubRoutine 6 8 3 2" xfId="9215"/>
    <cellStyle name="SubRoutine 6 8 4" xfId="9216"/>
    <cellStyle name="SubRoutine 6 8 5" xfId="9217"/>
    <cellStyle name="SubRoutine 6 9" xfId="9218"/>
    <cellStyle name="SubRoutine 6 9 2" xfId="9219"/>
    <cellStyle name="SubRoutine 6 9 2 2" xfId="9220"/>
    <cellStyle name="SubRoutine 6 9 2 2 2" xfId="9221"/>
    <cellStyle name="SubRoutine 6 9 2 3" xfId="9222"/>
    <cellStyle name="SubRoutine 6 9 2 4" xfId="9223"/>
    <cellStyle name="SubRoutine 6 9 3" xfId="9224"/>
    <cellStyle name="SubRoutine 6 9 3 2" xfId="9225"/>
    <cellStyle name="SubRoutine 6 9 4" xfId="9226"/>
    <cellStyle name="SubRoutine 6 9 5" xfId="9227"/>
    <cellStyle name="SubRoutine 7" xfId="9228"/>
    <cellStyle name="SubRoutine 7 2" xfId="9229"/>
    <cellStyle name="SubRoutine 7 2 2" xfId="9230"/>
    <cellStyle name="SubRoutine 7 2 2 2" xfId="9231"/>
    <cellStyle name="SubRoutine 7 2 2 2 2" xfId="9232"/>
    <cellStyle name="SubRoutine 7 2 2 3" xfId="9233"/>
    <cellStyle name="SubRoutine 7 2 2 4" xfId="9234"/>
    <cellStyle name="SubRoutine 7 2 3" xfId="9235"/>
    <cellStyle name="SubRoutine 7 2 3 2" xfId="9236"/>
    <cellStyle name="SubRoutine 7 2 4" xfId="9237"/>
    <cellStyle name="SubRoutine 7 2 5" xfId="9238"/>
    <cellStyle name="SubRoutine 7 3" xfId="9239"/>
    <cellStyle name="SubRoutine 7 3 2" xfId="9240"/>
    <cellStyle name="SubRoutine 7 3 2 2" xfId="9241"/>
    <cellStyle name="SubRoutine 7 3 2 2 2" xfId="9242"/>
    <cellStyle name="SubRoutine 7 3 2 3" xfId="9243"/>
    <cellStyle name="SubRoutine 7 3 2 4" xfId="9244"/>
    <cellStyle name="SubRoutine 7 3 3" xfId="9245"/>
    <cellStyle name="SubRoutine 7 3 3 2" xfId="9246"/>
    <cellStyle name="SubRoutine 7 3 4" xfId="9247"/>
    <cellStyle name="SubRoutine 7 3 5" xfId="9248"/>
    <cellStyle name="SubRoutine 7 4" xfId="9249"/>
    <cellStyle name="SubRoutine 7 4 2" xfId="9250"/>
    <cellStyle name="SubRoutine 7 4 2 2" xfId="9251"/>
    <cellStyle name="SubRoutine 7 4 2 2 2" xfId="9252"/>
    <cellStyle name="SubRoutine 7 4 2 3" xfId="9253"/>
    <cellStyle name="SubRoutine 7 4 2 4" xfId="9254"/>
    <cellStyle name="SubRoutine 7 4 3" xfId="9255"/>
    <cellStyle name="SubRoutine 7 4 3 2" xfId="9256"/>
    <cellStyle name="SubRoutine 7 4 4" xfId="9257"/>
    <cellStyle name="SubRoutine 7 4 5" xfId="9258"/>
    <cellStyle name="SubRoutine 7 5" xfId="9259"/>
    <cellStyle name="SubRoutine 7 5 2" xfId="9260"/>
    <cellStyle name="SubRoutine 7 5 2 2" xfId="9261"/>
    <cellStyle name="SubRoutine 7 5 2 2 2" xfId="9262"/>
    <cellStyle name="SubRoutine 7 5 2 3" xfId="9263"/>
    <cellStyle name="SubRoutine 7 5 2 4" xfId="9264"/>
    <cellStyle name="SubRoutine 7 5 3" xfId="9265"/>
    <cellStyle name="SubRoutine 7 5 3 2" xfId="9266"/>
    <cellStyle name="SubRoutine 7 5 4" xfId="9267"/>
    <cellStyle name="SubRoutine 7 5 5" xfId="9268"/>
    <cellStyle name="SubRoutine 7 6" xfId="9269"/>
    <cellStyle name="SubRoutine 7 6 2" xfId="9270"/>
    <cellStyle name="SubRoutine 7 6 2 2" xfId="9271"/>
    <cellStyle name="SubRoutine 7 6 3" xfId="9272"/>
    <cellStyle name="SubRoutine 7 6 4" xfId="9273"/>
    <cellStyle name="SubRoutine 7 7" xfId="9274"/>
    <cellStyle name="SubRoutine 7 7 2" xfId="9275"/>
    <cellStyle name="SubRoutine 7 8" xfId="9276"/>
    <cellStyle name="SubRoutine 7 9" xfId="9277"/>
    <cellStyle name="SubRoutine 8" xfId="9278"/>
    <cellStyle name="SubRoutine 8 2" xfId="9279"/>
    <cellStyle name="SubRoutine 8 2 2" xfId="9280"/>
    <cellStyle name="SubRoutine 8 2 2 2" xfId="9281"/>
    <cellStyle name="SubRoutine 8 2 2 2 2" xfId="9282"/>
    <cellStyle name="SubRoutine 8 2 2 3" xfId="9283"/>
    <cellStyle name="SubRoutine 8 2 2 4" xfId="9284"/>
    <cellStyle name="SubRoutine 8 2 3" xfId="9285"/>
    <cellStyle name="SubRoutine 8 2 3 2" xfId="9286"/>
    <cellStyle name="SubRoutine 8 2 4" xfId="9287"/>
    <cellStyle name="SubRoutine 8 2 5" xfId="9288"/>
    <cellStyle name="SubRoutine 8 3" xfId="9289"/>
    <cellStyle name="SubRoutine 8 3 2" xfId="9290"/>
    <cellStyle name="SubRoutine 8 3 2 2" xfId="9291"/>
    <cellStyle name="SubRoutine 8 3 2 2 2" xfId="9292"/>
    <cellStyle name="SubRoutine 8 3 2 3" xfId="9293"/>
    <cellStyle name="SubRoutine 8 3 2 4" xfId="9294"/>
    <cellStyle name="SubRoutine 8 3 3" xfId="9295"/>
    <cellStyle name="SubRoutine 8 3 3 2" xfId="9296"/>
    <cellStyle name="SubRoutine 8 3 4" xfId="9297"/>
    <cellStyle name="SubRoutine 8 3 5" xfId="9298"/>
    <cellStyle name="SubRoutine 8 4" xfId="9299"/>
    <cellStyle name="SubRoutine 8 4 2" xfId="9300"/>
    <cellStyle name="SubRoutine 8 4 2 2" xfId="9301"/>
    <cellStyle name="SubRoutine 8 4 2 2 2" xfId="9302"/>
    <cellStyle name="SubRoutine 8 4 2 3" xfId="9303"/>
    <cellStyle name="SubRoutine 8 4 2 4" xfId="9304"/>
    <cellStyle name="SubRoutine 8 4 3" xfId="9305"/>
    <cellStyle name="SubRoutine 8 4 3 2" xfId="9306"/>
    <cellStyle name="SubRoutine 8 4 4" xfId="9307"/>
    <cellStyle name="SubRoutine 8 4 5" xfId="9308"/>
    <cellStyle name="SubRoutine 8 5" xfId="9309"/>
    <cellStyle name="SubRoutine 8 5 2" xfId="9310"/>
    <cellStyle name="SubRoutine 8 5 2 2" xfId="9311"/>
    <cellStyle name="SubRoutine 8 5 2 2 2" xfId="9312"/>
    <cellStyle name="SubRoutine 8 5 2 3" xfId="9313"/>
    <cellStyle name="SubRoutine 8 5 2 4" xfId="9314"/>
    <cellStyle name="SubRoutine 8 5 3" xfId="9315"/>
    <cellStyle name="SubRoutine 8 5 3 2" xfId="9316"/>
    <cellStyle name="SubRoutine 8 5 4" xfId="9317"/>
    <cellStyle name="SubRoutine 8 5 5" xfId="9318"/>
    <cellStyle name="SubRoutine 8 6" xfId="9319"/>
    <cellStyle name="SubRoutine 8 6 2" xfId="9320"/>
    <cellStyle name="SubRoutine 8 6 2 2" xfId="9321"/>
    <cellStyle name="SubRoutine 8 6 3" xfId="9322"/>
    <cellStyle name="SubRoutine 8 6 4" xfId="9323"/>
    <cellStyle name="SubRoutine 8 7" xfId="9324"/>
    <cellStyle name="SubRoutine 8 7 2" xfId="9325"/>
    <cellStyle name="SubRoutine 8 8" xfId="9326"/>
    <cellStyle name="SubRoutine 8 9" xfId="9327"/>
    <cellStyle name="SubRoutine 9" xfId="9328"/>
    <cellStyle name="SubRoutine 9 2" xfId="9329"/>
    <cellStyle name="SubRoutine 9 2 2" xfId="9330"/>
    <cellStyle name="SubRoutine 9 2 2 2" xfId="9331"/>
    <cellStyle name="SubRoutine 9 2 2 2 2" xfId="9332"/>
    <cellStyle name="SubRoutine 9 2 2 3" xfId="9333"/>
    <cellStyle name="SubRoutine 9 2 2 4" xfId="9334"/>
    <cellStyle name="SubRoutine 9 2 3" xfId="9335"/>
    <cellStyle name="SubRoutine 9 2 3 2" xfId="9336"/>
    <cellStyle name="SubRoutine 9 2 4" xfId="9337"/>
    <cellStyle name="SubRoutine 9 2 5" xfId="9338"/>
    <cellStyle name="SubRoutine 9 3" xfId="9339"/>
    <cellStyle name="SubRoutine 9 3 2" xfId="9340"/>
    <cellStyle name="SubRoutine 9 3 2 2" xfId="9341"/>
    <cellStyle name="SubRoutine 9 3 2 2 2" xfId="9342"/>
    <cellStyle name="SubRoutine 9 3 2 3" xfId="9343"/>
    <cellStyle name="SubRoutine 9 3 2 4" xfId="9344"/>
    <cellStyle name="SubRoutine 9 3 3" xfId="9345"/>
    <cellStyle name="SubRoutine 9 3 3 2" xfId="9346"/>
    <cellStyle name="SubRoutine 9 3 4" xfId="9347"/>
    <cellStyle name="SubRoutine 9 3 5" xfId="9348"/>
    <cellStyle name="SubRoutine 9 4" xfId="9349"/>
    <cellStyle name="SubRoutine 9 4 2" xfId="9350"/>
    <cellStyle name="SubRoutine 9 4 2 2" xfId="9351"/>
    <cellStyle name="SubRoutine 9 4 2 2 2" xfId="9352"/>
    <cellStyle name="SubRoutine 9 4 2 3" xfId="9353"/>
    <cellStyle name="SubRoutine 9 4 2 4" xfId="9354"/>
    <cellStyle name="SubRoutine 9 4 3" xfId="9355"/>
    <cellStyle name="SubRoutine 9 4 3 2" xfId="9356"/>
    <cellStyle name="SubRoutine 9 4 4" xfId="9357"/>
    <cellStyle name="SubRoutine 9 4 5" xfId="9358"/>
    <cellStyle name="SubRoutine 9 5" xfId="9359"/>
    <cellStyle name="SubRoutine 9 5 2" xfId="9360"/>
    <cellStyle name="SubRoutine 9 5 2 2" xfId="9361"/>
    <cellStyle name="SubRoutine 9 5 2 2 2" xfId="9362"/>
    <cellStyle name="SubRoutine 9 5 2 3" xfId="9363"/>
    <cellStyle name="SubRoutine 9 5 2 4" xfId="9364"/>
    <cellStyle name="SubRoutine 9 5 3" xfId="9365"/>
    <cellStyle name="SubRoutine 9 5 3 2" xfId="9366"/>
    <cellStyle name="SubRoutine 9 5 4" xfId="9367"/>
    <cellStyle name="SubRoutine 9 5 5" xfId="9368"/>
    <cellStyle name="SubRoutine 9 6" xfId="9369"/>
    <cellStyle name="SubRoutine 9 6 2" xfId="9370"/>
    <cellStyle name="SubRoutine 9 6 2 2" xfId="9371"/>
    <cellStyle name="SubRoutine 9 6 3" xfId="9372"/>
    <cellStyle name="SubRoutine 9 6 4" xfId="9373"/>
    <cellStyle name="SubRoutine 9 7" xfId="9374"/>
    <cellStyle name="SubRoutine 9 7 2" xfId="9375"/>
    <cellStyle name="SubRoutine 9 8" xfId="9376"/>
    <cellStyle name="SubRoutine 9 9" xfId="9377"/>
    <cellStyle name="SubRoutine_11-03.1 Pepco" xfId="3734"/>
    <cellStyle name="Title" xfId="60" builtinId="15" customBuiltin="1"/>
    <cellStyle name="Title 10" xfId="3735"/>
    <cellStyle name="Title 10 2" xfId="3736"/>
    <cellStyle name="Title 11" xfId="3737"/>
    <cellStyle name="Title 11 2" xfId="3738"/>
    <cellStyle name="Title 12" xfId="3739"/>
    <cellStyle name="Title 12 2" xfId="3740"/>
    <cellStyle name="Title 13" xfId="3741"/>
    <cellStyle name="Title 13 2" xfId="3742"/>
    <cellStyle name="Title 14" xfId="3743"/>
    <cellStyle name="Title 14 2" xfId="3744"/>
    <cellStyle name="Title 15" xfId="3745"/>
    <cellStyle name="Title 15 2" xfId="3746"/>
    <cellStyle name="Title 16" xfId="3747"/>
    <cellStyle name="Title 16 2" xfId="3748"/>
    <cellStyle name="Title 17" xfId="3749"/>
    <cellStyle name="Title 17 2" xfId="3750"/>
    <cellStyle name="Title 18" xfId="3751"/>
    <cellStyle name="Title 18 2" xfId="3752"/>
    <cellStyle name="Title 19" xfId="3753"/>
    <cellStyle name="Title 19 2" xfId="3754"/>
    <cellStyle name="Title 2" xfId="3755"/>
    <cellStyle name="Title 2 2" xfId="3756"/>
    <cellStyle name="Title 2 3" xfId="3757"/>
    <cellStyle name="Title 20" xfId="3758"/>
    <cellStyle name="Title 21" xfId="3759"/>
    <cellStyle name="Title 22" xfId="3760"/>
    <cellStyle name="Title 23" xfId="3761"/>
    <cellStyle name="Title 24" xfId="3762"/>
    <cellStyle name="Title 25" xfId="3763"/>
    <cellStyle name="Title 26" xfId="3764"/>
    <cellStyle name="Title 27" xfId="3765"/>
    <cellStyle name="Title 28" xfId="3766"/>
    <cellStyle name="Title 29" xfId="3767"/>
    <cellStyle name="Title 3" xfId="9378"/>
    <cellStyle name="Title 3 2" xfId="3768"/>
    <cellStyle name="Title 30" xfId="3769"/>
    <cellStyle name="Title 31" xfId="3770"/>
    <cellStyle name="Title 32" xfId="3771"/>
    <cellStyle name="Title 33" xfId="3772"/>
    <cellStyle name="Title 34" xfId="3773"/>
    <cellStyle name="Title 35" xfId="3774"/>
    <cellStyle name="Title 36" xfId="3775"/>
    <cellStyle name="Title 37" xfId="9468"/>
    <cellStyle name="Title 4" xfId="3776"/>
    <cellStyle name="Title 4 2" xfId="3777"/>
    <cellStyle name="Title 5" xfId="3778"/>
    <cellStyle name="Title 5 2" xfId="3779"/>
    <cellStyle name="Title 6" xfId="3780"/>
    <cellStyle name="Title 6 2" xfId="3781"/>
    <cellStyle name="Title 7" xfId="3782"/>
    <cellStyle name="Title 7 2" xfId="3783"/>
    <cellStyle name="Title 8" xfId="3784"/>
    <cellStyle name="Title 8 2" xfId="3785"/>
    <cellStyle name="Title 9" xfId="3786"/>
    <cellStyle name="Title 9 2" xfId="3787"/>
    <cellStyle name="Total" xfId="61" builtinId="25" customBuiltin="1"/>
    <cellStyle name="Total 10" xfId="3788"/>
    <cellStyle name="Total 10 2" xfId="3789"/>
    <cellStyle name="Total 11" xfId="3790"/>
    <cellStyle name="Total 11 2" xfId="3791"/>
    <cellStyle name="Total 12" xfId="3792"/>
    <cellStyle name="Total 12 2" xfId="3793"/>
    <cellStyle name="Total 13" xfId="3794"/>
    <cellStyle name="Total 13 2" xfId="3795"/>
    <cellStyle name="Total 14" xfId="3796"/>
    <cellStyle name="Total 14 2" xfId="3797"/>
    <cellStyle name="Total 15" xfId="3798"/>
    <cellStyle name="Total 15 2" xfId="3799"/>
    <cellStyle name="Total 16" xfId="3800"/>
    <cellStyle name="Total 16 2" xfId="3801"/>
    <cellStyle name="Total 17" xfId="3802"/>
    <cellStyle name="Total 17 2" xfId="3803"/>
    <cellStyle name="Total 18" xfId="3804"/>
    <cellStyle name="Total 18 2" xfId="3805"/>
    <cellStyle name="Total 19" xfId="3806"/>
    <cellStyle name="Total 19 2" xfId="3807"/>
    <cellStyle name="Total 2" xfId="3808"/>
    <cellStyle name="Total 2 2" xfId="3809"/>
    <cellStyle name="Total 2 3" xfId="3810"/>
    <cellStyle name="Total 20" xfId="3811"/>
    <cellStyle name="Total 21" xfId="3812"/>
    <cellStyle name="Total 22" xfId="3813"/>
    <cellStyle name="Total 23" xfId="3814"/>
    <cellStyle name="Total 24" xfId="3815"/>
    <cellStyle name="Total 25" xfId="3816"/>
    <cellStyle name="Total 26" xfId="3817"/>
    <cellStyle name="Total 27" xfId="3818"/>
    <cellStyle name="Total 28" xfId="3819"/>
    <cellStyle name="Total 29" xfId="3820"/>
    <cellStyle name="Total 3" xfId="3821"/>
    <cellStyle name="Total 3 2" xfId="3822"/>
    <cellStyle name="Total 30" xfId="3823"/>
    <cellStyle name="Total 31" xfId="3824"/>
    <cellStyle name="Total 32" xfId="3825"/>
    <cellStyle name="Total 33" xfId="3826"/>
    <cellStyle name="Total 34" xfId="3827"/>
    <cellStyle name="Total 35" xfId="3828"/>
    <cellStyle name="Total 36" xfId="3829"/>
    <cellStyle name="Total 37" xfId="9469"/>
    <cellStyle name="Total 4" xfId="3830"/>
    <cellStyle name="Total 4 2" xfId="3831"/>
    <cellStyle name="Total 5" xfId="3832"/>
    <cellStyle name="Total 5 2" xfId="3833"/>
    <cellStyle name="Total 6" xfId="3834"/>
    <cellStyle name="Total 6 2" xfId="3835"/>
    <cellStyle name="Total 7" xfId="3836"/>
    <cellStyle name="Total 7 2" xfId="3837"/>
    <cellStyle name="Total 8" xfId="3838"/>
    <cellStyle name="Total 8 2" xfId="3839"/>
    <cellStyle name="Total 9" xfId="3840"/>
    <cellStyle name="Total 9 2" xfId="3841"/>
    <cellStyle name="Warning Text" xfId="62" builtinId="11" customBuiltin="1"/>
    <cellStyle name="Warning Text 10" xfId="3842"/>
    <cellStyle name="Warning Text 10 2" xfId="3843"/>
    <cellStyle name="Warning Text 11" xfId="3844"/>
    <cellStyle name="Warning Text 11 2" xfId="3845"/>
    <cellStyle name="Warning Text 12" xfId="3846"/>
    <cellStyle name="Warning Text 12 2" xfId="3847"/>
    <cellStyle name="Warning Text 13" xfId="3848"/>
    <cellStyle name="Warning Text 13 2" xfId="3849"/>
    <cellStyle name="Warning Text 14" xfId="3850"/>
    <cellStyle name="Warning Text 14 2" xfId="3851"/>
    <cellStyle name="Warning Text 15" xfId="3852"/>
    <cellStyle name="Warning Text 15 2" xfId="3853"/>
    <cellStyle name="Warning Text 16" xfId="3854"/>
    <cellStyle name="Warning Text 16 2" xfId="3855"/>
    <cellStyle name="Warning Text 17" xfId="3856"/>
    <cellStyle name="Warning Text 17 2" xfId="3857"/>
    <cellStyle name="Warning Text 18" xfId="3858"/>
    <cellStyle name="Warning Text 18 2" xfId="3859"/>
    <cellStyle name="Warning Text 19" xfId="3860"/>
    <cellStyle name="Warning Text 19 2" xfId="3861"/>
    <cellStyle name="Warning Text 2" xfId="3862"/>
    <cellStyle name="Warning Text 2 2" xfId="3863"/>
    <cellStyle name="Warning Text 2 3" xfId="3864"/>
    <cellStyle name="Warning Text 20" xfId="3865"/>
    <cellStyle name="Warning Text 21" xfId="3866"/>
    <cellStyle name="Warning Text 22" xfId="3867"/>
    <cellStyle name="Warning Text 23" xfId="3868"/>
    <cellStyle name="Warning Text 24" xfId="3869"/>
    <cellStyle name="Warning Text 25" xfId="3870"/>
    <cellStyle name="Warning Text 26" xfId="3871"/>
    <cellStyle name="Warning Text 27" xfId="3872"/>
    <cellStyle name="Warning Text 28" xfId="3873"/>
    <cellStyle name="Warning Text 29" xfId="3874"/>
    <cellStyle name="Warning Text 3" xfId="3875"/>
    <cellStyle name="Warning Text 3 2" xfId="3876"/>
    <cellStyle name="Warning Text 30" xfId="3877"/>
    <cellStyle name="Warning Text 31" xfId="3878"/>
    <cellStyle name="Warning Text 32" xfId="3879"/>
    <cellStyle name="Warning Text 33" xfId="3880"/>
    <cellStyle name="Warning Text 34" xfId="3881"/>
    <cellStyle name="Warning Text 35" xfId="3882"/>
    <cellStyle name="Warning Text 36" xfId="3883"/>
    <cellStyle name="Warning Text 37" xfId="9470"/>
    <cellStyle name="Warning Text 4" xfId="3884"/>
    <cellStyle name="Warning Text 4 2" xfId="3885"/>
    <cellStyle name="Warning Text 5" xfId="3886"/>
    <cellStyle name="Warning Text 5 2" xfId="3887"/>
    <cellStyle name="Warning Text 6" xfId="3888"/>
    <cellStyle name="Warning Text 6 2" xfId="3889"/>
    <cellStyle name="Warning Text 7" xfId="3890"/>
    <cellStyle name="Warning Text 7 2" xfId="3891"/>
    <cellStyle name="Warning Text 8" xfId="3892"/>
    <cellStyle name="Warning Text 8 2" xfId="3893"/>
    <cellStyle name="Warning Text 9" xfId="3894"/>
    <cellStyle name="Warning Text 9 2" xfId="389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144</xdr:row>
      <xdr:rowOff>0</xdr:rowOff>
    </xdr:from>
    <xdr:to>
      <xdr:col>11</xdr:col>
      <xdr:colOff>349250</xdr:colOff>
      <xdr:row>235</xdr:row>
      <xdr:rowOff>84686</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955250"/>
          <a:ext cx="10858500" cy="14530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158749</xdr:rowOff>
    </xdr:from>
    <xdr:to>
      <xdr:col>11</xdr:col>
      <xdr:colOff>476250</xdr:colOff>
      <xdr:row>143</xdr:row>
      <xdr:rowOff>101440</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873999"/>
          <a:ext cx="10985500" cy="15023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Yang.Li\Local%20Settings\Temporary%20Internet%20Files\OLK35\NQ04_M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NJ%20Restructuring\2002%20Budget%20and%20Rates\2002%20High%20Level%20Budget\2002-2006%20TUB%20Forecast%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1\kfjeldal\LOCALS~1\Temp\notes8160F2\2002-2006%20TUB%20Forecast%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kfjeldal\LOCALS~1\Temp\notes8160F2\2003-2007%20TUB%20Forecast%20Deferral%20Case%20v0801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hared\NewJerseyDeferrals\1999%20Deferrals\oct99\OctoberTariff(Ol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sgrtaxcredit\agtax$\Agtax\2004\Tax%20Provision\Tax%20Provision%20To%20Return\2004%20TAX%20PROVISION%20PROVISION%20TO%20RETUR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TEMP\Res_Alloc_MBS_Replacement_Proje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TBBS\10K%20Footnote%20Support\2009\10K%20Support%20GL%20Lookup%20-%20Updated%20with%202009%20Acc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FERC%20Deferred%20Rollforward\Q2%202009%20Deferred%20Rollforw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Finance\0992_g038\DC%20DETAIL%202006\Annual%20Ratios%20for%20Rev%20Req\2006%20Rent%20Revenue\Rent%20Revenue%20Analysis%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TEMP\Unit%20Data%20Upload\Templates\Hyp.%20Retrieve%20v3.5%20%20-%20May%20%20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Provisions\2009\PHI%20Consolidated\Q1\Rollforwards,%20Acct%20Recs,%20ETR\PHI%20Consol%20Current-Def'd%20Exp%202009-03%20-%20WORKING.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smallk\LOCALS~1\Temp\notesA188F6\DOCUME~1\x0560fs\LOCALS~1\Temp\notes61BBD3\Pepco%2012-31-07%20TBBS%20adjust%20for%20MD%20rate%20change%20updated%20KR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Janocha\JJanocha\NJ%20Restructuring\2000%20Rates\Rate%20Design\2000%20Rat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304\CorpModel\Download\eda_cwi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Provisions\2010\PHI%20Consolidated\Q3\PHI%20Consol%20Current-Defd%20Exp%202010-09%20-%20Working%20Cop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ervices\Finance\0848_tax_dept\Tax%20Accounting,%20Provisions,%20and%20Reserves\Provisions\2008\Power%20Delivery\PEPCO\Q3\Uploads,%20Journal%20Entries\July%20Close\July%202008%20Provisi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502765%20GM\2005\WD05_Capital\NQ05_M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C-WPP-FP05\UD3\yoakumj\My%20Documents\Entry%20Template%20-%20State%20Dropdow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nts%20and%20Settings\albresi1\Local%20Settings\Temporary%20Internet%20Files\OLK35\Use%20of%20Non-%20Recognized%20Net%20Operating%20Loss%20-%20NO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U:\WDIR\Desktop\Synforms_4.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nts%20and%20Settings\a315749\Local%20Settings\Temporary%20Internet%20Files\OLK31\SGRS_Synforms%20(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Pes\Finance\LMK%20Files%202-25-05\2005%20Budget\2005%20PES%20Budget%201-01-05%20FINAL%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PHI_Shared_Services\G038\MDDETAIL\PROPTAX.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LIENTS\Clients\STR\Indirect%20Cost\Conectiv\Contractors\2000%20Orders%20with%20vendo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ervices\Finance\0848_corptaxnorth\tax\accrual\2006\ACE\December\Worksheet%20in%20Basis%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ervices\Finance\0848_tax_dept\Regulatory\Pepco\Operating%20&amp;%20Nonoperating%20Reclass%20Entries\RPT50MON%2008%20Qrtly%20FERC%20Budge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ervices\Finance\0848_tax_dept\TOTIT\Close\Entity%20Sub-Group\PEPCO\Monthly%20Recon\2010\Sept%20236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EPCO\FERC%20Form%201\Form%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rvices\Finance\0848_tax_dept\Regulatory\Pepco\FERC%20Workpapers\Fas109%203rd%20Qtr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BalSheet"/>
      <sheetName val="Results"/>
      <sheetName val="Expense"/>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 val="Data Sheet"/>
      <sheetName val="JFJ-4 CEP Rate"/>
      <sheetName val="JFJ-1 Deferral Recovery Rate"/>
      <sheetName val="JFJ-3 MTC Rate"/>
      <sheetName val="Keystone Swap Amort Sched"/>
    </sheetNames>
    <sheetDataSet>
      <sheetData sheetId="0">
        <row r="14">
          <cell r="H14">
            <v>6.2848648648648656E-2</v>
          </cell>
        </row>
      </sheetData>
      <sheetData sheetId="1"/>
      <sheetData sheetId="2"/>
      <sheetData sheetId="3"/>
      <sheetData sheetId="4">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refreshError="1"/>
      <sheetData sheetId="75" refreshError="1"/>
      <sheetData sheetId="76" refreshError="1"/>
      <sheetData sheetId="7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 val="ADJUSTMENTS"/>
      <sheetName val="COST OF SERVICE"/>
      <sheetName val="FUNCTIONS"/>
      <sheetName val="Chart6-8 data"/>
      <sheetName val="Rates"/>
      <sheetName val="Assumptions"/>
      <sheetName val="February2008kWh"/>
      <sheetName val="November2007kWh"/>
      <sheetName val="December2007kWh"/>
      <sheetName val="January2008kWh"/>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Deepwater 2002 Income Statement"/>
      <sheetName val="2002 TUB Income Statement w DW"/>
      <sheetName val="TUB Income Statement 2002-2006"/>
      <sheetName val="TUB Inc State 2002-2006 w DW"/>
      <sheetName val="Sheet1"/>
      <sheetName val="OTRA Discounts"/>
      <sheetName val="TBC Rate Summary"/>
      <sheetName val="Restructuring Amort."/>
      <sheetName val="JFJ-4 CEP Rate"/>
      <sheetName val="JFJ-1 Deferral Recovery Rate"/>
      <sheetName val="Keystone Swap Amort Sched"/>
      <sheetName val="ADJUSTMENTS"/>
      <sheetName val="COST OF SERV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 val="SBC Over Recovery Amort"/>
      <sheetName val="Pepco_Billed"/>
      <sheetName val="Pepco_Net UnBilled"/>
      <sheetName val="Monthly Bill Data"/>
      <sheetName val="Input"/>
      <sheetName val="ListsOfValues"/>
    </sheetNames>
    <sheetDataSet>
      <sheetData sheetId="0">
        <row r="28">
          <cell r="E28">
            <v>38718</v>
          </cell>
        </row>
        <row r="29">
          <cell r="E29">
            <v>38718</v>
          </cell>
        </row>
        <row r="52">
          <cell r="E52">
            <v>1.6906170752324599</v>
          </cell>
        </row>
        <row r="58">
          <cell r="E58" t="str">
            <v>Yes</v>
          </cell>
        </row>
        <row r="59">
          <cell r="E59">
            <v>1</v>
          </cell>
        </row>
      </sheetData>
      <sheetData sheetId="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18">
          <cell r="F18">
            <v>3.2199999999999999E-2</v>
          </cell>
        </row>
      </sheetData>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 val="LT Debt - Cost Rates"/>
      <sheetName val="COSS Results UNBUNDLED"/>
      <sheetName val="Assumptions"/>
      <sheetName val="BGS Deferral"/>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TAX PROV"/>
      <sheetName val="SUMMARY DEF TAX"/>
      <sheetName val="ETR Unit 141"/>
      <sheetName val="Fed ETR Comparison"/>
      <sheetName val="Consol ETR"/>
      <sheetName val="TX01 Supporting details"/>
      <sheetName val="TX01 Report"/>
      <sheetName val="JE"/>
      <sheetName val="PTR SUMMARY "/>
    </sheetNames>
    <sheetDataSet>
      <sheetData sheetId="0">
        <row r="30">
          <cell r="V30">
            <v>0</v>
          </cell>
          <cell r="W30">
            <v>0</v>
          </cell>
        </row>
        <row r="31">
          <cell r="AQ31">
            <v>0</v>
          </cell>
          <cell r="AR31">
            <v>0</v>
          </cell>
        </row>
        <row r="34">
          <cell r="U34">
            <v>218613356</v>
          </cell>
          <cell r="X34">
            <v>218613356</v>
          </cell>
          <cell r="Y34">
            <v>-28147</v>
          </cell>
          <cell r="AD34">
            <v>218585209</v>
          </cell>
          <cell r="AG34">
            <v>-76514674.599999994</v>
          </cell>
          <cell r="AH34">
            <v>0</v>
          </cell>
          <cell r="AI34">
            <v>0</v>
          </cell>
          <cell r="AJ34">
            <v>-76514674.599999994</v>
          </cell>
          <cell r="AK34">
            <v>9851.4499999999989</v>
          </cell>
          <cell r="AL34">
            <v>0</v>
          </cell>
          <cell r="AM34">
            <v>0</v>
          </cell>
          <cell r="AN34">
            <v>0</v>
          </cell>
          <cell r="AO34">
            <v>-76504823.149999991</v>
          </cell>
          <cell r="AQ34">
            <v>0</v>
          </cell>
          <cell r="AR34">
            <v>-76504823.149999991</v>
          </cell>
        </row>
        <row r="35">
          <cell r="U35">
            <v>-57008813</v>
          </cell>
          <cell r="X35">
            <v>-57008813</v>
          </cell>
          <cell r="Y35">
            <v>359969</v>
          </cell>
          <cell r="AD35">
            <v>-56648844</v>
          </cell>
          <cell r="AG35">
            <v>19953084.549999997</v>
          </cell>
          <cell r="AH35">
            <v>0</v>
          </cell>
          <cell r="AI35">
            <v>0</v>
          </cell>
          <cell r="AJ35">
            <v>19953084.549999997</v>
          </cell>
          <cell r="AK35">
            <v>-125989.15</v>
          </cell>
          <cell r="AL35">
            <v>0</v>
          </cell>
          <cell r="AM35">
            <v>0</v>
          </cell>
          <cell r="AN35">
            <v>0</v>
          </cell>
          <cell r="AO35">
            <v>19827095.399999999</v>
          </cell>
          <cell r="AQ35">
            <v>0</v>
          </cell>
          <cell r="AR35">
            <v>19827095.399999999</v>
          </cell>
        </row>
        <row r="36">
          <cell r="U36">
            <v>-3391909</v>
          </cell>
          <cell r="X36">
            <v>-3391909</v>
          </cell>
          <cell r="Y36">
            <v>76997</v>
          </cell>
          <cell r="AD36">
            <v>-3314912</v>
          </cell>
          <cell r="AG36">
            <v>1187168.1499999999</v>
          </cell>
          <cell r="AH36">
            <v>0</v>
          </cell>
          <cell r="AI36">
            <v>0</v>
          </cell>
          <cell r="AJ36">
            <v>1187168.1499999999</v>
          </cell>
          <cell r="AK36">
            <v>-26948.949999999997</v>
          </cell>
          <cell r="AL36">
            <v>0</v>
          </cell>
          <cell r="AM36">
            <v>0</v>
          </cell>
          <cell r="AN36">
            <v>0</v>
          </cell>
          <cell r="AO36">
            <v>1160219.2</v>
          </cell>
          <cell r="AQ36">
            <v>0</v>
          </cell>
          <cell r="AR36">
            <v>1160219.2</v>
          </cell>
        </row>
        <row r="37">
          <cell r="U37">
            <v>48369821</v>
          </cell>
          <cell r="X37">
            <v>48369821</v>
          </cell>
          <cell r="Y37">
            <v>-457731</v>
          </cell>
          <cell r="AD37">
            <v>47912090</v>
          </cell>
          <cell r="AG37">
            <v>-16929437.350000001</v>
          </cell>
          <cell r="AH37">
            <v>0</v>
          </cell>
          <cell r="AI37">
            <v>0</v>
          </cell>
          <cell r="AJ37">
            <v>-16929437.350000001</v>
          </cell>
          <cell r="AK37">
            <v>160205.84999999998</v>
          </cell>
          <cell r="AL37">
            <v>0</v>
          </cell>
          <cell r="AM37">
            <v>0</v>
          </cell>
          <cell r="AN37">
            <v>0</v>
          </cell>
          <cell r="AO37">
            <v>-16769231.500000002</v>
          </cell>
          <cell r="AQ37">
            <v>0</v>
          </cell>
          <cell r="AR37">
            <v>-16769231.500000002</v>
          </cell>
        </row>
        <row r="38">
          <cell r="U38">
            <v>-8991695</v>
          </cell>
          <cell r="X38">
            <v>-8991695</v>
          </cell>
          <cell r="Y38">
            <v>0</v>
          </cell>
          <cell r="AD38">
            <v>-8991695</v>
          </cell>
          <cell r="AG38">
            <v>3147093.25</v>
          </cell>
          <cell r="AH38">
            <v>0</v>
          </cell>
          <cell r="AI38">
            <v>0</v>
          </cell>
          <cell r="AJ38">
            <v>3147093.25</v>
          </cell>
          <cell r="AK38">
            <v>0</v>
          </cell>
          <cell r="AL38">
            <v>0</v>
          </cell>
          <cell r="AM38">
            <v>0</v>
          </cell>
          <cell r="AN38">
            <v>0</v>
          </cell>
          <cell r="AO38">
            <v>3147093.25</v>
          </cell>
        </row>
        <row r="39">
          <cell r="U39">
            <v>-19063729</v>
          </cell>
          <cell r="X39">
            <v>-19063729</v>
          </cell>
          <cell r="Y39">
            <v>0</v>
          </cell>
          <cell r="AD39">
            <v>-19063729</v>
          </cell>
          <cell r="AG39">
            <v>6672305.1499999994</v>
          </cell>
          <cell r="AH39">
            <v>0</v>
          </cell>
          <cell r="AI39">
            <v>0</v>
          </cell>
          <cell r="AJ39">
            <v>6672305.1499999994</v>
          </cell>
          <cell r="AK39">
            <v>0</v>
          </cell>
          <cell r="AL39">
            <v>0</v>
          </cell>
          <cell r="AM39">
            <v>0</v>
          </cell>
          <cell r="AN39">
            <v>0</v>
          </cell>
          <cell r="AO39">
            <v>6672305.1499999994</v>
          </cell>
          <cell r="AQ39">
            <v>0</v>
          </cell>
          <cell r="AR39">
            <v>6672305.1499999994</v>
          </cell>
        </row>
        <row r="40">
          <cell r="U40">
            <v>-10458469</v>
          </cell>
          <cell r="X40">
            <v>-10458469</v>
          </cell>
          <cell r="Y40">
            <v>0</v>
          </cell>
          <cell r="AD40">
            <v>-10458469</v>
          </cell>
          <cell r="AG40">
            <v>3660464.15</v>
          </cell>
          <cell r="AH40">
            <v>0</v>
          </cell>
          <cell r="AI40">
            <v>0</v>
          </cell>
          <cell r="AJ40">
            <v>3660464.15</v>
          </cell>
          <cell r="AK40">
            <v>0</v>
          </cell>
          <cell r="AL40">
            <v>0</v>
          </cell>
          <cell r="AM40">
            <v>0</v>
          </cell>
          <cell r="AN40">
            <v>0</v>
          </cell>
          <cell r="AO40">
            <v>3660464.15</v>
          </cell>
          <cell r="AQ40">
            <v>0</v>
          </cell>
          <cell r="AR40">
            <v>3660464.15</v>
          </cell>
        </row>
        <row r="41">
          <cell r="U41">
            <v>-2147895</v>
          </cell>
          <cell r="X41">
            <v>-2147895</v>
          </cell>
          <cell r="Y41">
            <v>0</v>
          </cell>
          <cell r="AD41">
            <v>-2147895</v>
          </cell>
          <cell r="AG41">
            <v>751763.25</v>
          </cell>
          <cell r="AH41">
            <v>0</v>
          </cell>
          <cell r="AI41">
            <v>0</v>
          </cell>
          <cell r="AJ41">
            <v>751763.25</v>
          </cell>
          <cell r="AK41">
            <v>0</v>
          </cell>
          <cell r="AL41">
            <v>0</v>
          </cell>
          <cell r="AM41">
            <v>0</v>
          </cell>
          <cell r="AN41">
            <v>0</v>
          </cell>
          <cell r="AO41">
            <v>751763.25</v>
          </cell>
          <cell r="AQ41">
            <v>0</v>
          </cell>
          <cell r="AR41">
            <v>751763.25</v>
          </cell>
        </row>
        <row r="42">
          <cell r="U42">
            <v>-1299358</v>
          </cell>
          <cell r="X42">
            <v>-1299358</v>
          </cell>
          <cell r="Y42">
            <v>0</v>
          </cell>
          <cell r="AD42">
            <v>-1299358</v>
          </cell>
          <cell r="AG42">
            <v>454775.3</v>
          </cell>
          <cell r="AH42">
            <v>0</v>
          </cell>
          <cell r="AI42">
            <v>0</v>
          </cell>
          <cell r="AJ42">
            <v>454775.3</v>
          </cell>
          <cell r="AK42">
            <v>0</v>
          </cell>
          <cell r="AL42">
            <v>0</v>
          </cell>
          <cell r="AM42">
            <v>0</v>
          </cell>
          <cell r="AN42">
            <v>0</v>
          </cell>
          <cell r="AO42">
            <v>454775.3</v>
          </cell>
          <cell r="AQ42">
            <v>0</v>
          </cell>
          <cell r="AR42">
            <v>454775.3</v>
          </cell>
        </row>
        <row r="43">
          <cell r="U43">
            <v>-7013444</v>
          </cell>
          <cell r="X43">
            <v>-7013444</v>
          </cell>
          <cell r="Y43">
            <v>0</v>
          </cell>
          <cell r="AD43">
            <v>-7013444</v>
          </cell>
          <cell r="AG43">
            <v>2454705.4</v>
          </cell>
          <cell r="AH43">
            <v>0</v>
          </cell>
          <cell r="AI43">
            <v>0</v>
          </cell>
          <cell r="AJ43">
            <v>2454705.4</v>
          </cell>
          <cell r="AK43">
            <v>0</v>
          </cell>
          <cell r="AL43">
            <v>0</v>
          </cell>
          <cell r="AM43">
            <v>0</v>
          </cell>
          <cell r="AN43">
            <v>0</v>
          </cell>
          <cell r="AO43">
            <v>2454705.4</v>
          </cell>
          <cell r="AQ43">
            <v>0</v>
          </cell>
          <cell r="AR43">
            <v>2454705.4</v>
          </cell>
        </row>
        <row r="44">
          <cell r="U44">
            <v>-622118</v>
          </cell>
          <cell r="X44">
            <v>-622118</v>
          </cell>
          <cell r="Y44">
            <v>-2911530</v>
          </cell>
          <cell r="AD44">
            <v>-3533648</v>
          </cell>
          <cell r="AG44">
            <v>217741.3</v>
          </cell>
          <cell r="AH44">
            <v>0</v>
          </cell>
          <cell r="AI44">
            <v>0</v>
          </cell>
          <cell r="AJ44">
            <v>217741.3</v>
          </cell>
          <cell r="AK44">
            <v>1019035.4999999999</v>
          </cell>
          <cell r="AL44">
            <v>0</v>
          </cell>
          <cell r="AM44">
            <v>0</v>
          </cell>
          <cell r="AN44">
            <v>0</v>
          </cell>
          <cell r="AO44">
            <v>1236776.7999999998</v>
          </cell>
          <cell r="AQ44">
            <v>0</v>
          </cell>
          <cell r="AR44">
            <v>1236776.7999999998</v>
          </cell>
        </row>
        <row r="45">
          <cell r="U45">
            <v>-3780944</v>
          </cell>
          <cell r="X45">
            <v>-3780944</v>
          </cell>
          <cell r="Y45">
            <v>0</v>
          </cell>
          <cell r="AD45">
            <v>-3780944</v>
          </cell>
          <cell r="AG45">
            <v>1323330.3999999999</v>
          </cell>
          <cell r="AH45">
            <v>0</v>
          </cell>
          <cell r="AI45">
            <v>0</v>
          </cell>
          <cell r="AJ45">
            <v>1323330.3999999999</v>
          </cell>
          <cell r="AK45">
            <v>0</v>
          </cell>
          <cell r="AL45">
            <v>0</v>
          </cell>
          <cell r="AM45">
            <v>0</v>
          </cell>
          <cell r="AN45">
            <v>0</v>
          </cell>
          <cell r="AO45">
            <v>1323330.3999999999</v>
          </cell>
          <cell r="AQ45">
            <v>0</v>
          </cell>
          <cell r="AR45">
            <v>1323330.3999999999</v>
          </cell>
        </row>
        <row r="46">
          <cell r="U46">
            <v>-7385895</v>
          </cell>
          <cell r="X46">
            <v>-7385895</v>
          </cell>
          <cell r="Y46">
            <v>13369</v>
          </cell>
          <cell r="AD46">
            <v>-7372526</v>
          </cell>
          <cell r="AG46">
            <v>2585063.25</v>
          </cell>
          <cell r="AH46">
            <v>0</v>
          </cell>
          <cell r="AI46">
            <v>0</v>
          </cell>
          <cell r="AJ46">
            <v>2585063.25</v>
          </cell>
          <cell r="AK46">
            <v>-4679.1499999999996</v>
          </cell>
          <cell r="AL46">
            <v>0</v>
          </cell>
          <cell r="AM46">
            <v>0</v>
          </cell>
          <cell r="AN46">
            <v>0</v>
          </cell>
          <cell r="AO46">
            <v>2580384.1</v>
          </cell>
          <cell r="AQ46">
            <v>0</v>
          </cell>
          <cell r="AR46">
            <v>2580384.1</v>
          </cell>
        </row>
        <row r="47">
          <cell r="U47">
            <v>-407267</v>
          </cell>
          <cell r="X47">
            <v>-407267</v>
          </cell>
          <cell r="Y47">
            <v>0</v>
          </cell>
          <cell r="AD47">
            <v>-407267</v>
          </cell>
          <cell r="AG47">
            <v>142543.45000000001</v>
          </cell>
          <cell r="AH47">
            <v>0</v>
          </cell>
          <cell r="AI47">
            <v>0</v>
          </cell>
          <cell r="AJ47">
            <v>142543.45000000001</v>
          </cell>
          <cell r="AK47">
            <v>0</v>
          </cell>
          <cell r="AL47">
            <v>0</v>
          </cell>
          <cell r="AM47">
            <v>0</v>
          </cell>
          <cell r="AN47">
            <v>0</v>
          </cell>
          <cell r="AO47">
            <v>142543.45000000001</v>
          </cell>
          <cell r="AQ47">
            <v>0</v>
          </cell>
          <cell r="AR47">
            <v>142543.45000000001</v>
          </cell>
        </row>
        <row r="48">
          <cell r="U48">
            <v>-8368806</v>
          </cell>
          <cell r="X48">
            <v>-8368806</v>
          </cell>
          <cell r="Y48">
            <v>0</v>
          </cell>
          <cell r="AD48">
            <v>-8368806</v>
          </cell>
          <cell r="AG48">
            <v>2929082.1</v>
          </cell>
          <cell r="AH48">
            <v>0</v>
          </cell>
          <cell r="AI48">
            <v>0</v>
          </cell>
          <cell r="AJ48">
            <v>2929082.1</v>
          </cell>
          <cell r="AK48">
            <v>0</v>
          </cell>
          <cell r="AL48">
            <v>0</v>
          </cell>
          <cell r="AM48">
            <v>0</v>
          </cell>
          <cell r="AN48">
            <v>0</v>
          </cell>
          <cell r="AO48">
            <v>2929082.1</v>
          </cell>
          <cell r="AQ48">
            <v>0</v>
          </cell>
          <cell r="AR48">
            <v>2929082.1</v>
          </cell>
        </row>
        <row r="49">
          <cell r="U49">
            <v>-17394853</v>
          </cell>
          <cell r="X49">
            <v>-17394853</v>
          </cell>
          <cell r="Y49">
            <v>0</v>
          </cell>
          <cell r="AD49">
            <v>-17394853</v>
          </cell>
          <cell r="AG49">
            <v>6088198.5499999998</v>
          </cell>
          <cell r="AH49">
            <v>0</v>
          </cell>
          <cell r="AI49">
            <v>0</v>
          </cell>
          <cell r="AJ49">
            <v>6088198.5499999998</v>
          </cell>
          <cell r="AK49">
            <v>0</v>
          </cell>
          <cell r="AL49">
            <v>0</v>
          </cell>
          <cell r="AM49">
            <v>0</v>
          </cell>
          <cell r="AN49">
            <v>0</v>
          </cell>
          <cell r="AO49">
            <v>6088198.5499999998</v>
          </cell>
          <cell r="AQ49">
            <v>0</v>
          </cell>
          <cell r="AR49">
            <v>6088198.5499999998</v>
          </cell>
        </row>
        <row r="50">
          <cell r="U50">
            <v>-145198</v>
          </cell>
          <cell r="X50">
            <v>-145198</v>
          </cell>
          <cell r="Y50">
            <v>0</v>
          </cell>
          <cell r="AD50">
            <v>-145198</v>
          </cell>
          <cell r="AG50">
            <v>50819.3</v>
          </cell>
          <cell r="AH50">
            <v>0</v>
          </cell>
          <cell r="AI50">
            <v>0</v>
          </cell>
          <cell r="AJ50">
            <v>50819.3</v>
          </cell>
          <cell r="AK50">
            <v>0</v>
          </cell>
          <cell r="AL50">
            <v>0</v>
          </cell>
          <cell r="AM50">
            <v>0</v>
          </cell>
          <cell r="AN50">
            <v>0</v>
          </cell>
          <cell r="AO50">
            <v>50819.3</v>
          </cell>
          <cell r="AQ50">
            <v>0</v>
          </cell>
          <cell r="AR50">
            <v>50819.3</v>
          </cell>
        </row>
        <row r="51">
          <cell r="U51">
            <v>-9096178</v>
          </cell>
          <cell r="X51">
            <v>-9096178</v>
          </cell>
          <cell r="Y51">
            <v>0</v>
          </cell>
          <cell r="AD51">
            <v>-9096178</v>
          </cell>
          <cell r="AG51">
            <v>3183662.3</v>
          </cell>
          <cell r="AH51">
            <v>0</v>
          </cell>
          <cell r="AI51">
            <v>0</v>
          </cell>
          <cell r="AJ51">
            <v>3183662.3</v>
          </cell>
          <cell r="AK51">
            <v>0</v>
          </cell>
          <cell r="AL51">
            <v>0</v>
          </cell>
          <cell r="AM51">
            <v>0</v>
          </cell>
          <cell r="AN51">
            <v>0</v>
          </cell>
          <cell r="AO51">
            <v>3183662.3</v>
          </cell>
          <cell r="AQ51">
            <v>0</v>
          </cell>
          <cell r="AR51">
            <v>3183662.3</v>
          </cell>
        </row>
        <row r="52">
          <cell r="U52">
            <v>-37979506</v>
          </cell>
          <cell r="X52">
            <v>-37979506</v>
          </cell>
          <cell r="Y52">
            <v>0</v>
          </cell>
          <cell r="AD52">
            <v>-37979506</v>
          </cell>
          <cell r="AG52">
            <v>13292827.1</v>
          </cell>
          <cell r="AH52">
            <v>0</v>
          </cell>
          <cell r="AI52">
            <v>0</v>
          </cell>
          <cell r="AJ52">
            <v>13292827.1</v>
          </cell>
          <cell r="AK52">
            <v>0</v>
          </cell>
          <cell r="AL52">
            <v>0</v>
          </cell>
          <cell r="AM52">
            <v>0</v>
          </cell>
          <cell r="AN52">
            <v>0</v>
          </cell>
          <cell r="AO52">
            <v>13292827.1</v>
          </cell>
          <cell r="AQ52">
            <v>0</v>
          </cell>
          <cell r="AR52">
            <v>13292827.1</v>
          </cell>
        </row>
        <row r="53">
          <cell r="U53">
            <v>-35619847</v>
          </cell>
          <cell r="X53">
            <v>-35619847</v>
          </cell>
          <cell r="Y53">
            <v>2499716</v>
          </cell>
          <cell r="AD53">
            <v>-33120131</v>
          </cell>
          <cell r="AG53">
            <v>12466946.449999999</v>
          </cell>
          <cell r="AH53">
            <v>0</v>
          </cell>
          <cell r="AI53">
            <v>0</v>
          </cell>
          <cell r="AJ53">
            <v>12466946.449999999</v>
          </cell>
          <cell r="AK53">
            <v>-874900.6</v>
          </cell>
          <cell r="AL53">
            <v>0</v>
          </cell>
          <cell r="AM53">
            <v>0</v>
          </cell>
          <cell r="AN53">
            <v>0</v>
          </cell>
          <cell r="AO53">
            <v>11592045.85</v>
          </cell>
          <cell r="AQ53">
            <v>0</v>
          </cell>
          <cell r="AR53">
            <v>11592045.85</v>
          </cell>
        </row>
        <row r="54">
          <cell r="U54">
            <v>-3362531</v>
          </cell>
          <cell r="X54">
            <v>-3362531</v>
          </cell>
          <cell r="Y54">
            <v>-1</v>
          </cell>
          <cell r="AD54">
            <v>-3362532</v>
          </cell>
          <cell r="AG54">
            <v>1176885.8500000001</v>
          </cell>
          <cell r="AH54">
            <v>0</v>
          </cell>
          <cell r="AI54">
            <v>0</v>
          </cell>
          <cell r="AJ54">
            <v>1176885.8500000001</v>
          </cell>
          <cell r="AK54">
            <v>0.35</v>
          </cell>
          <cell r="AL54">
            <v>0</v>
          </cell>
          <cell r="AM54">
            <v>0</v>
          </cell>
          <cell r="AN54">
            <v>0</v>
          </cell>
          <cell r="AO54">
            <v>1176886.2000000002</v>
          </cell>
          <cell r="AQ54">
            <v>0</v>
          </cell>
          <cell r="AR54">
            <v>1176886.2000000002</v>
          </cell>
        </row>
        <row r="55">
          <cell r="U55">
            <v>0</v>
          </cell>
          <cell r="X55">
            <v>0</v>
          </cell>
          <cell r="Y55">
            <v>0</v>
          </cell>
          <cell r="AD55">
            <v>0</v>
          </cell>
          <cell r="AG55">
            <v>0</v>
          </cell>
          <cell r="AH55">
            <v>0</v>
          </cell>
          <cell r="AI55">
            <v>0</v>
          </cell>
          <cell r="AJ55">
            <v>0</v>
          </cell>
          <cell r="AK55">
            <v>0</v>
          </cell>
          <cell r="AL55">
            <v>0</v>
          </cell>
          <cell r="AM55">
            <v>0</v>
          </cell>
          <cell r="AN55">
            <v>0</v>
          </cell>
          <cell r="AO55">
            <v>0</v>
          </cell>
          <cell r="AQ55">
            <v>0</v>
          </cell>
          <cell r="AR55">
            <v>0</v>
          </cell>
        </row>
        <row r="56">
          <cell r="U56">
            <v>-1750000</v>
          </cell>
          <cell r="X56">
            <v>-1750000</v>
          </cell>
          <cell r="Y56">
            <v>0</v>
          </cell>
          <cell r="AD56">
            <v>-1750000</v>
          </cell>
          <cell r="AG56">
            <v>612500</v>
          </cell>
          <cell r="AH56">
            <v>0</v>
          </cell>
          <cell r="AI56">
            <v>0</v>
          </cell>
          <cell r="AJ56">
            <v>612500</v>
          </cell>
          <cell r="AK56">
            <v>0</v>
          </cell>
          <cell r="AL56">
            <v>0</v>
          </cell>
          <cell r="AM56">
            <v>0</v>
          </cell>
          <cell r="AN56">
            <v>0</v>
          </cell>
          <cell r="AO56">
            <v>612500</v>
          </cell>
          <cell r="AQ56">
            <v>0</v>
          </cell>
          <cell r="AR56">
            <v>612500</v>
          </cell>
        </row>
        <row r="57">
          <cell r="U57">
            <v>-31753103</v>
          </cell>
          <cell r="X57">
            <v>-31753103</v>
          </cell>
          <cell r="Y57">
            <v>89862</v>
          </cell>
          <cell r="AD57">
            <v>-31663241</v>
          </cell>
          <cell r="AG57">
            <v>11113586.050000001</v>
          </cell>
          <cell r="AH57">
            <v>0</v>
          </cell>
          <cell r="AI57">
            <v>0</v>
          </cell>
          <cell r="AJ57">
            <v>11113586.050000001</v>
          </cell>
          <cell r="AK57">
            <v>-31451.699999999997</v>
          </cell>
          <cell r="AL57">
            <v>0</v>
          </cell>
          <cell r="AM57">
            <v>0</v>
          </cell>
          <cell r="AN57">
            <v>0</v>
          </cell>
          <cell r="AO57">
            <v>11082134.350000001</v>
          </cell>
          <cell r="AQ57">
            <v>0</v>
          </cell>
          <cell r="AR57">
            <v>11082134.350000001</v>
          </cell>
        </row>
        <row r="58">
          <cell r="U58">
            <v>-3689850</v>
          </cell>
          <cell r="X58">
            <v>-3689850</v>
          </cell>
          <cell r="Y58">
            <v>0</v>
          </cell>
          <cell r="AD58">
            <v>-3689850</v>
          </cell>
          <cell r="AG58">
            <v>1291447.5</v>
          </cell>
          <cell r="AH58">
            <v>0</v>
          </cell>
          <cell r="AI58">
            <v>0</v>
          </cell>
          <cell r="AJ58">
            <v>1291447.5</v>
          </cell>
          <cell r="AK58">
            <v>0</v>
          </cell>
          <cell r="AL58">
            <v>0</v>
          </cell>
          <cell r="AM58">
            <v>0</v>
          </cell>
          <cell r="AN58">
            <v>0</v>
          </cell>
          <cell r="AO58">
            <v>1291447.5</v>
          </cell>
          <cell r="AQ58">
            <v>0</v>
          </cell>
          <cell r="AR58">
            <v>1291447.5</v>
          </cell>
        </row>
        <row r="59">
          <cell r="U59">
            <v>0</v>
          </cell>
          <cell r="X59">
            <v>0</v>
          </cell>
          <cell r="Y59">
            <v>10349000</v>
          </cell>
          <cell r="AD59">
            <v>10349000</v>
          </cell>
          <cell r="AG59">
            <v>0</v>
          </cell>
          <cell r="AH59">
            <v>0</v>
          </cell>
          <cell r="AI59">
            <v>0</v>
          </cell>
          <cell r="AJ59">
            <v>0</v>
          </cell>
          <cell r="AK59">
            <v>-3622150</v>
          </cell>
          <cell r="AL59">
            <v>0</v>
          </cell>
          <cell r="AM59">
            <v>0</v>
          </cell>
          <cell r="AN59">
            <v>0</v>
          </cell>
          <cell r="AO59">
            <v>-3622150</v>
          </cell>
          <cell r="AQ59">
            <v>0</v>
          </cell>
          <cell r="AR59">
            <v>-3622150</v>
          </cell>
        </row>
        <row r="60">
          <cell r="U60">
            <v>-4</v>
          </cell>
          <cell r="X60">
            <v>-4</v>
          </cell>
          <cell r="Y60">
            <v>1179933</v>
          </cell>
          <cell r="AD60">
            <v>1179929</v>
          </cell>
          <cell r="AG60">
            <v>1.400000000372529</v>
          </cell>
          <cell r="AH60">
            <v>0</v>
          </cell>
          <cell r="AI60">
            <v>0</v>
          </cell>
          <cell r="AJ60">
            <v>1.400000000372529</v>
          </cell>
          <cell r="AK60">
            <v>-412976.55</v>
          </cell>
          <cell r="AL60">
            <v>0</v>
          </cell>
          <cell r="AM60">
            <v>0</v>
          </cell>
          <cell r="AN60">
            <v>0</v>
          </cell>
          <cell r="AO60">
            <v>-412975.14999999962</v>
          </cell>
          <cell r="AQ60">
            <v>0</v>
          </cell>
          <cell r="AR60">
            <v>-412975.14999999962</v>
          </cell>
        </row>
        <row r="61">
          <cell r="U61">
            <v>17539565</v>
          </cell>
          <cell r="X61">
            <v>17539565</v>
          </cell>
          <cell r="Y61">
            <v>-10707957</v>
          </cell>
          <cell r="AD61">
            <v>6831608</v>
          </cell>
          <cell r="AG61">
            <v>-6138847.75</v>
          </cell>
          <cell r="AH61">
            <v>0</v>
          </cell>
          <cell r="AI61">
            <v>0</v>
          </cell>
          <cell r="AJ61">
            <v>-6138847.75</v>
          </cell>
          <cell r="AK61">
            <v>3747784.9499999997</v>
          </cell>
          <cell r="AL61">
            <v>0</v>
          </cell>
          <cell r="AM61">
            <v>0</v>
          </cell>
          <cell r="AN61">
            <v>0</v>
          </cell>
          <cell r="AO61">
            <v>-2391062.8000000003</v>
          </cell>
          <cell r="AQ61">
            <v>0</v>
          </cell>
          <cell r="AR61">
            <v>-2391062.8000000003</v>
          </cell>
        </row>
        <row r="62">
          <cell r="U62">
            <v>-9571370</v>
          </cell>
          <cell r="X62">
            <v>-9571370</v>
          </cell>
          <cell r="Y62">
            <v>238950</v>
          </cell>
          <cell r="AD62">
            <v>-9332420</v>
          </cell>
          <cell r="AG62">
            <v>3349979.5</v>
          </cell>
          <cell r="AH62">
            <v>0</v>
          </cell>
          <cell r="AI62">
            <v>0</v>
          </cell>
          <cell r="AJ62">
            <v>3349979.5</v>
          </cell>
          <cell r="AK62">
            <v>-83632.5</v>
          </cell>
          <cell r="AL62">
            <v>0</v>
          </cell>
          <cell r="AM62">
            <v>0</v>
          </cell>
          <cell r="AN62">
            <v>0</v>
          </cell>
          <cell r="AO62">
            <v>3266347</v>
          </cell>
          <cell r="AQ62">
            <v>0</v>
          </cell>
          <cell r="AR62">
            <v>3266347</v>
          </cell>
        </row>
        <row r="63">
          <cell r="U63">
            <v>0</v>
          </cell>
          <cell r="X63">
            <v>0</v>
          </cell>
          <cell r="Y63">
            <v>2244825</v>
          </cell>
          <cell r="AD63">
            <v>2244825</v>
          </cell>
          <cell r="AG63">
            <v>0</v>
          </cell>
          <cell r="AH63">
            <v>0</v>
          </cell>
          <cell r="AI63">
            <v>0</v>
          </cell>
          <cell r="AJ63">
            <v>0</v>
          </cell>
          <cell r="AK63">
            <v>-785688.75</v>
          </cell>
          <cell r="AL63">
            <v>0</v>
          </cell>
          <cell r="AM63">
            <v>0</v>
          </cell>
          <cell r="AN63">
            <v>0</v>
          </cell>
          <cell r="AO63">
            <v>-785688.75</v>
          </cell>
          <cell r="AQ63">
            <v>0</v>
          </cell>
          <cell r="AR63">
            <v>-785688.75</v>
          </cell>
        </row>
        <row r="64">
          <cell r="U64">
            <v>-283786</v>
          </cell>
          <cell r="X64">
            <v>-283786</v>
          </cell>
          <cell r="Y64">
            <v>-45779</v>
          </cell>
          <cell r="AD64">
            <v>-329565</v>
          </cell>
          <cell r="AG64">
            <v>99325.1</v>
          </cell>
          <cell r="AH64">
            <v>0</v>
          </cell>
          <cell r="AI64">
            <v>0</v>
          </cell>
          <cell r="AJ64">
            <v>99325.1</v>
          </cell>
          <cell r="AK64">
            <v>16022.65</v>
          </cell>
          <cell r="AL64">
            <v>0</v>
          </cell>
          <cell r="AM64">
            <v>0</v>
          </cell>
          <cell r="AN64">
            <v>0</v>
          </cell>
          <cell r="AO64">
            <v>115347.75</v>
          </cell>
          <cell r="AQ64">
            <v>0</v>
          </cell>
          <cell r="AR64">
            <v>115347.75</v>
          </cell>
        </row>
        <row r="65">
          <cell r="U65">
            <v>-1606591</v>
          </cell>
          <cell r="X65">
            <v>-1606591</v>
          </cell>
          <cell r="Y65">
            <v>422227</v>
          </cell>
          <cell r="AD65">
            <v>-1184364</v>
          </cell>
          <cell r="AG65">
            <v>562306.85</v>
          </cell>
          <cell r="AH65">
            <v>0</v>
          </cell>
          <cell r="AI65">
            <v>0</v>
          </cell>
          <cell r="AJ65">
            <v>562306.85</v>
          </cell>
          <cell r="AK65">
            <v>-147779.44999999998</v>
          </cell>
          <cell r="AL65">
            <v>0</v>
          </cell>
          <cell r="AM65">
            <v>0</v>
          </cell>
          <cell r="AN65">
            <v>0</v>
          </cell>
          <cell r="AO65">
            <v>414527.4</v>
          </cell>
          <cell r="AQ65">
            <v>0</v>
          </cell>
          <cell r="AR65">
            <v>414527.4</v>
          </cell>
        </row>
        <row r="66">
          <cell r="U66">
            <v>1766078</v>
          </cell>
          <cell r="X66">
            <v>1766078</v>
          </cell>
          <cell r="Y66">
            <v>0</v>
          </cell>
          <cell r="AD66">
            <v>1766078</v>
          </cell>
          <cell r="AG66">
            <v>-618127.30000000005</v>
          </cell>
          <cell r="AH66">
            <v>0</v>
          </cell>
          <cell r="AI66">
            <v>0</v>
          </cell>
          <cell r="AJ66">
            <v>-618127.30000000005</v>
          </cell>
          <cell r="AK66">
            <v>0</v>
          </cell>
          <cell r="AL66">
            <v>0</v>
          </cell>
          <cell r="AM66">
            <v>0</v>
          </cell>
          <cell r="AN66">
            <v>0</v>
          </cell>
          <cell r="AO66">
            <v>-618127.30000000005</v>
          </cell>
          <cell r="AQ66">
            <v>0</v>
          </cell>
          <cell r="AR66">
            <v>-618127.30000000005</v>
          </cell>
        </row>
        <row r="67">
          <cell r="U67">
            <v>-1000000</v>
          </cell>
          <cell r="X67">
            <v>-1000000</v>
          </cell>
          <cell r="Y67">
            <v>0</v>
          </cell>
          <cell r="AD67">
            <v>-1000000</v>
          </cell>
          <cell r="AG67">
            <v>350000</v>
          </cell>
          <cell r="AH67">
            <v>0</v>
          </cell>
          <cell r="AI67">
            <v>0</v>
          </cell>
          <cell r="AJ67">
            <v>350000</v>
          </cell>
          <cell r="AK67">
            <v>0</v>
          </cell>
          <cell r="AL67">
            <v>0</v>
          </cell>
          <cell r="AM67">
            <v>0</v>
          </cell>
          <cell r="AN67">
            <v>0</v>
          </cell>
          <cell r="AO67">
            <v>350000</v>
          </cell>
          <cell r="AQ67">
            <v>0</v>
          </cell>
          <cell r="AR67">
            <v>350000</v>
          </cell>
        </row>
        <row r="68">
          <cell r="U68">
            <v>-36089383</v>
          </cell>
          <cell r="X68">
            <v>-36089383</v>
          </cell>
          <cell r="Y68">
            <v>-9388943</v>
          </cell>
          <cell r="AD68">
            <v>-45478326</v>
          </cell>
          <cell r="AG68">
            <v>12631284.049999999</v>
          </cell>
          <cell r="AH68">
            <v>0</v>
          </cell>
          <cell r="AI68">
            <v>0</v>
          </cell>
          <cell r="AJ68">
            <v>12631284.049999999</v>
          </cell>
          <cell r="AK68">
            <v>3286130.05</v>
          </cell>
          <cell r="AL68">
            <v>0</v>
          </cell>
          <cell r="AM68">
            <v>0</v>
          </cell>
          <cell r="AN68">
            <v>0</v>
          </cell>
          <cell r="AO68">
            <v>15917414.099999998</v>
          </cell>
          <cell r="AQ68">
            <v>0</v>
          </cell>
          <cell r="AR68">
            <v>15917414.099999998</v>
          </cell>
        </row>
        <row r="69">
          <cell r="U69">
            <v>-34767475</v>
          </cell>
          <cell r="X69">
            <v>-34767475</v>
          </cell>
          <cell r="Y69">
            <v>0</v>
          </cell>
          <cell r="AD69">
            <v>-34767475</v>
          </cell>
          <cell r="AG69">
            <v>12168616.25</v>
          </cell>
          <cell r="AH69">
            <v>0</v>
          </cell>
          <cell r="AI69">
            <v>0</v>
          </cell>
          <cell r="AJ69">
            <v>12168616.25</v>
          </cell>
          <cell r="AK69">
            <v>0</v>
          </cell>
          <cell r="AL69">
            <v>0</v>
          </cell>
          <cell r="AM69">
            <v>0</v>
          </cell>
          <cell r="AN69">
            <v>0</v>
          </cell>
          <cell r="AO69">
            <v>12168616.25</v>
          </cell>
          <cell r="AQ69">
            <v>0</v>
          </cell>
          <cell r="AR69">
            <v>12168616.25</v>
          </cell>
        </row>
        <row r="70">
          <cell r="U70">
            <v>-5344909</v>
          </cell>
          <cell r="X70">
            <v>-5344909</v>
          </cell>
          <cell r="Y70">
            <v>-260577</v>
          </cell>
          <cell r="AD70">
            <v>-5605486</v>
          </cell>
          <cell r="AG70">
            <v>1870718.15</v>
          </cell>
          <cell r="AH70">
            <v>0</v>
          </cell>
          <cell r="AI70">
            <v>0</v>
          </cell>
          <cell r="AJ70">
            <v>1870718.15</v>
          </cell>
          <cell r="AK70">
            <v>91201.95</v>
          </cell>
          <cell r="AL70">
            <v>0</v>
          </cell>
          <cell r="AM70">
            <v>0</v>
          </cell>
          <cell r="AN70">
            <v>0</v>
          </cell>
          <cell r="AO70">
            <v>1961920.0999999999</v>
          </cell>
          <cell r="AQ70">
            <v>0</v>
          </cell>
          <cell r="AR70">
            <v>1961920.0999999999</v>
          </cell>
        </row>
        <row r="71">
          <cell r="U71">
            <v>-104599</v>
          </cell>
          <cell r="X71">
            <v>-104599</v>
          </cell>
          <cell r="Y71">
            <v>0</v>
          </cell>
          <cell r="AD71">
            <v>-104599</v>
          </cell>
          <cell r="AG71">
            <v>36609.65</v>
          </cell>
          <cell r="AH71">
            <v>0</v>
          </cell>
          <cell r="AI71">
            <v>0</v>
          </cell>
          <cell r="AJ71">
            <v>36609.65</v>
          </cell>
          <cell r="AK71">
            <v>0</v>
          </cell>
          <cell r="AL71">
            <v>0</v>
          </cell>
          <cell r="AM71">
            <v>0</v>
          </cell>
          <cell r="AN71">
            <v>0</v>
          </cell>
          <cell r="AO71">
            <v>36609.65</v>
          </cell>
          <cell r="AQ71">
            <v>0</v>
          </cell>
          <cell r="AR71">
            <v>36609.65</v>
          </cell>
        </row>
        <row r="72">
          <cell r="U72">
            <v>74920</v>
          </cell>
          <cell r="X72">
            <v>74920</v>
          </cell>
          <cell r="Y72">
            <v>0</v>
          </cell>
          <cell r="AD72">
            <v>74920</v>
          </cell>
          <cell r="AG72">
            <v>-26222</v>
          </cell>
          <cell r="AH72">
            <v>0</v>
          </cell>
          <cell r="AI72">
            <v>0</v>
          </cell>
          <cell r="AJ72">
            <v>-26222</v>
          </cell>
          <cell r="AK72">
            <v>0</v>
          </cell>
          <cell r="AL72">
            <v>0</v>
          </cell>
          <cell r="AM72">
            <v>0</v>
          </cell>
          <cell r="AN72">
            <v>0</v>
          </cell>
          <cell r="AO72">
            <v>-26222</v>
          </cell>
          <cell r="AQ72">
            <v>0</v>
          </cell>
          <cell r="AR72">
            <v>-26222</v>
          </cell>
        </row>
        <row r="73">
          <cell r="U73">
            <v>0</v>
          </cell>
          <cell r="X73">
            <v>0</v>
          </cell>
          <cell r="Y73">
            <v>0</v>
          </cell>
          <cell r="AD73">
            <v>0</v>
          </cell>
          <cell r="AG73">
            <v>0</v>
          </cell>
          <cell r="AH73">
            <v>0</v>
          </cell>
          <cell r="AI73">
            <v>0</v>
          </cell>
          <cell r="AJ73">
            <v>0</v>
          </cell>
          <cell r="AK73">
            <v>0</v>
          </cell>
          <cell r="AL73">
            <v>0</v>
          </cell>
          <cell r="AM73">
            <v>0</v>
          </cell>
          <cell r="AN73">
            <v>0</v>
          </cell>
          <cell r="AO73">
            <v>0</v>
          </cell>
          <cell r="AQ73">
            <v>0</v>
          </cell>
          <cell r="AR73">
            <v>0</v>
          </cell>
        </row>
        <row r="74">
          <cell r="U74">
            <v>-4184633</v>
          </cell>
          <cell r="X74">
            <v>-4184633</v>
          </cell>
          <cell r="Y74">
            <v>0</v>
          </cell>
          <cell r="AD74">
            <v>-4184633</v>
          </cell>
          <cell r="AG74">
            <v>1464621.55</v>
          </cell>
          <cell r="AH74">
            <v>0</v>
          </cell>
          <cell r="AI74">
            <v>0</v>
          </cell>
          <cell r="AJ74">
            <v>1464621.55</v>
          </cell>
          <cell r="AK74">
            <v>0</v>
          </cell>
          <cell r="AL74">
            <v>0</v>
          </cell>
          <cell r="AM74">
            <v>0</v>
          </cell>
          <cell r="AN74">
            <v>0</v>
          </cell>
          <cell r="AO74">
            <v>1464621.55</v>
          </cell>
          <cell r="AQ74">
            <v>0</v>
          </cell>
          <cell r="AR74">
            <v>1464621.55</v>
          </cell>
        </row>
        <row r="75">
          <cell r="U75">
            <v>-286829</v>
          </cell>
          <cell r="X75">
            <v>-286829</v>
          </cell>
          <cell r="Y75">
            <v>0</v>
          </cell>
          <cell r="AD75">
            <v>-286829</v>
          </cell>
          <cell r="AG75">
            <v>100390.15</v>
          </cell>
          <cell r="AH75">
            <v>0</v>
          </cell>
          <cell r="AI75">
            <v>0</v>
          </cell>
          <cell r="AJ75">
            <v>100390.15</v>
          </cell>
          <cell r="AK75">
            <v>0</v>
          </cell>
          <cell r="AL75">
            <v>0</v>
          </cell>
          <cell r="AM75">
            <v>0</v>
          </cell>
          <cell r="AN75">
            <v>0</v>
          </cell>
          <cell r="AO75">
            <v>100390.15</v>
          </cell>
          <cell r="AQ75">
            <v>0</v>
          </cell>
          <cell r="AR75">
            <v>100390.15</v>
          </cell>
        </row>
        <row r="76">
          <cell r="U76">
            <v>-7280604</v>
          </cell>
          <cell r="X76">
            <v>-7280604</v>
          </cell>
          <cell r="Y76">
            <v>0</v>
          </cell>
          <cell r="AD76">
            <v>-7280604</v>
          </cell>
          <cell r="AG76">
            <v>2548211.4</v>
          </cell>
          <cell r="AH76">
            <v>0</v>
          </cell>
          <cell r="AI76">
            <v>0</v>
          </cell>
          <cell r="AJ76">
            <v>2548211.4</v>
          </cell>
          <cell r="AK76">
            <v>0</v>
          </cell>
          <cell r="AL76">
            <v>0</v>
          </cell>
          <cell r="AM76">
            <v>0</v>
          </cell>
          <cell r="AN76">
            <v>0</v>
          </cell>
          <cell r="AO76">
            <v>2548211.4</v>
          </cell>
          <cell r="AQ76">
            <v>0</v>
          </cell>
          <cell r="AR76">
            <v>2548211.4</v>
          </cell>
        </row>
        <row r="77">
          <cell r="U77">
            <v>0</v>
          </cell>
          <cell r="X77">
            <v>0</v>
          </cell>
          <cell r="Y77">
            <v>0</v>
          </cell>
          <cell r="AD77">
            <v>0</v>
          </cell>
          <cell r="AG77">
            <v>0</v>
          </cell>
          <cell r="AH77">
            <v>0</v>
          </cell>
          <cell r="AI77">
            <v>0</v>
          </cell>
          <cell r="AJ77">
            <v>0</v>
          </cell>
          <cell r="AK77">
            <v>0</v>
          </cell>
          <cell r="AL77">
            <v>0</v>
          </cell>
          <cell r="AM77">
            <v>0</v>
          </cell>
          <cell r="AN77">
            <v>0</v>
          </cell>
          <cell r="AO77">
            <v>0</v>
          </cell>
          <cell r="AQ77">
            <v>0</v>
          </cell>
          <cell r="AR77">
            <v>0</v>
          </cell>
        </row>
        <row r="78">
          <cell r="U78">
            <v>0</v>
          </cell>
          <cell r="X78">
            <v>0</v>
          </cell>
          <cell r="Y78">
            <v>0</v>
          </cell>
          <cell r="AD78">
            <v>0</v>
          </cell>
          <cell r="AG78">
            <v>0</v>
          </cell>
          <cell r="AH78">
            <v>0</v>
          </cell>
          <cell r="AI78">
            <v>0</v>
          </cell>
          <cell r="AJ78">
            <v>0</v>
          </cell>
          <cell r="AK78">
            <v>0</v>
          </cell>
          <cell r="AL78">
            <v>0</v>
          </cell>
          <cell r="AM78">
            <v>0</v>
          </cell>
          <cell r="AN78">
            <v>0</v>
          </cell>
          <cell r="AO78">
            <v>0</v>
          </cell>
          <cell r="AQ78">
            <v>0</v>
          </cell>
          <cell r="AR78">
            <v>0</v>
          </cell>
        </row>
        <row r="79">
          <cell r="U79">
            <v>-8617780</v>
          </cell>
          <cell r="X79">
            <v>-8617780</v>
          </cell>
          <cell r="Y79">
            <v>0</v>
          </cell>
          <cell r="AD79">
            <v>-8617780</v>
          </cell>
          <cell r="AG79">
            <v>3016223</v>
          </cell>
          <cell r="AH79">
            <v>0</v>
          </cell>
          <cell r="AI79">
            <v>0</v>
          </cell>
          <cell r="AJ79">
            <v>3016223</v>
          </cell>
          <cell r="AK79">
            <v>0</v>
          </cell>
          <cell r="AL79">
            <v>0</v>
          </cell>
          <cell r="AM79">
            <v>0</v>
          </cell>
          <cell r="AN79">
            <v>0</v>
          </cell>
          <cell r="AO79">
            <v>3016223</v>
          </cell>
          <cell r="AQ79">
            <v>0</v>
          </cell>
          <cell r="AR79">
            <v>3016223</v>
          </cell>
        </row>
        <row r="80">
          <cell r="U80">
            <v>118065152</v>
          </cell>
          <cell r="X80">
            <v>118065152</v>
          </cell>
          <cell r="Y80">
            <v>0</v>
          </cell>
          <cell r="AD80">
            <v>118065152</v>
          </cell>
          <cell r="AG80">
            <v>-41322803.199999996</v>
          </cell>
          <cell r="AH80">
            <v>0</v>
          </cell>
          <cell r="AI80">
            <v>0</v>
          </cell>
          <cell r="AJ80">
            <v>-41322803.199999996</v>
          </cell>
          <cell r="AK80">
            <v>0</v>
          </cell>
          <cell r="AL80">
            <v>0</v>
          </cell>
          <cell r="AM80">
            <v>0</v>
          </cell>
          <cell r="AN80">
            <v>0</v>
          </cell>
          <cell r="AO80">
            <v>-41322803.199999996</v>
          </cell>
          <cell r="AQ80">
            <v>0</v>
          </cell>
          <cell r="AR80">
            <v>-41322803.199999996</v>
          </cell>
        </row>
        <row r="81">
          <cell r="U81">
            <v>-592857</v>
          </cell>
          <cell r="X81">
            <v>-592857</v>
          </cell>
          <cell r="Y81">
            <v>0</v>
          </cell>
          <cell r="AD81">
            <v>-592857</v>
          </cell>
          <cell r="AG81">
            <v>207499.95</v>
          </cell>
          <cell r="AH81">
            <v>0</v>
          </cell>
          <cell r="AI81">
            <v>0</v>
          </cell>
          <cell r="AJ81">
            <v>207499.95</v>
          </cell>
          <cell r="AK81">
            <v>0</v>
          </cell>
          <cell r="AL81">
            <v>0</v>
          </cell>
          <cell r="AM81">
            <v>0</v>
          </cell>
          <cell r="AN81">
            <v>0</v>
          </cell>
          <cell r="AO81">
            <v>207499.95</v>
          </cell>
          <cell r="AQ81">
            <v>0</v>
          </cell>
          <cell r="AR81">
            <v>207499.95</v>
          </cell>
        </row>
        <row r="82">
          <cell r="U82">
            <v>759655</v>
          </cell>
          <cell r="X82">
            <v>759655</v>
          </cell>
          <cell r="Y82">
            <v>0</v>
          </cell>
          <cell r="AD82">
            <v>759655</v>
          </cell>
          <cell r="AG82">
            <v>-265879.25</v>
          </cell>
          <cell r="AH82">
            <v>0</v>
          </cell>
          <cell r="AI82">
            <v>0</v>
          </cell>
          <cell r="AJ82">
            <v>-265879.25</v>
          </cell>
          <cell r="AK82">
            <v>0</v>
          </cell>
          <cell r="AL82">
            <v>0</v>
          </cell>
          <cell r="AM82">
            <v>0</v>
          </cell>
          <cell r="AN82">
            <v>0</v>
          </cell>
          <cell r="AO82">
            <v>-265879.25</v>
          </cell>
          <cell r="AQ82">
            <v>0</v>
          </cell>
          <cell r="AR82">
            <v>-265879.25</v>
          </cell>
        </row>
        <row r="83">
          <cell r="U83">
            <v>7559659</v>
          </cell>
          <cell r="X83">
            <v>7559659</v>
          </cell>
          <cell r="Y83">
            <v>-32201479</v>
          </cell>
          <cell r="AD83">
            <v>-24641820</v>
          </cell>
          <cell r="AG83">
            <v>-2645880.65</v>
          </cell>
          <cell r="AH83">
            <v>0</v>
          </cell>
          <cell r="AI83">
            <v>0</v>
          </cell>
          <cell r="AJ83">
            <v>-2645880.65</v>
          </cell>
          <cell r="AK83">
            <v>11270517.649999999</v>
          </cell>
          <cell r="AL83">
            <v>0</v>
          </cell>
          <cell r="AM83">
            <v>0</v>
          </cell>
          <cell r="AN83">
            <v>0</v>
          </cell>
          <cell r="AO83">
            <v>8624636.9999999981</v>
          </cell>
          <cell r="AQ83">
            <v>0</v>
          </cell>
          <cell r="AR83">
            <v>8624636.9999999981</v>
          </cell>
        </row>
        <row r="84">
          <cell r="U84">
            <v>0</v>
          </cell>
          <cell r="X84">
            <v>0</v>
          </cell>
          <cell r="Y84">
            <v>0</v>
          </cell>
          <cell r="AD84">
            <v>0</v>
          </cell>
          <cell r="AG84">
            <v>0</v>
          </cell>
          <cell r="AH84">
            <v>0</v>
          </cell>
          <cell r="AI84">
            <v>0</v>
          </cell>
          <cell r="AJ84">
            <v>0</v>
          </cell>
          <cell r="AK84">
            <v>0</v>
          </cell>
          <cell r="AL84">
            <v>0</v>
          </cell>
          <cell r="AM84">
            <v>0</v>
          </cell>
          <cell r="AN84">
            <v>0</v>
          </cell>
          <cell r="AO84">
            <v>0</v>
          </cell>
        </row>
        <row r="85">
          <cell r="U85">
            <v>0</v>
          </cell>
          <cell r="X85">
            <v>0</v>
          </cell>
          <cell r="Y85">
            <v>0</v>
          </cell>
          <cell r="AD85">
            <v>0</v>
          </cell>
          <cell r="AG85">
            <v>0</v>
          </cell>
          <cell r="AH85">
            <v>0</v>
          </cell>
          <cell r="AI85">
            <v>0</v>
          </cell>
          <cell r="AJ85">
            <v>0</v>
          </cell>
          <cell r="AK85">
            <v>0</v>
          </cell>
          <cell r="AL85">
            <v>0</v>
          </cell>
          <cell r="AM85">
            <v>0</v>
          </cell>
          <cell r="AN85">
            <v>0</v>
          </cell>
          <cell r="AO85">
            <v>0</v>
          </cell>
          <cell r="AQ85">
            <v>0</v>
          </cell>
          <cell r="AR85">
            <v>0</v>
          </cell>
        </row>
        <row r="86">
          <cell r="U86">
            <v>-3642516</v>
          </cell>
          <cell r="X86">
            <v>-3642516</v>
          </cell>
          <cell r="Y86">
            <v>0</v>
          </cell>
          <cell r="AD86">
            <v>-3642516</v>
          </cell>
          <cell r="AG86">
            <v>1274880.6000000001</v>
          </cell>
          <cell r="AH86">
            <v>0</v>
          </cell>
          <cell r="AI86">
            <v>0</v>
          </cell>
          <cell r="AJ86">
            <v>1274880.6000000001</v>
          </cell>
          <cell r="AK86">
            <v>0</v>
          </cell>
          <cell r="AL86">
            <v>0</v>
          </cell>
          <cell r="AM86">
            <v>0</v>
          </cell>
          <cell r="AN86">
            <v>0</v>
          </cell>
          <cell r="AO86">
            <v>1274880.6000000001</v>
          </cell>
          <cell r="AQ86">
            <v>0</v>
          </cell>
          <cell r="AR86">
            <v>1274880.6000000001</v>
          </cell>
        </row>
        <row r="87">
          <cell r="U87">
            <v>-1935000</v>
          </cell>
          <cell r="X87">
            <v>-1935000</v>
          </cell>
          <cell r="Y87">
            <v>0</v>
          </cell>
          <cell r="AD87">
            <v>-1935000</v>
          </cell>
          <cell r="AG87">
            <v>677250</v>
          </cell>
          <cell r="AH87">
            <v>0</v>
          </cell>
          <cell r="AI87">
            <v>0</v>
          </cell>
          <cell r="AJ87">
            <v>677250</v>
          </cell>
          <cell r="AK87">
            <v>0</v>
          </cell>
          <cell r="AL87">
            <v>0</v>
          </cell>
          <cell r="AM87">
            <v>0</v>
          </cell>
          <cell r="AN87">
            <v>0</v>
          </cell>
          <cell r="AO87">
            <v>677250</v>
          </cell>
          <cell r="AQ87">
            <v>0</v>
          </cell>
          <cell r="AR87">
            <v>677250</v>
          </cell>
        </row>
        <row r="88">
          <cell r="U88">
            <v>162713</v>
          </cell>
          <cell r="X88">
            <v>162713</v>
          </cell>
          <cell r="Y88">
            <v>0</v>
          </cell>
          <cell r="AD88">
            <v>162713</v>
          </cell>
          <cell r="AG88">
            <v>-56949.55</v>
          </cell>
          <cell r="AH88">
            <v>0</v>
          </cell>
          <cell r="AI88">
            <v>0</v>
          </cell>
          <cell r="AJ88">
            <v>-56949.55</v>
          </cell>
          <cell r="AK88">
            <v>0</v>
          </cell>
          <cell r="AL88">
            <v>0</v>
          </cell>
          <cell r="AM88">
            <v>0</v>
          </cell>
          <cell r="AN88">
            <v>0</v>
          </cell>
          <cell r="AO88">
            <v>-56949.55</v>
          </cell>
          <cell r="AQ88">
            <v>0</v>
          </cell>
          <cell r="AR88">
            <v>-56949.55</v>
          </cell>
        </row>
        <row r="89">
          <cell r="U89">
            <v>-2324026</v>
          </cell>
          <cell r="X89">
            <v>-2324026</v>
          </cell>
          <cell r="Y89">
            <v>0</v>
          </cell>
          <cell r="AD89">
            <v>-2324026</v>
          </cell>
          <cell r="AG89">
            <v>813409.1</v>
          </cell>
          <cell r="AH89">
            <v>0</v>
          </cell>
          <cell r="AI89">
            <v>0</v>
          </cell>
          <cell r="AJ89">
            <v>813409.1</v>
          </cell>
          <cell r="AK89">
            <v>0</v>
          </cell>
          <cell r="AL89">
            <v>0</v>
          </cell>
          <cell r="AM89">
            <v>0</v>
          </cell>
          <cell r="AN89">
            <v>0</v>
          </cell>
          <cell r="AO89">
            <v>813409.1</v>
          </cell>
          <cell r="AQ89">
            <v>0</v>
          </cell>
          <cell r="AR89">
            <v>813409.1</v>
          </cell>
        </row>
        <row r="90">
          <cell r="U90">
            <v>-500002</v>
          </cell>
          <cell r="X90">
            <v>-500002</v>
          </cell>
          <cell r="Y90">
            <v>0</v>
          </cell>
          <cell r="AD90">
            <v>-500002</v>
          </cell>
          <cell r="AG90">
            <v>175000.7</v>
          </cell>
          <cell r="AH90">
            <v>0</v>
          </cell>
          <cell r="AI90">
            <v>0</v>
          </cell>
          <cell r="AJ90">
            <v>175000.7</v>
          </cell>
          <cell r="AK90">
            <v>0</v>
          </cell>
          <cell r="AL90">
            <v>0</v>
          </cell>
          <cell r="AM90">
            <v>0</v>
          </cell>
          <cell r="AN90">
            <v>0</v>
          </cell>
          <cell r="AO90">
            <v>175000.7</v>
          </cell>
          <cell r="AQ90">
            <v>0</v>
          </cell>
          <cell r="AR90">
            <v>175000.7</v>
          </cell>
        </row>
        <row r="91">
          <cell r="U91">
            <v>770634</v>
          </cell>
          <cell r="X91">
            <v>770634</v>
          </cell>
          <cell r="Y91">
            <v>0</v>
          </cell>
          <cell r="AD91">
            <v>770634</v>
          </cell>
          <cell r="AG91">
            <v>-269721.90000000002</v>
          </cell>
          <cell r="AH91">
            <v>0</v>
          </cell>
          <cell r="AI91">
            <v>0</v>
          </cell>
          <cell r="AJ91">
            <v>-269721.90000000002</v>
          </cell>
          <cell r="AK91">
            <v>0</v>
          </cell>
          <cell r="AL91">
            <v>0</v>
          </cell>
          <cell r="AM91">
            <v>0</v>
          </cell>
          <cell r="AN91">
            <v>0</v>
          </cell>
          <cell r="AO91">
            <v>-269721.90000000002</v>
          </cell>
          <cell r="AQ91">
            <v>0</v>
          </cell>
          <cell r="AR91">
            <v>-269721.90000000002</v>
          </cell>
        </row>
        <row r="92">
          <cell r="U92">
            <v>-200154</v>
          </cell>
          <cell r="X92">
            <v>-200154</v>
          </cell>
          <cell r="Y92">
            <v>0</v>
          </cell>
          <cell r="AD92">
            <v>-200154</v>
          </cell>
          <cell r="AG92">
            <v>70053.899999999994</v>
          </cell>
          <cell r="AH92">
            <v>0</v>
          </cell>
          <cell r="AI92">
            <v>0</v>
          </cell>
          <cell r="AJ92">
            <v>70053.899999999994</v>
          </cell>
          <cell r="AK92">
            <v>0</v>
          </cell>
          <cell r="AL92">
            <v>0</v>
          </cell>
          <cell r="AM92">
            <v>0</v>
          </cell>
          <cell r="AN92">
            <v>0</v>
          </cell>
          <cell r="AO92">
            <v>70053.899999999994</v>
          </cell>
          <cell r="AQ92">
            <v>0</v>
          </cell>
          <cell r="AR92">
            <v>70053.899999999994</v>
          </cell>
        </row>
        <row r="93">
          <cell r="U93">
            <v>-593729</v>
          </cell>
          <cell r="X93">
            <v>-593729</v>
          </cell>
          <cell r="Y93">
            <v>0</v>
          </cell>
          <cell r="AD93">
            <v>-593729</v>
          </cell>
          <cell r="AG93">
            <v>207805.15</v>
          </cell>
          <cell r="AH93">
            <v>0</v>
          </cell>
          <cell r="AI93">
            <v>0</v>
          </cell>
          <cell r="AJ93">
            <v>207805.15</v>
          </cell>
          <cell r="AK93">
            <v>0</v>
          </cell>
          <cell r="AL93">
            <v>0</v>
          </cell>
          <cell r="AM93">
            <v>0</v>
          </cell>
          <cell r="AN93">
            <v>0</v>
          </cell>
          <cell r="AO93">
            <v>207805.15</v>
          </cell>
          <cell r="AQ93">
            <v>0</v>
          </cell>
          <cell r="AR93">
            <v>207805.15</v>
          </cell>
        </row>
        <row r="94">
          <cell r="U94">
            <v>0</v>
          </cell>
          <cell r="X94">
            <v>0</v>
          </cell>
          <cell r="Y94">
            <v>0</v>
          </cell>
          <cell r="AD94">
            <v>0</v>
          </cell>
          <cell r="AG94">
            <v>0</v>
          </cell>
          <cell r="AH94">
            <v>0</v>
          </cell>
          <cell r="AI94">
            <v>0</v>
          </cell>
          <cell r="AJ94">
            <v>0</v>
          </cell>
          <cell r="AK94">
            <v>0</v>
          </cell>
          <cell r="AL94">
            <v>0</v>
          </cell>
          <cell r="AM94">
            <v>0</v>
          </cell>
          <cell r="AN94">
            <v>0</v>
          </cell>
          <cell r="AO94">
            <v>0</v>
          </cell>
          <cell r="AQ94">
            <v>0</v>
          </cell>
          <cell r="AR94">
            <v>0</v>
          </cell>
        </row>
        <row r="95">
          <cell r="U95">
            <v>0</v>
          </cell>
          <cell r="X95">
            <v>0</v>
          </cell>
          <cell r="Y95">
            <v>0</v>
          </cell>
          <cell r="AD95">
            <v>0</v>
          </cell>
          <cell r="AG95">
            <v>0</v>
          </cell>
          <cell r="AH95">
            <v>0</v>
          </cell>
          <cell r="AI95">
            <v>0</v>
          </cell>
          <cell r="AJ95">
            <v>0</v>
          </cell>
          <cell r="AK95">
            <v>0</v>
          </cell>
          <cell r="AL95">
            <v>0</v>
          </cell>
          <cell r="AM95">
            <v>0</v>
          </cell>
          <cell r="AN95">
            <v>0</v>
          </cell>
          <cell r="AO95">
            <v>0</v>
          </cell>
          <cell r="AQ95">
            <v>0</v>
          </cell>
          <cell r="AR95">
            <v>0</v>
          </cell>
        </row>
        <row r="96">
          <cell r="U96">
            <v>-955418</v>
          </cell>
          <cell r="X96">
            <v>-955418</v>
          </cell>
          <cell r="Y96">
            <v>0</v>
          </cell>
          <cell r="AD96">
            <v>-955418</v>
          </cell>
          <cell r="AG96">
            <v>334396.3</v>
          </cell>
          <cell r="AH96">
            <v>0</v>
          </cell>
          <cell r="AI96">
            <v>0</v>
          </cell>
          <cell r="AJ96">
            <v>334396.3</v>
          </cell>
          <cell r="AK96">
            <v>0</v>
          </cell>
          <cell r="AL96">
            <v>0</v>
          </cell>
          <cell r="AM96">
            <v>0</v>
          </cell>
          <cell r="AN96">
            <v>0</v>
          </cell>
          <cell r="AO96">
            <v>334396.3</v>
          </cell>
          <cell r="AQ96">
            <v>0</v>
          </cell>
          <cell r="AR96">
            <v>334396.3</v>
          </cell>
        </row>
        <row r="97">
          <cell r="U97">
            <v>-1436285</v>
          </cell>
          <cell r="X97">
            <v>-1436285</v>
          </cell>
          <cell r="Y97">
            <v>0</v>
          </cell>
          <cell r="AD97">
            <v>-1436285</v>
          </cell>
          <cell r="AG97">
            <v>502699.75</v>
          </cell>
          <cell r="AH97">
            <v>0</v>
          </cell>
          <cell r="AI97">
            <v>0</v>
          </cell>
          <cell r="AJ97">
            <v>502699.75</v>
          </cell>
          <cell r="AK97">
            <v>0</v>
          </cell>
          <cell r="AL97">
            <v>0</v>
          </cell>
          <cell r="AM97">
            <v>0</v>
          </cell>
          <cell r="AN97">
            <v>0</v>
          </cell>
          <cell r="AO97">
            <v>502699.75</v>
          </cell>
          <cell r="AQ97">
            <v>0</v>
          </cell>
          <cell r="AR97">
            <v>502699.75</v>
          </cell>
        </row>
        <row r="98">
          <cell r="U98">
            <v>-19286</v>
          </cell>
          <cell r="X98">
            <v>-19286</v>
          </cell>
          <cell r="Y98">
            <v>0</v>
          </cell>
          <cell r="AD98">
            <v>-19286</v>
          </cell>
          <cell r="AG98">
            <v>6750.1</v>
          </cell>
          <cell r="AH98">
            <v>0</v>
          </cell>
          <cell r="AI98">
            <v>0</v>
          </cell>
          <cell r="AJ98">
            <v>6750.1</v>
          </cell>
          <cell r="AK98">
            <v>0</v>
          </cell>
          <cell r="AL98">
            <v>0</v>
          </cell>
          <cell r="AM98">
            <v>0</v>
          </cell>
          <cell r="AN98">
            <v>0</v>
          </cell>
          <cell r="AO98">
            <v>6750.1</v>
          </cell>
          <cell r="AQ98">
            <v>0</v>
          </cell>
          <cell r="AR98">
            <v>6750.1</v>
          </cell>
        </row>
        <row r="99">
          <cell r="U99">
            <v>-1609990</v>
          </cell>
          <cell r="X99">
            <v>-1609990</v>
          </cell>
          <cell r="Y99">
            <v>0</v>
          </cell>
          <cell r="AD99">
            <v>-1609990</v>
          </cell>
          <cell r="AG99">
            <v>563496.5</v>
          </cell>
          <cell r="AH99">
            <v>0</v>
          </cell>
          <cell r="AI99">
            <v>0</v>
          </cell>
          <cell r="AJ99">
            <v>563496.5</v>
          </cell>
          <cell r="AK99">
            <v>0</v>
          </cell>
          <cell r="AL99">
            <v>0</v>
          </cell>
          <cell r="AM99">
            <v>0</v>
          </cell>
          <cell r="AN99">
            <v>0</v>
          </cell>
          <cell r="AO99">
            <v>563496.5</v>
          </cell>
          <cell r="AQ99">
            <v>0</v>
          </cell>
          <cell r="AR99">
            <v>563496.5</v>
          </cell>
        </row>
        <row r="100">
          <cell r="U100">
            <v>-1</v>
          </cell>
          <cell r="X100">
            <v>-1</v>
          </cell>
          <cell r="Y100">
            <v>0</v>
          </cell>
          <cell r="AD100">
            <v>-1</v>
          </cell>
          <cell r="AG100">
            <v>0.35</v>
          </cell>
          <cell r="AH100">
            <v>0</v>
          </cell>
          <cell r="AI100">
            <v>0</v>
          </cell>
          <cell r="AJ100">
            <v>0.35</v>
          </cell>
          <cell r="AK100">
            <v>0</v>
          </cell>
          <cell r="AL100">
            <v>0</v>
          </cell>
          <cell r="AM100">
            <v>0</v>
          </cell>
          <cell r="AN100">
            <v>0</v>
          </cell>
          <cell r="AO100">
            <v>0.35</v>
          </cell>
          <cell r="AQ100">
            <v>0</v>
          </cell>
          <cell r="AR100">
            <v>0.35</v>
          </cell>
        </row>
        <row r="101">
          <cell r="U101">
            <v>0</v>
          </cell>
          <cell r="X101">
            <v>0</v>
          </cell>
          <cell r="Y101">
            <v>0</v>
          </cell>
          <cell r="AD101">
            <v>0</v>
          </cell>
          <cell r="AG101">
            <v>0</v>
          </cell>
          <cell r="AH101">
            <v>0</v>
          </cell>
          <cell r="AI101">
            <v>0</v>
          </cell>
          <cell r="AJ101">
            <v>0</v>
          </cell>
          <cell r="AK101">
            <v>0</v>
          </cell>
          <cell r="AL101">
            <v>0</v>
          </cell>
          <cell r="AM101">
            <v>0</v>
          </cell>
          <cell r="AN101">
            <v>0</v>
          </cell>
          <cell r="AO101">
            <v>0</v>
          </cell>
          <cell r="AQ101">
            <v>0</v>
          </cell>
          <cell r="AR101">
            <v>0</v>
          </cell>
        </row>
        <row r="102">
          <cell r="U102">
            <v>-10227</v>
          </cell>
          <cell r="X102">
            <v>-10227</v>
          </cell>
          <cell r="Y102">
            <v>0</v>
          </cell>
          <cell r="AD102">
            <v>-10227</v>
          </cell>
          <cell r="AG102">
            <v>3579.45</v>
          </cell>
          <cell r="AH102">
            <v>0</v>
          </cell>
          <cell r="AI102">
            <v>0</v>
          </cell>
          <cell r="AJ102">
            <v>3579.45</v>
          </cell>
          <cell r="AK102">
            <v>0</v>
          </cell>
          <cell r="AL102">
            <v>0</v>
          </cell>
          <cell r="AM102">
            <v>0</v>
          </cell>
          <cell r="AN102">
            <v>0</v>
          </cell>
          <cell r="AO102">
            <v>3579.45</v>
          </cell>
          <cell r="AQ102">
            <v>0</v>
          </cell>
          <cell r="AR102">
            <v>3579.45</v>
          </cell>
        </row>
        <row r="103">
          <cell r="U103">
            <v>0</v>
          </cell>
          <cell r="X103">
            <v>0</v>
          </cell>
          <cell r="Y103">
            <v>0</v>
          </cell>
          <cell r="AD103">
            <v>0</v>
          </cell>
          <cell r="AG103">
            <v>0</v>
          </cell>
          <cell r="AH103">
            <v>0</v>
          </cell>
          <cell r="AI103">
            <v>0</v>
          </cell>
          <cell r="AJ103">
            <v>0</v>
          </cell>
          <cell r="AK103">
            <v>0</v>
          </cell>
          <cell r="AL103">
            <v>0</v>
          </cell>
          <cell r="AM103">
            <v>0</v>
          </cell>
          <cell r="AN103">
            <v>0</v>
          </cell>
          <cell r="AO103">
            <v>0</v>
          </cell>
        </row>
        <row r="104">
          <cell r="U104">
            <v>0</v>
          </cell>
          <cell r="X104">
            <v>0</v>
          </cell>
          <cell r="Y104">
            <v>0</v>
          </cell>
          <cell r="AD104">
            <v>0</v>
          </cell>
          <cell r="AG104">
            <v>0</v>
          </cell>
          <cell r="AH104">
            <v>0</v>
          </cell>
          <cell r="AI104">
            <v>0</v>
          </cell>
          <cell r="AJ104">
            <v>0</v>
          </cell>
          <cell r="AK104">
            <v>0</v>
          </cell>
          <cell r="AL104">
            <v>0</v>
          </cell>
          <cell r="AM104">
            <v>0</v>
          </cell>
          <cell r="AN104">
            <v>0</v>
          </cell>
          <cell r="AO104">
            <v>0</v>
          </cell>
        </row>
        <row r="105">
          <cell r="U105">
            <v>0</v>
          </cell>
          <cell r="X105">
            <v>0</v>
          </cell>
          <cell r="Y105">
            <v>0</v>
          </cell>
          <cell r="AD105">
            <v>0</v>
          </cell>
          <cell r="AG105">
            <v>0</v>
          </cell>
          <cell r="AH105">
            <v>0</v>
          </cell>
          <cell r="AI105">
            <v>0</v>
          </cell>
          <cell r="AJ105">
            <v>0</v>
          </cell>
          <cell r="AK105">
            <v>0</v>
          </cell>
          <cell r="AL105">
            <v>0</v>
          </cell>
          <cell r="AM105">
            <v>0</v>
          </cell>
          <cell r="AN105">
            <v>0</v>
          </cell>
          <cell r="AO105">
            <v>0</v>
          </cell>
        </row>
        <row r="106">
          <cell r="U106">
            <v>0</v>
          </cell>
          <cell r="X106">
            <v>0</v>
          </cell>
          <cell r="Y106">
            <v>0</v>
          </cell>
          <cell r="AD106">
            <v>0</v>
          </cell>
          <cell r="AG106">
            <v>0</v>
          </cell>
          <cell r="AH106">
            <v>0</v>
          </cell>
          <cell r="AI106">
            <v>0</v>
          </cell>
          <cell r="AJ106">
            <v>0</v>
          </cell>
          <cell r="AK106">
            <v>0</v>
          </cell>
          <cell r="AL106">
            <v>0</v>
          </cell>
          <cell r="AM106">
            <v>0</v>
          </cell>
          <cell r="AN106">
            <v>0</v>
          </cell>
          <cell r="AO106">
            <v>0</v>
          </cell>
        </row>
        <row r="107">
          <cell r="U107">
            <v>0</v>
          </cell>
          <cell r="X107">
            <v>0</v>
          </cell>
          <cell r="Y107">
            <v>0</v>
          </cell>
          <cell r="AD107">
            <v>0</v>
          </cell>
          <cell r="AG107">
            <v>0</v>
          </cell>
          <cell r="AH107">
            <v>0</v>
          </cell>
          <cell r="AI107">
            <v>0</v>
          </cell>
          <cell r="AJ107">
            <v>0</v>
          </cell>
          <cell r="AK107">
            <v>0</v>
          </cell>
          <cell r="AL107">
            <v>0</v>
          </cell>
          <cell r="AM107">
            <v>0</v>
          </cell>
          <cell r="AN107">
            <v>0</v>
          </cell>
          <cell r="AO107">
            <v>0</v>
          </cell>
        </row>
        <row r="108">
          <cell r="U108">
            <v>0</v>
          </cell>
          <cell r="X108">
            <v>0</v>
          </cell>
          <cell r="Y108">
            <v>0</v>
          </cell>
          <cell r="AD108">
            <v>0</v>
          </cell>
          <cell r="AG108">
            <v>0</v>
          </cell>
          <cell r="AH108">
            <v>0</v>
          </cell>
          <cell r="AI108">
            <v>0</v>
          </cell>
          <cell r="AJ108">
            <v>0</v>
          </cell>
          <cell r="AK108">
            <v>0</v>
          </cell>
          <cell r="AL108">
            <v>0</v>
          </cell>
          <cell r="AM108">
            <v>0</v>
          </cell>
          <cell r="AN108">
            <v>0</v>
          </cell>
          <cell r="AO108">
            <v>0</v>
          </cell>
        </row>
        <row r="109">
          <cell r="U109">
            <v>0</v>
          </cell>
          <cell r="X109">
            <v>0</v>
          </cell>
          <cell r="Y109">
            <v>0</v>
          </cell>
          <cell r="AD109">
            <v>0</v>
          </cell>
          <cell r="AG109">
            <v>0</v>
          </cell>
          <cell r="AH109">
            <v>0</v>
          </cell>
          <cell r="AI109">
            <v>0</v>
          </cell>
          <cell r="AJ109">
            <v>0</v>
          </cell>
          <cell r="AK109">
            <v>0</v>
          </cell>
          <cell r="AL109">
            <v>0</v>
          </cell>
          <cell r="AM109">
            <v>0</v>
          </cell>
          <cell r="AN109">
            <v>0</v>
          </cell>
          <cell r="AO109">
            <v>0</v>
          </cell>
        </row>
        <row r="110">
          <cell r="U110">
            <v>0</v>
          </cell>
          <cell r="X110">
            <v>0</v>
          </cell>
          <cell r="Y110">
            <v>0</v>
          </cell>
          <cell r="AD110">
            <v>0</v>
          </cell>
          <cell r="AG110">
            <v>0</v>
          </cell>
          <cell r="AJ110">
            <v>0</v>
          </cell>
          <cell r="AK110">
            <v>0</v>
          </cell>
          <cell r="AL110">
            <v>0</v>
          </cell>
          <cell r="AM110">
            <v>0</v>
          </cell>
          <cell r="AN110">
            <v>0</v>
          </cell>
          <cell r="AO110">
            <v>0</v>
          </cell>
        </row>
        <row r="112">
          <cell r="U112">
            <v>19992691</v>
          </cell>
          <cell r="V112">
            <v>0</v>
          </cell>
          <cell r="W112">
            <v>0</v>
          </cell>
          <cell r="X112">
            <v>19992691</v>
          </cell>
          <cell r="Y112">
            <v>-38527296</v>
          </cell>
          <cell r="Z112">
            <v>0</v>
          </cell>
          <cell r="AA112">
            <v>0</v>
          </cell>
          <cell r="AB112">
            <v>0</v>
          </cell>
          <cell r="AD112">
            <v>-18534605</v>
          </cell>
          <cell r="AE112">
            <v>0</v>
          </cell>
          <cell r="AF112">
            <v>0</v>
          </cell>
          <cell r="AG112">
            <v>-6997441.8500000201</v>
          </cell>
          <cell r="AH112">
            <v>0</v>
          </cell>
          <cell r="AI112">
            <v>0</v>
          </cell>
          <cell r="AJ112">
            <v>-6997441.8500000201</v>
          </cell>
          <cell r="AK112">
            <v>13484553.599999998</v>
          </cell>
          <cell r="AL112">
            <v>0</v>
          </cell>
          <cell r="AM112">
            <v>0</v>
          </cell>
          <cell r="AN112">
            <v>0</v>
          </cell>
          <cell r="AO112">
            <v>6487111.7499999851</v>
          </cell>
          <cell r="AQ112">
            <v>0</v>
          </cell>
          <cell r="AR112">
            <v>3340018.4999999912</v>
          </cell>
        </row>
        <row r="114">
          <cell r="U114">
            <v>69232915</v>
          </cell>
          <cell r="X114">
            <v>69232915</v>
          </cell>
          <cell r="Y114">
            <v>0</v>
          </cell>
          <cell r="AD114">
            <v>69232915</v>
          </cell>
          <cell r="AG114">
            <v>-24231520.25</v>
          </cell>
          <cell r="AH114">
            <v>0</v>
          </cell>
          <cell r="AI114">
            <v>0</v>
          </cell>
          <cell r="AJ114">
            <v>-24231520.25</v>
          </cell>
          <cell r="AK114">
            <v>0</v>
          </cell>
          <cell r="AL114">
            <v>0</v>
          </cell>
          <cell r="AM114">
            <v>0</v>
          </cell>
          <cell r="AN114">
            <v>0</v>
          </cell>
          <cell r="AO114">
            <v>-24231520.25</v>
          </cell>
          <cell r="AQ114">
            <v>0</v>
          </cell>
          <cell r="AR114">
            <v>-24231520.25</v>
          </cell>
        </row>
        <row r="115">
          <cell r="U115">
            <v>0</v>
          </cell>
          <cell r="X115">
            <v>0</v>
          </cell>
          <cell r="Y115">
            <v>0</v>
          </cell>
          <cell r="AD115">
            <v>0</v>
          </cell>
          <cell r="AG115">
            <v>0</v>
          </cell>
          <cell r="AH115">
            <v>0</v>
          </cell>
          <cell r="AI115">
            <v>0</v>
          </cell>
          <cell r="AJ115">
            <v>0</v>
          </cell>
          <cell r="AK115">
            <v>0</v>
          </cell>
          <cell r="AL115">
            <v>0</v>
          </cell>
          <cell r="AM115">
            <v>0</v>
          </cell>
          <cell r="AN115">
            <v>0</v>
          </cell>
          <cell r="AO115">
            <v>0</v>
          </cell>
          <cell r="AQ115">
            <v>0</v>
          </cell>
          <cell r="AR115">
            <v>0</v>
          </cell>
        </row>
        <row r="116">
          <cell r="U116">
            <v>0</v>
          </cell>
          <cell r="X116">
            <v>0</v>
          </cell>
          <cell r="Y116">
            <v>0</v>
          </cell>
          <cell r="AD116">
            <v>0</v>
          </cell>
          <cell r="AG116">
            <v>0</v>
          </cell>
          <cell r="AH116">
            <v>0</v>
          </cell>
          <cell r="AI116">
            <v>0</v>
          </cell>
          <cell r="AJ116">
            <v>0</v>
          </cell>
          <cell r="AK116">
            <v>0</v>
          </cell>
          <cell r="AL116">
            <v>0</v>
          </cell>
          <cell r="AM116">
            <v>0</v>
          </cell>
          <cell r="AN116">
            <v>0</v>
          </cell>
          <cell r="AO116">
            <v>0</v>
          </cell>
          <cell r="AQ116">
            <v>0</v>
          </cell>
          <cell r="AR116">
            <v>0</v>
          </cell>
        </row>
        <row r="117">
          <cell r="U117">
            <v>0</v>
          </cell>
          <cell r="X117">
            <v>0</v>
          </cell>
          <cell r="Y117">
            <v>0</v>
          </cell>
          <cell r="AD117">
            <v>0</v>
          </cell>
          <cell r="AG117">
            <v>0</v>
          </cell>
          <cell r="AH117">
            <v>0</v>
          </cell>
          <cell r="AI117">
            <v>0</v>
          </cell>
          <cell r="AJ117">
            <v>0</v>
          </cell>
          <cell r="AK117">
            <v>0</v>
          </cell>
          <cell r="AL117">
            <v>0</v>
          </cell>
          <cell r="AM117">
            <v>0</v>
          </cell>
          <cell r="AN117">
            <v>0</v>
          </cell>
          <cell r="AO117">
            <v>0</v>
          </cell>
          <cell r="AQ117">
            <v>0</v>
          </cell>
          <cell r="AR117">
            <v>0</v>
          </cell>
        </row>
        <row r="118">
          <cell r="U118">
            <v>-338077</v>
          </cell>
          <cell r="X118">
            <v>-338077</v>
          </cell>
          <cell r="Y118">
            <v>0</v>
          </cell>
          <cell r="AD118">
            <v>-338077</v>
          </cell>
          <cell r="AG118">
            <v>118326.95</v>
          </cell>
          <cell r="AH118">
            <v>0</v>
          </cell>
          <cell r="AI118">
            <v>0</v>
          </cell>
          <cell r="AJ118">
            <v>118326.95</v>
          </cell>
          <cell r="AK118">
            <v>0</v>
          </cell>
          <cell r="AL118">
            <v>0</v>
          </cell>
          <cell r="AM118">
            <v>0</v>
          </cell>
          <cell r="AN118">
            <v>0</v>
          </cell>
          <cell r="AO118">
            <v>118326.95</v>
          </cell>
          <cell r="AQ118">
            <v>0</v>
          </cell>
          <cell r="AR118">
            <v>118326.95</v>
          </cell>
        </row>
        <row r="119">
          <cell r="U119">
            <v>0</v>
          </cell>
          <cell r="X119">
            <v>0</v>
          </cell>
          <cell r="Y119">
            <v>0</v>
          </cell>
          <cell r="AD119">
            <v>0</v>
          </cell>
          <cell r="AG119">
            <v>0</v>
          </cell>
          <cell r="AH119">
            <v>0</v>
          </cell>
          <cell r="AI119">
            <v>0</v>
          </cell>
          <cell r="AJ119">
            <v>0</v>
          </cell>
          <cell r="AK119">
            <v>0</v>
          </cell>
          <cell r="AL119">
            <v>0</v>
          </cell>
          <cell r="AM119">
            <v>0</v>
          </cell>
          <cell r="AN119">
            <v>0</v>
          </cell>
          <cell r="AO119">
            <v>0</v>
          </cell>
          <cell r="AQ119">
            <v>0</v>
          </cell>
          <cell r="AR119">
            <v>0</v>
          </cell>
        </row>
        <row r="120">
          <cell r="U120">
            <v>0</v>
          </cell>
          <cell r="X120">
            <v>0</v>
          </cell>
          <cell r="Y120">
            <v>0</v>
          </cell>
          <cell r="AD120">
            <v>0</v>
          </cell>
          <cell r="AG120">
            <v>0</v>
          </cell>
          <cell r="AJ120">
            <v>0</v>
          </cell>
          <cell r="AK120">
            <v>0</v>
          </cell>
          <cell r="AL120">
            <v>0</v>
          </cell>
          <cell r="AM120">
            <v>0</v>
          </cell>
          <cell r="AN120">
            <v>0</v>
          </cell>
          <cell r="AO120">
            <v>0</v>
          </cell>
          <cell r="AQ120">
            <v>0</v>
          </cell>
          <cell r="AR120">
            <v>0</v>
          </cell>
        </row>
        <row r="121">
          <cell r="U121">
            <v>0</v>
          </cell>
          <cell r="AD121">
            <v>0</v>
          </cell>
          <cell r="AG121">
            <v>0</v>
          </cell>
          <cell r="AO121">
            <v>0</v>
          </cell>
          <cell r="AQ121">
            <v>0</v>
          </cell>
          <cell r="AR121">
            <v>0</v>
          </cell>
        </row>
        <row r="122">
          <cell r="U122">
            <v>68894838</v>
          </cell>
          <cell r="V122">
            <v>0</v>
          </cell>
          <cell r="W122">
            <v>0</v>
          </cell>
          <cell r="X122">
            <v>68894838</v>
          </cell>
          <cell r="Y122">
            <v>0</v>
          </cell>
          <cell r="Z122">
            <v>0</v>
          </cell>
          <cell r="AA122">
            <v>0</v>
          </cell>
          <cell r="AB122">
            <v>0</v>
          </cell>
          <cell r="AD122">
            <v>68894838</v>
          </cell>
          <cell r="AE122">
            <v>0</v>
          </cell>
          <cell r="AF122">
            <v>0</v>
          </cell>
          <cell r="AG122">
            <v>-24113193.300000001</v>
          </cell>
          <cell r="AH122">
            <v>0</v>
          </cell>
          <cell r="AI122">
            <v>0</v>
          </cell>
          <cell r="AJ122">
            <v>-24113193.300000001</v>
          </cell>
          <cell r="AK122">
            <v>0</v>
          </cell>
          <cell r="AL122">
            <v>0</v>
          </cell>
          <cell r="AM122">
            <v>0</v>
          </cell>
          <cell r="AN122">
            <v>0</v>
          </cell>
          <cell r="AO122">
            <v>-24113193.300000001</v>
          </cell>
          <cell r="AQ122">
            <v>0</v>
          </cell>
          <cell r="AR122">
            <v>-24113193.300000001</v>
          </cell>
        </row>
        <row r="123">
          <cell r="U123">
            <v>88887529</v>
          </cell>
          <cell r="V123">
            <v>0</v>
          </cell>
          <cell r="W123">
            <v>0</v>
          </cell>
          <cell r="X123">
            <v>88887529</v>
          </cell>
          <cell r="Y123">
            <v>-38527296</v>
          </cell>
          <cell r="Z123">
            <v>0</v>
          </cell>
          <cell r="AA123">
            <v>0</v>
          </cell>
          <cell r="AB123">
            <v>0</v>
          </cell>
          <cell r="AD123">
            <v>50360233</v>
          </cell>
          <cell r="AE123">
            <v>0</v>
          </cell>
          <cell r="AF123">
            <v>0</v>
          </cell>
          <cell r="AG123">
            <v>-31110635.150000021</v>
          </cell>
          <cell r="AH123">
            <v>0</v>
          </cell>
          <cell r="AI123">
            <v>0</v>
          </cell>
          <cell r="AJ123">
            <v>-31110635.150000021</v>
          </cell>
          <cell r="AK123">
            <v>13484553.599999998</v>
          </cell>
          <cell r="AL123">
            <v>0</v>
          </cell>
          <cell r="AM123">
            <v>0</v>
          </cell>
          <cell r="AN123">
            <v>0</v>
          </cell>
          <cell r="AO123">
            <v>-17626081.550000016</v>
          </cell>
          <cell r="AQ123">
            <v>0</v>
          </cell>
          <cell r="AR123">
            <v>-20773174.800000008</v>
          </cell>
        </row>
        <row r="124">
          <cell r="AD124">
            <v>17626081.549999997</v>
          </cell>
        </row>
        <row r="125">
          <cell r="AO125">
            <v>-17626081.550000023</v>
          </cell>
        </row>
        <row r="127">
          <cell r="AB127" t="str">
            <v>Diff = state NOL</v>
          </cell>
          <cell r="AD127">
            <v>26812172</v>
          </cell>
          <cell r="AG127">
            <v>31110635.149999999</v>
          </cell>
          <cell r="AO127">
            <v>17626081.549999997</v>
          </cell>
        </row>
        <row r="128">
          <cell r="U128">
            <v>88887529</v>
          </cell>
          <cell r="V128">
            <v>0</v>
          </cell>
          <cell r="W128">
            <v>0</v>
          </cell>
          <cell r="X128">
            <v>88887529</v>
          </cell>
          <cell r="Y128">
            <v>-38527296</v>
          </cell>
          <cell r="Z128">
            <v>0</v>
          </cell>
          <cell r="AA128">
            <v>0</v>
          </cell>
          <cell r="AB128">
            <v>0</v>
          </cell>
          <cell r="AC128">
            <v>0</v>
          </cell>
          <cell r="AD128">
            <v>67986314.549999997</v>
          </cell>
          <cell r="AE128">
            <v>0</v>
          </cell>
          <cell r="AF128">
            <v>0</v>
          </cell>
          <cell r="AG128">
            <v>-31110635.150000021</v>
          </cell>
          <cell r="AH128">
            <v>0</v>
          </cell>
          <cell r="AI128">
            <v>0</v>
          </cell>
          <cell r="AJ128">
            <v>-31110635.150000021</v>
          </cell>
          <cell r="AK128">
            <v>13484553.599999998</v>
          </cell>
          <cell r="AL128">
            <v>0</v>
          </cell>
          <cell r="AM128">
            <v>0</v>
          </cell>
          <cell r="AN128">
            <v>0</v>
          </cell>
          <cell r="AO128">
            <v>-17626081.550000016</v>
          </cell>
          <cell r="AP128">
            <v>0</v>
          </cell>
          <cell r="AQ128">
            <v>0</v>
          </cell>
          <cell r="AR128">
            <v>-20773174.800000008</v>
          </cell>
        </row>
        <row r="151">
          <cell r="V151">
            <v>0</v>
          </cell>
          <cell r="W151">
            <v>0</v>
          </cell>
        </row>
        <row r="152">
          <cell r="X152">
            <v>0</v>
          </cell>
          <cell r="AQ152">
            <v>0</v>
          </cell>
          <cell r="AR152">
            <v>0</v>
          </cell>
        </row>
        <row r="153">
          <cell r="X153">
            <v>0</v>
          </cell>
        </row>
        <row r="154">
          <cell r="X154">
            <v>0</v>
          </cell>
        </row>
        <row r="155">
          <cell r="U155">
            <v>-4901406.1100000003</v>
          </cell>
          <cell r="X155">
            <v>-4901406.1100000003</v>
          </cell>
          <cell r="Y155">
            <v>24310.069999999949</v>
          </cell>
          <cell r="AD155">
            <v>-4877096.04</v>
          </cell>
          <cell r="AG155">
            <v>1715492.1385000001</v>
          </cell>
          <cell r="AH155">
            <v>0</v>
          </cell>
          <cell r="AI155">
            <v>0</v>
          </cell>
          <cell r="AJ155">
            <v>1715492.1385000001</v>
          </cell>
          <cell r="AK155">
            <v>-8508.5244999999813</v>
          </cell>
          <cell r="AL155">
            <v>0</v>
          </cell>
          <cell r="AM155">
            <v>0</v>
          </cell>
          <cell r="AN155">
            <v>0</v>
          </cell>
          <cell r="AO155">
            <v>1706983.6140000001</v>
          </cell>
          <cell r="AQ155">
            <v>0</v>
          </cell>
          <cell r="AR155">
            <v>1706983.6140000001</v>
          </cell>
        </row>
        <row r="156">
          <cell r="U156">
            <v>25868627.77</v>
          </cell>
          <cell r="X156">
            <v>25868627.77</v>
          </cell>
          <cell r="Y156">
            <v>0.22999999998137355</v>
          </cell>
          <cell r="AD156">
            <v>25868628</v>
          </cell>
          <cell r="AG156">
            <v>-9054019.7194999978</v>
          </cell>
          <cell r="AH156">
            <v>0</v>
          </cell>
          <cell r="AI156">
            <v>0</v>
          </cell>
          <cell r="AJ156">
            <v>-9054019.7194999978</v>
          </cell>
          <cell r="AK156">
            <v>-8.0499999993480731E-2</v>
          </cell>
          <cell r="AL156">
            <v>0</v>
          </cell>
          <cell r="AM156">
            <v>0</v>
          </cell>
          <cell r="AN156">
            <v>0</v>
          </cell>
          <cell r="AO156">
            <v>-9054019.799999997</v>
          </cell>
          <cell r="AP156">
            <v>1</v>
          </cell>
          <cell r="AQ156">
            <v>-9054019.799999997</v>
          </cell>
          <cell r="AR156">
            <v>0</v>
          </cell>
        </row>
        <row r="157">
          <cell r="U157">
            <v>-5274957.8499999996</v>
          </cell>
          <cell r="X157">
            <v>-5274957.8499999996</v>
          </cell>
          <cell r="Y157">
            <v>181476</v>
          </cell>
          <cell r="AD157">
            <v>-5093481.8499999996</v>
          </cell>
          <cell r="AG157">
            <v>1846235.2474999996</v>
          </cell>
          <cell r="AH157">
            <v>0</v>
          </cell>
          <cell r="AI157">
            <v>0</v>
          </cell>
          <cell r="AJ157">
            <v>1846235.2474999996</v>
          </cell>
          <cell r="AK157">
            <v>-63516.6</v>
          </cell>
          <cell r="AL157">
            <v>0</v>
          </cell>
          <cell r="AM157">
            <v>0</v>
          </cell>
          <cell r="AN157">
            <v>0</v>
          </cell>
          <cell r="AO157">
            <v>1782718.6474999995</v>
          </cell>
          <cell r="AQ157">
            <v>0</v>
          </cell>
          <cell r="AR157">
            <v>1782718.6474999995</v>
          </cell>
        </row>
        <row r="158">
          <cell r="X158">
            <v>0</v>
          </cell>
          <cell r="Y158">
            <v>-181476</v>
          </cell>
          <cell r="AD158">
            <v>-181476</v>
          </cell>
          <cell r="AH158">
            <v>0</v>
          </cell>
          <cell r="AI158">
            <v>0</v>
          </cell>
          <cell r="AJ158">
            <v>0</v>
          </cell>
          <cell r="AK158">
            <v>63516.6</v>
          </cell>
          <cell r="AL158">
            <v>0</v>
          </cell>
          <cell r="AM158">
            <v>0</v>
          </cell>
          <cell r="AN158">
            <v>0</v>
          </cell>
          <cell r="AO158">
            <v>63516.6</v>
          </cell>
          <cell r="AQ158">
            <v>0</v>
          </cell>
          <cell r="AR158">
            <v>63516.6</v>
          </cell>
        </row>
        <row r="159">
          <cell r="U159">
            <v>-17640351.310000002</v>
          </cell>
          <cell r="X159">
            <v>-17640351.310000002</v>
          </cell>
          <cell r="Y159">
            <v>0</v>
          </cell>
          <cell r="AD159">
            <v>-17640351.310000002</v>
          </cell>
          <cell r="AG159">
            <v>6174122.9584999997</v>
          </cell>
          <cell r="AH159">
            <v>0</v>
          </cell>
          <cell r="AI159">
            <v>0</v>
          </cell>
          <cell r="AJ159">
            <v>6174122.9584999997</v>
          </cell>
          <cell r="AK159">
            <v>0</v>
          </cell>
          <cell r="AL159">
            <v>0</v>
          </cell>
          <cell r="AM159">
            <v>0</v>
          </cell>
          <cell r="AN159">
            <v>0</v>
          </cell>
          <cell r="AO159">
            <v>6174122.9584999997</v>
          </cell>
          <cell r="AQ159">
            <v>0</v>
          </cell>
          <cell r="AR159">
            <v>6174122.9584999997</v>
          </cell>
        </row>
        <row r="160">
          <cell r="U160">
            <v>-1500000</v>
          </cell>
          <cell r="X160">
            <v>-1500000</v>
          </cell>
          <cell r="Y160">
            <v>0</v>
          </cell>
          <cell r="AD160">
            <v>-1500000</v>
          </cell>
          <cell r="AG160">
            <v>525000</v>
          </cell>
          <cell r="AH160">
            <v>0</v>
          </cell>
          <cell r="AI160">
            <v>0</v>
          </cell>
          <cell r="AJ160">
            <v>525000</v>
          </cell>
          <cell r="AK160">
            <v>0</v>
          </cell>
          <cell r="AL160">
            <v>0</v>
          </cell>
          <cell r="AM160">
            <v>0</v>
          </cell>
          <cell r="AN160">
            <v>0</v>
          </cell>
          <cell r="AO160">
            <v>525000</v>
          </cell>
        </row>
        <row r="161">
          <cell r="U161">
            <v>8.9999999850988388E-2</v>
          </cell>
          <cell r="X161">
            <v>8.9999999850988388E-2</v>
          </cell>
          <cell r="Y161">
            <v>-878608</v>
          </cell>
          <cell r="AD161">
            <v>-878607.91000000015</v>
          </cell>
          <cell r="AG161">
            <v>-3.1499999947845934E-2</v>
          </cell>
          <cell r="AH161">
            <v>0</v>
          </cell>
          <cell r="AI161">
            <v>0</v>
          </cell>
          <cell r="AJ161">
            <v>-3.1499999947845934E-2</v>
          </cell>
          <cell r="AK161">
            <v>307512.8</v>
          </cell>
          <cell r="AL161">
            <v>0</v>
          </cell>
          <cell r="AM161">
            <v>0</v>
          </cell>
          <cell r="AN161">
            <v>0</v>
          </cell>
          <cell r="AO161">
            <v>307512.76850000006</v>
          </cell>
          <cell r="AQ161">
            <v>0</v>
          </cell>
          <cell r="AR161">
            <v>307512.76850000006</v>
          </cell>
        </row>
        <row r="162">
          <cell r="U162">
            <v>0</v>
          </cell>
          <cell r="X162">
            <v>0</v>
          </cell>
          <cell r="Y162">
            <v>0</v>
          </cell>
          <cell r="AD162">
            <v>0</v>
          </cell>
          <cell r="AG162">
            <v>0</v>
          </cell>
          <cell r="AH162">
            <v>0</v>
          </cell>
          <cell r="AI162">
            <v>0</v>
          </cell>
          <cell r="AJ162">
            <v>0</v>
          </cell>
          <cell r="AK162">
            <v>0</v>
          </cell>
          <cell r="AL162">
            <v>0</v>
          </cell>
          <cell r="AM162">
            <v>0</v>
          </cell>
          <cell r="AN162">
            <v>0</v>
          </cell>
          <cell r="AO162">
            <v>0</v>
          </cell>
        </row>
        <row r="163">
          <cell r="U163">
            <v>-33920</v>
          </cell>
          <cell r="X163">
            <v>-33920</v>
          </cell>
          <cell r="Y163">
            <v>0</v>
          </cell>
          <cell r="AD163">
            <v>-33920</v>
          </cell>
          <cell r="AG163">
            <v>11872</v>
          </cell>
          <cell r="AH163">
            <v>0</v>
          </cell>
          <cell r="AI163">
            <v>0</v>
          </cell>
          <cell r="AJ163">
            <v>11872</v>
          </cell>
          <cell r="AK163">
            <v>0</v>
          </cell>
          <cell r="AL163">
            <v>0</v>
          </cell>
          <cell r="AM163">
            <v>0</v>
          </cell>
          <cell r="AN163">
            <v>0</v>
          </cell>
          <cell r="AO163">
            <v>11872</v>
          </cell>
          <cell r="AQ163">
            <v>0</v>
          </cell>
          <cell r="AR163">
            <v>11872</v>
          </cell>
        </row>
        <row r="164">
          <cell r="U164">
            <v>-4739260.83</v>
          </cell>
          <cell r="X164">
            <v>-4739260.83</v>
          </cell>
          <cell r="Y164">
            <v>-0.16999999999825377</v>
          </cell>
          <cell r="AD164">
            <v>-4739261</v>
          </cell>
          <cell r="AG164">
            <v>1658741.2904999999</v>
          </cell>
          <cell r="AH164">
            <v>0</v>
          </cell>
          <cell r="AI164">
            <v>0</v>
          </cell>
          <cell r="AJ164">
            <v>1658741.2904999999</v>
          </cell>
          <cell r="AK164">
            <v>5.9499999999388813E-2</v>
          </cell>
          <cell r="AL164">
            <v>0</v>
          </cell>
          <cell r="AM164">
            <v>0</v>
          </cell>
          <cell r="AN164">
            <v>0</v>
          </cell>
          <cell r="AO164">
            <v>1658741.3499999999</v>
          </cell>
          <cell r="AQ164">
            <v>0</v>
          </cell>
          <cell r="AR164">
            <v>1658741.3499999999</v>
          </cell>
        </row>
        <row r="165">
          <cell r="U165">
            <v>-3014510</v>
          </cell>
          <cell r="X165">
            <v>-3014510</v>
          </cell>
          <cell r="Y165">
            <v>0</v>
          </cell>
          <cell r="AD165">
            <v>-3014510</v>
          </cell>
          <cell r="AG165">
            <v>1055078.5</v>
          </cell>
          <cell r="AH165">
            <v>0</v>
          </cell>
          <cell r="AI165">
            <v>0</v>
          </cell>
          <cell r="AJ165">
            <v>1055078.5</v>
          </cell>
          <cell r="AK165">
            <v>0</v>
          </cell>
          <cell r="AL165">
            <v>0</v>
          </cell>
          <cell r="AM165">
            <v>0</v>
          </cell>
          <cell r="AN165">
            <v>0</v>
          </cell>
          <cell r="AO165">
            <v>1055078.5</v>
          </cell>
        </row>
        <row r="166">
          <cell r="U166">
            <v>-695007.5</v>
          </cell>
          <cell r="X166">
            <v>-695007.5</v>
          </cell>
          <cell r="Y166">
            <v>0.5</v>
          </cell>
          <cell r="AD166">
            <v>-695007</v>
          </cell>
          <cell r="AG166">
            <v>243252.625</v>
          </cell>
          <cell r="AH166">
            <v>0</v>
          </cell>
          <cell r="AI166">
            <v>0</v>
          </cell>
          <cell r="AJ166">
            <v>243252.625</v>
          </cell>
          <cell r="AK166">
            <v>-0.17499999999999999</v>
          </cell>
          <cell r="AL166">
            <v>0</v>
          </cell>
          <cell r="AM166">
            <v>0</v>
          </cell>
          <cell r="AN166">
            <v>0</v>
          </cell>
          <cell r="AO166">
            <v>243252.45</v>
          </cell>
          <cell r="AQ166">
            <v>0</v>
          </cell>
          <cell r="AR166">
            <v>243252.45</v>
          </cell>
        </row>
        <row r="167">
          <cell r="U167">
            <v>1882131</v>
          </cell>
          <cell r="X167">
            <v>1882131</v>
          </cell>
          <cell r="Y167">
            <v>297684</v>
          </cell>
          <cell r="AD167">
            <v>2179815</v>
          </cell>
          <cell r="AG167">
            <v>-658745.85</v>
          </cell>
          <cell r="AH167">
            <v>0</v>
          </cell>
          <cell r="AI167">
            <v>0</v>
          </cell>
          <cell r="AJ167">
            <v>-658745.85</v>
          </cell>
          <cell r="AK167">
            <v>-104189.4</v>
          </cell>
          <cell r="AL167">
            <v>0</v>
          </cell>
          <cell r="AM167">
            <v>0</v>
          </cell>
          <cell r="AN167">
            <v>0</v>
          </cell>
          <cell r="AO167">
            <v>-762935.25</v>
          </cell>
          <cell r="AQ167">
            <v>0</v>
          </cell>
          <cell r="AR167">
            <v>-762935.25</v>
          </cell>
        </row>
        <row r="168">
          <cell r="U168">
            <v>-7661898</v>
          </cell>
          <cell r="X168">
            <v>-7661898</v>
          </cell>
          <cell r="Y168">
            <v>0</v>
          </cell>
          <cell r="AD168">
            <v>-7661898</v>
          </cell>
          <cell r="AG168">
            <v>2681664.2999999998</v>
          </cell>
          <cell r="AH168">
            <v>0</v>
          </cell>
          <cell r="AI168">
            <v>0</v>
          </cell>
          <cell r="AJ168">
            <v>2681664.2999999998</v>
          </cell>
          <cell r="AK168">
            <v>0</v>
          </cell>
          <cell r="AL168">
            <v>0</v>
          </cell>
          <cell r="AM168">
            <v>0</v>
          </cell>
          <cell r="AN168">
            <v>0</v>
          </cell>
          <cell r="AO168">
            <v>2681664.2999999998</v>
          </cell>
          <cell r="AQ168">
            <v>0</v>
          </cell>
          <cell r="AR168">
            <v>2681664.2999999998</v>
          </cell>
        </row>
        <row r="169">
          <cell r="U169">
            <v>-976292</v>
          </cell>
          <cell r="X169">
            <v>-976292</v>
          </cell>
          <cell r="Y169">
            <v>-303962</v>
          </cell>
          <cell r="AD169">
            <v>-1280254</v>
          </cell>
          <cell r="AG169">
            <v>341702.2</v>
          </cell>
          <cell r="AH169">
            <v>0</v>
          </cell>
          <cell r="AI169">
            <v>0</v>
          </cell>
          <cell r="AJ169">
            <v>341702.2</v>
          </cell>
          <cell r="AK169">
            <v>106386.7</v>
          </cell>
          <cell r="AL169">
            <v>0</v>
          </cell>
          <cell r="AM169">
            <v>0</v>
          </cell>
          <cell r="AN169">
            <v>0</v>
          </cell>
          <cell r="AO169">
            <v>448088.9</v>
          </cell>
          <cell r="AQ169">
            <v>0</v>
          </cell>
          <cell r="AR169">
            <v>448088.9</v>
          </cell>
        </row>
        <row r="170">
          <cell r="U170">
            <v>-766088.12</v>
          </cell>
          <cell r="X170">
            <v>-766088.12</v>
          </cell>
          <cell r="Y170">
            <v>153838</v>
          </cell>
          <cell r="AD170">
            <v>-612250.12</v>
          </cell>
          <cell r="AG170">
            <v>268130.842</v>
          </cell>
          <cell r="AH170">
            <v>0</v>
          </cell>
          <cell r="AI170">
            <v>0</v>
          </cell>
          <cell r="AJ170">
            <v>268130.842</v>
          </cell>
          <cell r="AK170">
            <v>-53843.299999999996</v>
          </cell>
          <cell r="AL170">
            <v>0</v>
          </cell>
          <cell r="AM170">
            <v>0</v>
          </cell>
          <cell r="AN170">
            <v>0</v>
          </cell>
          <cell r="AO170">
            <v>214287.54200000002</v>
          </cell>
          <cell r="AQ170">
            <v>0</v>
          </cell>
          <cell r="AR170">
            <v>214287.54200000002</v>
          </cell>
        </row>
        <row r="171">
          <cell r="U171">
            <v>0</v>
          </cell>
          <cell r="X171">
            <v>0</v>
          </cell>
          <cell r="Y171">
            <v>-153838</v>
          </cell>
          <cell r="AD171">
            <v>-153838</v>
          </cell>
          <cell r="AG171">
            <v>0</v>
          </cell>
          <cell r="AH171">
            <v>0</v>
          </cell>
          <cell r="AI171">
            <v>0</v>
          </cell>
          <cell r="AJ171">
            <v>0</v>
          </cell>
          <cell r="AK171">
            <v>53843.299999999996</v>
          </cell>
          <cell r="AL171">
            <v>0</v>
          </cell>
          <cell r="AM171">
            <v>0</v>
          </cell>
          <cell r="AN171">
            <v>0</v>
          </cell>
          <cell r="AO171">
            <v>53843.299999999996</v>
          </cell>
        </row>
        <row r="172">
          <cell r="U172">
            <v>-1048217.92</v>
          </cell>
          <cell r="X172">
            <v>-1048217.92</v>
          </cell>
          <cell r="Y172">
            <v>14597</v>
          </cell>
          <cell r="AD172">
            <v>-1033620.92</v>
          </cell>
          <cell r="AG172">
            <v>366876.272</v>
          </cell>
          <cell r="AH172">
            <v>0</v>
          </cell>
          <cell r="AI172">
            <v>0</v>
          </cell>
          <cell r="AJ172">
            <v>366876.272</v>
          </cell>
          <cell r="AK172">
            <v>-5108.95</v>
          </cell>
          <cell r="AL172">
            <v>0</v>
          </cell>
          <cell r="AM172">
            <v>0</v>
          </cell>
          <cell r="AN172">
            <v>0</v>
          </cell>
          <cell r="AO172">
            <v>361767.32199999999</v>
          </cell>
          <cell r="AQ172">
            <v>0</v>
          </cell>
          <cell r="AR172">
            <v>361767.32199999999</v>
          </cell>
        </row>
        <row r="173">
          <cell r="U173">
            <v>-5162.92</v>
          </cell>
          <cell r="X173">
            <v>-5162.92</v>
          </cell>
          <cell r="Y173">
            <v>-183614</v>
          </cell>
          <cell r="AD173">
            <v>-188776.92</v>
          </cell>
          <cell r="AG173">
            <v>1807.0219999999999</v>
          </cell>
          <cell r="AH173">
            <v>0</v>
          </cell>
          <cell r="AI173">
            <v>0</v>
          </cell>
          <cell r="AJ173">
            <v>1807.0219999999999</v>
          </cell>
          <cell r="AK173">
            <v>64264.899999999994</v>
          </cell>
          <cell r="AL173">
            <v>0</v>
          </cell>
          <cell r="AM173">
            <v>0</v>
          </cell>
          <cell r="AN173">
            <v>0</v>
          </cell>
          <cell r="AO173">
            <v>66071.921999999991</v>
          </cell>
          <cell r="AQ173">
            <v>0</v>
          </cell>
          <cell r="AR173">
            <v>66071.921999999991</v>
          </cell>
        </row>
        <row r="174">
          <cell r="U174">
            <v>-10910</v>
          </cell>
          <cell r="X174">
            <v>-10910</v>
          </cell>
          <cell r="Y174">
            <v>0</v>
          </cell>
          <cell r="AD174">
            <v>-10910</v>
          </cell>
          <cell r="AG174">
            <v>3818.5</v>
          </cell>
          <cell r="AH174">
            <v>0</v>
          </cell>
          <cell r="AI174">
            <v>0</v>
          </cell>
          <cell r="AJ174">
            <v>3818.5</v>
          </cell>
          <cell r="AK174">
            <v>0</v>
          </cell>
          <cell r="AL174">
            <v>0</v>
          </cell>
          <cell r="AM174">
            <v>0</v>
          </cell>
          <cell r="AN174">
            <v>0</v>
          </cell>
          <cell r="AO174">
            <v>3818.5</v>
          </cell>
          <cell r="AQ174">
            <v>0</v>
          </cell>
          <cell r="AR174">
            <v>3818.5</v>
          </cell>
        </row>
        <row r="175">
          <cell r="U175">
            <v>3300000</v>
          </cell>
          <cell r="X175">
            <v>3300000</v>
          </cell>
          <cell r="Y175">
            <v>0</v>
          </cell>
          <cell r="AD175">
            <v>3300000</v>
          </cell>
          <cell r="AG175">
            <v>-1155000</v>
          </cell>
          <cell r="AH175">
            <v>0</v>
          </cell>
          <cell r="AI175">
            <v>0</v>
          </cell>
          <cell r="AJ175">
            <v>-1155000</v>
          </cell>
          <cell r="AK175">
            <v>0</v>
          </cell>
          <cell r="AL175">
            <v>0</v>
          </cell>
          <cell r="AM175">
            <v>0</v>
          </cell>
          <cell r="AN175">
            <v>0</v>
          </cell>
          <cell r="AO175">
            <v>-1155000</v>
          </cell>
        </row>
        <row r="176">
          <cell r="U176">
            <v>5826301</v>
          </cell>
          <cell r="X176">
            <v>5826301</v>
          </cell>
          <cell r="Y176">
            <v>0</v>
          </cell>
          <cell r="AD176">
            <v>5826301</v>
          </cell>
          <cell r="AG176">
            <v>-2039205.35</v>
          </cell>
          <cell r="AH176">
            <v>0</v>
          </cell>
          <cell r="AI176">
            <v>0</v>
          </cell>
          <cell r="AJ176">
            <v>-2039205.35</v>
          </cell>
          <cell r="AK176">
            <v>0</v>
          </cell>
          <cell r="AL176">
            <v>0</v>
          </cell>
          <cell r="AM176">
            <v>0</v>
          </cell>
          <cell r="AN176">
            <v>0</v>
          </cell>
          <cell r="AO176">
            <v>-2039205.35</v>
          </cell>
          <cell r="AQ176">
            <v>0</v>
          </cell>
          <cell r="AR176">
            <v>-2039205.35</v>
          </cell>
        </row>
        <row r="177">
          <cell r="U177">
            <v>125936</v>
          </cell>
          <cell r="X177">
            <v>125936</v>
          </cell>
          <cell r="Y177">
            <v>0</v>
          </cell>
          <cell r="AD177">
            <v>125936</v>
          </cell>
          <cell r="AG177">
            <v>-44077.599999999999</v>
          </cell>
          <cell r="AH177">
            <v>0</v>
          </cell>
          <cell r="AI177">
            <v>0</v>
          </cell>
          <cell r="AJ177">
            <v>-44077.599999999999</v>
          </cell>
          <cell r="AK177">
            <v>0</v>
          </cell>
          <cell r="AL177">
            <v>0</v>
          </cell>
          <cell r="AM177">
            <v>0</v>
          </cell>
          <cell r="AN177">
            <v>0</v>
          </cell>
          <cell r="AO177">
            <v>-44077.599999999999</v>
          </cell>
          <cell r="AQ177">
            <v>0</v>
          </cell>
          <cell r="AR177">
            <v>-44077.599999999999</v>
          </cell>
        </row>
        <row r="178">
          <cell r="U178">
            <v>-1838071</v>
          </cell>
          <cell r="X178">
            <v>-1838071</v>
          </cell>
          <cell r="Y178">
            <v>0</v>
          </cell>
          <cell r="AD178">
            <v>-1838071</v>
          </cell>
          <cell r="AG178">
            <v>643324.85</v>
          </cell>
          <cell r="AH178">
            <v>0</v>
          </cell>
          <cell r="AI178">
            <v>0</v>
          </cell>
          <cell r="AJ178">
            <v>643324.85</v>
          </cell>
          <cell r="AK178">
            <v>0</v>
          </cell>
          <cell r="AL178">
            <v>0</v>
          </cell>
          <cell r="AM178">
            <v>0</v>
          </cell>
          <cell r="AN178">
            <v>0</v>
          </cell>
          <cell r="AO178">
            <v>643324.85</v>
          </cell>
          <cell r="AQ178">
            <v>0</v>
          </cell>
          <cell r="AR178">
            <v>643324.85</v>
          </cell>
        </row>
        <row r="179">
          <cell r="U179">
            <v>0</v>
          </cell>
          <cell r="X179">
            <v>0</v>
          </cell>
          <cell r="Y179">
            <v>-760165</v>
          </cell>
          <cell r="AD179">
            <v>-760165</v>
          </cell>
          <cell r="AH179">
            <v>0</v>
          </cell>
          <cell r="AI179">
            <v>0</v>
          </cell>
          <cell r="AJ179">
            <v>0</v>
          </cell>
          <cell r="AK179">
            <v>266057.75</v>
          </cell>
          <cell r="AL179">
            <v>0</v>
          </cell>
          <cell r="AM179">
            <v>0</v>
          </cell>
          <cell r="AN179">
            <v>0</v>
          </cell>
          <cell r="AO179">
            <v>266057.75</v>
          </cell>
        </row>
        <row r="180">
          <cell r="U180">
            <v>0</v>
          </cell>
          <cell r="X180">
            <v>0</v>
          </cell>
          <cell r="Y180">
            <v>7780187</v>
          </cell>
          <cell r="AD180">
            <v>7780187</v>
          </cell>
          <cell r="AG180">
            <v>0</v>
          </cell>
          <cell r="AH180">
            <v>0</v>
          </cell>
          <cell r="AI180">
            <v>0</v>
          </cell>
          <cell r="AJ180">
            <v>0</v>
          </cell>
          <cell r="AK180">
            <v>-2723065.4499999997</v>
          </cell>
          <cell r="AL180">
            <v>0</v>
          </cell>
          <cell r="AM180">
            <v>0</v>
          </cell>
          <cell r="AN180">
            <v>0</v>
          </cell>
          <cell r="AO180">
            <v>-2723065.4499999997</v>
          </cell>
        </row>
        <row r="181">
          <cell r="U181">
            <v>-653729</v>
          </cell>
          <cell r="X181">
            <v>-653729</v>
          </cell>
          <cell r="Y181">
            <v>-6296818</v>
          </cell>
          <cell r="AD181">
            <v>-6950547</v>
          </cell>
          <cell r="AG181">
            <v>228805.15</v>
          </cell>
          <cell r="AH181">
            <v>0</v>
          </cell>
          <cell r="AI181">
            <v>0</v>
          </cell>
          <cell r="AJ181">
            <v>228805.15</v>
          </cell>
          <cell r="AK181">
            <v>2203886.2999999998</v>
          </cell>
          <cell r="AL181">
            <v>0</v>
          </cell>
          <cell r="AM181">
            <v>0</v>
          </cell>
          <cell r="AN181">
            <v>0</v>
          </cell>
          <cell r="AO181">
            <v>2432691.4499999997</v>
          </cell>
          <cell r="AQ181">
            <v>0</v>
          </cell>
          <cell r="AR181">
            <v>2432691.4499999997</v>
          </cell>
        </row>
        <row r="182">
          <cell r="U182">
            <v>1940403</v>
          </cell>
          <cell r="X182">
            <v>1940403</v>
          </cell>
          <cell r="Y182">
            <v>749826</v>
          </cell>
          <cell r="AD182">
            <v>2690229</v>
          </cell>
          <cell r="AG182">
            <v>-679141.05</v>
          </cell>
          <cell r="AH182">
            <v>0</v>
          </cell>
          <cell r="AI182">
            <v>0</v>
          </cell>
          <cell r="AJ182">
            <v>-679141.05</v>
          </cell>
          <cell r="AK182">
            <v>-262439.09999999998</v>
          </cell>
          <cell r="AL182">
            <v>0</v>
          </cell>
          <cell r="AM182">
            <v>0</v>
          </cell>
          <cell r="AN182">
            <v>0</v>
          </cell>
          <cell r="AO182">
            <v>-941580.15</v>
          </cell>
          <cell r="AQ182">
            <v>0</v>
          </cell>
          <cell r="AR182">
            <v>-941580.15</v>
          </cell>
        </row>
        <row r="183">
          <cell r="X183">
            <v>0</v>
          </cell>
          <cell r="Y183">
            <v>-451655</v>
          </cell>
          <cell r="AD183">
            <v>-451655</v>
          </cell>
          <cell r="AH183">
            <v>0</v>
          </cell>
          <cell r="AI183">
            <v>0</v>
          </cell>
          <cell r="AJ183">
            <v>0</v>
          </cell>
          <cell r="AK183">
            <v>158079.25</v>
          </cell>
          <cell r="AL183">
            <v>0</v>
          </cell>
          <cell r="AM183">
            <v>0</v>
          </cell>
          <cell r="AN183">
            <v>0</v>
          </cell>
          <cell r="AO183">
            <v>158079.25</v>
          </cell>
          <cell r="AQ183">
            <v>0</v>
          </cell>
          <cell r="AR183">
            <v>158079.25</v>
          </cell>
        </row>
        <row r="184">
          <cell r="U184">
            <v>-1921335</v>
          </cell>
          <cell r="X184">
            <v>-1921335</v>
          </cell>
          <cell r="Y184">
            <v>0</v>
          </cell>
          <cell r="AD184">
            <v>-1921335</v>
          </cell>
          <cell r="AG184">
            <v>672467.25</v>
          </cell>
          <cell r="AH184">
            <v>0</v>
          </cell>
          <cell r="AI184">
            <v>0</v>
          </cell>
          <cell r="AJ184">
            <v>672467.25</v>
          </cell>
          <cell r="AK184">
            <v>0</v>
          </cell>
          <cell r="AL184">
            <v>0</v>
          </cell>
          <cell r="AM184">
            <v>0</v>
          </cell>
          <cell r="AN184">
            <v>0</v>
          </cell>
          <cell r="AO184">
            <v>672467.25</v>
          </cell>
        </row>
        <row r="185">
          <cell r="U185">
            <v>-37655</v>
          </cell>
          <cell r="X185">
            <v>-37655</v>
          </cell>
          <cell r="Y185">
            <v>0</v>
          </cell>
          <cell r="AD185">
            <v>-37655</v>
          </cell>
          <cell r="AG185">
            <v>13179.25</v>
          </cell>
          <cell r="AH185">
            <v>0</v>
          </cell>
          <cell r="AI185">
            <v>0</v>
          </cell>
          <cell r="AJ185">
            <v>13179.25</v>
          </cell>
          <cell r="AK185">
            <v>0</v>
          </cell>
          <cell r="AL185">
            <v>0</v>
          </cell>
          <cell r="AM185">
            <v>0</v>
          </cell>
          <cell r="AN185">
            <v>0</v>
          </cell>
          <cell r="AO185">
            <v>13179.25</v>
          </cell>
        </row>
        <row r="186">
          <cell r="U186">
            <v>0</v>
          </cell>
          <cell r="X186">
            <v>0</v>
          </cell>
          <cell r="Y186">
            <v>-501128</v>
          </cell>
          <cell r="AD186">
            <v>-501128</v>
          </cell>
          <cell r="AH186">
            <v>0</v>
          </cell>
          <cell r="AI186">
            <v>0</v>
          </cell>
          <cell r="AJ186">
            <v>0</v>
          </cell>
          <cell r="AK186">
            <v>175394.8</v>
          </cell>
          <cell r="AL186">
            <v>0</v>
          </cell>
          <cell r="AM186">
            <v>0</v>
          </cell>
          <cell r="AN186">
            <v>0</v>
          </cell>
          <cell r="AO186">
            <v>175394.8</v>
          </cell>
          <cell r="AQ186">
            <v>0</v>
          </cell>
          <cell r="AR186">
            <v>175394.8</v>
          </cell>
        </row>
        <row r="187">
          <cell r="U187">
            <v>229163</v>
          </cell>
          <cell r="X187">
            <v>229163</v>
          </cell>
          <cell r="Y187">
            <v>3517642</v>
          </cell>
          <cell r="AD187">
            <v>3746805</v>
          </cell>
          <cell r="AG187">
            <v>-80207.05</v>
          </cell>
          <cell r="AH187">
            <v>0</v>
          </cell>
          <cell r="AI187">
            <v>0</v>
          </cell>
          <cell r="AJ187">
            <v>-80207.05</v>
          </cell>
          <cell r="AK187">
            <v>-1231174.7</v>
          </cell>
          <cell r="AL187">
            <v>0</v>
          </cell>
          <cell r="AM187">
            <v>0</v>
          </cell>
          <cell r="AN187">
            <v>0</v>
          </cell>
          <cell r="AO187">
            <v>-1311381.75</v>
          </cell>
          <cell r="AQ187">
            <v>0</v>
          </cell>
          <cell r="AR187">
            <v>-1311381.75</v>
          </cell>
        </row>
        <row r="188">
          <cell r="U188">
            <v>0</v>
          </cell>
          <cell r="X188">
            <v>0</v>
          </cell>
          <cell r="Y188">
            <v>0</v>
          </cell>
          <cell r="AD188">
            <v>0</v>
          </cell>
          <cell r="AG188">
            <v>0</v>
          </cell>
          <cell r="AH188">
            <v>0</v>
          </cell>
          <cell r="AI188">
            <v>0</v>
          </cell>
          <cell r="AJ188">
            <v>0</v>
          </cell>
          <cell r="AK188">
            <v>0</v>
          </cell>
          <cell r="AL188">
            <v>0</v>
          </cell>
          <cell r="AM188">
            <v>0</v>
          </cell>
          <cell r="AN188">
            <v>0</v>
          </cell>
          <cell r="AO188">
            <v>0</v>
          </cell>
        </row>
        <row r="189">
          <cell r="U189">
            <v>-795097</v>
          </cell>
          <cell r="X189">
            <v>-795097</v>
          </cell>
          <cell r="Y189">
            <v>84467</v>
          </cell>
          <cell r="AD189">
            <v>-710630</v>
          </cell>
          <cell r="AG189">
            <v>278283.95</v>
          </cell>
          <cell r="AH189">
            <v>0</v>
          </cell>
          <cell r="AI189">
            <v>0</v>
          </cell>
          <cell r="AJ189">
            <v>278283.95</v>
          </cell>
          <cell r="AK189">
            <v>-29563.449999999997</v>
          </cell>
          <cell r="AL189">
            <v>0</v>
          </cell>
          <cell r="AM189">
            <v>0</v>
          </cell>
          <cell r="AN189">
            <v>0</v>
          </cell>
          <cell r="AO189">
            <v>248720.5</v>
          </cell>
        </row>
        <row r="190">
          <cell r="U190">
            <v>0</v>
          </cell>
          <cell r="X190">
            <v>0</v>
          </cell>
          <cell r="Y190">
            <v>0</v>
          </cell>
          <cell r="AD190">
            <v>0</v>
          </cell>
          <cell r="AG190">
            <v>0</v>
          </cell>
          <cell r="AH190">
            <v>0</v>
          </cell>
          <cell r="AI190">
            <v>0</v>
          </cell>
          <cell r="AJ190">
            <v>0</v>
          </cell>
          <cell r="AK190">
            <v>0</v>
          </cell>
          <cell r="AL190">
            <v>0</v>
          </cell>
          <cell r="AM190">
            <v>0</v>
          </cell>
          <cell r="AN190">
            <v>0</v>
          </cell>
          <cell r="AO190">
            <v>0</v>
          </cell>
        </row>
        <row r="191">
          <cell r="U191">
            <v>578306</v>
          </cell>
          <cell r="X191">
            <v>578306</v>
          </cell>
          <cell r="Y191">
            <v>0</v>
          </cell>
          <cell r="AD191">
            <v>578306</v>
          </cell>
          <cell r="AG191">
            <v>-202407.1</v>
          </cell>
          <cell r="AH191">
            <v>0</v>
          </cell>
          <cell r="AI191">
            <v>0</v>
          </cell>
          <cell r="AJ191">
            <v>-202407.1</v>
          </cell>
          <cell r="AK191">
            <v>0</v>
          </cell>
          <cell r="AL191">
            <v>0</v>
          </cell>
          <cell r="AM191">
            <v>0</v>
          </cell>
          <cell r="AN191">
            <v>0</v>
          </cell>
          <cell r="AO191">
            <v>-202407.1</v>
          </cell>
        </row>
        <row r="192">
          <cell r="U192">
            <v>-1175340</v>
          </cell>
          <cell r="X192">
            <v>-1175340</v>
          </cell>
          <cell r="Y192">
            <v>0</v>
          </cell>
          <cell r="AD192">
            <v>-1175340</v>
          </cell>
          <cell r="AG192">
            <v>411369</v>
          </cell>
          <cell r="AH192">
            <v>0</v>
          </cell>
          <cell r="AI192">
            <v>0</v>
          </cell>
          <cell r="AJ192">
            <v>411369</v>
          </cell>
          <cell r="AK192">
            <v>0</v>
          </cell>
          <cell r="AL192">
            <v>0</v>
          </cell>
          <cell r="AM192">
            <v>0</v>
          </cell>
          <cell r="AN192">
            <v>0</v>
          </cell>
          <cell r="AO192">
            <v>411369</v>
          </cell>
        </row>
        <row r="193">
          <cell r="U193">
            <v>-7500</v>
          </cell>
          <cell r="X193">
            <v>-7500</v>
          </cell>
          <cell r="Y193">
            <v>0</v>
          </cell>
          <cell r="AD193">
            <v>-7500</v>
          </cell>
          <cell r="AG193">
            <v>2625</v>
          </cell>
          <cell r="AH193">
            <v>0</v>
          </cell>
          <cell r="AI193">
            <v>0</v>
          </cell>
          <cell r="AJ193">
            <v>2625</v>
          </cell>
          <cell r="AK193">
            <v>0</v>
          </cell>
          <cell r="AL193">
            <v>0</v>
          </cell>
          <cell r="AM193">
            <v>0</v>
          </cell>
          <cell r="AN193">
            <v>0</v>
          </cell>
          <cell r="AO193">
            <v>2625</v>
          </cell>
        </row>
        <row r="194">
          <cell r="U194">
            <v>0</v>
          </cell>
          <cell r="X194">
            <v>0</v>
          </cell>
          <cell r="Y194">
            <v>0</v>
          </cell>
          <cell r="AD194">
            <v>0</v>
          </cell>
          <cell r="AG194">
            <v>0</v>
          </cell>
          <cell r="AH194">
            <v>0</v>
          </cell>
          <cell r="AI194">
            <v>0</v>
          </cell>
          <cell r="AJ194">
            <v>0</v>
          </cell>
          <cell r="AK194">
            <v>0</v>
          </cell>
          <cell r="AL194">
            <v>0</v>
          </cell>
          <cell r="AM194">
            <v>0</v>
          </cell>
          <cell r="AN194">
            <v>0</v>
          </cell>
          <cell r="AO194">
            <v>0</v>
          </cell>
          <cell r="AQ194">
            <v>0</v>
          </cell>
          <cell r="AR194">
            <v>0</v>
          </cell>
        </row>
        <row r="195">
          <cell r="U195">
            <v>-413069</v>
          </cell>
          <cell r="X195">
            <v>-413069</v>
          </cell>
          <cell r="Y195">
            <v>142629</v>
          </cell>
          <cell r="AD195">
            <v>-270440</v>
          </cell>
          <cell r="AG195">
            <v>144574.15</v>
          </cell>
          <cell r="AH195">
            <v>0</v>
          </cell>
          <cell r="AI195">
            <v>0</v>
          </cell>
          <cell r="AJ195">
            <v>144574.15</v>
          </cell>
          <cell r="AK195">
            <v>-49920.149999999994</v>
          </cell>
          <cell r="AL195">
            <v>0</v>
          </cell>
          <cell r="AM195">
            <v>0</v>
          </cell>
          <cell r="AN195">
            <v>0</v>
          </cell>
          <cell r="AO195">
            <v>94654</v>
          </cell>
        </row>
        <row r="196">
          <cell r="U196">
            <v>0</v>
          </cell>
          <cell r="X196">
            <v>0</v>
          </cell>
          <cell r="Y196">
            <v>0</v>
          </cell>
          <cell r="AD196">
            <v>0</v>
          </cell>
          <cell r="AG196">
            <v>0</v>
          </cell>
          <cell r="AH196">
            <v>0</v>
          </cell>
          <cell r="AI196">
            <v>0</v>
          </cell>
          <cell r="AJ196">
            <v>0</v>
          </cell>
          <cell r="AK196">
            <v>0</v>
          </cell>
          <cell r="AL196">
            <v>0</v>
          </cell>
          <cell r="AM196">
            <v>0</v>
          </cell>
          <cell r="AN196">
            <v>0</v>
          </cell>
          <cell r="AO196">
            <v>0</v>
          </cell>
        </row>
        <row r="197">
          <cell r="U197">
            <v>-809281</v>
          </cell>
          <cell r="X197">
            <v>-809281</v>
          </cell>
          <cell r="Y197">
            <v>0</v>
          </cell>
          <cell r="AD197">
            <v>-809281</v>
          </cell>
          <cell r="AG197">
            <v>283248.34999999998</v>
          </cell>
          <cell r="AH197">
            <v>0</v>
          </cell>
          <cell r="AI197">
            <v>0</v>
          </cell>
          <cell r="AJ197">
            <v>283248.34999999998</v>
          </cell>
          <cell r="AK197">
            <v>0</v>
          </cell>
          <cell r="AL197">
            <v>0</v>
          </cell>
          <cell r="AM197">
            <v>0</v>
          </cell>
          <cell r="AN197">
            <v>0</v>
          </cell>
          <cell r="AO197">
            <v>283248.34999999998</v>
          </cell>
        </row>
        <row r="198">
          <cell r="U198">
            <v>-2064289</v>
          </cell>
          <cell r="X198">
            <v>-2064289</v>
          </cell>
          <cell r="Y198">
            <v>0</v>
          </cell>
          <cell r="AD198">
            <v>-2064289</v>
          </cell>
          <cell r="AG198">
            <v>722501.15</v>
          </cell>
          <cell r="AH198">
            <v>0</v>
          </cell>
          <cell r="AI198">
            <v>0</v>
          </cell>
          <cell r="AJ198">
            <v>722501.15</v>
          </cell>
          <cell r="AK198">
            <v>0</v>
          </cell>
          <cell r="AL198">
            <v>0</v>
          </cell>
          <cell r="AM198">
            <v>0</v>
          </cell>
          <cell r="AN198">
            <v>0</v>
          </cell>
          <cell r="AO198">
            <v>722501.15</v>
          </cell>
        </row>
        <row r="199">
          <cell r="U199">
            <v>0</v>
          </cell>
          <cell r="X199">
            <v>0</v>
          </cell>
          <cell r="Y199">
            <v>0</v>
          </cell>
          <cell r="AD199">
            <v>0</v>
          </cell>
          <cell r="AG199">
            <v>0</v>
          </cell>
          <cell r="AJ199">
            <v>0</v>
          </cell>
          <cell r="AK199">
            <v>0</v>
          </cell>
          <cell r="AL199">
            <v>0</v>
          </cell>
          <cell r="AM199">
            <v>0</v>
          </cell>
          <cell r="AN199">
            <v>0</v>
          </cell>
          <cell r="AO199">
            <v>0</v>
          </cell>
        </row>
        <row r="200">
          <cell r="U200">
            <v>146863</v>
          </cell>
          <cell r="X200">
            <v>146863</v>
          </cell>
          <cell r="Y200">
            <v>0</v>
          </cell>
          <cell r="AD200">
            <v>146863</v>
          </cell>
          <cell r="AG200">
            <v>-51402.05</v>
          </cell>
          <cell r="AH200">
            <v>0</v>
          </cell>
          <cell r="AI200">
            <v>0</v>
          </cell>
          <cell r="AJ200">
            <v>-51402.05</v>
          </cell>
          <cell r="AK200">
            <v>0</v>
          </cell>
          <cell r="AL200">
            <v>0</v>
          </cell>
          <cell r="AM200">
            <v>0</v>
          </cell>
          <cell r="AN200">
            <v>0</v>
          </cell>
          <cell r="AO200">
            <v>-51402.05</v>
          </cell>
        </row>
        <row r="201">
          <cell r="U201">
            <v>155362</v>
          </cell>
          <cell r="X201">
            <v>155362</v>
          </cell>
          <cell r="Y201">
            <v>0</v>
          </cell>
          <cell r="AD201">
            <v>155362</v>
          </cell>
          <cell r="AG201">
            <v>-54376.7</v>
          </cell>
          <cell r="AH201">
            <v>0</v>
          </cell>
          <cell r="AI201">
            <v>0</v>
          </cell>
          <cell r="AJ201">
            <v>-54376.7</v>
          </cell>
          <cell r="AK201">
            <v>0</v>
          </cell>
          <cell r="AL201">
            <v>0</v>
          </cell>
          <cell r="AM201">
            <v>0</v>
          </cell>
          <cell r="AN201">
            <v>0</v>
          </cell>
          <cell r="AO201">
            <v>-54376.7</v>
          </cell>
          <cell r="AQ201">
            <v>0</v>
          </cell>
          <cell r="AR201">
            <v>-54376.7</v>
          </cell>
        </row>
        <row r="202">
          <cell r="U202">
            <v>113982.78</v>
          </cell>
          <cell r="X202">
            <v>113982.78</v>
          </cell>
          <cell r="Y202">
            <v>-0.35999999998603016</v>
          </cell>
          <cell r="AD202">
            <v>113982.42000000001</v>
          </cell>
          <cell r="AG202">
            <v>-39893.972999999969</v>
          </cell>
          <cell r="AH202">
            <v>0</v>
          </cell>
          <cell r="AI202">
            <v>0</v>
          </cell>
          <cell r="AJ202">
            <v>-39893.972999999969</v>
          </cell>
          <cell r="AK202">
            <v>0.12599999999511055</v>
          </cell>
          <cell r="AL202">
            <v>0</v>
          </cell>
          <cell r="AM202">
            <v>0</v>
          </cell>
          <cell r="AN202">
            <v>0</v>
          </cell>
          <cell r="AO202">
            <v>-39893.846999999972</v>
          </cell>
          <cell r="AQ202">
            <v>0</v>
          </cell>
          <cell r="AR202">
            <v>-39893.846999999972</v>
          </cell>
        </row>
        <row r="203">
          <cell r="U203">
            <v>-213593</v>
          </cell>
          <cell r="X203">
            <v>-213593</v>
          </cell>
          <cell r="Y203">
            <v>16759</v>
          </cell>
          <cell r="AD203">
            <v>-196834</v>
          </cell>
          <cell r="AG203">
            <v>74757.55</v>
          </cell>
          <cell r="AH203">
            <v>0</v>
          </cell>
          <cell r="AI203">
            <v>0</v>
          </cell>
          <cell r="AJ203">
            <v>74757.55</v>
          </cell>
          <cell r="AK203">
            <v>-5865.65</v>
          </cell>
          <cell r="AL203">
            <v>0</v>
          </cell>
          <cell r="AM203">
            <v>0</v>
          </cell>
          <cell r="AN203">
            <v>0</v>
          </cell>
          <cell r="AO203">
            <v>68891.900000000009</v>
          </cell>
        </row>
        <row r="204">
          <cell r="U204">
            <v>-4472902</v>
          </cell>
          <cell r="X204">
            <v>-4472902</v>
          </cell>
          <cell r="Y204">
            <v>0</v>
          </cell>
          <cell r="AD204">
            <v>-4472902</v>
          </cell>
          <cell r="AG204">
            <v>1565515.7</v>
          </cell>
          <cell r="AH204">
            <v>0</v>
          </cell>
          <cell r="AI204">
            <v>0</v>
          </cell>
          <cell r="AJ204">
            <v>1565515.7</v>
          </cell>
          <cell r="AK204">
            <v>0</v>
          </cell>
          <cell r="AL204">
            <v>0</v>
          </cell>
          <cell r="AM204">
            <v>0</v>
          </cell>
          <cell r="AN204">
            <v>0</v>
          </cell>
          <cell r="AO204">
            <v>1565515.7</v>
          </cell>
          <cell r="AR204">
            <v>1565515.7</v>
          </cell>
        </row>
        <row r="205">
          <cell r="U205">
            <v>-2288484</v>
          </cell>
          <cell r="X205">
            <v>-2288484</v>
          </cell>
          <cell r="Y205">
            <v>0</v>
          </cell>
          <cell r="AD205">
            <v>-2288484</v>
          </cell>
          <cell r="AG205">
            <v>800969.4</v>
          </cell>
          <cell r="AJ205">
            <v>800969.4</v>
          </cell>
          <cell r="AK205">
            <v>0</v>
          </cell>
          <cell r="AL205">
            <v>0</v>
          </cell>
          <cell r="AM205">
            <v>0</v>
          </cell>
          <cell r="AN205">
            <v>0</v>
          </cell>
          <cell r="AO205">
            <v>800969.4</v>
          </cell>
        </row>
        <row r="206">
          <cell r="U206">
            <v>0</v>
          </cell>
          <cell r="X206">
            <v>0</v>
          </cell>
          <cell r="AD206">
            <v>0</v>
          </cell>
          <cell r="AG206">
            <v>0</v>
          </cell>
          <cell r="AJ206">
            <v>0</v>
          </cell>
          <cell r="AK206">
            <v>0</v>
          </cell>
          <cell r="AL206">
            <v>0</v>
          </cell>
          <cell r="AM206">
            <v>0</v>
          </cell>
          <cell r="AN206">
            <v>0</v>
          </cell>
          <cell r="AO206">
            <v>0</v>
          </cell>
        </row>
        <row r="207">
          <cell r="U207" t="str">
            <v xml:space="preserve"> </v>
          </cell>
          <cell r="AL207">
            <v>0</v>
          </cell>
          <cell r="AM207">
            <v>0</v>
          </cell>
        </row>
        <row r="208">
          <cell r="U208">
            <v>-24791251.920000006</v>
          </cell>
          <cell r="V208">
            <v>0</v>
          </cell>
          <cell r="W208">
            <v>0</v>
          </cell>
          <cell r="X208">
            <v>-24791251.920000006</v>
          </cell>
          <cell r="Y208">
            <v>3252151.27</v>
          </cell>
          <cell r="Z208">
            <v>0</v>
          </cell>
          <cell r="AA208">
            <v>0</v>
          </cell>
          <cell r="AB208">
            <v>0</v>
          </cell>
          <cell r="AD208">
            <v>-21539100.650000006</v>
          </cell>
          <cell r="AE208">
            <v>0</v>
          </cell>
          <cell r="AF208">
            <v>0</v>
          </cell>
          <cell r="AG208">
            <v>8676938.1720000021</v>
          </cell>
          <cell r="AH208">
            <v>0</v>
          </cell>
          <cell r="AI208">
            <v>0</v>
          </cell>
          <cell r="AJ208">
            <v>8676938.1720000021</v>
          </cell>
          <cell r="AK208">
            <v>-1138252.9444999998</v>
          </cell>
          <cell r="AL208">
            <v>0</v>
          </cell>
          <cell r="AM208">
            <v>0</v>
          </cell>
          <cell r="AN208">
            <v>0</v>
          </cell>
          <cell r="AO208">
            <v>7538685.227500001</v>
          </cell>
          <cell r="AQ208">
            <v>-9054019.799999997</v>
          </cell>
          <cell r="AR208">
            <v>15505974.2775</v>
          </cell>
        </row>
        <row r="209">
          <cell r="AG209">
            <v>-8676938.1720000021</v>
          </cell>
        </row>
        <row r="210">
          <cell r="AO210">
            <v>-7538685.2275000019</v>
          </cell>
        </row>
        <row r="211">
          <cell r="AO211">
            <v>150773.70455000002</v>
          </cell>
        </row>
        <row r="215">
          <cell r="U215">
            <v>-24791251.920000006</v>
          </cell>
          <cell r="V215">
            <v>0</v>
          </cell>
          <cell r="W215">
            <v>0</v>
          </cell>
          <cell r="X215">
            <v>-24791251.920000006</v>
          </cell>
          <cell r="Y215">
            <v>3252151.27</v>
          </cell>
          <cell r="Z215">
            <v>0</v>
          </cell>
          <cell r="AA215">
            <v>0</v>
          </cell>
          <cell r="AB215">
            <v>0</v>
          </cell>
          <cell r="AC215">
            <v>0</v>
          </cell>
          <cell r="AD215">
            <v>-21539100.650000006</v>
          </cell>
          <cell r="AE215">
            <v>0</v>
          </cell>
          <cell r="AF215">
            <v>0</v>
          </cell>
          <cell r="AG215">
            <v>8676938.1720000021</v>
          </cell>
          <cell r="AH215">
            <v>0</v>
          </cell>
          <cell r="AI215">
            <v>0</v>
          </cell>
          <cell r="AJ215">
            <v>8676938.1720000021</v>
          </cell>
          <cell r="AK215">
            <v>-1138252.9444999998</v>
          </cell>
          <cell r="AL215">
            <v>0</v>
          </cell>
          <cell r="AM215">
            <v>0</v>
          </cell>
          <cell r="AN215">
            <v>0</v>
          </cell>
          <cell r="AO215">
            <v>150773.70454999909</v>
          </cell>
          <cell r="AP215">
            <v>0</v>
          </cell>
          <cell r="AQ215">
            <v>-9054019.799999997</v>
          </cell>
          <cell r="AR215">
            <v>15505974.2775</v>
          </cell>
        </row>
        <row r="225">
          <cell r="AQ225">
            <v>0</v>
          </cell>
          <cell r="AR225">
            <v>0</v>
          </cell>
        </row>
        <row r="226">
          <cell r="X226">
            <v>0</v>
          </cell>
        </row>
        <row r="227">
          <cell r="X227">
            <v>0</v>
          </cell>
          <cell r="AD227">
            <v>0</v>
          </cell>
        </row>
        <row r="228">
          <cell r="X228">
            <v>0</v>
          </cell>
          <cell r="Y228">
            <v>0</v>
          </cell>
          <cell r="AD228">
            <v>0</v>
          </cell>
          <cell r="AG228">
            <v>0</v>
          </cell>
          <cell r="AH228">
            <v>0</v>
          </cell>
          <cell r="AI228">
            <v>0</v>
          </cell>
          <cell r="AJ228">
            <v>0</v>
          </cell>
          <cell r="AK228">
            <v>0</v>
          </cell>
          <cell r="AO228">
            <v>0</v>
          </cell>
        </row>
        <row r="229">
          <cell r="X229">
            <v>0</v>
          </cell>
        </row>
        <row r="230">
          <cell r="X230">
            <v>0</v>
          </cell>
        </row>
        <row r="231">
          <cell r="X231">
            <v>0</v>
          </cell>
        </row>
        <row r="233">
          <cell r="U233">
            <v>0</v>
          </cell>
          <cell r="V233">
            <v>0</v>
          </cell>
          <cell r="W233">
            <v>0</v>
          </cell>
          <cell r="X233">
            <v>0</v>
          </cell>
          <cell r="Y233">
            <v>0</v>
          </cell>
          <cell r="Z233">
            <v>0</v>
          </cell>
          <cell r="AA233">
            <v>0</v>
          </cell>
          <cell r="AB233">
            <v>0</v>
          </cell>
          <cell r="AD233">
            <v>0</v>
          </cell>
          <cell r="AE233">
            <v>0</v>
          </cell>
          <cell r="AF233">
            <v>0</v>
          </cell>
          <cell r="AG233">
            <v>0</v>
          </cell>
          <cell r="AH233">
            <v>0</v>
          </cell>
          <cell r="AI233">
            <v>0</v>
          </cell>
          <cell r="AJ233">
            <v>0</v>
          </cell>
          <cell r="AK233">
            <v>0</v>
          </cell>
          <cell r="AL233">
            <v>0</v>
          </cell>
          <cell r="AM233">
            <v>0</v>
          </cell>
          <cell r="AN233">
            <v>0</v>
          </cell>
          <cell r="AO233">
            <v>0</v>
          </cell>
          <cell r="AQ233">
            <v>0</v>
          </cell>
          <cell r="AR233">
            <v>0</v>
          </cell>
        </row>
        <row r="235">
          <cell r="AG235">
            <v>0</v>
          </cell>
        </row>
        <row r="236">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55">
          <cell r="V255">
            <v>0</v>
          </cell>
          <cell r="W255">
            <v>0</v>
          </cell>
        </row>
        <row r="256">
          <cell r="AQ256">
            <v>0</v>
          </cell>
          <cell r="AR256">
            <v>0</v>
          </cell>
        </row>
        <row r="257">
          <cell r="X257">
            <v>0</v>
          </cell>
        </row>
        <row r="259">
          <cell r="U259">
            <v>0.42000000001280569</v>
          </cell>
          <cell r="X259">
            <v>0.42000000001280569</v>
          </cell>
          <cell r="Y259">
            <v>0</v>
          </cell>
          <cell r="AD259">
            <v>0.42000000001280569</v>
          </cell>
          <cell r="AG259">
            <v>-0.14700000000448199</v>
          </cell>
          <cell r="AH259">
            <v>0</v>
          </cell>
          <cell r="AI259">
            <v>0</v>
          </cell>
          <cell r="AJ259">
            <v>-0.14700000000448199</v>
          </cell>
          <cell r="AK259">
            <v>0</v>
          </cell>
          <cell r="AL259">
            <v>0</v>
          </cell>
          <cell r="AM259">
            <v>0</v>
          </cell>
          <cell r="AN259">
            <v>0</v>
          </cell>
          <cell r="AO259">
            <v>-0.14700000000448199</v>
          </cell>
          <cell r="AP259">
            <v>13</v>
          </cell>
          <cell r="AQ259">
            <v>0</v>
          </cell>
          <cell r="AR259">
            <v>-0.14700000000448199</v>
          </cell>
        </row>
        <row r="260">
          <cell r="U260">
            <v>-296591</v>
          </cell>
          <cell r="X260">
            <v>-296591</v>
          </cell>
          <cell r="Y260">
            <v>0</v>
          </cell>
          <cell r="AD260">
            <v>-296591</v>
          </cell>
          <cell r="AG260">
            <v>103806.85</v>
          </cell>
          <cell r="AH260">
            <v>0</v>
          </cell>
          <cell r="AI260">
            <v>0</v>
          </cell>
          <cell r="AJ260">
            <v>103806.85</v>
          </cell>
          <cell r="AK260">
            <v>0</v>
          </cell>
          <cell r="AL260">
            <v>0</v>
          </cell>
          <cell r="AM260">
            <v>0</v>
          </cell>
          <cell r="AN260">
            <v>0</v>
          </cell>
          <cell r="AO260">
            <v>103806.85</v>
          </cell>
          <cell r="AP260">
            <v>10</v>
          </cell>
          <cell r="AQ260">
            <v>0</v>
          </cell>
          <cell r="AR260">
            <v>103806.85</v>
          </cell>
        </row>
        <row r="261">
          <cell r="U261">
            <v>8849167</v>
          </cell>
          <cell r="X261">
            <v>8849167</v>
          </cell>
          <cell r="Y261">
            <v>-60643</v>
          </cell>
          <cell r="AD261">
            <v>8788524</v>
          </cell>
          <cell r="AG261">
            <v>-3097208.45</v>
          </cell>
          <cell r="AH261">
            <v>0</v>
          </cell>
          <cell r="AI261">
            <v>0</v>
          </cell>
          <cell r="AJ261">
            <v>-3097208.45</v>
          </cell>
          <cell r="AK261">
            <v>21225.05</v>
          </cell>
          <cell r="AL261">
            <v>0</v>
          </cell>
          <cell r="AM261">
            <v>0</v>
          </cell>
          <cell r="AN261">
            <v>0</v>
          </cell>
          <cell r="AO261">
            <v>-3075983.4000000004</v>
          </cell>
          <cell r="AP261">
            <v>1</v>
          </cell>
          <cell r="AQ261">
            <v>-3075983.4000000004</v>
          </cell>
          <cell r="AR261">
            <v>0</v>
          </cell>
        </row>
        <row r="262">
          <cell r="U262">
            <v>0</v>
          </cell>
          <cell r="X262">
            <v>0</v>
          </cell>
          <cell r="Y262">
            <v>0</v>
          </cell>
          <cell r="AD262">
            <v>0</v>
          </cell>
          <cell r="AG262">
            <v>0</v>
          </cell>
          <cell r="AH262">
            <v>0</v>
          </cell>
          <cell r="AI262">
            <v>0</v>
          </cell>
          <cell r="AJ262">
            <v>0</v>
          </cell>
          <cell r="AK262">
            <v>0</v>
          </cell>
          <cell r="AL262">
            <v>0</v>
          </cell>
          <cell r="AM262">
            <v>0</v>
          </cell>
          <cell r="AN262">
            <v>0</v>
          </cell>
          <cell r="AO262">
            <v>0</v>
          </cell>
          <cell r="AP262">
            <v>14</v>
          </cell>
          <cell r="AQ262">
            <v>0</v>
          </cell>
          <cell r="AR262">
            <v>0</v>
          </cell>
        </row>
        <row r="263">
          <cell r="U263">
            <v>-85755</v>
          </cell>
          <cell r="X263">
            <v>-85755</v>
          </cell>
          <cell r="Y263">
            <v>21864</v>
          </cell>
          <cell r="AD263">
            <v>-63891</v>
          </cell>
          <cell r="AG263">
            <v>30014.25</v>
          </cell>
          <cell r="AH263">
            <v>0</v>
          </cell>
          <cell r="AI263">
            <v>0</v>
          </cell>
          <cell r="AJ263">
            <v>30014.25</v>
          </cell>
          <cell r="AK263">
            <v>-7652.4</v>
          </cell>
          <cell r="AL263">
            <v>0</v>
          </cell>
          <cell r="AM263">
            <v>0</v>
          </cell>
          <cell r="AN263">
            <v>0</v>
          </cell>
          <cell r="AO263">
            <v>22361.85</v>
          </cell>
          <cell r="AP263">
            <v>11</v>
          </cell>
          <cell r="AQ263">
            <v>0</v>
          </cell>
          <cell r="AR263">
            <v>22361.85</v>
          </cell>
        </row>
        <row r="264">
          <cell r="U264">
            <v>-638836</v>
          </cell>
          <cell r="X264">
            <v>-638836</v>
          </cell>
          <cell r="Y264">
            <v>-243793</v>
          </cell>
          <cell r="AD264">
            <v>-882629</v>
          </cell>
          <cell r="AG264">
            <v>223592.6</v>
          </cell>
          <cell r="AH264">
            <v>0</v>
          </cell>
          <cell r="AI264">
            <v>0</v>
          </cell>
          <cell r="AJ264">
            <v>223592.6</v>
          </cell>
          <cell r="AK264">
            <v>85327.549999999988</v>
          </cell>
          <cell r="AL264">
            <v>0</v>
          </cell>
          <cell r="AM264">
            <v>0</v>
          </cell>
          <cell r="AN264">
            <v>0</v>
          </cell>
          <cell r="AO264">
            <v>308920.15000000002</v>
          </cell>
          <cell r="AP264">
            <v>2</v>
          </cell>
          <cell r="AQ264">
            <v>0</v>
          </cell>
          <cell r="AR264">
            <v>308920.15000000002</v>
          </cell>
        </row>
        <row r="265">
          <cell r="U265">
            <v>-2123328</v>
          </cell>
          <cell r="X265">
            <v>-2123328</v>
          </cell>
          <cell r="Y265">
            <v>1664052</v>
          </cell>
          <cell r="AD265">
            <v>-459276</v>
          </cell>
          <cell r="AG265">
            <v>743164.8</v>
          </cell>
          <cell r="AH265">
            <v>0</v>
          </cell>
          <cell r="AI265">
            <v>0</v>
          </cell>
          <cell r="AJ265">
            <v>743164.8</v>
          </cell>
          <cell r="AK265">
            <v>-582418.19999999995</v>
          </cell>
          <cell r="AL265">
            <v>0</v>
          </cell>
          <cell r="AM265">
            <v>0</v>
          </cell>
          <cell r="AN265">
            <v>0</v>
          </cell>
          <cell r="AO265">
            <v>160746.60000000009</v>
          </cell>
          <cell r="AP265">
            <v>16</v>
          </cell>
          <cell r="AQ265">
            <v>0</v>
          </cell>
          <cell r="AR265">
            <v>160746.60000000009</v>
          </cell>
        </row>
        <row r="266">
          <cell r="U266">
            <v>-132025</v>
          </cell>
          <cell r="X266">
            <v>-132025</v>
          </cell>
          <cell r="Y266">
            <v>0</v>
          </cell>
          <cell r="AD266">
            <v>-132025</v>
          </cell>
          <cell r="AG266">
            <v>46208.75</v>
          </cell>
          <cell r="AH266">
            <v>0</v>
          </cell>
          <cell r="AI266">
            <v>0</v>
          </cell>
          <cell r="AJ266">
            <v>46208.75</v>
          </cell>
          <cell r="AK266">
            <v>0</v>
          </cell>
          <cell r="AL266">
            <v>0</v>
          </cell>
          <cell r="AM266">
            <v>0</v>
          </cell>
          <cell r="AN266">
            <v>0</v>
          </cell>
          <cell r="AO266">
            <v>46208.75</v>
          </cell>
          <cell r="AP266">
            <v>17</v>
          </cell>
          <cell r="AQ266">
            <v>0</v>
          </cell>
          <cell r="AR266">
            <v>46208.75</v>
          </cell>
        </row>
        <row r="267">
          <cell r="U267">
            <v>0</v>
          </cell>
          <cell r="X267">
            <v>0</v>
          </cell>
          <cell r="Y267">
            <v>-827797</v>
          </cell>
          <cell r="AD267">
            <v>-827797</v>
          </cell>
          <cell r="AG267">
            <v>0</v>
          </cell>
          <cell r="AH267">
            <v>0</v>
          </cell>
          <cell r="AI267">
            <v>0</v>
          </cell>
          <cell r="AJ267">
            <v>0</v>
          </cell>
          <cell r="AK267">
            <v>289728.94999999995</v>
          </cell>
          <cell r="AL267">
            <v>0</v>
          </cell>
          <cell r="AM267">
            <v>0</v>
          </cell>
          <cell r="AN267">
            <v>0</v>
          </cell>
          <cell r="AO267">
            <v>289728.94999999995</v>
          </cell>
          <cell r="AP267">
            <v>8</v>
          </cell>
          <cell r="AQ267">
            <v>0</v>
          </cell>
          <cell r="AR267">
            <v>289728.94999999995</v>
          </cell>
        </row>
        <row r="268">
          <cell r="U268">
            <v>59004.160000000003</v>
          </cell>
          <cell r="V268">
            <v>-59004</v>
          </cell>
          <cell r="X268">
            <v>0.16000000000349246</v>
          </cell>
          <cell r="Y268">
            <v>-614718</v>
          </cell>
          <cell r="AD268">
            <v>-614717.84</v>
          </cell>
          <cell r="AG268">
            <v>-20651.455999999998</v>
          </cell>
          <cell r="AH268">
            <v>20651.399999999998</v>
          </cell>
          <cell r="AI268">
            <v>0</v>
          </cell>
          <cell r="AJ268">
            <v>-5.6000000000494765E-2</v>
          </cell>
          <cell r="AK268">
            <v>215151.3</v>
          </cell>
          <cell r="AL268">
            <v>0</v>
          </cell>
          <cell r="AM268">
            <v>0</v>
          </cell>
          <cell r="AN268">
            <v>0</v>
          </cell>
          <cell r="AO268">
            <v>215151.24399999998</v>
          </cell>
          <cell r="AP268">
            <v>15</v>
          </cell>
          <cell r="AQ268">
            <v>0</v>
          </cell>
          <cell r="AR268">
            <v>215151.24399999998</v>
          </cell>
        </row>
        <row r="269">
          <cell r="U269">
            <v>0</v>
          </cell>
          <cell r="X269">
            <v>0</v>
          </cell>
          <cell r="Y269">
            <v>0</v>
          </cell>
          <cell r="AD269">
            <v>0</v>
          </cell>
          <cell r="AG269">
            <v>0</v>
          </cell>
          <cell r="AH269">
            <v>0</v>
          </cell>
          <cell r="AI269">
            <v>0</v>
          </cell>
          <cell r="AJ269">
            <v>0</v>
          </cell>
          <cell r="AK269">
            <v>0</v>
          </cell>
          <cell r="AL269">
            <v>0</v>
          </cell>
          <cell r="AM269">
            <v>0</v>
          </cell>
          <cell r="AN269">
            <v>0</v>
          </cell>
          <cell r="AO269">
            <v>0</v>
          </cell>
          <cell r="AP269">
            <v>3</v>
          </cell>
          <cell r="AQ269">
            <v>0</v>
          </cell>
          <cell r="AR269">
            <v>0</v>
          </cell>
        </row>
        <row r="270">
          <cell r="U270">
            <v>0</v>
          </cell>
          <cell r="X270">
            <v>0</v>
          </cell>
          <cell r="Y270">
            <v>0</v>
          </cell>
          <cell r="AD270">
            <v>0</v>
          </cell>
          <cell r="AG270">
            <v>0</v>
          </cell>
          <cell r="AH270">
            <v>0</v>
          </cell>
          <cell r="AI270">
            <v>0</v>
          </cell>
          <cell r="AJ270">
            <v>0</v>
          </cell>
          <cell r="AK270">
            <v>0</v>
          </cell>
          <cell r="AL270">
            <v>0</v>
          </cell>
          <cell r="AM270">
            <v>0</v>
          </cell>
          <cell r="AN270">
            <v>0</v>
          </cell>
          <cell r="AO270">
            <v>0</v>
          </cell>
          <cell r="AP270">
            <v>6</v>
          </cell>
          <cell r="AQ270">
            <v>0</v>
          </cell>
          <cell r="AR270">
            <v>0</v>
          </cell>
        </row>
        <row r="271">
          <cell r="U271">
            <v>0</v>
          </cell>
          <cell r="X271">
            <v>0</v>
          </cell>
          <cell r="Y271">
            <v>0</v>
          </cell>
          <cell r="AD271">
            <v>0</v>
          </cell>
          <cell r="AG271">
            <v>0</v>
          </cell>
          <cell r="AH271">
            <v>0</v>
          </cell>
          <cell r="AI271">
            <v>0</v>
          </cell>
          <cell r="AJ271">
            <v>0</v>
          </cell>
          <cell r="AK271">
            <v>0</v>
          </cell>
          <cell r="AL271">
            <v>0</v>
          </cell>
          <cell r="AM271">
            <v>0</v>
          </cell>
          <cell r="AN271">
            <v>0</v>
          </cell>
          <cell r="AO271">
            <v>0</v>
          </cell>
          <cell r="AP271">
            <v>12</v>
          </cell>
          <cell r="AQ271">
            <v>0</v>
          </cell>
          <cell r="AR271">
            <v>0</v>
          </cell>
        </row>
        <row r="272">
          <cell r="U272">
            <v>-6032085</v>
          </cell>
          <cell r="X272">
            <v>-6032085</v>
          </cell>
          <cell r="Y272">
            <v>-156304</v>
          </cell>
          <cell r="AD272">
            <v>-6188389</v>
          </cell>
          <cell r="AG272">
            <v>2111229.75</v>
          </cell>
          <cell r="AH272">
            <v>0</v>
          </cell>
          <cell r="AI272">
            <v>0</v>
          </cell>
          <cell r="AJ272">
            <v>2111229.75</v>
          </cell>
          <cell r="AK272">
            <v>54706.399999999994</v>
          </cell>
          <cell r="AL272">
            <v>0</v>
          </cell>
          <cell r="AM272">
            <v>0</v>
          </cell>
          <cell r="AN272">
            <v>0</v>
          </cell>
          <cell r="AO272">
            <v>2165936.15</v>
          </cell>
        </row>
        <row r="273">
          <cell r="U273">
            <v>-323885</v>
          </cell>
          <cell r="X273">
            <v>-323885</v>
          </cell>
          <cell r="Y273">
            <v>0</v>
          </cell>
          <cell r="AD273">
            <v>-323885</v>
          </cell>
          <cell r="AG273">
            <v>113359.75</v>
          </cell>
          <cell r="AH273">
            <v>0</v>
          </cell>
          <cell r="AI273">
            <v>0</v>
          </cell>
          <cell r="AJ273">
            <v>113359.75</v>
          </cell>
          <cell r="AK273">
            <v>0</v>
          </cell>
          <cell r="AL273">
            <v>0</v>
          </cell>
          <cell r="AM273">
            <v>0</v>
          </cell>
          <cell r="AN273">
            <v>0</v>
          </cell>
          <cell r="AO273">
            <v>113359.75</v>
          </cell>
        </row>
        <row r="274">
          <cell r="U274">
            <v>-59004</v>
          </cell>
          <cell r="V274">
            <v>59004</v>
          </cell>
          <cell r="X274">
            <v>0</v>
          </cell>
          <cell r="Y274">
            <v>0</v>
          </cell>
          <cell r="AD274">
            <v>0</v>
          </cell>
          <cell r="AG274">
            <v>20651.400000000001</v>
          </cell>
          <cell r="AH274">
            <v>-20651.399999999998</v>
          </cell>
          <cell r="AI274">
            <v>0</v>
          </cell>
          <cell r="AJ274">
            <v>3.637978807091713E-12</v>
          </cell>
          <cell r="AK274">
            <v>0</v>
          </cell>
          <cell r="AL274">
            <v>0</v>
          </cell>
          <cell r="AM274">
            <v>0</v>
          </cell>
          <cell r="AN274">
            <v>0</v>
          </cell>
          <cell r="AO274">
            <v>3.637978807091713E-12</v>
          </cell>
        </row>
        <row r="275">
          <cell r="U275">
            <v>2.0000000018626451E-2</v>
          </cell>
          <cell r="X275">
            <v>2.0000000018626451E-2</v>
          </cell>
          <cell r="Y275">
            <v>0</v>
          </cell>
          <cell r="AD275">
            <v>2.0000000018626451E-2</v>
          </cell>
          <cell r="AG275">
            <v>-7.0000000065192575E-3</v>
          </cell>
          <cell r="AH275">
            <v>0</v>
          </cell>
          <cell r="AI275">
            <v>0</v>
          </cell>
          <cell r="AJ275">
            <v>-7.0000000065192575E-3</v>
          </cell>
          <cell r="AK275">
            <v>0</v>
          </cell>
          <cell r="AL275">
            <v>0</v>
          </cell>
          <cell r="AM275">
            <v>0</v>
          </cell>
          <cell r="AN275">
            <v>0</v>
          </cell>
          <cell r="AO275">
            <v>-7.0000000065192575E-3</v>
          </cell>
        </row>
        <row r="276">
          <cell r="U276">
            <v>0</v>
          </cell>
          <cell r="W276">
            <v>4966170</v>
          </cell>
          <cell r="X276">
            <v>4966170</v>
          </cell>
          <cell r="Y276">
            <v>0</v>
          </cell>
          <cell r="AD276">
            <v>4966170</v>
          </cell>
          <cell r="AG276">
            <v>0</v>
          </cell>
          <cell r="AH276">
            <v>0</v>
          </cell>
          <cell r="AI276">
            <v>-1738159.5</v>
          </cell>
          <cell r="AJ276">
            <v>-1738159.5</v>
          </cell>
          <cell r="AK276">
            <v>0</v>
          </cell>
          <cell r="AL276">
            <v>0</v>
          </cell>
          <cell r="AM276">
            <v>0</v>
          </cell>
          <cell r="AN276">
            <v>0</v>
          </cell>
          <cell r="AO276">
            <v>0</v>
          </cell>
        </row>
        <row r="277">
          <cell r="U277">
            <v>0</v>
          </cell>
          <cell r="Y277">
            <v>0</v>
          </cell>
          <cell r="AD277">
            <v>0</v>
          </cell>
          <cell r="AG277">
            <v>0</v>
          </cell>
          <cell r="AH277">
            <v>0</v>
          </cell>
          <cell r="AI277">
            <v>0</v>
          </cell>
          <cell r="AJ277">
            <v>0</v>
          </cell>
          <cell r="AK277">
            <v>0</v>
          </cell>
          <cell r="AL277">
            <v>0</v>
          </cell>
          <cell r="AM277">
            <v>0</v>
          </cell>
          <cell r="AN277">
            <v>0</v>
          </cell>
          <cell r="AO277">
            <v>0</v>
          </cell>
        </row>
        <row r="278">
          <cell r="U278">
            <v>0</v>
          </cell>
          <cell r="Y278">
            <v>0</v>
          </cell>
          <cell r="AD278">
            <v>0</v>
          </cell>
          <cell r="AG278">
            <v>0</v>
          </cell>
          <cell r="AH278">
            <v>0</v>
          </cell>
          <cell r="AI278">
            <v>0</v>
          </cell>
          <cell r="AJ278">
            <v>0</v>
          </cell>
          <cell r="AK278">
            <v>0</v>
          </cell>
          <cell r="AL278">
            <v>0</v>
          </cell>
          <cell r="AM278">
            <v>0</v>
          </cell>
          <cell r="AO278">
            <v>0</v>
          </cell>
        </row>
        <row r="279">
          <cell r="U279">
            <v>0</v>
          </cell>
          <cell r="Y279">
            <v>0</v>
          </cell>
          <cell r="AD279">
            <v>0</v>
          </cell>
          <cell r="AG279">
            <v>0</v>
          </cell>
          <cell r="AH279">
            <v>0</v>
          </cell>
          <cell r="AI279">
            <v>0</v>
          </cell>
          <cell r="AJ279">
            <v>0</v>
          </cell>
          <cell r="AK279">
            <v>0</v>
          </cell>
          <cell r="AL279">
            <v>0</v>
          </cell>
          <cell r="AM279">
            <v>0</v>
          </cell>
          <cell r="AO279">
            <v>0</v>
          </cell>
        </row>
        <row r="280">
          <cell r="AL280">
            <v>0</v>
          </cell>
          <cell r="AM280">
            <v>0</v>
          </cell>
        </row>
        <row r="281">
          <cell r="U281">
            <v>-783337.39999999991</v>
          </cell>
          <cell r="V281">
            <v>0</v>
          </cell>
          <cell r="W281">
            <v>4966170</v>
          </cell>
          <cell r="X281">
            <v>4182832.6</v>
          </cell>
          <cell r="Y281">
            <v>-217339</v>
          </cell>
          <cell r="Z281">
            <v>0</v>
          </cell>
          <cell r="AA281">
            <v>0</v>
          </cell>
          <cell r="AB281">
            <v>0</v>
          </cell>
          <cell r="AD281">
            <v>3965493.6</v>
          </cell>
          <cell r="AE281">
            <v>0</v>
          </cell>
          <cell r="AF281">
            <v>0</v>
          </cell>
          <cell r="AG281">
            <v>274168.0900000002</v>
          </cell>
          <cell r="AH281">
            <v>0</v>
          </cell>
          <cell r="AI281">
            <v>-1738159.5</v>
          </cell>
          <cell r="AJ281">
            <v>-1463991.41</v>
          </cell>
          <cell r="AK281">
            <v>76068.649999999936</v>
          </cell>
          <cell r="AL281">
            <v>0</v>
          </cell>
          <cell r="AM281">
            <v>0</v>
          </cell>
          <cell r="AN281">
            <v>0</v>
          </cell>
          <cell r="AO281">
            <v>350236.74</v>
          </cell>
          <cell r="AQ281">
            <v>-3075983.4000000004</v>
          </cell>
          <cell r="AR281">
            <v>1146924.247</v>
          </cell>
        </row>
        <row r="282">
          <cell r="AD282">
            <v>67016.841839999994</v>
          </cell>
          <cell r="AG282">
            <v>-274168.08999999997</v>
          </cell>
          <cell r="AK282">
            <v>0</v>
          </cell>
        </row>
        <row r="283">
          <cell r="AO283">
            <v>1387922.76</v>
          </cell>
        </row>
        <row r="288">
          <cell r="U288">
            <v>-783337.39999999991</v>
          </cell>
          <cell r="V288">
            <v>0</v>
          </cell>
          <cell r="W288">
            <v>4966170</v>
          </cell>
          <cell r="X288">
            <v>4182832.6</v>
          </cell>
          <cell r="Y288">
            <v>-217339</v>
          </cell>
          <cell r="Z288">
            <v>0</v>
          </cell>
          <cell r="AA288">
            <v>0</v>
          </cell>
          <cell r="AB288">
            <v>0</v>
          </cell>
          <cell r="AC288">
            <v>0</v>
          </cell>
          <cell r="AD288">
            <v>3965493.6</v>
          </cell>
          <cell r="AE288">
            <v>0</v>
          </cell>
          <cell r="AF288">
            <v>0</v>
          </cell>
          <cell r="AG288">
            <v>274168.0900000002</v>
          </cell>
          <cell r="AH288">
            <v>0</v>
          </cell>
          <cell r="AI288">
            <v>-1738159.5</v>
          </cell>
          <cell r="AJ288">
            <v>-1463991.41</v>
          </cell>
          <cell r="AK288">
            <v>76068.649999999936</v>
          </cell>
          <cell r="AL288">
            <v>0</v>
          </cell>
          <cell r="AM288">
            <v>0</v>
          </cell>
          <cell r="AN288">
            <v>0</v>
          </cell>
          <cell r="AO288">
            <v>1738159.5</v>
          </cell>
          <cell r="AP288">
            <v>0</v>
          </cell>
          <cell r="AQ288">
            <v>-3075983.4000000004</v>
          </cell>
          <cell r="AR288">
            <v>1146924.247</v>
          </cell>
        </row>
        <row r="297">
          <cell r="AQ297">
            <v>0</v>
          </cell>
          <cell r="AR297">
            <v>0</v>
          </cell>
        </row>
        <row r="302">
          <cell r="U302">
            <v>0</v>
          </cell>
          <cell r="V302">
            <v>0</v>
          </cell>
          <cell r="W302">
            <v>0</v>
          </cell>
          <cell r="X302">
            <v>0</v>
          </cell>
          <cell r="Y302">
            <v>0</v>
          </cell>
          <cell r="AB302">
            <v>0</v>
          </cell>
          <cell r="AD302">
            <v>0</v>
          </cell>
          <cell r="AE302">
            <v>0</v>
          </cell>
          <cell r="AF302">
            <v>0</v>
          </cell>
          <cell r="AG302">
            <v>0</v>
          </cell>
          <cell r="AK302">
            <v>0</v>
          </cell>
          <cell r="AL302">
            <v>0</v>
          </cell>
          <cell r="AM302">
            <v>0</v>
          </cell>
          <cell r="AN302">
            <v>0</v>
          </cell>
          <cell r="AO302">
            <v>0</v>
          </cell>
          <cell r="AQ302">
            <v>0</v>
          </cell>
          <cell r="AR302">
            <v>0</v>
          </cell>
        </row>
        <row r="305">
          <cell r="U305">
            <v>0</v>
          </cell>
          <cell r="V305">
            <v>0</v>
          </cell>
          <cell r="W305">
            <v>0</v>
          </cell>
          <cell r="X305">
            <v>0</v>
          </cell>
          <cell r="Y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18">
          <cell r="V318">
            <v>0</v>
          </cell>
          <cell r="W318">
            <v>0</v>
          </cell>
        </row>
        <row r="319">
          <cell r="AQ319">
            <v>0</v>
          </cell>
          <cell r="AR319">
            <v>0</v>
          </cell>
        </row>
        <row r="320">
          <cell r="X320">
            <v>0</v>
          </cell>
        </row>
        <row r="323">
          <cell r="U323">
            <v>-1599505</v>
          </cell>
          <cell r="X323">
            <v>-1599505</v>
          </cell>
          <cell r="Y323">
            <v>0</v>
          </cell>
          <cell r="AD323">
            <v>-1599505</v>
          </cell>
          <cell r="AG323">
            <v>559826.75</v>
          </cell>
          <cell r="AH323">
            <v>0</v>
          </cell>
          <cell r="AI323">
            <v>0</v>
          </cell>
          <cell r="AJ323">
            <v>559826.75</v>
          </cell>
          <cell r="AK323">
            <v>0</v>
          </cell>
          <cell r="AL323">
            <v>0</v>
          </cell>
          <cell r="AM323">
            <v>0</v>
          </cell>
          <cell r="AN323">
            <v>0</v>
          </cell>
          <cell r="AO323">
            <v>559826.75</v>
          </cell>
          <cell r="AQ323">
            <v>0</v>
          </cell>
          <cell r="AR323">
            <v>559826.75</v>
          </cell>
        </row>
        <row r="324">
          <cell r="U324">
            <v>0</v>
          </cell>
          <cell r="X324">
            <v>0</v>
          </cell>
          <cell r="Y324">
            <v>0</v>
          </cell>
          <cell r="AD324">
            <v>0</v>
          </cell>
          <cell r="AG324">
            <v>0</v>
          </cell>
          <cell r="AH324">
            <v>0</v>
          </cell>
          <cell r="AI324">
            <v>0</v>
          </cell>
          <cell r="AJ324">
            <v>0</v>
          </cell>
          <cell r="AK324">
            <v>0</v>
          </cell>
          <cell r="AL324">
            <v>0</v>
          </cell>
          <cell r="AM324">
            <v>0</v>
          </cell>
          <cell r="AN324">
            <v>0</v>
          </cell>
          <cell r="AO324">
            <v>0</v>
          </cell>
          <cell r="AQ324">
            <v>0</v>
          </cell>
          <cell r="AR324">
            <v>0</v>
          </cell>
        </row>
        <row r="325">
          <cell r="U325">
            <v>0</v>
          </cell>
          <cell r="X325">
            <v>0</v>
          </cell>
          <cell r="Y325">
            <v>0</v>
          </cell>
          <cell r="AD325">
            <v>0</v>
          </cell>
          <cell r="AG325">
            <v>0</v>
          </cell>
          <cell r="AH325">
            <v>0</v>
          </cell>
          <cell r="AI325">
            <v>0</v>
          </cell>
          <cell r="AJ325">
            <v>0</v>
          </cell>
          <cell r="AK325">
            <v>0</v>
          </cell>
          <cell r="AL325">
            <v>0</v>
          </cell>
          <cell r="AM325">
            <v>0</v>
          </cell>
          <cell r="AN325">
            <v>0</v>
          </cell>
          <cell r="AO325">
            <v>0</v>
          </cell>
          <cell r="AQ325">
            <v>0</v>
          </cell>
          <cell r="AR325">
            <v>0</v>
          </cell>
        </row>
        <row r="326">
          <cell r="U326">
            <v>695722</v>
          </cell>
          <cell r="X326">
            <v>695722</v>
          </cell>
          <cell r="Y326">
            <v>0</v>
          </cell>
          <cell r="AD326">
            <v>695722</v>
          </cell>
          <cell r="AG326">
            <v>-243502.7</v>
          </cell>
          <cell r="AH326">
            <v>0</v>
          </cell>
          <cell r="AI326">
            <v>0</v>
          </cell>
          <cell r="AJ326">
            <v>-243502.7</v>
          </cell>
          <cell r="AK326">
            <v>0</v>
          </cell>
          <cell r="AL326">
            <v>0</v>
          </cell>
          <cell r="AM326">
            <v>0</v>
          </cell>
          <cell r="AN326">
            <v>0</v>
          </cell>
          <cell r="AO326">
            <v>-243502.7</v>
          </cell>
          <cell r="AQ326">
            <v>0</v>
          </cell>
          <cell r="AR326">
            <v>-243502.7</v>
          </cell>
        </row>
        <row r="327">
          <cell r="U327">
            <v>0</v>
          </cell>
          <cell r="X327">
            <v>0</v>
          </cell>
          <cell r="Y327">
            <v>0</v>
          </cell>
          <cell r="AD327">
            <v>0</v>
          </cell>
          <cell r="AG327">
            <v>0</v>
          </cell>
          <cell r="AH327">
            <v>0</v>
          </cell>
          <cell r="AI327">
            <v>0</v>
          </cell>
          <cell r="AJ327">
            <v>0</v>
          </cell>
          <cell r="AK327">
            <v>0</v>
          </cell>
          <cell r="AL327">
            <v>0</v>
          </cell>
          <cell r="AM327">
            <v>0</v>
          </cell>
          <cell r="AN327">
            <v>0</v>
          </cell>
          <cell r="AO327">
            <v>0</v>
          </cell>
          <cell r="AQ327">
            <v>0</v>
          </cell>
          <cell r="AR327">
            <v>0</v>
          </cell>
        </row>
        <row r="328">
          <cell r="U328">
            <v>0</v>
          </cell>
          <cell r="X328">
            <v>0</v>
          </cell>
          <cell r="Y328">
            <v>0</v>
          </cell>
          <cell r="AD328">
            <v>0</v>
          </cell>
          <cell r="AG328">
            <v>0</v>
          </cell>
          <cell r="AH328">
            <v>0</v>
          </cell>
          <cell r="AI328">
            <v>0</v>
          </cell>
          <cell r="AJ328">
            <v>0</v>
          </cell>
          <cell r="AK328">
            <v>0</v>
          </cell>
          <cell r="AL328">
            <v>0</v>
          </cell>
          <cell r="AM328">
            <v>0</v>
          </cell>
          <cell r="AN328">
            <v>0</v>
          </cell>
          <cell r="AO328">
            <v>0</v>
          </cell>
          <cell r="AQ328">
            <v>0</v>
          </cell>
          <cell r="AR328">
            <v>0</v>
          </cell>
        </row>
        <row r="329">
          <cell r="U329">
            <v>0</v>
          </cell>
          <cell r="X329">
            <v>0</v>
          </cell>
          <cell r="Y329">
            <v>0</v>
          </cell>
          <cell r="AD329">
            <v>0</v>
          </cell>
          <cell r="AG329">
            <v>0</v>
          </cell>
          <cell r="AH329">
            <v>0</v>
          </cell>
          <cell r="AI329">
            <v>0</v>
          </cell>
          <cell r="AJ329">
            <v>0</v>
          </cell>
          <cell r="AK329">
            <v>0</v>
          </cell>
          <cell r="AL329">
            <v>0</v>
          </cell>
          <cell r="AM329">
            <v>0</v>
          </cell>
          <cell r="AN329">
            <v>0</v>
          </cell>
          <cell r="AO329">
            <v>0</v>
          </cell>
          <cell r="AQ329">
            <v>0</v>
          </cell>
          <cell r="AR329">
            <v>0</v>
          </cell>
        </row>
        <row r="330">
          <cell r="U330">
            <v>-237152</v>
          </cell>
          <cell r="X330">
            <v>-237152</v>
          </cell>
          <cell r="Y330">
            <v>0</v>
          </cell>
          <cell r="AD330">
            <v>-237152</v>
          </cell>
          <cell r="AG330">
            <v>83003.199999999997</v>
          </cell>
          <cell r="AH330">
            <v>0</v>
          </cell>
          <cell r="AI330">
            <v>0</v>
          </cell>
          <cell r="AJ330">
            <v>83003.199999999997</v>
          </cell>
          <cell r="AK330">
            <v>0</v>
          </cell>
          <cell r="AL330">
            <v>0</v>
          </cell>
          <cell r="AM330">
            <v>0</v>
          </cell>
          <cell r="AN330">
            <v>0</v>
          </cell>
          <cell r="AO330">
            <v>83003.199999999997</v>
          </cell>
          <cell r="AQ330">
            <v>0</v>
          </cell>
          <cell r="AR330">
            <v>83003.199999999997</v>
          </cell>
        </row>
        <row r="331">
          <cell r="U331">
            <v>0</v>
          </cell>
          <cell r="X331">
            <v>0</v>
          </cell>
          <cell r="Y331">
            <v>0</v>
          </cell>
          <cell r="AD331">
            <v>0</v>
          </cell>
          <cell r="AG331">
            <v>0</v>
          </cell>
          <cell r="AH331">
            <v>0</v>
          </cell>
          <cell r="AI331">
            <v>0</v>
          </cell>
          <cell r="AJ331">
            <v>0</v>
          </cell>
          <cell r="AK331">
            <v>0</v>
          </cell>
          <cell r="AL331">
            <v>0</v>
          </cell>
          <cell r="AM331">
            <v>0</v>
          </cell>
          <cell r="AN331">
            <v>0</v>
          </cell>
          <cell r="AO331">
            <v>0</v>
          </cell>
          <cell r="AQ331">
            <v>0</v>
          </cell>
          <cell r="AR331">
            <v>0</v>
          </cell>
        </row>
        <row r="332">
          <cell r="U332">
            <v>-373198</v>
          </cell>
          <cell r="X332">
            <v>-373198</v>
          </cell>
          <cell r="Y332">
            <v>0</v>
          </cell>
          <cell r="AD332">
            <v>-373198</v>
          </cell>
          <cell r="AG332">
            <v>130619.3</v>
          </cell>
          <cell r="AH332">
            <v>0</v>
          </cell>
          <cell r="AI332">
            <v>0</v>
          </cell>
          <cell r="AJ332">
            <v>130619.3</v>
          </cell>
          <cell r="AK332">
            <v>0</v>
          </cell>
          <cell r="AL332">
            <v>0</v>
          </cell>
          <cell r="AM332">
            <v>0</v>
          </cell>
          <cell r="AN332">
            <v>0</v>
          </cell>
          <cell r="AO332">
            <v>130619.3</v>
          </cell>
          <cell r="AQ332">
            <v>0</v>
          </cell>
          <cell r="AR332">
            <v>130619.3</v>
          </cell>
        </row>
        <row r="333">
          <cell r="U333">
            <v>0</v>
          </cell>
          <cell r="X333">
            <v>0</v>
          </cell>
          <cell r="Y333">
            <v>0</v>
          </cell>
          <cell r="AD333">
            <v>0</v>
          </cell>
          <cell r="AG333">
            <v>0</v>
          </cell>
          <cell r="AH333">
            <v>0</v>
          </cell>
          <cell r="AI333">
            <v>0</v>
          </cell>
          <cell r="AJ333">
            <v>0</v>
          </cell>
          <cell r="AK333">
            <v>0</v>
          </cell>
          <cell r="AL333">
            <v>0</v>
          </cell>
          <cell r="AM333">
            <v>0</v>
          </cell>
          <cell r="AN333">
            <v>0</v>
          </cell>
          <cell r="AO333">
            <v>0</v>
          </cell>
          <cell r="AQ333">
            <v>0</v>
          </cell>
          <cell r="AR333">
            <v>0</v>
          </cell>
        </row>
        <row r="334">
          <cell r="U334">
            <v>0</v>
          </cell>
          <cell r="X334">
            <v>0</v>
          </cell>
          <cell r="Y334">
            <v>0</v>
          </cell>
          <cell r="AD334">
            <v>0</v>
          </cell>
          <cell r="AG334">
            <v>0</v>
          </cell>
          <cell r="AH334">
            <v>0</v>
          </cell>
          <cell r="AI334">
            <v>0</v>
          </cell>
          <cell r="AJ334">
            <v>0</v>
          </cell>
          <cell r="AK334">
            <v>0</v>
          </cell>
          <cell r="AL334">
            <v>0</v>
          </cell>
          <cell r="AM334">
            <v>0</v>
          </cell>
          <cell r="AN334">
            <v>0</v>
          </cell>
          <cell r="AO334">
            <v>0</v>
          </cell>
          <cell r="AP334">
            <v>1</v>
          </cell>
          <cell r="AQ334">
            <v>0</v>
          </cell>
          <cell r="AR334">
            <v>0</v>
          </cell>
        </row>
        <row r="335">
          <cell r="U335">
            <v>-1335473</v>
          </cell>
          <cell r="X335">
            <v>-1335473</v>
          </cell>
          <cell r="Y335">
            <v>0</v>
          </cell>
          <cell r="AD335">
            <v>-1335473</v>
          </cell>
          <cell r="AG335">
            <v>467415.55</v>
          </cell>
          <cell r="AH335">
            <v>0</v>
          </cell>
          <cell r="AI335">
            <v>0</v>
          </cell>
          <cell r="AJ335">
            <v>467415.55</v>
          </cell>
          <cell r="AK335">
            <v>0</v>
          </cell>
          <cell r="AL335">
            <v>0</v>
          </cell>
          <cell r="AM335">
            <v>0</v>
          </cell>
          <cell r="AN335">
            <v>0</v>
          </cell>
          <cell r="AO335">
            <v>467415.55</v>
          </cell>
          <cell r="AQ335">
            <v>0</v>
          </cell>
          <cell r="AR335">
            <v>467415.55</v>
          </cell>
        </row>
        <row r="336">
          <cell r="U336">
            <v>-1756675</v>
          </cell>
          <cell r="X336">
            <v>-1756675</v>
          </cell>
          <cell r="Y336">
            <v>0</v>
          </cell>
          <cell r="AD336">
            <v>-1756675</v>
          </cell>
          <cell r="AG336">
            <v>614836.25</v>
          </cell>
          <cell r="AH336">
            <v>0</v>
          </cell>
          <cell r="AI336">
            <v>0</v>
          </cell>
          <cell r="AJ336">
            <v>614836.25</v>
          </cell>
          <cell r="AK336">
            <v>0</v>
          </cell>
          <cell r="AL336">
            <v>0</v>
          </cell>
          <cell r="AM336">
            <v>0</v>
          </cell>
          <cell r="AN336">
            <v>0</v>
          </cell>
          <cell r="AO336">
            <v>614836.25</v>
          </cell>
          <cell r="AQ336">
            <v>0</v>
          </cell>
          <cell r="AR336">
            <v>614836.25</v>
          </cell>
        </row>
        <row r="337">
          <cell r="U337">
            <v>0</v>
          </cell>
          <cell r="X337">
            <v>0</v>
          </cell>
          <cell r="Y337">
            <v>0</v>
          </cell>
          <cell r="AD337">
            <v>0</v>
          </cell>
          <cell r="AG337">
            <v>0</v>
          </cell>
          <cell r="AH337">
            <v>0</v>
          </cell>
          <cell r="AI337">
            <v>0</v>
          </cell>
          <cell r="AJ337">
            <v>0</v>
          </cell>
          <cell r="AK337">
            <v>0</v>
          </cell>
          <cell r="AL337">
            <v>0</v>
          </cell>
          <cell r="AM337">
            <v>0</v>
          </cell>
          <cell r="AN337">
            <v>0</v>
          </cell>
          <cell r="AO337">
            <v>0</v>
          </cell>
        </row>
        <row r="338">
          <cell r="U338">
            <v>0</v>
          </cell>
          <cell r="X338">
            <v>0</v>
          </cell>
          <cell r="Y338">
            <v>0</v>
          </cell>
          <cell r="AD338">
            <v>0</v>
          </cell>
          <cell r="AG338">
            <v>0</v>
          </cell>
          <cell r="AH338">
            <v>0</v>
          </cell>
          <cell r="AI338">
            <v>0</v>
          </cell>
          <cell r="AJ338">
            <v>0</v>
          </cell>
          <cell r="AK338">
            <v>0</v>
          </cell>
          <cell r="AL338">
            <v>0</v>
          </cell>
          <cell r="AM338">
            <v>0</v>
          </cell>
          <cell r="AN338">
            <v>0</v>
          </cell>
          <cell r="AO338">
            <v>0</v>
          </cell>
        </row>
        <row r="339">
          <cell r="U339">
            <v>0</v>
          </cell>
          <cell r="X339">
            <v>0</v>
          </cell>
          <cell r="Y339">
            <v>0</v>
          </cell>
          <cell r="AD339">
            <v>0</v>
          </cell>
          <cell r="AG339">
            <v>0</v>
          </cell>
          <cell r="AH339">
            <v>0</v>
          </cell>
          <cell r="AI339">
            <v>0</v>
          </cell>
          <cell r="AJ339">
            <v>0</v>
          </cell>
          <cell r="AK339">
            <v>0</v>
          </cell>
          <cell r="AL339">
            <v>0</v>
          </cell>
          <cell r="AM339">
            <v>0</v>
          </cell>
          <cell r="AN339">
            <v>0</v>
          </cell>
          <cell r="AO339">
            <v>0</v>
          </cell>
        </row>
        <row r="340">
          <cell r="U340">
            <v>0</v>
          </cell>
          <cell r="X340">
            <v>0</v>
          </cell>
          <cell r="Y340">
            <v>0</v>
          </cell>
          <cell r="AD340">
            <v>0</v>
          </cell>
          <cell r="AG340">
            <v>0</v>
          </cell>
          <cell r="AH340">
            <v>0</v>
          </cell>
          <cell r="AI340">
            <v>0</v>
          </cell>
          <cell r="AJ340">
            <v>0</v>
          </cell>
          <cell r="AK340">
            <v>0</v>
          </cell>
          <cell r="AL340">
            <v>0</v>
          </cell>
          <cell r="AM340">
            <v>0</v>
          </cell>
          <cell r="AN340">
            <v>0</v>
          </cell>
          <cell r="AO340">
            <v>0</v>
          </cell>
        </row>
        <row r="341">
          <cell r="U341">
            <v>0</v>
          </cell>
          <cell r="X341">
            <v>0</v>
          </cell>
          <cell r="Y341">
            <v>0</v>
          </cell>
          <cell r="AD341">
            <v>0</v>
          </cell>
          <cell r="AG341">
            <v>0</v>
          </cell>
          <cell r="AJ341">
            <v>0</v>
          </cell>
          <cell r="AK341">
            <v>0</v>
          </cell>
          <cell r="AL341">
            <v>0</v>
          </cell>
          <cell r="AM341">
            <v>0</v>
          </cell>
          <cell r="AN341">
            <v>0</v>
          </cell>
          <cell r="AO341">
            <v>0</v>
          </cell>
          <cell r="AQ341">
            <v>0</v>
          </cell>
          <cell r="AR341">
            <v>0</v>
          </cell>
        </row>
        <row r="342">
          <cell r="AL342">
            <v>0</v>
          </cell>
          <cell r="AM342">
            <v>0</v>
          </cell>
        </row>
        <row r="343">
          <cell r="U343">
            <v>-4606281</v>
          </cell>
          <cell r="V343">
            <v>0</v>
          </cell>
          <cell r="W343">
            <v>0</v>
          </cell>
          <cell r="X343">
            <v>-4606281</v>
          </cell>
          <cell r="Y343">
            <v>0</v>
          </cell>
          <cell r="Z343">
            <v>0</v>
          </cell>
          <cell r="AA343">
            <v>0</v>
          </cell>
          <cell r="AB343">
            <v>0</v>
          </cell>
          <cell r="AD343">
            <v>-4606281</v>
          </cell>
          <cell r="AE343">
            <v>0</v>
          </cell>
          <cell r="AF343">
            <v>0</v>
          </cell>
          <cell r="AG343">
            <v>1612198.35</v>
          </cell>
          <cell r="AH343">
            <v>0</v>
          </cell>
          <cell r="AI343">
            <v>0</v>
          </cell>
          <cell r="AJ343">
            <v>1612198.35</v>
          </cell>
          <cell r="AK343">
            <v>0</v>
          </cell>
          <cell r="AL343">
            <v>0</v>
          </cell>
          <cell r="AM343">
            <v>0</v>
          </cell>
          <cell r="AN343">
            <v>0</v>
          </cell>
          <cell r="AO343">
            <v>1612198.35</v>
          </cell>
          <cell r="AQ343">
            <v>0</v>
          </cell>
          <cell r="AR343">
            <v>1612198.35</v>
          </cell>
        </row>
        <row r="344">
          <cell r="AG344">
            <v>-1612198.3499999999</v>
          </cell>
          <cell r="AO344">
            <v>-1612198.3499999999</v>
          </cell>
        </row>
        <row r="345">
          <cell r="X345">
            <v>0</v>
          </cell>
          <cell r="AD345">
            <v>0</v>
          </cell>
          <cell r="AN345">
            <v>0</v>
          </cell>
          <cell r="AO345">
            <v>0</v>
          </cell>
          <cell r="AQ345">
            <v>0</v>
          </cell>
          <cell r="AR345">
            <v>0</v>
          </cell>
        </row>
        <row r="346">
          <cell r="X346">
            <v>0</v>
          </cell>
          <cell r="AD346">
            <v>0</v>
          </cell>
          <cell r="AN346">
            <v>0</v>
          </cell>
          <cell r="AO346">
            <v>0</v>
          </cell>
          <cell r="AQ346">
            <v>0</v>
          </cell>
          <cell r="AR346">
            <v>0</v>
          </cell>
        </row>
        <row r="347">
          <cell r="X347">
            <v>0</v>
          </cell>
          <cell r="AD347">
            <v>0</v>
          </cell>
          <cell r="AN347">
            <v>0</v>
          </cell>
          <cell r="AO347">
            <v>0</v>
          </cell>
          <cell r="AQ347">
            <v>0</v>
          </cell>
          <cell r="AR347">
            <v>0</v>
          </cell>
        </row>
        <row r="348">
          <cell r="X348">
            <v>0</v>
          </cell>
          <cell r="AD348">
            <v>0</v>
          </cell>
          <cell r="AO348">
            <v>0</v>
          </cell>
          <cell r="AQ348">
            <v>0</v>
          </cell>
          <cell r="AR348">
            <v>0</v>
          </cell>
        </row>
        <row r="349">
          <cell r="U349">
            <v>0</v>
          </cell>
          <cell r="Y349">
            <v>0</v>
          </cell>
          <cell r="Z349">
            <v>0</v>
          </cell>
          <cell r="AA349">
            <v>0</v>
          </cell>
          <cell r="AB349">
            <v>0</v>
          </cell>
          <cell r="AD349">
            <v>0</v>
          </cell>
          <cell r="AE349">
            <v>0</v>
          </cell>
          <cell r="AF349">
            <v>0</v>
          </cell>
          <cell r="AK349">
            <v>0</v>
          </cell>
          <cell r="AL349">
            <v>0</v>
          </cell>
          <cell r="AM349">
            <v>0</v>
          </cell>
          <cell r="AN349">
            <v>0</v>
          </cell>
          <cell r="AO349">
            <v>0</v>
          </cell>
          <cell r="AQ349">
            <v>0</v>
          </cell>
          <cell r="AR349">
            <v>0</v>
          </cell>
        </row>
        <row r="350">
          <cell r="U350">
            <v>-4606281</v>
          </cell>
          <cell r="V350">
            <v>0</v>
          </cell>
          <cell r="W350">
            <v>0</v>
          </cell>
          <cell r="X350">
            <v>-4606281</v>
          </cell>
          <cell r="Y350">
            <v>0</v>
          </cell>
          <cell r="Z350">
            <v>0</v>
          </cell>
          <cell r="AA350">
            <v>0</v>
          </cell>
          <cell r="AB350">
            <v>0</v>
          </cell>
          <cell r="AD350">
            <v>-4606281</v>
          </cell>
          <cell r="AE350">
            <v>0</v>
          </cell>
          <cell r="AF350">
            <v>0</v>
          </cell>
          <cell r="AG350">
            <v>1612198.35</v>
          </cell>
          <cell r="AH350">
            <v>0</v>
          </cell>
          <cell r="AI350">
            <v>0</v>
          </cell>
          <cell r="AJ350">
            <v>1612198.35</v>
          </cell>
          <cell r="AK350">
            <v>0</v>
          </cell>
          <cell r="AL350">
            <v>0</v>
          </cell>
          <cell r="AM350">
            <v>0</v>
          </cell>
          <cell r="AN350">
            <v>0</v>
          </cell>
          <cell r="AO350">
            <v>1612198.35</v>
          </cell>
          <cell r="AQ350">
            <v>0</v>
          </cell>
          <cell r="AR350">
            <v>1612198.35</v>
          </cell>
        </row>
        <row r="352">
          <cell r="AO352">
            <v>-1612198.3499999999</v>
          </cell>
        </row>
        <row r="356">
          <cell r="U356">
            <v>-4606281</v>
          </cell>
          <cell r="V356">
            <v>0</v>
          </cell>
          <cell r="W356">
            <v>0</v>
          </cell>
          <cell r="X356">
            <v>-4606281</v>
          </cell>
          <cell r="Y356">
            <v>0</v>
          </cell>
          <cell r="Z356">
            <v>0</v>
          </cell>
          <cell r="AA356">
            <v>0</v>
          </cell>
          <cell r="AB356">
            <v>0</v>
          </cell>
          <cell r="AC356">
            <v>0</v>
          </cell>
          <cell r="AD356">
            <v>-4606281</v>
          </cell>
          <cell r="AE356">
            <v>0</v>
          </cell>
          <cell r="AF356">
            <v>0</v>
          </cell>
          <cell r="AG356">
            <v>1612198.35</v>
          </cell>
          <cell r="AH356">
            <v>0</v>
          </cell>
          <cell r="AI356">
            <v>0</v>
          </cell>
          <cell r="AJ356">
            <v>1612198.35</v>
          </cell>
          <cell r="AK356">
            <v>0</v>
          </cell>
          <cell r="AL356">
            <v>0</v>
          </cell>
          <cell r="AM356">
            <v>0</v>
          </cell>
          <cell r="AN356">
            <v>0</v>
          </cell>
          <cell r="AO356">
            <v>2.3283064365386963E-10</v>
          </cell>
          <cell r="AP356">
            <v>0</v>
          </cell>
          <cell r="AQ356">
            <v>0</v>
          </cell>
          <cell r="AR356">
            <v>1612198.35</v>
          </cell>
        </row>
        <row r="376">
          <cell r="V376">
            <v>0</v>
          </cell>
          <cell r="W376">
            <v>0</v>
          </cell>
        </row>
        <row r="377">
          <cell r="AQ377">
            <v>0</v>
          </cell>
          <cell r="AR377">
            <v>0</v>
          </cell>
        </row>
        <row r="378">
          <cell r="X378">
            <v>0</v>
          </cell>
        </row>
        <row r="379">
          <cell r="X379">
            <v>0</v>
          </cell>
        </row>
        <row r="380">
          <cell r="U380">
            <v>0</v>
          </cell>
          <cell r="X380">
            <v>0</v>
          </cell>
          <cell r="Y380">
            <v>0</v>
          </cell>
          <cell r="AD380">
            <v>0</v>
          </cell>
          <cell r="AG380">
            <v>0</v>
          </cell>
          <cell r="AH380">
            <v>0</v>
          </cell>
          <cell r="AI380">
            <v>0</v>
          </cell>
          <cell r="AJ380">
            <v>0</v>
          </cell>
          <cell r="AK380">
            <v>0</v>
          </cell>
          <cell r="AL380">
            <v>0</v>
          </cell>
          <cell r="AM380">
            <v>0</v>
          </cell>
          <cell r="AN380">
            <v>0</v>
          </cell>
          <cell r="AO380">
            <v>0</v>
          </cell>
          <cell r="AP380">
            <v>1</v>
          </cell>
          <cell r="AQ380">
            <v>0</v>
          </cell>
          <cell r="AR380">
            <v>0</v>
          </cell>
        </row>
        <row r="381">
          <cell r="U381">
            <v>-577677</v>
          </cell>
          <cell r="W381">
            <v>577677</v>
          </cell>
          <cell r="X381">
            <v>0</v>
          </cell>
          <cell r="Y381">
            <v>0</v>
          </cell>
          <cell r="AD381">
            <v>0</v>
          </cell>
          <cell r="AG381">
            <v>202186.95</v>
          </cell>
          <cell r="AH381">
            <v>0</v>
          </cell>
          <cell r="AI381">
            <v>-202186.94999999998</v>
          </cell>
          <cell r="AJ381">
            <v>0</v>
          </cell>
          <cell r="AK381">
            <v>0</v>
          </cell>
          <cell r="AL381">
            <v>0</v>
          </cell>
          <cell r="AM381">
            <v>0</v>
          </cell>
          <cell r="AN381">
            <v>0</v>
          </cell>
          <cell r="AO381">
            <v>0</v>
          </cell>
          <cell r="AQ381">
            <v>0</v>
          </cell>
          <cell r="AR381">
            <v>0</v>
          </cell>
        </row>
        <row r="382">
          <cell r="U382">
            <v>-200000</v>
          </cell>
          <cell r="W382">
            <v>889249</v>
          </cell>
          <cell r="X382">
            <v>689249</v>
          </cell>
          <cell r="Y382">
            <v>-689249</v>
          </cell>
          <cell r="AD382">
            <v>0</v>
          </cell>
          <cell r="AG382">
            <v>70000</v>
          </cell>
          <cell r="AH382">
            <v>0</v>
          </cell>
          <cell r="AI382">
            <v>-311237.14999999997</v>
          </cell>
          <cell r="AJ382">
            <v>-241237.14999999997</v>
          </cell>
          <cell r="AK382">
            <v>241237.15</v>
          </cell>
          <cell r="AL382">
            <v>0</v>
          </cell>
          <cell r="AM382">
            <v>0</v>
          </cell>
          <cell r="AN382">
            <v>0</v>
          </cell>
          <cell r="AO382">
            <v>2.9103830456733704E-11</v>
          </cell>
        </row>
        <row r="383">
          <cell r="U383">
            <v>0</v>
          </cell>
          <cell r="W383">
            <v>-1466926</v>
          </cell>
          <cell r="X383">
            <v>-1466926</v>
          </cell>
          <cell r="Y383">
            <v>277749</v>
          </cell>
          <cell r="AD383">
            <v>-1189177</v>
          </cell>
          <cell r="AG383">
            <v>0</v>
          </cell>
          <cell r="AH383">
            <v>0</v>
          </cell>
          <cell r="AI383">
            <v>513424.1</v>
          </cell>
          <cell r="AJ383">
            <v>513424.1</v>
          </cell>
          <cell r="AK383">
            <v>-97212.15</v>
          </cell>
          <cell r="AL383">
            <v>0</v>
          </cell>
          <cell r="AM383">
            <v>0</v>
          </cell>
          <cell r="AN383">
            <v>0</v>
          </cell>
          <cell r="AO383">
            <v>416211.94999999995</v>
          </cell>
        </row>
        <row r="384">
          <cell r="U384">
            <v>0</v>
          </cell>
          <cell r="X384">
            <v>0</v>
          </cell>
          <cell r="Y384">
            <v>-89485</v>
          </cell>
          <cell r="AD384">
            <v>-89485</v>
          </cell>
          <cell r="AG384">
            <v>0</v>
          </cell>
          <cell r="AH384">
            <v>0</v>
          </cell>
          <cell r="AI384">
            <v>0</v>
          </cell>
          <cell r="AJ384">
            <v>0</v>
          </cell>
          <cell r="AK384">
            <v>31319.749999999996</v>
          </cell>
          <cell r="AL384">
            <v>0</v>
          </cell>
          <cell r="AM384">
            <v>0</v>
          </cell>
          <cell r="AN384">
            <v>0</v>
          </cell>
          <cell r="AO384">
            <v>31319.749999999996</v>
          </cell>
          <cell r="AQ384">
            <v>0</v>
          </cell>
          <cell r="AR384">
            <v>31319.749999999996</v>
          </cell>
        </row>
        <row r="385">
          <cell r="U385">
            <v>-146251</v>
          </cell>
          <cell r="X385">
            <v>-146251</v>
          </cell>
          <cell r="Y385">
            <v>0</v>
          </cell>
          <cell r="AD385">
            <v>-146251</v>
          </cell>
          <cell r="AG385">
            <v>51187.85</v>
          </cell>
          <cell r="AH385">
            <v>0</v>
          </cell>
          <cell r="AI385">
            <v>0</v>
          </cell>
          <cell r="AJ385">
            <v>51187.85</v>
          </cell>
          <cell r="AK385">
            <v>0</v>
          </cell>
          <cell r="AL385">
            <v>0</v>
          </cell>
          <cell r="AM385">
            <v>0</v>
          </cell>
          <cell r="AO385">
            <v>51187.85</v>
          </cell>
        </row>
        <row r="386">
          <cell r="U386">
            <v>95616</v>
          </cell>
          <cell r="X386">
            <v>95616</v>
          </cell>
          <cell r="Y386">
            <v>1</v>
          </cell>
          <cell r="AD386">
            <v>95617</v>
          </cell>
          <cell r="AG386">
            <v>-33465.599999999999</v>
          </cell>
          <cell r="AH386">
            <v>0</v>
          </cell>
          <cell r="AI386">
            <v>0</v>
          </cell>
          <cell r="AJ386">
            <v>-33465.599999999999</v>
          </cell>
          <cell r="AK386">
            <v>-0.35</v>
          </cell>
          <cell r="AL386">
            <v>0</v>
          </cell>
          <cell r="AM386">
            <v>0</v>
          </cell>
          <cell r="AO386">
            <v>-33465.949999999997</v>
          </cell>
        </row>
        <row r="387">
          <cell r="U387">
            <v>-539000</v>
          </cell>
          <cell r="X387">
            <v>-539000</v>
          </cell>
          <cell r="Y387">
            <v>-576000</v>
          </cell>
          <cell r="AD387">
            <v>-1115000</v>
          </cell>
          <cell r="AG387">
            <v>188650</v>
          </cell>
          <cell r="AH387">
            <v>0</v>
          </cell>
          <cell r="AI387">
            <v>0</v>
          </cell>
          <cell r="AJ387">
            <v>188650</v>
          </cell>
          <cell r="AK387">
            <v>201600</v>
          </cell>
          <cell r="AL387">
            <v>0</v>
          </cell>
          <cell r="AM387">
            <v>0</v>
          </cell>
          <cell r="AO387">
            <v>390250</v>
          </cell>
        </row>
        <row r="388">
          <cell r="U388">
            <v>-76000</v>
          </cell>
          <cell r="X388">
            <v>-76000</v>
          </cell>
          <cell r="Y388">
            <v>0</v>
          </cell>
          <cell r="AD388">
            <v>-76000</v>
          </cell>
          <cell r="AG388">
            <v>26600</v>
          </cell>
          <cell r="AH388">
            <v>0</v>
          </cell>
          <cell r="AI388">
            <v>0</v>
          </cell>
          <cell r="AJ388">
            <v>26600</v>
          </cell>
          <cell r="AK388">
            <v>0</v>
          </cell>
          <cell r="AL388">
            <v>0</v>
          </cell>
          <cell r="AM388">
            <v>0</v>
          </cell>
          <cell r="AO388">
            <v>26600</v>
          </cell>
        </row>
        <row r="389">
          <cell r="U389">
            <v>-1846359</v>
          </cell>
          <cell r="X389">
            <v>-1846359</v>
          </cell>
          <cell r="Y389">
            <v>0</v>
          </cell>
          <cell r="AD389">
            <v>-1846359</v>
          </cell>
          <cell r="AG389">
            <v>646225.65</v>
          </cell>
          <cell r="AH389">
            <v>0</v>
          </cell>
          <cell r="AI389">
            <v>0</v>
          </cell>
          <cell r="AJ389">
            <v>646225.65</v>
          </cell>
          <cell r="AK389">
            <v>0</v>
          </cell>
          <cell r="AL389">
            <v>0</v>
          </cell>
          <cell r="AM389">
            <v>0</v>
          </cell>
          <cell r="AN389">
            <v>0</v>
          </cell>
          <cell r="AO389">
            <v>646225.65</v>
          </cell>
        </row>
        <row r="390">
          <cell r="U390">
            <v>-1783948</v>
          </cell>
          <cell r="X390">
            <v>-1783948</v>
          </cell>
          <cell r="Y390">
            <v>22819</v>
          </cell>
          <cell r="AD390">
            <v>-1761129</v>
          </cell>
          <cell r="AG390">
            <v>624381.80000000005</v>
          </cell>
          <cell r="AH390">
            <v>0</v>
          </cell>
          <cell r="AI390">
            <v>0</v>
          </cell>
          <cell r="AJ390">
            <v>624381.80000000005</v>
          </cell>
          <cell r="AK390">
            <v>-7986.65</v>
          </cell>
          <cell r="AL390">
            <v>0</v>
          </cell>
          <cell r="AM390">
            <v>0</v>
          </cell>
          <cell r="AN390">
            <v>0</v>
          </cell>
          <cell r="AO390">
            <v>616395.15</v>
          </cell>
        </row>
        <row r="391">
          <cell r="U391">
            <v>3464924</v>
          </cell>
          <cell r="V391">
            <v>-322000</v>
          </cell>
          <cell r="X391">
            <v>3142924</v>
          </cell>
          <cell r="Y391">
            <v>-793571</v>
          </cell>
          <cell r="AD391">
            <v>2349353</v>
          </cell>
          <cell r="AG391">
            <v>-1212723.3999999999</v>
          </cell>
          <cell r="AH391">
            <v>112700</v>
          </cell>
          <cell r="AI391">
            <v>0</v>
          </cell>
          <cell r="AJ391">
            <v>-1100023.3999999999</v>
          </cell>
          <cell r="AK391">
            <v>277749.84999999998</v>
          </cell>
          <cell r="AL391">
            <v>0</v>
          </cell>
          <cell r="AM391">
            <v>0</v>
          </cell>
          <cell r="AN391">
            <v>0</v>
          </cell>
          <cell r="AO391">
            <v>-822273.54999999993</v>
          </cell>
        </row>
        <row r="392">
          <cell r="U392">
            <v>0</v>
          </cell>
          <cell r="X392">
            <v>0</v>
          </cell>
          <cell r="Y392">
            <v>-61000</v>
          </cell>
          <cell r="AD392">
            <v>-61000</v>
          </cell>
          <cell r="AG392">
            <v>0</v>
          </cell>
          <cell r="AH392">
            <v>0</v>
          </cell>
          <cell r="AI392">
            <v>0</v>
          </cell>
          <cell r="AJ392">
            <v>0</v>
          </cell>
          <cell r="AK392">
            <v>21350</v>
          </cell>
          <cell r="AL392">
            <v>0</v>
          </cell>
          <cell r="AM392">
            <v>0</v>
          </cell>
          <cell r="AN392">
            <v>0</v>
          </cell>
          <cell r="AO392">
            <v>21350</v>
          </cell>
        </row>
        <row r="393">
          <cell r="U393">
            <v>-379000</v>
          </cell>
          <cell r="X393">
            <v>-379000</v>
          </cell>
          <cell r="Y393">
            <v>0</v>
          </cell>
          <cell r="AD393">
            <v>-379000</v>
          </cell>
          <cell r="AG393">
            <v>132650</v>
          </cell>
          <cell r="AH393">
            <v>0</v>
          </cell>
          <cell r="AI393">
            <v>0</v>
          </cell>
          <cell r="AJ393">
            <v>132650</v>
          </cell>
          <cell r="AK393">
            <v>0</v>
          </cell>
          <cell r="AL393">
            <v>0</v>
          </cell>
          <cell r="AM393">
            <v>0</v>
          </cell>
          <cell r="AN393">
            <v>0</v>
          </cell>
          <cell r="AO393">
            <v>132650</v>
          </cell>
        </row>
        <row r="394">
          <cell r="U394">
            <v>-3941376.62</v>
          </cell>
          <cell r="V394">
            <v>322000</v>
          </cell>
          <cell r="X394">
            <v>-3619376.62</v>
          </cell>
          <cell r="Y394">
            <v>-45195</v>
          </cell>
          <cell r="AD394">
            <v>-3664571.62</v>
          </cell>
          <cell r="AG394">
            <v>1379481.817</v>
          </cell>
          <cell r="AH394">
            <v>-112700</v>
          </cell>
          <cell r="AI394">
            <v>0</v>
          </cell>
          <cell r="AJ394">
            <v>1266781.817</v>
          </cell>
          <cell r="AK394">
            <v>15818.249999999998</v>
          </cell>
          <cell r="AL394">
            <v>0</v>
          </cell>
          <cell r="AM394">
            <v>0</v>
          </cell>
          <cell r="AN394">
            <v>0</v>
          </cell>
          <cell r="AO394">
            <v>1282600.067</v>
          </cell>
        </row>
        <row r="395">
          <cell r="U395">
            <v>143805</v>
          </cell>
          <cell r="X395">
            <v>143805</v>
          </cell>
          <cell r="Y395">
            <v>-143805</v>
          </cell>
          <cell r="AD395">
            <v>0</v>
          </cell>
          <cell r="AG395">
            <v>-50331.75</v>
          </cell>
          <cell r="AH395">
            <v>0</v>
          </cell>
          <cell r="AI395">
            <v>0</v>
          </cell>
          <cell r="AJ395">
            <v>-50331.75</v>
          </cell>
          <cell r="AK395">
            <v>50331.75</v>
          </cell>
          <cell r="AL395">
            <v>0</v>
          </cell>
          <cell r="AM395">
            <v>0</v>
          </cell>
          <cell r="AN395">
            <v>0</v>
          </cell>
          <cell r="AO395">
            <v>0</v>
          </cell>
        </row>
        <row r="396">
          <cell r="U396">
            <v>-1361669</v>
          </cell>
          <cell r="X396">
            <v>-1361669</v>
          </cell>
          <cell r="Y396">
            <v>98500</v>
          </cell>
          <cell r="AD396">
            <v>-1263169</v>
          </cell>
          <cell r="AG396">
            <v>476584.15</v>
          </cell>
          <cell r="AH396">
            <v>0</v>
          </cell>
          <cell r="AI396">
            <v>0</v>
          </cell>
          <cell r="AJ396">
            <v>476584.15</v>
          </cell>
          <cell r="AK396">
            <v>-34475</v>
          </cell>
          <cell r="AL396">
            <v>0</v>
          </cell>
          <cell r="AM396">
            <v>0</v>
          </cell>
          <cell r="AN396">
            <v>0</v>
          </cell>
          <cell r="AO396">
            <v>442109.15</v>
          </cell>
          <cell r="AQ396">
            <v>0</v>
          </cell>
          <cell r="AR396">
            <v>442109.15</v>
          </cell>
        </row>
        <row r="397">
          <cell r="U397">
            <v>-28437</v>
          </cell>
          <cell r="X397">
            <v>-28437</v>
          </cell>
          <cell r="Y397">
            <v>0</v>
          </cell>
          <cell r="AD397">
            <v>-28437</v>
          </cell>
          <cell r="AG397">
            <v>9952.9500000000007</v>
          </cell>
          <cell r="AH397">
            <v>0</v>
          </cell>
          <cell r="AI397">
            <v>0</v>
          </cell>
          <cell r="AJ397">
            <v>9952.9500000000007</v>
          </cell>
          <cell r="AK397">
            <v>0</v>
          </cell>
          <cell r="AL397">
            <v>0</v>
          </cell>
          <cell r="AM397">
            <v>0</v>
          </cell>
          <cell r="AN397">
            <v>0</v>
          </cell>
          <cell r="AO397">
            <v>9952.9500000000007</v>
          </cell>
        </row>
        <row r="398">
          <cell r="U398">
            <v>-4448503</v>
          </cell>
          <cell r="X398">
            <v>-4448503</v>
          </cell>
          <cell r="Y398">
            <v>0</v>
          </cell>
          <cell r="AD398">
            <v>-4448503</v>
          </cell>
          <cell r="AG398">
            <v>1556976.05</v>
          </cell>
          <cell r="AH398">
            <v>0</v>
          </cell>
          <cell r="AI398">
            <v>0</v>
          </cell>
          <cell r="AJ398">
            <v>1556976.05</v>
          </cell>
          <cell r="AK398">
            <v>0</v>
          </cell>
          <cell r="AL398">
            <v>0</v>
          </cell>
          <cell r="AM398">
            <v>0</v>
          </cell>
          <cell r="AN398">
            <v>0</v>
          </cell>
          <cell r="AO398">
            <v>1556976.05</v>
          </cell>
        </row>
        <row r="399">
          <cell r="U399">
            <v>0</v>
          </cell>
          <cell r="X399">
            <v>0</v>
          </cell>
          <cell r="Y399">
            <v>-727253</v>
          </cell>
          <cell r="AD399">
            <v>-727253</v>
          </cell>
          <cell r="AG399">
            <v>0</v>
          </cell>
          <cell r="AH399">
            <v>0</v>
          </cell>
          <cell r="AI399">
            <v>0</v>
          </cell>
          <cell r="AJ399">
            <v>0</v>
          </cell>
          <cell r="AK399">
            <v>254538.55</v>
          </cell>
          <cell r="AL399">
            <v>0</v>
          </cell>
          <cell r="AM399">
            <v>0</v>
          </cell>
          <cell r="AN399">
            <v>0</v>
          </cell>
          <cell r="AO399">
            <v>254538.55</v>
          </cell>
        </row>
        <row r="400">
          <cell r="U400">
            <v>0</v>
          </cell>
          <cell r="Y400">
            <v>0</v>
          </cell>
          <cell r="AD400">
            <v>0</v>
          </cell>
          <cell r="AG400">
            <v>0</v>
          </cell>
          <cell r="AJ400">
            <v>0</v>
          </cell>
          <cell r="AK400">
            <v>0</v>
          </cell>
          <cell r="AN400">
            <v>0</v>
          </cell>
          <cell r="AO400">
            <v>0</v>
          </cell>
        </row>
        <row r="401">
          <cell r="U401">
            <v>0</v>
          </cell>
          <cell r="Y401">
            <v>0</v>
          </cell>
          <cell r="AD401">
            <v>0</v>
          </cell>
          <cell r="AG401">
            <v>0</v>
          </cell>
          <cell r="AJ401">
            <v>0</v>
          </cell>
          <cell r="AK401">
            <v>0</v>
          </cell>
          <cell r="AN401">
            <v>0</v>
          </cell>
          <cell r="AO401">
            <v>0</v>
          </cell>
        </row>
        <row r="402">
          <cell r="U402">
            <v>0</v>
          </cell>
          <cell r="Y402">
            <v>0</v>
          </cell>
          <cell r="AD402">
            <v>0</v>
          </cell>
          <cell r="AG402">
            <v>0</v>
          </cell>
          <cell r="AJ402">
            <v>0</v>
          </cell>
          <cell r="AK402">
            <v>0</v>
          </cell>
          <cell r="AN402">
            <v>0</v>
          </cell>
          <cell r="AO402">
            <v>0</v>
          </cell>
        </row>
        <row r="403">
          <cell r="U403">
            <v>0</v>
          </cell>
          <cell r="Y403">
            <v>0</v>
          </cell>
          <cell r="AD403">
            <v>0</v>
          </cell>
          <cell r="AG403">
            <v>0</v>
          </cell>
          <cell r="AJ403">
            <v>0</v>
          </cell>
          <cell r="AK403">
            <v>0</v>
          </cell>
          <cell r="AN403">
            <v>0</v>
          </cell>
          <cell r="AO403">
            <v>0</v>
          </cell>
        </row>
        <row r="404">
          <cell r="U404">
            <v>-11623875.620000001</v>
          </cell>
          <cell r="V404">
            <v>0</v>
          </cell>
          <cell r="W404">
            <v>0</v>
          </cell>
          <cell r="X404">
            <v>-11623875.620000001</v>
          </cell>
          <cell r="Y404">
            <v>-2726489</v>
          </cell>
          <cell r="Z404">
            <v>0</v>
          </cell>
          <cell r="AA404">
            <v>0</v>
          </cell>
          <cell r="AB404">
            <v>0</v>
          </cell>
          <cell r="AD404">
            <v>-14350364.620000001</v>
          </cell>
          <cell r="AE404">
            <v>0</v>
          </cell>
          <cell r="AF404">
            <v>0</v>
          </cell>
          <cell r="AG404">
            <v>4068356.4670000002</v>
          </cell>
          <cell r="AH404">
            <v>0</v>
          </cell>
          <cell r="AI404">
            <v>0</v>
          </cell>
          <cell r="AJ404">
            <v>4068356.4670000002</v>
          </cell>
          <cell r="AK404">
            <v>954271.14999999991</v>
          </cell>
          <cell r="AL404">
            <v>0</v>
          </cell>
          <cell r="AM404">
            <v>0</v>
          </cell>
          <cell r="AN404">
            <v>0</v>
          </cell>
          <cell r="AO404">
            <v>5022627.6170000006</v>
          </cell>
          <cell r="AQ404">
            <v>0</v>
          </cell>
          <cell r="AR404">
            <v>473428.9</v>
          </cell>
        </row>
        <row r="405">
          <cell r="AD405">
            <v>-242521.16207799999</v>
          </cell>
          <cell r="AG405">
            <v>-4068356.4670000002</v>
          </cell>
        </row>
        <row r="406">
          <cell r="AO406">
            <v>-5022627.6169999996</v>
          </cell>
        </row>
        <row r="411">
          <cell r="U411">
            <v>-11623875.620000001</v>
          </cell>
          <cell r="V411">
            <v>0</v>
          </cell>
          <cell r="W411">
            <v>0</v>
          </cell>
          <cell r="X411">
            <v>-11623875.620000001</v>
          </cell>
          <cell r="Y411">
            <v>-2726489</v>
          </cell>
          <cell r="Z411">
            <v>0</v>
          </cell>
          <cell r="AA411">
            <v>0</v>
          </cell>
          <cell r="AB411">
            <v>0</v>
          </cell>
          <cell r="AC411">
            <v>0</v>
          </cell>
          <cell r="AD411">
            <v>-14350364.620000001</v>
          </cell>
          <cell r="AE411">
            <v>0</v>
          </cell>
          <cell r="AF411">
            <v>0</v>
          </cell>
          <cell r="AG411">
            <v>4068356.4670000002</v>
          </cell>
          <cell r="AH411">
            <v>0</v>
          </cell>
          <cell r="AI411">
            <v>0</v>
          </cell>
          <cell r="AJ411">
            <v>4068356.4670000002</v>
          </cell>
          <cell r="AK411">
            <v>954271.14999999991</v>
          </cell>
          <cell r="AL411">
            <v>0</v>
          </cell>
          <cell r="AM411">
            <v>0</v>
          </cell>
          <cell r="AN411">
            <v>0</v>
          </cell>
          <cell r="AO411">
            <v>9.3132257461547852E-10</v>
          </cell>
          <cell r="AP411">
            <v>0</v>
          </cell>
          <cell r="AQ411">
            <v>0</v>
          </cell>
          <cell r="AR411">
            <v>473428.9</v>
          </cell>
        </row>
        <row r="427">
          <cell r="V427">
            <v>0</v>
          </cell>
          <cell r="W427">
            <v>0</v>
          </cell>
        </row>
        <row r="428">
          <cell r="AQ428">
            <v>0</v>
          </cell>
          <cell r="AR428">
            <v>0</v>
          </cell>
        </row>
        <row r="429">
          <cell r="X429">
            <v>0</v>
          </cell>
        </row>
        <row r="430">
          <cell r="X430">
            <v>0</v>
          </cell>
        </row>
        <row r="431">
          <cell r="U431">
            <v>-6076</v>
          </cell>
          <cell r="X431">
            <v>-6076</v>
          </cell>
          <cell r="Y431">
            <v>0</v>
          </cell>
          <cell r="AD431">
            <v>-6076</v>
          </cell>
          <cell r="AG431">
            <v>2126.6</v>
          </cell>
          <cell r="AH431">
            <v>0</v>
          </cell>
          <cell r="AI431">
            <v>0</v>
          </cell>
          <cell r="AJ431">
            <v>2126.6</v>
          </cell>
          <cell r="AK431">
            <v>0</v>
          </cell>
          <cell r="AL431">
            <v>0</v>
          </cell>
          <cell r="AM431">
            <v>0</v>
          </cell>
          <cell r="AN431">
            <v>0</v>
          </cell>
          <cell r="AO431">
            <v>2126.6</v>
          </cell>
          <cell r="AP431">
            <v>1</v>
          </cell>
          <cell r="AQ431">
            <v>2126.6</v>
          </cell>
          <cell r="AR431">
            <v>0</v>
          </cell>
        </row>
        <row r="432">
          <cell r="U432">
            <v>0</v>
          </cell>
          <cell r="X432">
            <v>0</v>
          </cell>
          <cell r="Y432">
            <v>0</v>
          </cell>
          <cell r="AD432">
            <v>0</v>
          </cell>
          <cell r="AG432">
            <v>0</v>
          </cell>
          <cell r="AH432">
            <v>0</v>
          </cell>
          <cell r="AI432">
            <v>0</v>
          </cell>
          <cell r="AJ432">
            <v>0</v>
          </cell>
          <cell r="AK432">
            <v>0</v>
          </cell>
          <cell r="AL432">
            <v>0</v>
          </cell>
          <cell r="AM432">
            <v>0</v>
          </cell>
          <cell r="AN432">
            <v>0</v>
          </cell>
          <cell r="AO432">
            <v>0</v>
          </cell>
          <cell r="AQ432">
            <v>0</v>
          </cell>
          <cell r="AR432">
            <v>0</v>
          </cell>
        </row>
        <row r="433">
          <cell r="U433">
            <v>-15000</v>
          </cell>
          <cell r="X433">
            <v>-15000</v>
          </cell>
          <cell r="Y433">
            <v>0</v>
          </cell>
          <cell r="AD433">
            <v>-15000</v>
          </cell>
          <cell r="AG433">
            <v>5250</v>
          </cell>
          <cell r="AH433">
            <v>0</v>
          </cell>
          <cell r="AI433">
            <v>0</v>
          </cell>
          <cell r="AJ433">
            <v>5250</v>
          </cell>
          <cell r="AK433">
            <v>0</v>
          </cell>
          <cell r="AL433">
            <v>0</v>
          </cell>
          <cell r="AM433">
            <v>0</v>
          </cell>
          <cell r="AN433">
            <v>0</v>
          </cell>
          <cell r="AO433">
            <v>5250</v>
          </cell>
          <cell r="AQ433">
            <v>0</v>
          </cell>
          <cell r="AR433">
            <v>5250</v>
          </cell>
        </row>
        <row r="434">
          <cell r="U434">
            <v>0</v>
          </cell>
          <cell r="X434">
            <v>0</v>
          </cell>
          <cell r="Y434">
            <v>0</v>
          </cell>
          <cell r="AD434">
            <v>0</v>
          </cell>
          <cell r="AG434">
            <v>0</v>
          </cell>
          <cell r="AH434">
            <v>0</v>
          </cell>
          <cell r="AI434">
            <v>0</v>
          </cell>
          <cell r="AJ434">
            <v>0</v>
          </cell>
          <cell r="AK434">
            <v>0</v>
          </cell>
          <cell r="AL434">
            <v>0</v>
          </cell>
          <cell r="AM434">
            <v>0</v>
          </cell>
          <cell r="AN434">
            <v>0</v>
          </cell>
          <cell r="AO434">
            <v>0</v>
          </cell>
        </row>
        <row r="435">
          <cell r="U435">
            <v>-2265313</v>
          </cell>
          <cell r="X435">
            <v>-2265313</v>
          </cell>
          <cell r="Y435">
            <v>676101</v>
          </cell>
          <cell r="AD435">
            <v>-1589212</v>
          </cell>
          <cell r="AG435">
            <v>792859.55</v>
          </cell>
          <cell r="AH435">
            <v>0</v>
          </cell>
          <cell r="AI435">
            <v>0</v>
          </cell>
          <cell r="AJ435">
            <v>792859.55</v>
          </cell>
          <cell r="AK435">
            <v>-236635.34999999998</v>
          </cell>
          <cell r="AL435">
            <v>0</v>
          </cell>
          <cell r="AM435">
            <v>0</v>
          </cell>
          <cell r="AN435">
            <v>0</v>
          </cell>
          <cell r="AO435">
            <v>556224.20000000007</v>
          </cell>
        </row>
        <row r="436">
          <cell r="U436">
            <v>0</v>
          </cell>
          <cell r="X436">
            <v>0</v>
          </cell>
          <cell r="Y436">
            <v>0</v>
          </cell>
          <cell r="AD436">
            <v>0</v>
          </cell>
          <cell r="AG436">
            <v>0</v>
          </cell>
          <cell r="AH436">
            <v>0</v>
          </cell>
          <cell r="AI436">
            <v>0</v>
          </cell>
          <cell r="AJ436">
            <v>0</v>
          </cell>
          <cell r="AK436">
            <v>0</v>
          </cell>
          <cell r="AL436">
            <v>0</v>
          </cell>
          <cell r="AM436">
            <v>0</v>
          </cell>
          <cell r="AN436">
            <v>0</v>
          </cell>
          <cell r="AO436">
            <v>0</v>
          </cell>
        </row>
        <row r="437">
          <cell r="U437">
            <v>0</v>
          </cell>
          <cell r="X437">
            <v>0</v>
          </cell>
          <cell r="Y437">
            <v>0</v>
          </cell>
          <cell r="AD437">
            <v>0</v>
          </cell>
          <cell r="AG437">
            <v>0</v>
          </cell>
          <cell r="AH437">
            <v>0</v>
          </cell>
          <cell r="AI437">
            <v>0</v>
          </cell>
          <cell r="AJ437">
            <v>0</v>
          </cell>
          <cell r="AK437">
            <v>0</v>
          </cell>
          <cell r="AL437">
            <v>0</v>
          </cell>
          <cell r="AM437">
            <v>0</v>
          </cell>
          <cell r="AN437">
            <v>0</v>
          </cell>
          <cell r="AO437">
            <v>0</v>
          </cell>
        </row>
        <row r="438">
          <cell r="U438">
            <v>0</v>
          </cell>
          <cell r="X438">
            <v>0</v>
          </cell>
          <cell r="Y438">
            <v>0</v>
          </cell>
          <cell r="AD438">
            <v>0</v>
          </cell>
          <cell r="AG438">
            <v>0</v>
          </cell>
          <cell r="AJ438">
            <v>0</v>
          </cell>
          <cell r="AK438">
            <v>0</v>
          </cell>
          <cell r="AL438">
            <v>0</v>
          </cell>
          <cell r="AM438">
            <v>0</v>
          </cell>
          <cell r="AN438">
            <v>0</v>
          </cell>
          <cell r="AO438">
            <v>0</v>
          </cell>
        </row>
        <row r="439">
          <cell r="U439">
            <v>0</v>
          </cell>
          <cell r="X439">
            <v>0</v>
          </cell>
          <cell r="Y439">
            <v>0</v>
          </cell>
          <cell r="AD439">
            <v>0</v>
          </cell>
          <cell r="AG439">
            <v>0</v>
          </cell>
          <cell r="AJ439">
            <v>0</v>
          </cell>
          <cell r="AK439">
            <v>0</v>
          </cell>
          <cell r="AL439">
            <v>0</v>
          </cell>
          <cell r="AM439">
            <v>0</v>
          </cell>
          <cell r="AN439">
            <v>0</v>
          </cell>
          <cell r="AO439">
            <v>0</v>
          </cell>
        </row>
        <row r="440">
          <cell r="U440">
            <v>0</v>
          </cell>
          <cell r="X440">
            <v>0</v>
          </cell>
          <cell r="Y440">
            <v>0</v>
          </cell>
          <cell r="AD440">
            <v>0</v>
          </cell>
          <cell r="AG440">
            <v>0</v>
          </cell>
          <cell r="AJ440">
            <v>0</v>
          </cell>
          <cell r="AK440">
            <v>0</v>
          </cell>
          <cell r="AL440">
            <v>0</v>
          </cell>
          <cell r="AM440">
            <v>0</v>
          </cell>
          <cell r="AN440">
            <v>0</v>
          </cell>
          <cell r="AO440">
            <v>0</v>
          </cell>
        </row>
        <row r="441">
          <cell r="U441">
            <v>0</v>
          </cell>
          <cell r="X441">
            <v>0</v>
          </cell>
          <cell r="Y441">
            <v>0</v>
          </cell>
          <cell r="AD441">
            <v>0</v>
          </cell>
          <cell r="AG441">
            <v>0</v>
          </cell>
          <cell r="AJ441">
            <v>0</v>
          </cell>
          <cell r="AK441">
            <v>0</v>
          </cell>
          <cell r="AL441">
            <v>0</v>
          </cell>
          <cell r="AM441">
            <v>0</v>
          </cell>
          <cell r="AN441">
            <v>0</v>
          </cell>
          <cell r="AO441">
            <v>0</v>
          </cell>
          <cell r="AQ441">
            <v>0</v>
          </cell>
          <cell r="AR441">
            <v>0</v>
          </cell>
        </row>
        <row r="442">
          <cell r="AL442">
            <v>0</v>
          </cell>
          <cell r="AM442">
            <v>0</v>
          </cell>
        </row>
        <row r="443">
          <cell r="U443">
            <v>-2286389</v>
          </cell>
          <cell r="V443">
            <v>0</v>
          </cell>
          <cell r="W443">
            <v>0</v>
          </cell>
          <cell r="X443">
            <v>-2286389</v>
          </cell>
          <cell r="Y443">
            <v>676101</v>
          </cell>
          <cell r="Z443">
            <v>0</v>
          </cell>
          <cell r="AA443">
            <v>0</v>
          </cell>
          <cell r="AB443">
            <v>0</v>
          </cell>
          <cell r="AD443">
            <v>-1610288</v>
          </cell>
          <cell r="AE443">
            <v>0</v>
          </cell>
          <cell r="AF443">
            <v>0</v>
          </cell>
          <cell r="AG443">
            <v>800236.15</v>
          </cell>
          <cell r="AH443">
            <v>0</v>
          </cell>
          <cell r="AI443">
            <v>0</v>
          </cell>
          <cell r="AJ443">
            <v>800236.15</v>
          </cell>
          <cell r="AK443">
            <v>-236635.34999999998</v>
          </cell>
          <cell r="AL443">
            <v>0</v>
          </cell>
          <cell r="AM443">
            <v>0</v>
          </cell>
          <cell r="AN443">
            <v>0</v>
          </cell>
          <cell r="AO443">
            <v>563600.80000000005</v>
          </cell>
          <cell r="AQ443">
            <v>2126.6</v>
          </cell>
          <cell r="AR443">
            <v>5250</v>
          </cell>
        </row>
        <row r="444">
          <cell r="AD444">
            <v>-27213.867199999997</v>
          </cell>
          <cell r="AG444">
            <v>-800236.14999999991</v>
          </cell>
        </row>
        <row r="445">
          <cell r="AO445">
            <v>-563600.79999999993</v>
          </cell>
        </row>
        <row r="450">
          <cell r="U450">
            <v>-2286389</v>
          </cell>
          <cell r="V450">
            <v>0</v>
          </cell>
          <cell r="W450">
            <v>0</v>
          </cell>
          <cell r="X450">
            <v>-2286389</v>
          </cell>
          <cell r="Y450">
            <v>676101</v>
          </cell>
          <cell r="Z450">
            <v>0</v>
          </cell>
          <cell r="AA450">
            <v>0</v>
          </cell>
          <cell r="AB450">
            <v>0</v>
          </cell>
          <cell r="AC450">
            <v>0</v>
          </cell>
          <cell r="AD450">
            <v>-1610288</v>
          </cell>
          <cell r="AE450">
            <v>0</v>
          </cell>
          <cell r="AF450">
            <v>0</v>
          </cell>
          <cell r="AG450">
            <v>800236.15</v>
          </cell>
          <cell r="AH450">
            <v>0</v>
          </cell>
          <cell r="AI450">
            <v>0</v>
          </cell>
          <cell r="AJ450">
            <v>800236.15</v>
          </cell>
          <cell r="AK450">
            <v>-236635.34999999998</v>
          </cell>
          <cell r="AL450">
            <v>0</v>
          </cell>
          <cell r="AM450">
            <v>0</v>
          </cell>
          <cell r="AN450">
            <v>0</v>
          </cell>
          <cell r="AO450">
            <v>1.1641532182693481E-10</v>
          </cell>
          <cell r="AP450">
            <v>0</v>
          </cell>
          <cell r="AQ450">
            <v>2126.6</v>
          </cell>
          <cell r="AR450">
            <v>5250</v>
          </cell>
        </row>
        <row r="456">
          <cell r="AL456">
            <v>0</v>
          </cell>
          <cell r="AM456">
            <v>0</v>
          </cell>
        </row>
        <row r="463">
          <cell r="V463">
            <v>0</v>
          </cell>
          <cell r="W463">
            <v>0</v>
          </cell>
        </row>
        <row r="465">
          <cell r="X465">
            <v>0</v>
          </cell>
        </row>
        <row r="466">
          <cell r="X466">
            <v>0</v>
          </cell>
        </row>
        <row r="467">
          <cell r="U467">
            <v>-778419</v>
          </cell>
          <cell r="X467">
            <v>-778419</v>
          </cell>
          <cell r="Y467">
            <v>0</v>
          </cell>
          <cell r="AD467">
            <v>-778419</v>
          </cell>
          <cell r="AE467" t="e">
            <v>#REF!</v>
          </cell>
          <cell r="AF467" t="e">
            <v>#REF!</v>
          </cell>
          <cell r="AG467">
            <v>272446.65000000002</v>
          </cell>
          <cell r="AH467">
            <v>0</v>
          </cell>
          <cell r="AI467">
            <v>0</v>
          </cell>
          <cell r="AJ467">
            <v>272446.65000000002</v>
          </cell>
          <cell r="AK467">
            <v>0</v>
          </cell>
          <cell r="AL467">
            <v>0</v>
          </cell>
          <cell r="AM467">
            <v>0</v>
          </cell>
          <cell r="AN467">
            <v>0</v>
          </cell>
          <cell r="AO467">
            <v>272446.65000000002</v>
          </cell>
        </row>
        <row r="468">
          <cell r="U468">
            <v>0</v>
          </cell>
          <cell r="X468">
            <v>0</v>
          </cell>
          <cell r="Y468">
            <v>0</v>
          </cell>
          <cell r="AD468">
            <v>0</v>
          </cell>
          <cell r="AE468" t="e">
            <v>#REF!</v>
          </cell>
          <cell r="AF468" t="e">
            <v>#REF!</v>
          </cell>
          <cell r="AG468">
            <v>0</v>
          </cell>
          <cell r="AH468">
            <v>0</v>
          </cell>
          <cell r="AI468">
            <v>0</v>
          </cell>
          <cell r="AJ468">
            <v>0</v>
          </cell>
          <cell r="AK468">
            <v>0</v>
          </cell>
          <cell r="AL468">
            <v>0</v>
          </cell>
          <cell r="AM468">
            <v>0</v>
          </cell>
          <cell r="AN468">
            <v>0</v>
          </cell>
          <cell r="AO468">
            <v>0</v>
          </cell>
          <cell r="AQ468">
            <v>0</v>
          </cell>
          <cell r="AR468">
            <v>0</v>
          </cell>
        </row>
        <row r="469">
          <cell r="U469">
            <v>-2306</v>
          </cell>
          <cell r="X469">
            <v>-2306</v>
          </cell>
          <cell r="Y469">
            <v>56442</v>
          </cell>
          <cell r="AD469">
            <v>54136</v>
          </cell>
          <cell r="AE469" t="e">
            <v>#REF!</v>
          </cell>
          <cell r="AF469" t="e">
            <v>#REF!</v>
          </cell>
          <cell r="AG469">
            <v>807.1</v>
          </cell>
          <cell r="AH469">
            <v>0</v>
          </cell>
          <cell r="AI469">
            <v>0</v>
          </cell>
          <cell r="AJ469">
            <v>807.1</v>
          </cell>
          <cell r="AK469">
            <v>-19754.699999999997</v>
          </cell>
          <cell r="AL469">
            <v>0</v>
          </cell>
          <cell r="AM469">
            <v>0</v>
          </cell>
          <cell r="AN469">
            <v>0</v>
          </cell>
          <cell r="AO469">
            <v>-18947.599999999999</v>
          </cell>
          <cell r="AQ469">
            <v>0</v>
          </cell>
          <cell r="AR469">
            <v>-18947.599999999999</v>
          </cell>
        </row>
        <row r="470">
          <cell r="U470">
            <v>0</v>
          </cell>
          <cell r="X470">
            <v>0</v>
          </cell>
          <cell r="Y470">
            <v>0</v>
          </cell>
          <cell r="AD470">
            <v>0</v>
          </cell>
          <cell r="AE470" t="e">
            <v>#REF!</v>
          </cell>
          <cell r="AF470" t="e">
            <v>#REF!</v>
          </cell>
          <cell r="AG470">
            <v>0</v>
          </cell>
          <cell r="AH470">
            <v>0</v>
          </cell>
          <cell r="AI470">
            <v>0</v>
          </cell>
          <cell r="AJ470">
            <v>0</v>
          </cell>
          <cell r="AK470">
            <v>0</v>
          </cell>
          <cell r="AL470">
            <v>0</v>
          </cell>
          <cell r="AM470">
            <v>0</v>
          </cell>
          <cell r="AN470">
            <v>0</v>
          </cell>
          <cell r="AO470">
            <v>0</v>
          </cell>
          <cell r="AQ470">
            <v>0</v>
          </cell>
          <cell r="AR470">
            <v>0</v>
          </cell>
        </row>
        <row r="471">
          <cell r="U471">
            <v>0</v>
          </cell>
          <cell r="X471">
            <v>0</v>
          </cell>
          <cell r="Y471">
            <v>0</v>
          </cell>
          <cell r="AD471">
            <v>0</v>
          </cell>
          <cell r="AE471" t="e">
            <v>#REF!</v>
          </cell>
          <cell r="AF471" t="e">
            <v>#REF!</v>
          </cell>
          <cell r="AG471">
            <v>0</v>
          </cell>
          <cell r="AH471">
            <v>0</v>
          </cell>
          <cell r="AI471">
            <v>0</v>
          </cell>
          <cell r="AJ471">
            <v>0</v>
          </cell>
          <cell r="AK471">
            <v>0</v>
          </cell>
          <cell r="AL471">
            <v>0</v>
          </cell>
          <cell r="AM471">
            <v>0</v>
          </cell>
          <cell r="AN471">
            <v>0</v>
          </cell>
          <cell r="AO471">
            <v>0</v>
          </cell>
          <cell r="AQ471">
            <v>0</v>
          </cell>
          <cell r="AR471">
            <v>0</v>
          </cell>
        </row>
        <row r="472">
          <cell r="U472">
            <v>0</v>
          </cell>
          <cell r="X472">
            <v>0</v>
          </cell>
          <cell r="Y472">
            <v>0</v>
          </cell>
          <cell r="AD472">
            <v>0</v>
          </cell>
          <cell r="AE472" t="e">
            <v>#REF!</v>
          </cell>
          <cell r="AF472" t="e">
            <v>#REF!</v>
          </cell>
          <cell r="AG472">
            <v>0</v>
          </cell>
          <cell r="AH472">
            <v>0</v>
          </cell>
          <cell r="AI472">
            <v>0</v>
          </cell>
          <cell r="AJ472">
            <v>0</v>
          </cell>
          <cell r="AK472">
            <v>0</v>
          </cell>
          <cell r="AL472">
            <v>0</v>
          </cell>
          <cell r="AM472">
            <v>0</v>
          </cell>
          <cell r="AN472">
            <v>0</v>
          </cell>
          <cell r="AO472">
            <v>0</v>
          </cell>
          <cell r="AQ472">
            <v>0</v>
          </cell>
          <cell r="AR472">
            <v>0</v>
          </cell>
        </row>
        <row r="473">
          <cell r="U473">
            <v>0</v>
          </cell>
          <cell r="X473">
            <v>0</v>
          </cell>
          <cell r="Y473">
            <v>0</v>
          </cell>
          <cell r="AD473">
            <v>0</v>
          </cell>
          <cell r="AE473" t="e">
            <v>#REF!</v>
          </cell>
          <cell r="AF473" t="e">
            <v>#REF!</v>
          </cell>
          <cell r="AG473">
            <v>0</v>
          </cell>
          <cell r="AH473">
            <v>0</v>
          </cell>
          <cell r="AI473">
            <v>0</v>
          </cell>
          <cell r="AJ473">
            <v>0</v>
          </cell>
          <cell r="AK473">
            <v>0</v>
          </cell>
          <cell r="AL473">
            <v>0</v>
          </cell>
          <cell r="AM473">
            <v>0</v>
          </cell>
          <cell r="AN473">
            <v>0</v>
          </cell>
          <cell r="AO473">
            <v>0</v>
          </cell>
          <cell r="AQ473">
            <v>0</v>
          </cell>
          <cell r="AR473">
            <v>0</v>
          </cell>
        </row>
        <row r="474">
          <cell r="U474">
            <v>0</v>
          </cell>
          <cell r="X474">
            <v>0</v>
          </cell>
          <cell r="Y474">
            <v>0</v>
          </cell>
          <cell r="AD474">
            <v>0</v>
          </cell>
          <cell r="AE474" t="e">
            <v>#REF!</v>
          </cell>
          <cell r="AF474" t="e">
            <v>#REF!</v>
          </cell>
          <cell r="AG474">
            <v>0</v>
          </cell>
          <cell r="AH474">
            <v>0</v>
          </cell>
          <cell r="AI474">
            <v>0</v>
          </cell>
          <cell r="AJ474">
            <v>0</v>
          </cell>
          <cell r="AK474">
            <v>0</v>
          </cell>
          <cell r="AL474">
            <v>0</v>
          </cell>
          <cell r="AM474">
            <v>0</v>
          </cell>
          <cell r="AN474">
            <v>0</v>
          </cell>
          <cell r="AO474">
            <v>0</v>
          </cell>
          <cell r="AQ474">
            <v>0</v>
          </cell>
          <cell r="AR474">
            <v>0</v>
          </cell>
        </row>
        <row r="475">
          <cell r="U475">
            <v>0</v>
          </cell>
          <cell r="X475">
            <v>0</v>
          </cell>
          <cell r="Y475">
            <v>0</v>
          </cell>
          <cell r="AD475">
            <v>0</v>
          </cell>
          <cell r="AE475" t="e">
            <v>#REF!</v>
          </cell>
          <cell r="AF475" t="e">
            <v>#REF!</v>
          </cell>
          <cell r="AG475">
            <v>0</v>
          </cell>
          <cell r="AH475">
            <v>0</v>
          </cell>
          <cell r="AI475">
            <v>0</v>
          </cell>
          <cell r="AJ475">
            <v>0</v>
          </cell>
          <cell r="AK475">
            <v>0</v>
          </cell>
          <cell r="AL475">
            <v>0</v>
          </cell>
          <cell r="AM475">
            <v>0</v>
          </cell>
          <cell r="AN475">
            <v>0</v>
          </cell>
          <cell r="AO475">
            <v>0</v>
          </cell>
        </row>
        <row r="476">
          <cell r="U476">
            <v>0</v>
          </cell>
          <cell r="X476">
            <v>0</v>
          </cell>
          <cell r="Y476">
            <v>0</v>
          </cell>
          <cell r="AD476">
            <v>0</v>
          </cell>
          <cell r="AE476" t="e">
            <v>#REF!</v>
          </cell>
          <cell r="AF476" t="e">
            <v>#REF!</v>
          </cell>
          <cell r="AG476">
            <v>0</v>
          </cell>
          <cell r="AH476">
            <v>0</v>
          </cell>
          <cell r="AI476">
            <v>0</v>
          </cell>
          <cell r="AJ476">
            <v>0</v>
          </cell>
          <cell r="AK476">
            <v>0</v>
          </cell>
          <cell r="AL476">
            <v>0</v>
          </cell>
          <cell r="AM476">
            <v>0</v>
          </cell>
          <cell r="AN476">
            <v>0</v>
          </cell>
          <cell r="AO476">
            <v>0</v>
          </cell>
        </row>
        <row r="477">
          <cell r="U477">
            <v>0</v>
          </cell>
          <cell r="X477">
            <v>0</v>
          </cell>
          <cell r="Y477">
            <v>0</v>
          </cell>
          <cell r="AD477">
            <v>0</v>
          </cell>
          <cell r="AE477" t="e">
            <v>#REF!</v>
          </cell>
          <cell r="AF477" t="e">
            <v>#REF!</v>
          </cell>
          <cell r="AG477">
            <v>0</v>
          </cell>
          <cell r="AJ477">
            <v>0</v>
          </cell>
          <cell r="AK477">
            <v>0</v>
          </cell>
          <cell r="AL477">
            <v>0</v>
          </cell>
          <cell r="AM477">
            <v>0</v>
          </cell>
          <cell r="AN477">
            <v>0</v>
          </cell>
          <cell r="AO477">
            <v>0</v>
          </cell>
        </row>
        <row r="479">
          <cell r="U479">
            <v>-780725</v>
          </cell>
          <cell r="V479">
            <v>0</v>
          </cell>
          <cell r="W479">
            <v>0</v>
          </cell>
          <cell r="X479">
            <v>-780725</v>
          </cell>
          <cell r="Y479">
            <v>56442</v>
          </cell>
          <cell r="Z479">
            <v>0</v>
          </cell>
          <cell r="AA479">
            <v>0</v>
          </cell>
          <cell r="AB479">
            <v>0</v>
          </cell>
          <cell r="AD479">
            <v>-724283</v>
          </cell>
          <cell r="AE479" t="e">
            <v>#REF!</v>
          </cell>
          <cell r="AF479" t="e">
            <v>#REF!</v>
          </cell>
          <cell r="AG479">
            <v>273253.75</v>
          </cell>
          <cell r="AH479">
            <v>0</v>
          </cell>
          <cell r="AI479">
            <v>0</v>
          </cell>
          <cell r="AJ479">
            <v>273253.75</v>
          </cell>
          <cell r="AK479">
            <v>-19754.699999999997</v>
          </cell>
          <cell r="AL479">
            <v>0</v>
          </cell>
          <cell r="AM479">
            <v>0</v>
          </cell>
          <cell r="AN479">
            <v>0</v>
          </cell>
          <cell r="AO479">
            <v>253499.05000000002</v>
          </cell>
          <cell r="AQ479">
            <v>0</v>
          </cell>
          <cell r="AR479">
            <v>-18947.599999999999</v>
          </cell>
        </row>
        <row r="480">
          <cell r="AD480">
            <v>-12240.382699999998</v>
          </cell>
        </row>
        <row r="481">
          <cell r="AQ481">
            <v>0</v>
          </cell>
          <cell r="AR481">
            <v>0</v>
          </cell>
        </row>
        <row r="482">
          <cell r="AQ482">
            <v>0</v>
          </cell>
          <cell r="AR482">
            <v>0</v>
          </cell>
        </row>
        <row r="483">
          <cell r="AO483">
            <v>0</v>
          </cell>
          <cell r="AQ483">
            <v>0</v>
          </cell>
          <cell r="AR483">
            <v>0</v>
          </cell>
        </row>
        <row r="485">
          <cell r="AN485">
            <v>0</v>
          </cell>
          <cell r="AO485">
            <v>0</v>
          </cell>
          <cell r="AR485">
            <v>0</v>
          </cell>
        </row>
        <row r="488">
          <cell r="U488">
            <v>-780725</v>
          </cell>
          <cell r="X488">
            <v>-780725</v>
          </cell>
          <cell r="Y488">
            <v>56442</v>
          </cell>
          <cell r="Z488">
            <v>0</v>
          </cell>
          <cell r="AA488">
            <v>0</v>
          </cell>
          <cell r="AB488">
            <v>0</v>
          </cell>
          <cell r="AC488">
            <v>0</v>
          </cell>
          <cell r="AD488">
            <v>-724283</v>
          </cell>
          <cell r="AG488">
            <v>273253.75</v>
          </cell>
          <cell r="AJ488">
            <v>273253.75</v>
          </cell>
          <cell r="AK488">
            <v>-19754.699999999997</v>
          </cell>
          <cell r="AL488">
            <v>0</v>
          </cell>
          <cell r="AM488">
            <v>0</v>
          </cell>
          <cell r="AN488">
            <v>0</v>
          </cell>
          <cell r="AO488">
            <v>253499.05000000002</v>
          </cell>
          <cell r="AQ488">
            <v>0</v>
          </cell>
          <cell r="AR488">
            <v>-18947.599999999999</v>
          </cell>
        </row>
        <row r="489">
          <cell r="U489">
            <v>-780725</v>
          </cell>
          <cell r="V489">
            <v>0</v>
          </cell>
          <cell r="W489">
            <v>0</v>
          </cell>
          <cell r="X489">
            <v>-780725</v>
          </cell>
          <cell r="Y489">
            <v>56442</v>
          </cell>
          <cell r="Z489">
            <v>0</v>
          </cell>
          <cell r="AA489">
            <v>0</v>
          </cell>
          <cell r="AB489">
            <v>0</v>
          </cell>
          <cell r="AC489">
            <v>0</v>
          </cell>
          <cell r="AD489">
            <v>-724283</v>
          </cell>
          <cell r="AE489" t="e">
            <v>#REF!</v>
          </cell>
          <cell r="AF489" t="e">
            <v>#REF!</v>
          </cell>
          <cell r="AG489">
            <v>273253.75</v>
          </cell>
          <cell r="AH489">
            <v>0</v>
          </cell>
          <cell r="AI489">
            <v>0</v>
          </cell>
          <cell r="AJ489">
            <v>273253.75</v>
          </cell>
          <cell r="AK489">
            <v>-19754.699999999997</v>
          </cell>
          <cell r="AL489">
            <v>0</v>
          </cell>
          <cell r="AM489">
            <v>0</v>
          </cell>
          <cell r="AN489">
            <v>0</v>
          </cell>
          <cell r="AO489">
            <v>253499.05000000002</v>
          </cell>
          <cell r="AP489">
            <v>0</v>
          </cell>
          <cell r="AQ489">
            <v>0</v>
          </cell>
          <cell r="AR489">
            <v>-18947.599999999999</v>
          </cell>
        </row>
        <row r="490">
          <cell r="AO490">
            <v>-253499.05</v>
          </cell>
        </row>
        <row r="501">
          <cell r="V501">
            <v>0</v>
          </cell>
          <cell r="W501">
            <v>0</v>
          </cell>
        </row>
        <row r="502">
          <cell r="AQ502">
            <v>0</v>
          </cell>
          <cell r="AR502">
            <v>0</v>
          </cell>
        </row>
        <row r="503">
          <cell r="X503">
            <v>0</v>
          </cell>
        </row>
        <row r="504">
          <cell r="X504">
            <v>0</v>
          </cell>
        </row>
        <row r="505">
          <cell r="U505">
            <v>-5000</v>
          </cell>
          <cell r="X505">
            <v>-5000</v>
          </cell>
          <cell r="Y505">
            <v>0</v>
          </cell>
          <cell r="AD505">
            <v>-5000</v>
          </cell>
          <cell r="AF505">
            <v>1750</v>
          </cell>
          <cell r="AG505">
            <v>1750</v>
          </cell>
          <cell r="AJ505">
            <v>1750</v>
          </cell>
          <cell r="AK505">
            <v>0</v>
          </cell>
          <cell r="AL505">
            <v>0</v>
          </cell>
          <cell r="AM505">
            <v>0</v>
          </cell>
          <cell r="AN505">
            <v>0</v>
          </cell>
          <cell r="AO505">
            <v>1750</v>
          </cell>
        </row>
        <row r="506">
          <cell r="U506">
            <v>0</v>
          </cell>
          <cell r="X506">
            <v>0</v>
          </cell>
          <cell r="Y506">
            <v>0</v>
          </cell>
          <cell r="AD506">
            <v>0</v>
          </cell>
          <cell r="AF506">
            <v>0</v>
          </cell>
          <cell r="AG506">
            <v>0</v>
          </cell>
          <cell r="AJ506">
            <v>0</v>
          </cell>
          <cell r="AK506">
            <v>0</v>
          </cell>
          <cell r="AL506">
            <v>0</v>
          </cell>
          <cell r="AM506">
            <v>0</v>
          </cell>
          <cell r="AN506">
            <v>0</v>
          </cell>
          <cell r="AO506">
            <v>0</v>
          </cell>
        </row>
        <row r="507">
          <cell r="U507">
            <v>-1236</v>
          </cell>
          <cell r="X507">
            <v>-1236</v>
          </cell>
          <cell r="Y507">
            <v>-6180</v>
          </cell>
          <cell r="AD507">
            <v>-7416</v>
          </cell>
          <cell r="AF507">
            <v>432.6</v>
          </cell>
          <cell r="AG507">
            <v>432.6</v>
          </cell>
          <cell r="AJ507">
            <v>432.6</v>
          </cell>
          <cell r="AK507">
            <v>2163</v>
          </cell>
          <cell r="AL507">
            <v>0</v>
          </cell>
          <cell r="AM507">
            <v>0</v>
          </cell>
          <cell r="AN507">
            <v>0</v>
          </cell>
          <cell r="AO507">
            <v>2595.6</v>
          </cell>
          <cell r="AP507">
            <v>1</v>
          </cell>
          <cell r="AQ507">
            <v>2595.6</v>
          </cell>
          <cell r="AR507">
            <v>0</v>
          </cell>
        </row>
        <row r="508">
          <cell r="U508">
            <v>0</v>
          </cell>
          <cell r="X508">
            <v>0</v>
          </cell>
          <cell r="Y508">
            <v>0</v>
          </cell>
          <cell r="AD508">
            <v>0</v>
          </cell>
          <cell r="AF508">
            <v>0</v>
          </cell>
          <cell r="AG508">
            <v>0</v>
          </cell>
          <cell r="AJ508">
            <v>0</v>
          </cell>
          <cell r="AK508">
            <v>0</v>
          </cell>
          <cell r="AL508">
            <v>0</v>
          </cell>
          <cell r="AM508">
            <v>0</v>
          </cell>
          <cell r="AN508">
            <v>0</v>
          </cell>
          <cell r="AO508">
            <v>0</v>
          </cell>
        </row>
        <row r="509">
          <cell r="U509">
            <v>0</v>
          </cell>
          <cell r="X509">
            <v>0</v>
          </cell>
          <cell r="Y509">
            <v>0</v>
          </cell>
          <cell r="AD509">
            <v>0</v>
          </cell>
          <cell r="AF509">
            <v>0</v>
          </cell>
          <cell r="AG509">
            <v>0</v>
          </cell>
          <cell r="AJ509">
            <v>0</v>
          </cell>
          <cell r="AK509">
            <v>0</v>
          </cell>
          <cell r="AL509">
            <v>0</v>
          </cell>
          <cell r="AM509">
            <v>0</v>
          </cell>
          <cell r="AN509">
            <v>0</v>
          </cell>
          <cell r="AO509">
            <v>0</v>
          </cell>
        </row>
        <row r="510">
          <cell r="U510">
            <v>0</v>
          </cell>
          <cell r="X510">
            <v>0</v>
          </cell>
          <cell r="Y510">
            <v>0</v>
          </cell>
          <cell r="AD510">
            <v>0</v>
          </cell>
          <cell r="AF510">
            <v>0</v>
          </cell>
          <cell r="AG510">
            <v>0</v>
          </cell>
          <cell r="AK510">
            <v>0</v>
          </cell>
          <cell r="AL510">
            <v>0</v>
          </cell>
          <cell r="AM510">
            <v>0</v>
          </cell>
          <cell r="AN510">
            <v>0</v>
          </cell>
          <cell r="AO510">
            <v>0</v>
          </cell>
        </row>
        <row r="511">
          <cell r="U511">
            <v>0</v>
          </cell>
          <cell r="X511">
            <v>0</v>
          </cell>
          <cell r="Y511">
            <v>0</v>
          </cell>
          <cell r="AD511">
            <v>0</v>
          </cell>
          <cell r="AF511">
            <v>0</v>
          </cell>
          <cell r="AG511">
            <v>0</v>
          </cell>
          <cell r="AK511">
            <v>0</v>
          </cell>
          <cell r="AL511">
            <v>0</v>
          </cell>
          <cell r="AM511">
            <v>0</v>
          </cell>
          <cell r="AN511">
            <v>0</v>
          </cell>
          <cell r="AO511">
            <v>0</v>
          </cell>
        </row>
        <row r="512">
          <cell r="AL512">
            <v>0</v>
          </cell>
          <cell r="AM512">
            <v>0</v>
          </cell>
        </row>
        <row r="513">
          <cell r="U513">
            <v>-6236</v>
          </cell>
          <cell r="V513">
            <v>0</v>
          </cell>
          <cell r="W513">
            <v>0</v>
          </cell>
          <cell r="X513">
            <v>-6236</v>
          </cell>
          <cell r="Y513">
            <v>-6180</v>
          </cell>
          <cell r="Z513">
            <v>0</v>
          </cell>
          <cell r="AA513">
            <v>0</v>
          </cell>
          <cell r="AB513">
            <v>0</v>
          </cell>
          <cell r="AD513">
            <v>-12416</v>
          </cell>
          <cell r="AE513">
            <v>0</v>
          </cell>
          <cell r="AF513">
            <v>2182.6</v>
          </cell>
          <cell r="AG513">
            <v>2182.6</v>
          </cell>
          <cell r="AH513">
            <v>0</v>
          </cell>
          <cell r="AI513">
            <v>0</v>
          </cell>
          <cell r="AJ513">
            <v>2182.6</v>
          </cell>
          <cell r="AK513">
            <v>2163</v>
          </cell>
          <cell r="AL513">
            <v>0</v>
          </cell>
          <cell r="AM513">
            <v>0</v>
          </cell>
          <cell r="AN513">
            <v>0</v>
          </cell>
          <cell r="AO513">
            <v>4345.6000000000004</v>
          </cell>
          <cell r="AQ513">
            <v>2595.6</v>
          </cell>
          <cell r="AR513">
            <v>0</v>
          </cell>
        </row>
        <row r="514">
          <cell r="AG514">
            <v>-2182.6</v>
          </cell>
        </row>
        <row r="515">
          <cell r="AO515">
            <v>-4345.5999999999995</v>
          </cell>
        </row>
        <row r="520">
          <cell r="U520">
            <v>-6236</v>
          </cell>
          <cell r="V520">
            <v>0</v>
          </cell>
          <cell r="W520">
            <v>0</v>
          </cell>
          <cell r="X520">
            <v>-6236</v>
          </cell>
          <cell r="Y520">
            <v>-6180</v>
          </cell>
          <cell r="Z520">
            <v>0</v>
          </cell>
          <cell r="AA520">
            <v>0</v>
          </cell>
          <cell r="AB520">
            <v>0</v>
          </cell>
          <cell r="AC520">
            <v>0</v>
          </cell>
          <cell r="AD520">
            <v>-12416</v>
          </cell>
          <cell r="AE520">
            <v>0</v>
          </cell>
          <cell r="AF520">
            <v>2182.6</v>
          </cell>
          <cell r="AG520">
            <v>2182.6</v>
          </cell>
          <cell r="AH520">
            <v>0</v>
          </cell>
          <cell r="AI520">
            <v>0</v>
          </cell>
          <cell r="AJ520">
            <v>2182.6</v>
          </cell>
          <cell r="AK520">
            <v>2163</v>
          </cell>
          <cell r="AL520">
            <v>0</v>
          </cell>
          <cell r="AM520">
            <v>0</v>
          </cell>
          <cell r="AN520">
            <v>0</v>
          </cell>
          <cell r="AO520">
            <v>9.0949470177292824E-13</v>
          </cell>
          <cell r="AP520">
            <v>0</v>
          </cell>
          <cell r="AQ520">
            <v>2595.6</v>
          </cell>
          <cell r="AR520">
            <v>0</v>
          </cell>
        </row>
        <row r="521">
          <cell r="AD521">
            <v>-209.83039999999997</v>
          </cell>
        </row>
        <row r="535">
          <cell r="V535">
            <v>0</v>
          </cell>
          <cell r="W535">
            <v>0</v>
          </cell>
        </row>
        <row r="536">
          <cell r="AQ536">
            <v>0</v>
          </cell>
          <cell r="AR536">
            <v>0</v>
          </cell>
        </row>
        <row r="537">
          <cell r="X537">
            <v>0</v>
          </cell>
        </row>
        <row r="538">
          <cell r="X538">
            <v>0</v>
          </cell>
        </row>
        <row r="539">
          <cell r="U539">
            <v>0</v>
          </cell>
          <cell r="X539">
            <v>0</v>
          </cell>
          <cell r="Y539">
            <v>0</v>
          </cell>
          <cell r="AD539">
            <v>0</v>
          </cell>
          <cell r="AF539">
            <v>0</v>
          </cell>
          <cell r="AG539">
            <v>0</v>
          </cell>
          <cell r="AK539">
            <v>0</v>
          </cell>
          <cell r="AL539">
            <v>0</v>
          </cell>
          <cell r="AM539">
            <v>0</v>
          </cell>
          <cell r="AN539">
            <v>0</v>
          </cell>
          <cell r="AO539">
            <v>0</v>
          </cell>
          <cell r="AP539">
            <v>1</v>
          </cell>
          <cell r="AQ539">
            <v>0</v>
          </cell>
          <cell r="AR539">
            <v>0</v>
          </cell>
        </row>
        <row r="540">
          <cell r="U540">
            <v>-1079523</v>
          </cell>
          <cell r="X540">
            <v>-1079523</v>
          </cell>
          <cell r="Y540">
            <v>85598</v>
          </cell>
          <cell r="AD540">
            <v>-993925</v>
          </cell>
          <cell r="AF540">
            <v>377833.05</v>
          </cell>
          <cell r="AG540">
            <v>377833.05</v>
          </cell>
          <cell r="AJ540">
            <v>377833.05</v>
          </cell>
          <cell r="AK540">
            <v>-29959.3</v>
          </cell>
          <cell r="AL540">
            <v>0</v>
          </cell>
          <cell r="AM540">
            <v>0</v>
          </cell>
          <cell r="AN540">
            <v>0</v>
          </cell>
          <cell r="AO540">
            <v>347873.75</v>
          </cell>
        </row>
        <row r="541">
          <cell r="U541">
            <v>0</v>
          </cell>
          <cell r="X541">
            <v>0</v>
          </cell>
          <cell r="Y541">
            <v>0</v>
          </cell>
          <cell r="AD541">
            <v>0</v>
          </cell>
          <cell r="AF541">
            <v>0</v>
          </cell>
          <cell r="AG541">
            <v>0</v>
          </cell>
          <cell r="AJ541">
            <v>0</v>
          </cell>
          <cell r="AK541">
            <v>0</v>
          </cell>
          <cell r="AL541">
            <v>0</v>
          </cell>
          <cell r="AM541">
            <v>0</v>
          </cell>
          <cell r="AN541">
            <v>0</v>
          </cell>
          <cell r="AO541">
            <v>0</v>
          </cell>
        </row>
        <row r="542">
          <cell r="U542">
            <v>0</v>
          </cell>
          <cell r="X542">
            <v>0</v>
          </cell>
          <cell r="Y542">
            <v>0</v>
          </cell>
          <cell r="AD542">
            <v>0</v>
          </cell>
          <cell r="AF542">
            <v>0</v>
          </cell>
          <cell r="AG542">
            <v>0</v>
          </cell>
          <cell r="AJ542">
            <v>0</v>
          </cell>
          <cell r="AK542">
            <v>0</v>
          </cell>
          <cell r="AL542">
            <v>0</v>
          </cell>
          <cell r="AM542">
            <v>0</v>
          </cell>
          <cell r="AN542">
            <v>0</v>
          </cell>
          <cell r="AO542">
            <v>0</v>
          </cell>
        </row>
        <row r="543">
          <cell r="U543">
            <v>0</v>
          </cell>
          <cell r="X543">
            <v>0</v>
          </cell>
          <cell r="Y543">
            <v>0</v>
          </cell>
          <cell r="AD543">
            <v>0</v>
          </cell>
          <cell r="AF543">
            <v>0</v>
          </cell>
          <cell r="AG543">
            <v>0</v>
          </cell>
          <cell r="AK543">
            <v>0</v>
          </cell>
          <cell r="AL543">
            <v>0</v>
          </cell>
          <cell r="AM543">
            <v>0</v>
          </cell>
          <cell r="AN543">
            <v>0</v>
          </cell>
          <cell r="AO543">
            <v>0</v>
          </cell>
        </row>
        <row r="544">
          <cell r="U544">
            <v>0</v>
          </cell>
          <cell r="X544">
            <v>0</v>
          </cell>
          <cell r="Y544">
            <v>0</v>
          </cell>
          <cell r="AD544">
            <v>0</v>
          </cell>
          <cell r="AF544">
            <v>0</v>
          </cell>
          <cell r="AG544">
            <v>0</v>
          </cell>
          <cell r="AK544">
            <v>0</v>
          </cell>
          <cell r="AL544">
            <v>0</v>
          </cell>
          <cell r="AM544">
            <v>0</v>
          </cell>
          <cell r="AN544">
            <v>0</v>
          </cell>
          <cell r="AO544">
            <v>0</v>
          </cell>
        </row>
        <row r="545">
          <cell r="U545">
            <v>0</v>
          </cell>
          <cell r="X545">
            <v>0</v>
          </cell>
          <cell r="Y545">
            <v>0</v>
          </cell>
          <cell r="AD545">
            <v>0</v>
          </cell>
          <cell r="AF545">
            <v>0</v>
          </cell>
          <cell r="AG545">
            <v>0</v>
          </cell>
          <cell r="AK545">
            <v>0</v>
          </cell>
          <cell r="AL545">
            <v>0</v>
          </cell>
          <cell r="AM545">
            <v>0</v>
          </cell>
          <cell r="AN545">
            <v>0</v>
          </cell>
          <cell r="AO545">
            <v>0</v>
          </cell>
        </row>
        <row r="546">
          <cell r="AL546">
            <v>0</v>
          </cell>
          <cell r="AM546">
            <v>0</v>
          </cell>
        </row>
        <row r="547">
          <cell r="U547">
            <v>-1079523</v>
          </cell>
          <cell r="V547">
            <v>0</v>
          </cell>
          <cell r="W547">
            <v>0</v>
          </cell>
          <cell r="X547">
            <v>-1079523</v>
          </cell>
          <cell r="Y547">
            <v>85598</v>
          </cell>
          <cell r="Z547">
            <v>0</v>
          </cell>
          <cell r="AA547">
            <v>0</v>
          </cell>
          <cell r="AB547">
            <v>0</v>
          </cell>
          <cell r="AD547">
            <v>-993925</v>
          </cell>
          <cell r="AE547">
            <v>0</v>
          </cell>
          <cell r="AF547">
            <v>377833.05</v>
          </cell>
          <cell r="AG547">
            <v>377833.05</v>
          </cell>
          <cell r="AH547">
            <v>0</v>
          </cell>
          <cell r="AI547">
            <v>0</v>
          </cell>
          <cell r="AJ547">
            <v>377833.05</v>
          </cell>
          <cell r="AK547">
            <v>-29959.3</v>
          </cell>
          <cell r="AL547">
            <v>0</v>
          </cell>
          <cell r="AM547">
            <v>0</v>
          </cell>
          <cell r="AN547">
            <v>0</v>
          </cell>
          <cell r="AO547">
            <v>347873.75</v>
          </cell>
          <cell r="AQ547">
            <v>0</v>
          </cell>
          <cell r="AR547">
            <v>0</v>
          </cell>
        </row>
        <row r="548">
          <cell r="AD548">
            <v>-19878.5</v>
          </cell>
          <cell r="AG548">
            <v>-377833.05</v>
          </cell>
        </row>
        <row r="554">
          <cell r="U554">
            <v>-1079523</v>
          </cell>
          <cell r="V554">
            <v>0</v>
          </cell>
          <cell r="W554">
            <v>0</v>
          </cell>
          <cell r="X554">
            <v>-1079523</v>
          </cell>
          <cell r="Y554">
            <v>85598</v>
          </cell>
          <cell r="Z554">
            <v>0</v>
          </cell>
          <cell r="AA554">
            <v>0</v>
          </cell>
          <cell r="AB554">
            <v>0</v>
          </cell>
          <cell r="AC554">
            <v>0</v>
          </cell>
          <cell r="AD554">
            <v>-993925</v>
          </cell>
          <cell r="AE554">
            <v>0</v>
          </cell>
          <cell r="AF554">
            <v>377833.05</v>
          </cell>
          <cell r="AG554">
            <v>377833.05</v>
          </cell>
          <cell r="AH554">
            <v>0</v>
          </cell>
          <cell r="AI554">
            <v>0</v>
          </cell>
          <cell r="AJ554">
            <v>377833.05</v>
          </cell>
          <cell r="AK554">
            <v>-29959.3</v>
          </cell>
          <cell r="AL554">
            <v>0</v>
          </cell>
          <cell r="AM554">
            <v>0</v>
          </cell>
          <cell r="AN554">
            <v>0</v>
          </cell>
          <cell r="AO554">
            <v>347873.75</v>
          </cell>
          <cell r="AP554">
            <v>0</v>
          </cell>
          <cell r="AQ554">
            <v>0</v>
          </cell>
          <cell r="AR554">
            <v>0</v>
          </cell>
        </row>
        <row r="557">
          <cell r="AE557" t="e">
            <v>#REF!</v>
          </cell>
          <cell r="AF557" t="e">
            <v>#REF!</v>
          </cell>
        </row>
        <row r="558">
          <cell r="AE558" t="e">
            <v>#REF!</v>
          </cell>
          <cell r="AF558" t="e">
            <v>#REF!</v>
          </cell>
        </row>
        <row r="559">
          <cell r="AE559" t="e">
            <v>#REF!</v>
          </cell>
          <cell r="AF559" t="e">
            <v>#REF!</v>
          </cell>
        </row>
        <row r="560">
          <cell r="AE560" t="e">
            <v>#REF!</v>
          </cell>
          <cell r="AF560" t="e">
            <v>#REF!</v>
          </cell>
        </row>
        <row r="561">
          <cell r="AE561" t="e">
            <v>#REF!</v>
          </cell>
          <cell r="AF561" t="e">
            <v>#REF!</v>
          </cell>
        </row>
        <row r="562">
          <cell r="AE562" t="e">
            <v>#REF!</v>
          </cell>
          <cell r="AF562" t="e">
            <v>#REF!</v>
          </cell>
        </row>
        <row r="563">
          <cell r="AE563" t="e">
            <v>#REF!</v>
          </cell>
          <cell r="AF563" t="e">
            <v>#REF!</v>
          </cell>
        </row>
        <row r="564">
          <cell r="AE564" t="e">
            <v>#REF!</v>
          </cell>
          <cell r="AF564" t="e">
            <v>#REF!</v>
          </cell>
        </row>
        <row r="565">
          <cell r="AE565" t="e">
            <v>#REF!</v>
          </cell>
          <cell r="AF565" t="e">
            <v>#REF!</v>
          </cell>
        </row>
        <row r="566">
          <cell r="AE566" t="e">
            <v>#REF!</v>
          </cell>
          <cell r="AF566" t="e">
            <v>#REF!</v>
          </cell>
        </row>
        <row r="567">
          <cell r="AE567" t="e">
            <v>#REF!</v>
          </cell>
          <cell r="AF567" t="e">
            <v>#REF!</v>
          </cell>
        </row>
        <row r="568">
          <cell r="V568">
            <v>0</v>
          </cell>
          <cell r="W568">
            <v>0</v>
          </cell>
        </row>
        <row r="569">
          <cell r="AQ569">
            <v>0</v>
          </cell>
          <cell r="AR569">
            <v>0</v>
          </cell>
        </row>
        <row r="570">
          <cell r="X570">
            <v>0</v>
          </cell>
        </row>
        <row r="571">
          <cell r="X571">
            <v>0</v>
          </cell>
          <cell r="AE571" t="e">
            <v>#REF!</v>
          </cell>
          <cell r="AF571" t="e">
            <v>#REF!</v>
          </cell>
          <cell r="AP571" t="e">
            <v>#REF!</v>
          </cell>
          <cell r="AQ571" t="e">
            <v>#REF!</v>
          </cell>
          <cell r="AR571" t="e">
            <v>#REF!</v>
          </cell>
        </row>
        <row r="572">
          <cell r="U572">
            <v>0</v>
          </cell>
          <cell r="X572">
            <v>0</v>
          </cell>
          <cell r="Y572">
            <v>0</v>
          </cell>
          <cell r="AD572">
            <v>0</v>
          </cell>
          <cell r="AE572" t="e">
            <v>#REF!</v>
          </cell>
          <cell r="AF572" t="e">
            <v>#REF!</v>
          </cell>
          <cell r="AG572">
            <v>0</v>
          </cell>
          <cell r="AJ572">
            <v>0</v>
          </cell>
          <cell r="AK572">
            <v>0</v>
          </cell>
          <cell r="AN572">
            <v>0</v>
          </cell>
          <cell r="AO572">
            <v>0</v>
          </cell>
          <cell r="AP572" t="e">
            <v>#REF!</v>
          </cell>
          <cell r="AQ572" t="e">
            <v>#REF!</v>
          </cell>
          <cell r="AR572" t="e">
            <v>#REF!</v>
          </cell>
        </row>
        <row r="573">
          <cell r="U573">
            <v>-14684130</v>
          </cell>
          <cell r="X573">
            <v>-14684130</v>
          </cell>
          <cell r="Y573">
            <v>0</v>
          </cell>
          <cell r="AD573">
            <v>-14684130</v>
          </cell>
          <cell r="AE573" t="e">
            <v>#REF!</v>
          </cell>
          <cell r="AF573" t="e">
            <v>#REF!</v>
          </cell>
          <cell r="AG573">
            <v>5139445.5</v>
          </cell>
          <cell r="AH573">
            <v>0</v>
          </cell>
          <cell r="AI573">
            <v>0</v>
          </cell>
          <cell r="AJ573">
            <v>5139445.5</v>
          </cell>
          <cell r="AK573">
            <v>0</v>
          </cell>
          <cell r="AN573">
            <v>0</v>
          </cell>
          <cell r="AO573">
            <v>5139445.5</v>
          </cell>
          <cell r="AP573" t="e">
            <v>#REF!</v>
          </cell>
          <cell r="AQ573" t="e">
            <v>#REF!</v>
          </cell>
          <cell r="AR573" t="e">
            <v>#REF!</v>
          </cell>
        </row>
        <row r="574">
          <cell r="U574">
            <v>0</v>
          </cell>
          <cell r="X574">
            <v>0</v>
          </cell>
          <cell r="Y574">
            <v>0</v>
          </cell>
          <cell r="AD574">
            <v>0</v>
          </cell>
          <cell r="AE574" t="e">
            <v>#REF!</v>
          </cell>
          <cell r="AF574" t="e">
            <v>#REF!</v>
          </cell>
          <cell r="AG574">
            <v>0</v>
          </cell>
          <cell r="AJ574">
            <v>0</v>
          </cell>
          <cell r="AK574">
            <v>0</v>
          </cell>
          <cell r="AN574">
            <v>0</v>
          </cell>
          <cell r="AO574">
            <v>0</v>
          </cell>
          <cell r="AP574" t="e">
            <v>#REF!</v>
          </cell>
          <cell r="AQ574" t="e">
            <v>#REF!</v>
          </cell>
          <cell r="AR574" t="e">
            <v>#REF!</v>
          </cell>
        </row>
        <row r="575">
          <cell r="U575">
            <v>-22271</v>
          </cell>
          <cell r="X575">
            <v>-22271</v>
          </cell>
          <cell r="Y575">
            <v>30190</v>
          </cell>
          <cell r="AD575">
            <v>7919</v>
          </cell>
          <cell r="AE575" t="e">
            <v>#REF!</v>
          </cell>
          <cell r="AF575" t="e">
            <v>#REF!</v>
          </cell>
          <cell r="AG575">
            <v>7794.85</v>
          </cell>
          <cell r="AH575">
            <v>0</v>
          </cell>
          <cell r="AI575">
            <v>0</v>
          </cell>
          <cell r="AJ575">
            <v>7794.85</v>
          </cell>
          <cell r="AK575">
            <v>-10566.5</v>
          </cell>
          <cell r="AN575">
            <v>0</v>
          </cell>
          <cell r="AO575">
            <v>-2771.6499999999996</v>
          </cell>
          <cell r="AP575" t="e">
            <v>#REF!</v>
          </cell>
          <cell r="AQ575" t="e">
            <v>#REF!</v>
          </cell>
          <cell r="AR575" t="e">
            <v>#REF!</v>
          </cell>
        </row>
        <row r="576">
          <cell r="U576">
            <v>0</v>
          </cell>
          <cell r="X576">
            <v>0</v>
          </cell>
          <cell r="Y576">
            <v>0</v>
          </cell>
          <cell r="AD576">
            <v>0</v>
          </cell>
          <cell r="AE576" t="e">
            <v>#REF!</v>
          </cell>
          <cell r="AF576" t="e">
            <v>#REF!</v>
          </cell>
          <cell r="AG576">
            <v>0</v>
          </cell>
          <cell r="AH576">
            <v>0</v>
          </cell>
          <cell r="AI576">
            <v>0</v>
          </cell>
          <cell r="AJ576">
            <v>0</v>
          </cell>
          <cell r="AK576">
            <v>0</v>
          </cell>
          <cell r="AN576">
            <v>0</v>
          </cell>
          <cell r="AO576">
            <v>0</v>
          </cell>
          <cell r="AP576" t="e">
            <v>#REF!</v>
          </cell>
          <cell r="AQ576" t="e">
            <v>#REF!</v>
          </cell>
          <cell r="AR576" t="e">
            <v>#REF!</v>
          </cell>
        </row>
        <row r="577">
          <cell r="U577">
            <v>0</v>
          </cell>
          <cell r="X577">
            <v>0</v>
          </cell>
          <cell r="Y577">
            <v>0</v>
          </cell>
          <cell r="AD577">
            <v>0</v>
          </cell>
          <cell r="AE577" t="e">
            <v>#REF!</v>
          </cell>
          <cell r="AF577" t="e">
            <v>#REF!</v>
          </cell>
          <cell r="AG577">
            <v>0</v>
          </cell>
          <cell r="AH577">
            <v>0</v>
          </cell>
          <cell r="AI577">
            <v>0</v>
          </cell>
          <cell r="AJ577">
            <v>0</v>
          </cell>
          <cell r="AK577">
            <v>0</v>
          </cell>
          <cell r="AN577">
            <v>0</v>
          </cell>
          <cell r="AO577">
            <v>0</v>
          </cell>
          <cell r="AP577" t="e">
            <v>#REF!</v>
          </cell>
          <cell r="AQ577" t="e">
            <v>#REF!</v>
          </cell>
          <cell r="AR577" t="e">
            <v>#REF!</v>
          </cell>
        </row>
        <row r="578">
          <cell r="U578">
            <v>-109288</v>
          </cell>
          <cell r="X578">
            <v>-109288</v>
          </cell>
          <cell r="Y578">
            <v>0</v>
          </cell>
          <cell r="AD578">
            <v>-109288</v>
          </cell>
          <cell r="AE578" t="e">
            <v>#REF!</v>
          </cell>
          <cell r="AF578" t="e">
            <v>#REF!</v>
          </cell>
          <cell r="AG578">
            <v>38250.800000000003</v>
          </cell>
          <cell r="AH578">
            <v>0</v>
          </cell>
          <cell r="AI578">
            <v>0</v>
          </cell>
          <cell r="AJ578">
            <v>38250.800000000003</v>
          </cell>
          <cell r="AK578">
            <v>0</v>
          </cell>
          <cell r="AN578">
            <v>0</v>
          </cell>
          <cell r="AO578">
            <v>38250.800000000003</v>
          </cell>
          <cell r="AP578" t="e">
            <v>#REF!</v>
          </cell>
          <cell r="AQ578" t="e">
            <v>#REF!</v>
          </cell>
          <cell r="AR578" t="e">
            <v>#REF!</v>
          </cell>
        </row>
        <row r="579">
          <cell r="U579">
            <v>0.61999999999534339</v>
          </cell>
          <cell r="X579">
            <v>0.61999999999534339</v>
          </cell>
          <cell r="Y579">
            <v>0.38000000000465661</v>
          </cell>
          <cell r="AD579">
            <v>1</v>
          </cell>
          <cell r="AE579" t="e">
            <v>#REF!</v>
          </cell>
          <cell r="AF579" t="e">
            <v>#REF!</v>
          </cell>
          <cell r="AG579">
            <v>-0.21700000000419095</v>
          </cell>
          <cell r="AH579">
            <v>0</v>
          </cell>
          <cell r="AI579">
            <v>0</v>
          </cell>
          <cell r="AJ579">
            <v>-0.21700000000419095</v>
          </cell>
          <cell r="AK579">
            <v>-0.13300000000162981</v>
          </cell>
          <cell r="AN579">
            <v>0</v>
          </cell>
          <cell r="AO579">
            <v>-0.35000000000582077</v>
          </cell>
          <cell r="AP579" t="e">
            <v>#REF!</v>
          </cell>
          <cell r="AQ579" t="e">
            <v>#REF!</v>
          </cell>
          <cell r="AR579" t="e">
            <v>#REF!</v>
          </cell>
        </row>
        <row r="580">
          <cell r="U580">
            <v>0</v>
          </cell>
          <cell r="X580">
            <v>0</v>
          </cell>
          <cell r="Y580">
            <v>0</v>
          </cell>
          <cell r="AD580">
            <v>0</v>
          </cell>
          <cell r="AE580" t="e">
            <v>#REF!</v>
          </cell>
          <cell r="AF580" t="e">
            <v>#REF!</v>
          </cell>
          <cell r="AG580">
            <v>0</v>
          </cell>
          <cell r="AJ580">
            <v>0</v>
          </cell>
          <cell r="AK580">
            <v>0</v>
          </cell>
          <cell r="AN580">
            <v>0</v>
          </cell>
          <cell r="AO580">
            <v>0</v>
          </cell>
          <cell r="AP580" t="e">
            <v>#REF!</v>
          </cell>
          <cell r="AQ580" t="e">
            <v>#REF!</v>
          </cell>
          <cell r="AR580" t="e">
            <v>#REF!</v>
          </cell>
        </row>
        <row r="581">
          <cell r="U581">
            <v>0</v>
          </cell>
          <cell r="X581">
            <v>0</v>
          </cell>
          <cell r="Y581">
            <v>0</v>
          </cell>
          <cell r="AD581">
            <v>0</v>
          </cell>
          <cell r="AE581" t="e">
            <v>#REF!</v>
          </cell>
          <cell r="AF581" t="e">
            <v>#REF!</v>
          </cell>
          <cell r="AG581">
            <v>0</v>
          </cell>
          <cell r="AH581">
            <v>0</v>
          </cell>
          <cell r="AI581">
            <v>0</v>
          </cell>
          <cell r="AJ581">
            <v>0</v>
          </cell>
          <cell r="AK581">
            <v>0</v>
          </cell>
          <cell r="AN581">
            <v>0</v>
          </cell>
          <cell r="AO581">
            <v>0</v>
          </cell>
          <cell r="AP581" t="e">
            <v>#REF!</v>
          </cell>
          <cell r="AQ581" t="e">
            <v>#REF!</v>
          </cell>
          <cell r="AR581" t="e">
            <v>#REF!</v>
          </cell>
        </row>
        <row r="582">
          <cell r="U582">
            <v>0</v>
          </cell>
          <cell r="X582">
            <v>0</v>
          </cell>
          <cell r="Y582">
            <v>0</v>
          </cell>
          <cell r="AD582">
            <v>0</v>
          </cell>
          <cell r="AE582" t="e">
            <v>#REF!</v>
          </cell>
          <cell r="AF582" t="e">
            <v>#REF!</v>
          </cell>
          <cell r="AG582">
            <v>0</v>
          </cell>
          <cell r="AH582">
            <v>0</v>
          </cell>
          <cell r="AI582">
            <v>0</v>
          </cell>
          <cell r="AJ582">
            <v>0</v>
          </cell>
          <cell r="AK582">
            <v>0</v>
          </cell>
          <cell r="AN582">
            <v>0</v>
          </cell>
          <cell r="AO582">
            <v>0</v>
          </cell>
          <cell r="AP582" t="e">
            <v>#REF!</v>
          </cell>
          <cell r="AQ582" t="e">
            <v>#REF!</v>
          </cell>
          <cell r="AR582" t="e">
            <v>#REF!</v>
          </cell>
        </row>
        <row r="583">
          <cell r="U583">
            <v>0</v>
          </cell>
          <cell r="X583">
            <v>0</v>
          </cell>
          <cell r="Y583">
            <v>0</v>
          </cell>
          <cell r="AD583">
            <v>0</v>
          </cell>
          <cell r="AE583" t="e">
            <v>#REF!</v>
          </cell>
          <cell r="AF583" t="e">
            <v>#REF!</v>
          </cell>
          <cell r="AG583">
            <v>0</v>
          </cell>
          <cell r="AH583">
            <v>0</v>
          </cell>
          <cell r="AI583">
            <v>0</v>
          </cell>
          <cell r="AJ583">
            <v>0</v>
          </cell>
          <cell r="AK583">
            <v>0</v>
          </cell>
          <cell r="AN583">
            <v>0</v>
          </cell>
          <cell r="AO583">
            <v>0</v>
          </cell>
          <cell r="AP583" t="e">
            <v>#REF!</v>
          </cell>
          <cell r="AQ583" t="e">
            <v>#REF!</v>
          </cell>
          <cell r="AR583" t="e">
            <v>#REF!</v>
          </cell>
        </row>
        <row r="584">
          <cell r="U584">
            <v>0</v>
          </cell>
          <cell r="X584">
            <v>0</v>
          </cell>
          <cell r="Y584">
            <v>0</v>
          </cell>
          <cell r="AD584">
            <v>0</v>
          </cell>
          <cell r="AE584" t="e">
            <v>#REF!</v>
          </cell>
          <cell r="AF584" t="e">
            <v>#REF!</v>
          </cell>
          <cell r="AG584">
            <v>0</v>
          </cell>
          <cell r="AH584">
            <v>0</v>
          </cell>
          <cell r="AI584">
            <v>0</v>
          </cell>
          <cell r="AK584">
            <v>0</v>
          </cell>
          <cell r="AN584">
            <v>0</v>
          </cell>
          <cell r="AO584">
            <v>0</v>
          </cell>
          <cell r="AP584" t="e">
            <v>#REF!</v>
          </cell>
          <cell r="AQ584" t="e">
            <v>#REF!</v>
          </cell>
          <cell r="AR584" t="e">
            <v>#REF!</v>
          </cell>
        </row>
        <row r="585">
          <cell r="U585">
            <v>0</v>
          </cell>
          <cell r="X585">
            <v>0</v>
          </cell>
          <cell r="Y585">
            <v>0</v>
          </cell>
          <cell r="AD585">
            <v>0</v>
          </cell>
          <cell r="AE585" t="e">
            <v>#REF!</v>
          </cell>
          <cell r="AF585" t="e">
            <v>#REF!</v>
          </cell>
          <cell r="AG585">
            <v>0</v>
          </cell>
          <cell r="AK585">
            <v>0</v>
          </cell>
          <cell r="AN585">
            <v>0</v>
          </cell>
          <cell r="AO585">
            <v>0</v>
          </cell>
          <cell r="AP585" t="e">
            <v>#REF!</v>
          </cell>
          <cell r="AQ585" t="e">
            <v>#REF!</v>
          </cell>
          <cell r="AR585" t="e">
            <v>#REF!</v>
          </cell>
        </row>
        <row r="586">
          <cell r="AE586" t="e">
            <v>#REF!</v>
          </cell>
          <cell r="AF586" t="e">
            <v>#REF!</v>
          </cell>
          <cell r="AP586" t="e">
            <v>#REF!</v>
          </cell>
          <cell r="AQ586" t="e">
            <v>#REF!</v>
          </cell>
          <cell r="AR586" t="e">
            <v>#REF!</v>
          </cell>
        </row>
        <row r="587">
          <cell r="U587">
            <v>-14815688.380000001</v>
          </cell>
          <cell r="V587">
            <v>0</v>
          </cell>
          <cell r="W587">
            <v>0</v>
          </cell>
          <cell r="X587">
            <v>-14815688.380000001</v>
          </cell>
          <cell r="Y587">
            <v>30190.380000000005</v>
          </cell>
          <cell r="Z587">
            <v>0</v>
          </cell>
          <cell r="AA587">
            <v>0</v>
          </cell>
          <cell r="AB587">
            <v>0</v>
          </cell>
          <cell r="AD587">
            <v>-14785498</v>
          </cell>
          <cell r="AE587" t="e">
            <v>#REF!</v>
          </cell>
          <cell r="AF587" t="e">
            <v>#REF!</v>
          </cell>
          <cell r="AG587">
            <v>5185490.9329999993</v>
          </cell>
          <cell r="AH587">
            <v>0</v>
          </cell>
          <cell r="AI587">
            <v>0</v>
          </cell>
          <cell r="AJ587">
            <v>5185490.9329999993</v>
          </cell>
          <cell r="AK587">
            <v>-10566.633000000002</v>
          </cell>
          <cell r="AL587">
            <v>0</v>
          </cell>
          <cell r="AM587">
            <v>0</v>
          </cell>
          <cell r="AN587">
            <v>0</v>
          </cell>
          <cell r="AO587">
            <v>5174924.3</v>
          </cell>
          <cell r="AQ587" t="e">
            <v>#REF!</v>
          </cell>
          <cell r="AR587" t="e">
            <v>#REF!</v>
          </cell>
        </row>
        <row r="588">
          <cell r="AD588">
            <v>-249874.91619999998</v>
          </cell>
          <cell r="AE588" t="e">
            <v>#REF!</v>
          </cell>
          <cell r="AF588" t="e">
            <v>#REF!</v>
          </cell>
          <cell r="AG588">
            <v>-5185490.9330000002</v>
          </cell>
          <cell r="AP588" t="e">
            <v>#REF!</v>
          </cell>
          <cell r="AQ588" t="e">
            <v>#REF!</v>
          </cell>
          <cell r="AR588" t="e">
            <v>#REF!</v>
          </cell>
        </row>
        <row r="589">
          <cell r="X589">
            <v>0</v>
          </cell>
          <cell r="AE589" t="e">
            <v>#REF!</v>
          </cell>
          <cell r="AF589" t="e">
            <v>#REF!</v>
          </cell>
          <cell r="AO589">
            <v>-5174924.3</v>
          </cell>
          <cell r="AP589" t="e">
            <v>#REF!</v>
          </cell>
          <cell r="AQ589" t="e">
            <v>#REF!</v>
          </cell>
          <cell r="AR589" t="e">
            <v>#REF!</v>
          </cell>
        </row>
        <row r="590">
          <cell r="X590">
            <v>0</v>
          </cell>
          <cell r="AE590" t="e">
            <v>#REF!</v>
          </cell>
          <cell r="AF590" t="e">
            <v>#REF!</v>
          </cell>
          <cell r="AP590" t="e">
            <v>#REF!</v>
          </cell>
          <cell r="AQ590" t="e">
            <v>#REF!</v>
          </cell>
          <cell r="AR590" t="e">
            <v>#REF!</v>
          </cell>
        </row>
        <row r="591">
          <cell r="X591">
            <v>0</v>
          </cell>
          <cell r="AE591" t="e">
            <v>#REF!</v>
          </cell>
          <cell r="AF591" t="e">
            <v>#REF!</v>
          </cell>
          <cell r="AP591" t="e">
            <v>#REF!</v>
          </cell>
          <cell r="AQ591" t="e">
            <v>#REF!</v>
          </cell>
          <cell r="AR591" t="e">
            <v>#REF!</v>
          </cell>
        </row>
        <row r="592">
          <cell r="AE592" t="e">
            <v>#REF!</v>
          </cell>
          <cell r="AF592" t="e">
            <v>#REF!</v>
          </cell>
        </row>
        <row r="593">
          <cell r="AE593" t="e">
            <v>#REF!</v>
          </cell>
          <cell r="AF593" t="e">
            <v>#REF!</v>
          </cell>
          <cell r="AP593" t="e">
            <v>#REF!</v>
          </cell>
          <cell r="AQ593" t="e">
            <v>#REF!</v>
          </cell>
          <cell r="AR593" t="e">
            <v>#REF!</v>
          </cell>
        </row>
        <row r="594">
          <cell r="U594">
            <v>-14815688.380000001</v>
          </cell>
          <cell r="V594">
            <v>0</v>
          </cell>
          <cell r="W594">
            <v>0</v>
          </cell>
          <cell r="X594">
            <v>-14815688.380000001</v>
          </cell>
          <cell r="Y594">
            <v>30190.380000000005</v>
          </cell>
          <cell r="Z594">
            <v>0</v>
          </cell>
          <cell r="AA594">
            <v>0</v>
          </cell>
          <cell r="AB594">
            <v>0</v>
          </cell>
          <cell r="AC594">
            <v>0</v>
          </cell>
          <cell r="AD594">
            <v>-14785498</v>
          </cell>
          <cell r="AE594" t="e">
            <v>#REF!</v>
          </cell>
          <cell r="AF594" t="e">
            <v>#REF!</v>
          </cell>
          <cell r="AG594">
            <v>5185490.9329999993</v>
          </cell>
          <cell r="AH594">
            <v>0</v>
          </cell>
          <cell r="AI594">
            <v>0</v>
          </cell>
          <cell r="AJ594">
            <v>5185490.9329999993</v>
          </cell>
          <cell r="AK594">
            <v>-10566.633000000002</v>
          </cell>
          <cell r="AL594">
            <v>0</v>
          </cell>
          <cell r="AM594">
            <v>0</v>
          </cell>
          <cell r="AN594">
            <v>0</v>
          </cell>
          <cell r="AO594">
            <v>0</v>
          </cell>
          <cell r="AP594" t="e">
            <v>#REF!</v>
          </cell>
          <cell r="AQ594" t="e">
            <v>#REF!</v>
          </cell>
          <cell r="AR594" t="e">
            <v>#REF!</v>
          </cell>
        </row>
        <row r="595">
          <cell r="AD595">
            <v>-249874.91619999998</v>
          </cell>
        </row>
        <row r="597">
          <cell r="Y597">
            <v>510.21742200000006</v>
          </cell>
        </row>
        <row r="608">
          <cell r="X608">
            <v>0</v>
          </cell>
        </row>
        <row r="609">
          <cell r="X609">
            <v>0</v>
          </cell>
        </row>
        <row r="610">
          <cell r="U610">
            <v>54637270</v>
          </cell>
          <cell r="X610">
            <v>54637270</v>
          </cell>
          <cell r="Y610">
            <v>0</v>
          </cell>
          <cell r="AD610">
            <v>54637270</v>
          </cell>
          <cell r="AE610" t="e">
            <v>#REF!</v>
          </cell>
          <cell r="AF610" t="e">
            <v>#REF!</v>
          </cell>
          <cell r="AG610">
            <v>-19123044.5</v>
          </cell>
          <cell r="AH610">
            <v>0</v>
          </cell>
          <cell r="AI610">
            <v>0</v>
          </cell>
          <cell r="AJ610">
            <v>-19123044.5</v>
          </cell>
          <cell r="AK610">
            <v>0</v>
          </cell>
          <cell r="AL610">
            <v>0</v>
          </cell>
          <cell r="AM610">
            <v>0</v>
          </cell>
          <cell r="AN610">
            <v>0</v>
          </cell>
          <cell r="AO610">
            <v>-19123044.5</v>
          </cell>
          <cell r="AQ610">
            <v>0</v>
          </cell>
          <cell r="AR610">
            <v>-19123044.5</v>
          </cell>
        </row>
        <row r="611">
          <cell r="U611">
            <v>-4631084</v>
          </cell>
          <cell r="X611">
            <v>-4631084</v>
          </cell>
          <cell r="Y611">
            <v>0</v>
          </cell>
          <cell r="AD611">
            <v>-4631084</v>
          </cell>
          <cell r="AG611">
            <v>1620879.4</v>
          </cell>
          <cell r="AH611">
            <v>0</v>
          </cell>
          <cell r="AI611">
            <v>0</v>
          </cell>
          <cell r="AJ611">
            <v>1620879.4</v>
          </cell>
          <cell r="AK611">
            <v>0</v>
          </cell>
          <cell r="AL611">
            <v>0</v>
          </cell>
          <cell r="AM611">
            <v>0</v>
          </cell>
          <cell r="AN611">
            <v>0</v>
          </cell>
          <cell r="AO611">
            <v>1620879.4</v>
          </cell>
        </row>
        <row r="612">
          <cell r="U612">
            <v>-4462517</v>
          </cell>
          <cell r="X612">
            <v>-4462517</v>
          </cell>
          <cell r="Y612">
            <v>-7107</v>
          </cell>
          <cell r="AD612">
            <v>-4469624</v>
          </cell>
          <cell r="AG612">
            <v>1561880.95</v>
          </cell>
          <cell r="AH612">
            <v>0</v>
          </cell>
          <cell r="AI612">
            <v>0</v>
          </cell>
          <cell r="AJ612">
            <v>1561880.95</v>
          </cell>
          <cell r="AK612">
            <v>2487.4499999999998</v>
          </cell>
          <cell r="AL612">
            <v>0</v>
          </cell>
          <cell r="AM612">
            <v>0</v>
          </cell>
          <cell r="AN612">
            <v>0</v>
          </cell>
          <cell r="AO612">
            <v>1564368.4</v>
          </cell>
        </row>
        <row r="613">
          <cell r="U613">
            <v>0</v>
          </cell>
          <cell r="X613">
            <v>0</v>
          </cell>
          <cell r="Y613">
            <v>0</v>
          </cell>
          <cell r="AD613">
            <v>0</v>
          </cell>
          <cell r="AG613">
            <v>0</v>
          </cell>
          <cell r="AH613">
            <v>0</v>
          </cell>
          <cell r="AI613">
            <v>0</v>
          </cell>
          <cell r="AJ613">
            <v>0</v>
          </cell>
          <cell r="AK613">
            <v>0</v>
          </cell>
          <cell r="AL613">
            <v>0</v>
          </cell>
          <cell r="AM613">
            <v>0</v>
          </cell>
          <cell r="AN613">
            <v>0</v>
          </cell>
          <cell r="AO613">
            <v>0</v>
          </cell>
        </row>
        <row r="614">
          <cell r="U614">
            <v>3839591</v>
          </cell>
          <cell r="X614">
            <v>3839591</v>
          </cell>
          <cell r="Y614">
            <v>-16953</v>
          </cell>
          <cell r="AD614">
            <v>3822638</v>
          </cell>
          <cell r="AG614">
            <v>-1343856.85</v>
          </cell>
          <cell r="AH614">
            <v>0</v>
          </cell>
          <cell r="AI614">
            <v>0</v>
          </cell>
          <cell r="AJ614">
            <v>-1343856.85</v>
          </cell>
          <cell r="AK614">
            <v>5933.5499999999993</v>
          </cell>
          <cell r="AL614">
            <v>0</v>
          </cell>
          <cell r="AM614">
            <v>0</v>
          </cell>
          <cell r="AN614">
            <v>0</v>
          </cell>
          <cell r="AO614">
            <v>-1337923.3</v>
          </cell>
          <cell r="AQ614">
            <v>0</v>
          </cell>
          <cell r="AR614">
            <v>-1337923.3</v>
          </cell>
        </row>
        <row r="615">
          <cell r="U615">
            <v>-1</v>
          </cell>
          <cell r="X615">
            <v>-1</v>
          </cell>
          <cell r="Y615">
            <v>0</v>
          </cell>
          <cell r="AD615">
            <v>-1</v>
          </cell>
          <cell r="AG615">
            <v>0.35000000000582077</v>
          </cell>
          <cell r="AH615">
            <v>0</v>
          </cell>
          <cell r="AI615">
            <v>0</v>
          </cell>
          <cell r="AJ615">
            <v>0.35000000000582077</v>
          </cell>
          <cell r="AK615">
            <v>0</v>
          </cell>
          <cell r="AL615">
            <v>0</v>
          </cell>
          <cell r="AM615">
            <v>0</v>
          </cell>
          <cell r="AN615">
            <v>0</v>
          </cell>
          <cell r="AO615">
            <v>0.35000000000582077</v>
          </cell>
        </row>
        <row r="616">
          <cell r="U616">
            <v>0</v>
          </cell>
          <cell r="X616">
            <v>0</v>
          </cell>
          <cell r="Y616">
            <v>0</v>
          </cell>
          <cell r="AD616">
            <v>0</v>
          </cell>
          <cell r="AG616">
            <v>0</v>
          </cell>
          <cell r="AH616">
            <v>0</v>
          </cell>
          <cell r="AI616">
            <v>0</v>
          </cell>
          <cell r="AJ616">
            <v>0</v>
          </cell>
          <cell r="AK616">
            <v>0</v>
          </cell>
          <cell r="AL616">
            <v>0</v>
          </cell>
          <cell r="AM616">
            <v>0</v>
          </cell>
          <cell r="AN616">
            <v>0</v>
          </cell>
          <cell r="AO616">
            <v>0</v>
          </cell>
          <cell r="AQ616">
            <v>0</v>
          </cell>
          <cell r="AR616">
            <v>0</v>
          </cell>
        </row>
        <row r="617">
          <cell r="U617">
            <v>0</v>
          </cell>
          <cell r="X617">
            <v>0</v>
          </cell>
          <cell r="Y617">
            <v>0</v>
          </cell>
          <cell r="AD617">
            <v>0</v>
          </cell>
          <cell r="AE617" t="e">
            <v>#REF!</v>
          </cell>
          <cell r="AF617" t="e">
            <v>#REF!</v>
          </cell>
          <cell r="AG617">
            <v>0</v>
          </cell>
          <cell r="AH617">
            <v>0</v>
          </cell>
          <cell r="AI617">
            <v>0</v>
          </cell>
          <cell r="AJ617">
            <v>0</v>
          </cell>
          <cell r="AK617">
            <v>0</v>
          </cell>
          <cell r="AL617">
            <v>0</v>
          </cell>
          <cell r="AM617">
            <v>0</v>
          </cell>
          <cell r="AN617">
            <v>0</v>
          </cell>
          <cell r="AO617">
            <v>0</v>
          </cell>
          <cell r="AQ617">
            <v>0</v>
          </cell>
          <cell r="AR617">
            <v>0</v>
          </cell>
        </row>
        <row r="618">
          <cell r="U618">
            <v>-526443</v>
          </cell>
          <cell r="X618">
            <v>-526443</v>
          </cell>
          <cell r="Y618">
            <v>0</v>
          </cell>
          <cell r="AD618">
            <v>-526443</v>
          </cell>
          <cell r="AG618">
            <v>184255.05</v>
          </cell>
          <cell r="AH618">
            <v>0</v>
          </cell>
          <cell r="AI618">
            <v>0</v>
          </cell>
          <cell r="AJ618">
            <v>184255.05</v>
          </cell>
          <cell r="AK618">
            <v>0</v>
          </cell>
          <cell r="AL618">
            <v>0</v>
          </cell>
          <cell r="AM618">
            <v>0</v>
          </cell>
          <cell r="AN618">
            <v>0</v>
          </cell>
          <cell r="AO618">
            <v>184255.05</v>
          </cell>
          <cell r="AQ618">
            <v>0</v>
          </cell>
          <cell r="AR618">
            <v>184255.05</v>
          </cell>
        </row>
        <row r="619">
          <cell r="U619">
            <v>0</v>
          </cell>
          <cell r="X619">
            <v>0</v>
          </cell>
          <cell r="Y619">
            <v>1580646</v>
          </cell>
          <cell r="AC619">
            <v>-6</v>
          </cell>
          <cell r="AD619">
            <v>1580646</v>
          </cell>
          <cell r="AG619">
            <v>0</v>
          </cell>
          <cell r="AH619">
            <v>0</v>
          </cell>
          <cell r="AI619">
            <v>0</v>
          </cell>
          <cell r="AJ619">
            <v>0</v>
          </cell>
          <cell r="AK619">
            <v>-553226.1</v>
          </cell>
          <cell r="AL619">
            <v>0</v>
          </cell>
          <cell r="AM619">
            <v>0</v>
          </cell>
          <cell r="AN619">
            <v>0</v>
          </cell>
          <cell r="AO619">
            <v>-553226.1</v>
          </cell>
          <cell r="AQ619">
            <v>0</v>
          </cell>
          <cell r="AR619">
            <v>-553226.1</v>
          </cell>
        </row>
        <row r="620">
          <cell r="U620">
            <v>-191131</v>
          </cell>
          <cell r="X620">
            <v>-191131</v>
          </cell>
          <cell r="Y620">
            <v>0</v>
          </cell>
          <cell r="AD620">
            <v>-191131</v>
          </cell>
          <cell r="AG620">
            <v>66895.850000000006</v>
          </cell>
          <cell r="AH620">
            <v>0</v>
          </cell>
          <cell r="AI620">
            <v>0</v>
          </cell>
          <cell r="AJ620">
            <v>66895.850000000006</v>
          </cell>
          <cell r="AK620">
            <v>0</v>
          </cell>
          <cell r="AL620">
            <v>0</v>
          </cell>
          <cell r="AM620">
            <v>0</v>
          </cell>
          <cell r="AN620">
            <v>0</v>
          </cell>
          <cell r="AO620">
            <v>66895.850000000006</v>
          </cell>
          <cell r="AQ620">
            <v>0</v>
          </cell>
          <cell r="AR620">
            <v>66895.850000000006</v>
          </cell>
        </row>
        <row r="621">
          <cell r="U621">
            <v>-10000</v>
          </cell>
          <cell r="X621">
            <v>-10000</v>
          </cell>
          <cell r="Y621">
            <v>0</v>
          </cell>
          <cell r="AD621">
            <v>-10000</v>
          </cell>
          <cell r="AE621" t="e">
            <v>#REF!</v>
          </cell>
          <cell r="AF621" t="e">
            <v>#REF!</v>
          </cell>
          <cell r="AG621">
            <v>3500</v>
          </cell>
          <cell r="AH621">
            <v>0</v>
          </cell>
          <cell r="AI621">
            <v>0</v>
          </cell>
          <cell r="AJ621">
            <v>3500</v>
          </cell>
          <cell r="AK621">
            <v>0</v>
          </cell>
          <cell r="AL621">
            <v>0</v>
          </cell>
          <cell r="AM621">
            <v>0</v>
          </cell>
          <cell r="AN621">
            <v>0</v>
          </cell>
          <cell r="AO621">
            <v>3500</v>
          </cell>
          <cell r="AQ621">
            <v>0</v>
          </cell>
          <cell r="AR621">
            <v>3500</v>
          </cell>
        </row>
        <row r="622">
          <cell r="U622">
            <v>-11194862</v>
          </cell>
          <cell r="X622">
            <v>-11194862</v>
          </cell>
          <cell r="Y622">
            <v>-2227243</v>
          </cell>
          <cell r="AD622">
            <v>-13422105</v>
          </cell>
          <cell r="AE622" t="e">
            <v>#REF!</v>
          </cell>
          <cell r="AF622" t="e">
            <v>#REF!</v>
          </cell>
          <cell r="AG622">
            <v>3918201.7</v>
          </cell>
          <cell r="AH622">
            <v>0</v>
          </cell>
          <cell r="AI622">
            <v>0</v>
          </cell>
          <cell r="AJ622">
            <v>3918201.7</v>
          </cell>
          <cell r="AK622">
            <v>779535.04999999993</v>
          </cell>
          <cell r="AL622">
            <v>0</v>
          </cell>
          <cell r="AM622">
            <v>0</v>
          </cell>
          <cell r="AN622">
            <v>0</v>
          </cell>
          <cell r="AO622">
            <v>4697736.75</v>
          </cell>
          <cell r="AQ622">
            <v>0</v>
          </cell>
          <cell r="AR622">
            <v>4697736.75</v>
          </cell>
        </row>
        <row r="623">
          <cell r="U623">
            <v>-24415528</v>
          </cell>
          <cell r="X623">
            <v>-24415528</v>
          </cell>
          <cell r="Y623">
            <v>1486243</v>
          </cell>
          <cell r="AD623">
            <v>-22929285</v>
          </cell>
          <cell r="AE623" t="e">
            <v>#REF!</v>
          </cell>
          <cell r="AF623" t="e">
            <v>#REF!</v>
          </cell>
          <cell r="AG623">
            <v>8545434.7999999989</v>
          </cell>
          <cell r="AH623">
            <v>0</v>
          </cell>
          <cell r="AI623">
            <v>0</v>
          </cell>
          <cell r="AJ623">
            <v>8545434.7999999989</v>
          </cell>
          <cell r="AK623">
            <v>-520185.05</v>
          </cell>
          <cell r="AL623">
            <v>0</v>
          </cell>
          <cell r="AM623">
            <v>0</v>
          </cell>
          <cell r="AN623">
            <v>0</v>
          </cell>
          <cell r="AO623">
            <v>8025249.7499999991</v>
          </cell>
          <cell r="AQ623">
            <v>0</v>
          </cell>
          <cell r="AR623">
            <v>8025249.7499999991</v>
          </cell>
        </row>
        <row r="624">
          <cell r="U624">
            <v>-7793</v>
          </cell>
          <cell r="X624">
            <v>-7793</v>
          </cell>
          <cell r="Y624">
            <v>0</v>
          </cell>
          <cell r="AD624">
            <v>-7793</v>
          </cell>
          <cell r="AE624" t="e">
            <v>#REF!</v>
          </cell>
          <cell r="AF624" t="e">
            <v>#REF!</v>
          </cell>
          <cell r="AG624">
            <v>2727.55</v>
          </cell>
          <cell r="AH624">
            <v>0</v>
          </cell>
          <cell r="AI624">
            <v>0</v>
          </cell>
          <cell r="AJ624">
            <v>2727.55</v>
          </cell>
          <cell r="AK624">
            <v>0</v>
          </cell>
          <cell r="AL624">
            <v>0</v>
          </cell>
          <cell r="AM624">
            <v>0</v>
          </cell>
          <cell r="AN624">
            <v>0</v>
          </cell>
          <cell r="AO624">
            <v>2727.55</v>
          </cell>
          <cell r="AQ624">
            <v>0</v>
          </cell>
          <cell r="AR624">
            <v>2727.55</v>
          </cell>
        </row>
        <row r="625">
          <cell r="U625">
            <v>-2346790</v>
          </cell>
          <cell r="X625">
            <v>-2346790</v>
          </cell>
          <cell r="Y625">
            <v>-2649453</v>
          </cell>
          <cell r="AD625">
            <v>-4996243</v>
          </cell>
          <cell r="AE625" t="e">
            <v>#REF!</v>
          </cell>
          <cell r="AF625" t="e">
            <v>#REF!</v>
          </cell>
          <cell r="AG625">
            <v>821376.5</v>
          </cell>
          <cell r="AH625">
            <v>0</v>
          </cell>
          <cell r="AI625">
            <v>0</v>
          </cell>
          <cell r="AJ625">
            <v>821376.5</v>
          </cell>
          <cell r="AK625">
            <v>927308.54999999993</v>
          </cell>
          <cell r="AL625">
            <v>0</v>
          </cell>
          <cell r="AM625">
            <v>0</v>
          </cell>
          <cell r="AN625">
            <v>0</v>
          </cell>
          <cell r="AO625">
            <v>1748685.0499999998</v>
          </cell>
          <cell r="AQ625">
            <v>0</v>
          </cell>
          <cell r="AR625">
            <v>1748685.0499999998</v>
          </cell>
        </row>
        <row r="626">
          <cell r="U626">
            <v>-25070</v>
          </cell>
          <cell r="X626">
            <v>-25070</v>
          </cell>
          <cell r="Y626">
            <v>0</v>
          </cell>
          <cell r="AD626">
            <v>-25070</v>
          </cell>
          <cell r="AE626" t="e">
            <v>#REF!</v>
          </cell>
          <cell r="AF626" t="e">
            <v>#REF!</v>
          </cell>
          <cell r="AG626">
            <v>8774.5</v>
          </cell>
          <cell r="AH626">
            <v>0</v>
          </cell>
          <cell r="AI626">
            <v>0</v>
          </cell>
          <cell r="AJ626">
            <v>8774.5</v>
          </cell>
          <cell r="AK626">
            <v>0</v>
          </cell>
          <cell r="AL626">
            <v>0</v>
          </cell>
          <cell r="AM626">
            <v>0</v>
          </cell>
          <cell r="AN626">
            <v>0</v>
          </cell>
          <cell r="AO626">
            <v>8774.5</v>
          </cell>
          <cell r="AQ626">
            <v>0</v>
          </cell>
          <cell r="AR626">
            <v>8774.5</v>
          </cell>
        </row>
        <row r="627">
          <cell r="U627">
            <v>296068</v>
          </cell>
          <cell r="X627">
            <v>296068</v>
          </cell>
          <cell r="Y627">
            <v>-19630</v>
          </cell>
          <cell r="AD627">
            <v>276438</v>
          </cell>
          <cell r="AE627" t="e">
            <v>#REF!</v>
          </cell>
          <cell r="AF627" t="e">
            <v>#REF!</v>
          </cell>
          <cell r="AG627">
            <v>-103623.8</v>
          </cell>
          <cell r="AH627">
            <v>0</v>
          </cell>
          <cell r="AI627">
            <v>0</v>
          </cell>
          <cell r="AJ627">
            <v>-103623.8</v>
          </cell>
          <cell r="AK627">
            <v>6870.5</v>
          </cell>
          <cell r="AL627">
            <v>0</v>
          </cell>
          <cell r="AM627">
            <v>0</v>
          </cell>
          <cell r="AN627">
            <v>0</v>
          </cell>
          <cell r="AO627">
            <v>-96753.3</v>
          </cell>
          <cell r="AQ627">
            <v>0</v>
          </cell>
          <cell r="AR627">
            <v>-96753.3</v>
          </cell>
        </row>
        <row r="628">
          <cell r="U628">
            <v>0</v>
          </cell>
          <cell r="X628">
            <v>0</v>
          </cell>
          <cell r="Y628">
            <v>49514</v>
          </cell>
          <cell r="AD628">
            <v>49514</v>
          </cell>
          <cell r="AG628">
            <v>0</v>
          </cell>
          <cell r="AH628">
            <v>0</v>
          </cell>
          <cell r="AI628">
            <v>0</v>
          </cell>
          <cell r="AJ628">
            <v>0</v>
          </cell>
          <cell r="AK628">
            <v>-17329.899999999998</v>
          </cell>
          <cell r="AL628">
            <v>0</v>
          </cell>
          <cell r="AM628">
            <v>0</v>
          </cell>
          <cell r="AN628">
            <v>0</v>
          </cell>
          <cell r="AO628">
            <v>-17329.899999999998</v>
          </cell>
        </row>
        <row r="629">
          <cell r="U629">
            <v>0</v>
          </cell>
          <cell r="X629">
            <v>0</v>
          </cell>
          <cell r="Y629">
            <v>0</v>
          </cell>
          <cell r="AD629">
            <v>0</v>
          </cell>
          <cell r="AG629">
            <v>0</v>
          </cell>
          <cell r="AH629">
            <v>0</v>
          </cell>
          <cell r="AI629">
            <v>0</v>
          </cell>
          <cell r="AJ629">
            <v>0</v>
          </cell>
          <cell r="AK629">
            <v>0</v>
          </cell>
          <cell r="AL629">
            <v>0</v>
          </cell>
          <cell r="AM629">
            <v>0</v>
          </cell>
          <cell r="AN629">
            <v>0</v>
          </cell>
          <cell r="AO629">
            <v>0</v>
          </cell>
        </row>
        <row r="630">
          <cell r="U630">
            <v>0</v>
          </cell>
          <cell r="X630">
            <v>0</v>
          </cell>
          <cell r="Y630">
            <v>0</v>
          </cell>
          <cell r="AD630">
            <v>0</v>
          </cell>
          <cell r="AG630">
            <v>0</v>
          </cell>
          <cell r="AH630">
            <v>0</v>
          </cell>
          <cell r="AI630">
            <v>0</v>
          </cell>
          <cell r="AJ630">
            <v>0</v>
          </cell>
          <cell r="AK630">
            <v>0</v>
          </cell>
          <cell r="AL630">
            <v>0</v>
          </cell>
          <cell r="AM630">
            <v>0</v>
          </cell>
          <cell r="AN630">
            <v>0</v>
          </cell>
          <cell r="AO630">
            <v>0</v>
          </cell>
        </row>
        <row r="631">
          <cell r="U631">
            <v>0</v>
          </cell>
          <cell r="X631">
            <v>0</v>
          </cell>
          <cell r="Y631">
            <v>0</v>
          </cell>
          <cell r="AD631">
            <v>0</v>
          </cell>
          <cell r="AG631">
            <v>0</v>
          </cell>
          <cell r="AH631">
            <v>0</v>
          </cell>
          <cell r="AI631">
            <v>0</v>
          </cell>
          <cell r="AJ631">
            <v>0</v>
          </cell>
          <cell r="AK631">
            <v>0</v>
          </cell>
          <cell r="AL631">
            <v>0</v>
          </cell>
          <cell r="AM631">
            <v>0</v>
          </cell>
          <cell r="AN631">
            <v>0</v>
          </cell>
          <cell r="AO631">
            <v>0</v>
          </cell>
        </row>
        <row r="632">
          <cell r="U632">
            <v>17318</v>
          </cell>
          <cell r="X632">
            <v>17318</v>
          </cell>
          <cell r="Y632">
            <v>12141</v>
          </cell>
          <cell r="AD632">
            <v>29459</v>
          </cell>
          <cell r="AG632">
            <v>-6061.3</v>
          </cell>
          <cell r="AH632">
            <v>0</v>
          </cell>
          <cell r="AI632">
            <v>0</v>
          </cell>
          <cell r="AJ632">
            <v>-6061.3</v>
          </cell>
          <cell r="AK632">
            <v>-4249.3499999999995</v>
          </cell>
          <cell r="AL632">
            <v>0</v>
          </cell>
          <cell r="AM632">
            <v>0</v>
          </cell>
          <cell r="AN632">
            <v>0</v>
          </cell>
          <cell r="AO632">
            <v>-10310.65</v>
          </cell>
        </row>
        <row r="633">
          <cell r="U633">
            <v>0</v>
          </cell>
          <cell r="X633">
            <v>0</v>
          </cell>
          <cell r="Y633">
            <v>0</v>
          </cell>
          <cell r="AD633">
            <v>0</v>
          </cell>
          <cell r="AE633" t="e">
            <v>#REF!</v>
          </cell>
          <cell r="AF633" t="e">
            <v>#REF!</v>
          </cell>
          <cell r="AG633">
            <v>0</v>
          </cell>
          <cell r="AH633">
            <v>0</v>
          </cell>
          <cell r="AI633">
            <v>0</v>
          </cell>
          <cell r="AJ633">
            <v>0</v>
          </cell>
          <cell r="AK633">
            <v>0</v>
          </cell>
          <cell r="AL633">
            <v>0</v>
          </cell>
          <cell r="AM633">
            <v>0</v>
          </cell>
          <cell r="AN633">
            <v>0</v>
          </cell>
          <cell r="AO633">
            <v>0</v>
          </cell>
          <cell r="AQ633">
            <v>0</v>
          </cell>
          <cell r="AR633">
            <v>0</v>
          </cell>
        </row>
        <row r="634">
          <cell r="U634">
            <v>-300000</v>
          </cell>
          <cell r="X634">
            <v>-300000</v>
          </cell>
          <cell r="Y634">
            <v>0</v>
          </cell>
          <cell r="AD634">
            <v>-300000</v>
          </cell>
          <cell r="AE634" t="e">
            <v>#REF!</v>
          </cell>
          <cell r="AF634" t="e">
            <v>#REF!</v>
          </cell>
          <cell r="AG634">
            <v>105000</v>
          </cell>
          <cell r="AH634">
            <v>0</v>
          </cell>
          <cell r="AI634">
            <v>0</v>
          </cell>
          <cell r="AJ634">
            <v>105000</v>
          </cell>
          <cell r="AK634">
            <v>0</v>
          </cell>
          <cell r="AL634">
            <v>0</v>
          </cell>
          <cell r="AM634">
            <v>0</v>
          </cell>
          <cell r="AN634">
            <v>0</v>
          </cell>
          <cell r="AO634">
            <v>105000</v>
          </cell>
          <cell r="AQ634">
            <v>0</v>
          </cell>
          <cell r="AR634">
            <v>105000</v>
          </cell>
        </row>
        <row r="635">
          <cell r="U635">
            <v>0</v>
          </cell>
          <cell r="X635">
            <v>0</v>
          </cell>
          <cell r="Y635">
            <v>0</v>
          </cell>
          <cell r="AD635">
            <v>0</v>
          </cell>
          <cell r="AE635" t="e">
            <v>#REF!</v>
          </cell>
          <cell r="AF635" t="e">
            <v>#REF!</v>
          </cell>
          <cell r="AG635">
            <v>0</v>
          </cell>
          <cell r="AH635">
            <v>0</v>
          </cell>
          <cell r="AI635">
            <v>0</v>
          </cell>
          <cell r="AJ635">
            <v>0</v>
          </cell>
          <cell r="AK635">
            <v>0</v>
          </cell>
          <cell r="AL635">
            <v>0</v>
          </cell>
          <cell r="AM635">
            <v>0</v>
          </cell>
          <cell r="AN635">
            <v>0</v>
          </cell>
          <cell r="AO635">
            <v>0</v>
          </cell>
          <cell r="AQ635">
            <v>0</v>
          </cell>
          <cell r="AR635">
            <v>0</v>
          </cell>
        </row>
        <row r="636">
          <cell r="U636">
            <v>26702</v>
          </cell>
          <cell r="X636">
            <v>26702</v>
          </cell>
          <cell r="Y636">
            <v>0</v>
          </cell>
          <cell r="AD636">
            <v>26702</v>
          </cell>
          <cell r="AE636" t="e">
            <v>#REF!</v>
          </cell>
          <cell r="AF636" t="e">
            <v>#REF!</v>
          </cell>
          <cell r="AG636">
            <v>-9345.7000000000007</v>
          </cell>
          <cell r="AH636">
            <v>0</v>
          </cell>
          <cell r="AI636">
            <v>0</v>
          </cell>
          <cell r="AJ636">
            <v>-9345.7000000000007</v>
          </cell>
          <cell r="AK636">
            <v>0</v>
          </cell>
          <cell r="AL636">
            <v>0</v>
          </cell>
          <cell r="AM636">
            <v>0</v>
          </cell>
          <cell r="AN636">
            <v>0</v>
          </cell>
          <cell r="AO636">
            <v>-9345.7000000000007</v>
          </cell>
          <cell r="AQ636">
            <v>0</v>
          </cell>
          <cell r="AR636">
            <v>-9345.7000000000007</v>
          </cell>
        </row>
        <row r="637">
          <cell r="U637">
            <v>-7310</v>
          </cell>
          <cell r="X637">
            <v>-7310</v>
          </cell>
          <cell r="Y637">
            <v>0</v>
          </cell>
          <cell r="AD637">
            <v>-7310</v>
          </cell>
          <cell r="AE637" t="e">
            <v>#REF!</v>
          </cell>
          <cell r="AF637" t="e">
            <v>#REF!</v>
          </cell>
          <cell r="AG637">
            <v>2558.5</v>
          </cell>
          <cell r="AH637">
            <v>0</v>
          </cell>
          <cell r="AI637">
            <v>0</v>
          </cell>
          <cell r="AJ637">
            <v>2558.5</v>
          </cell>
          <cell r="AK637">
            <v>0</v>
          </cell>
          <cell r="AL637">
            <v>0</v>
          </cell>
          <cell r="AM637">
            <v>0</v>
          </cell>
          <cell r="AN637">
            <v>0</v>
          </cell>
          <cell r="AO637">
            <v>2558.5</v>
          </cell>
          <cell r="AQ637">
            <v>0</v>
          </cell>
          <cell r="AR637">
            <v>2558.5</v>
          </cell>
        </row>
        <row r="638">
          <cell r="U638">
            <v>-351531</v>
          </cell>
          <cell r="X638">
            <v>-351531</v>
          </cell>
          <cell r="Y638">
            <v>0</v>
          </cell>
          <cell r="AD638">
            <v>-351531</v>
          </cell>
          <cell r="AE638" t="e">
            <v>#REF!</v>
          </cell>
          <cell r="AF638" t="e">
            <v>#REF!</v>
          </cell>
          <cell r="AG638">
            <v>123035.85</v>
          </cell>
          <cell r="AH638">
            <v>0</v>
          </cell>
          <cell r="AI638">
            <v>0</v>
          </cell>
          <cell r="AJ638">
            <v>123035.85</v>
          </cell>
          <cell r="AK638">
            <v>0</v>
          </cell>
          <cell r="AL638">
            <v>0</v>
          </cell>
          <cell r="AM638">
            <v>0</v>
          </cell>
          <cell r="AN638">
            <v>0</v>
          </cell>
          <cell r="AO638">
            <v>123035.85</v>
          </cell>
          <cell r="AQ638">
            <v>0</v>
          </cell>
          <cell r="AR638">
            <v>123035.85</v>
          </cell>
        </row>
        <row r="639">
          <cell r="U639">
            <v>1367511</v>
          </cell>
          <cell r="X639">
            <v>1367511</v>
          </cell>
          <cell r="Y639">
            <v>0</v>
          </cell>
          <cell r="Z639">
            <v>0</v>
          </cell>
          <cell r="AA639">
            <v>0</v>
          </cell>
          <cell r="AD639">
            <v>1367511</v>
          </cell>
          <cell r="AG639">
            <v>-478628.85</v>
          </cell>
          <cell r="AH639">
            <v>0</v>
          </cell>
          <cell r="AI639">
            <v>0</v>
          </cell>
          <cell r="AJ639">
            <v>-478628.85</v>
          </cell>
          <cell r="AK639">
            <v>0</v>
          </cell>
          <cell r="AL639">
            <v>0</v>
          </cell>
          <cell r="AM639">
            <v>0</v>
          </cell>
          <cell r="AN639">
            <v>0</v>
          </cell>
          <cell r="AO639">
            <v>-478628.85</v>
          </cell>
        </row>
        <row r="640">
          <cell r="U640">
            <v>-12304</v>
          </cell>
          <cell r="X640">
            <v>-12304</v>
          </cell>
          <cell r="Y640">
            <v>0</v>
          </cell>
          <cell r="AD640">
            <v>-12304</v>
          </cell>
          <cell r="AG640">
            <v>4305.7</v>
          </cell>
          <cell r="AJ640">
            <v>4305.7</v>
          </cell>
          <cell r="AK640">
            <v>0</v>
          </cell>
          <cell r="AL640">
            <v>0</v>
          </cell>
          <cell r="AM640">
            <v>0</v>
          </cell>
          <cell r="AN640">
            <v>0</v>
          </cell>
          <cell r="AO640">
            <v>4305.7</v>
          </cell>
        </row>
        <row r="641">
          <cell r="U641">
            <v>0</v>
          </cell>
          <cell r="X641">
            <v>0</v>
          </cell>
          <cell r="Y641">
            <v>0</v>
          </cell>
          <cell r="AD641">
            <v>0</v>
          </cell>
          <cell r="AG641">
            <v>0</v>
          </cell>
          <cell r="AJ641">
            <v>0</v>
          </cell>
          <cell r="AK641">
            <v>0</v>
          </cell>
          <cell r="AL641">
            <v>0</v>
          </cell>
          <cell r="AM641">
            <v>0</v>
          </cell>
          <cell r="AN641">
            <v>0</v>
          </cell>
          <cell r="AO641">
            <v>0</v>
          </cell>
        </row>
        <row r="642">
          <cell r="U642">
            <v>0</v>
          </cell>
          <cell r="X642">
            <v>0</v>
          </cell>
          <cell r="Y642">
            <v>0</v>
          </cell>
          <cell r="AD642">
            <v>0</v>
          </cell>
          <cell r="AG642">
            <v>0</v>
          </cell>
          <cell r="AK642">
            <v>0</v>
          </cell>
          <cell r="AL642">
            <v>0</v>
          </cell>
          <cell r="AM642">
            <v>0</v>
          </cell>
          <cell r="AN642">
            <v>0</v>
          </cell>
          <cell r="AO642">
            <v>0</v>
          </cell>
        </row>
        <row r="644">
          <cell r="U644">
            <v>11702096</v>
          </cell>
          <cell r="V644">
            <v>0</v>
          </cell>
          <cell r="W644">
            <v>0</v>
          </cell>
          <cell r="X644">
            <v>11702096</v>
          </cell>
          <cell r="Y644">
            <v>-1791842</v>
          </cell>
          <cell r="Z644">
            <v>0</v>
          </cell>
          <cell r="AA644">
            <v>0</v>
          </cell>
          <cell r="AB644">
            <v>0</v>
          </cell>
          <cell r="AD644">
            <v>9910254</v>
          </cell>
          <cell r="AE644" t="e">
            <v>#REF!</v>
          </cell>
          <cell r="AF644" t="e">
            <v>#REF!</v>
          </cell>
          <cell r="AG644">
            <v>-4095734.3000000017</v>
          </cell>
          <cell r="AH644">
            <v>0</v>
          </cell>
          <cell r="AI644">
            <v>0</v>
          </cell>
          <cell r="AJ644">
            <v>-4095734.3000000017</v>
          </cell>
          <cell r="AK644">
            <v>627144.69999999995</v>
          </cell>
          <cell r="AL644">
            <v>0</v>
          </cell>
          <cell r="AM644">
            <v>0</v>
          </cell>
          <cell r="AN644">
            <v>0</v>
          </cell>
          <cell r="AO644">
            <v>-3468589.5999999987</v>
          </cell>
          <cell r="AQ644">
            <v>0</v>
          </cell>
          <cell r="AR644">
            <v>-6151874.0500000017</v>
          </cell>
        </row>
        <row r="645">
          <cell r="AG645">
            <v>4095733.5999999996</v>
          </cell>
        </row>
        <row r="646">
          <cell r="X646">
            <v>0</v>
          </cell>
          <cell r="AO646">
            <v>3468588.9</v>
          </cell>
        </row>
        <row r="647">
          <cell r="X647">
            <v>0</v>
          </cell>
          <cell r="Y647">
            <v>0</v>
          </cell>
          <cell r="AD647">
            <v>0</v>
          </cell>
          <cell r="AG647">
            <v>0</v>
          </cell>
          <cell r="AK647">
            <v>0</v>
          </cell>
          <cell r="AO647">
            <v>0</v>
          </cell>
        </row>
        <row r="650">
          <cell r="U650">
            <v>11702096</v>
          </cell>
          <cell r="Y650">
            <v>-1791842</v>
          </cell>
          <cell r="AD650">
            <v>9910254</v>
          </cell>
        </row>
        <row r="651">
          <cell r="U651">
            <v>11702096</v>
          </cell>
          <cell r="V651">
            <v>0</v>
          </cell>
          <cell r="W651">
            <v>0</v>
          </cell>
          <cell r="X651">
            <v>11702096</v>
          </cell>
          <cell r="Y651">
            <v>-1791842</v>
          </cell>
          <cell r="AA651">
            <v>0</v>
          </cell>
          <cell r="AB651">
            <v>0</v>
          </cell>
          <cell r="AC651">
            <v>0</v>
          </cell>
          <cell r="AD651">
            <v>9910254</v>
          </cell>
          <cell r="AE651" t="e">
            <v>#REF!</v>
          </cell>
          <cell r="AF651" t="e">
            <v>#REF!</v>
          </cell>
          <cell r="AG651">
            <v>-4095734.3000000017</v>
          </cell>
          <cell r="AH651">
            <v>0</v>
          </cell>
          <cell r="AI651">
            <v>0</v>
          </cell>
          <cell r="AJ651">
            <v>-4095734.3000000017</v>
          </cell>
          <cell r="AK651">
            <v>627144.69999999995</v>
          </cell>
          <cell r="AL651">
            <v>0</v>
          </cell>
          <cell r="AM651">
            <v>0</v>
          </cell>
          <cell r="AN651">
            <v>0</v>
          </cell>
          <cell r="AO651">
            <v>-0.69999999878928065</v>
          </cell>
          <cell r="AP651">
            <v>0</v>
          </cell>
          <cell r="AQ651">
            <v>0</v>
          </cell>
          <cell r="AR651">
            <v>-6151874.0500000017</v>
          </cell>
        </row>
        <row r="652">
          <cell r="Y652" t="str">
            <v>a = 2001 reclass</v>
          </cell>
        </row>
        <row r="668">
          <cell r="X668">
            <v>0</v>
          </cell>
          <cell r="AQ668">
            <v>0</v>
          </cell>
        </row>
        <row r="669">
          <cell r="X669">
            <v>0</v>
          </cell>
        </row>
        <row r="670">
          <cell r="X670">
            <v>0</v>
          </cell>
        </row>
        <row r="671">
          <cell r="U671">
            <v>0</v>
          </cell>
          <cell r="X671">
            <v>0</v>
          </cell>
          <cell r="Y671">
            <v>0</v>
          </cell>
          <cell r="AD671">
            <v>0</v>
          </cell>
          <cell r="AG671">
            <v>0</v>
          </cell>
          <cell r="AH671">
            <v>0</v>
          </cell>
          <cell r="AI671">
            <v>0</v>
          </cell>
          <cell r="AJ671">
            <v>0</v>
          </cell>
          <cell r="AK671">
            <v>0</v>
          </cell>
          <cell r="AL671">
            <v>0</v>
          </cell>
          <cell r="AM671">
            <v>0</v>
          </cell>
          <cell r="AN671">
            <v>0</v>
          </cell>
          <cell r="AO671">
            <v>0</v>
          </cell>
        </row>
        <row r="672">
          <cell r="U672">
            <v>500000</v>
          </cell>
          <cell r="X672">
            <v>500000</v>
          </cell>
          <cell r="Y672">
            <v>0</v>
          </cell>
          <cell r="AD672">
            <v>500000</v>
          </cell>
          <cell r="AG672">
            <v>-175000</v>
          </cell>
          <cell r="AH672">
            <v>0</v>
          </cell>
          <cell r="AI672">
            <v>0</v>
          </cell>
          <cell r="AJ672">
            <v>-175000</v>
          </cell>
          <cell r="AK672">
            <v>0</v>
          </cell>
          <cell r="AL672">
            <v>0</v>
          </cell>
          <cell r="AM672">
            <v>0</v>
          </cell>
          <cell r="AN672">
            <v>0</v>
          </cell>
          <cell r="AO672">
            <v>-175000</v>
          </cell>
          <cell r="AP672">
            <v>1</v>
          </cell>
        </row>
        <row r="673">
          <cell r="U673">
            <v>-10336304</v>
          </cell>
          <cell r="X673">
            <v>-10336304</v>
          </cell>
          <cell r="Y673">
            <v>0</v>
          </cell>
          <cell r="AD673">
            <v>-10336304</v>
          </cell>
          <cell r="AG673">
            <v>3617706.4</v>
          </cell>
          <cell r="AH673">
            <v>0</v>
          </cell>
          <cell r="AI673">
            <v>0</v>
          </cell>
          <cell r="AJ673">
            <v>3617706.4</v>
          </cell>
          <cell r="AK673">
            <v>0</v>
          </cell>
          <cell r="AL673">
            <v>0</v>
          </cell>
          <cell r="AM673">
            <v>0</v>
          </cell>
          <cell r="AN673">
            <v>0</v>
          </cell>
          <cell r="AO673">
            <v>3617706.4</v>
          </cell>
        </row>
        <row r="674">
          <cell r="U674">
            <v>0</v>
          </cell>
          <cell r="X674">
            <v>0</v>
          </cell>
          <cell r="Y674">
            <v>0</v>
          </cell>
          <cell r="AD674">
            <v>0</v>
          </cell>
          <cell r="AG674">
            <v>0</v>
          </cell>
          <cell r="AH674">
            <v>0</v>
          </cell>
          <cell r="AI674">
            <v>0</v>
          </cell>
          <cell r="AJ674">
            <v>0</v>
          </cell>
          <cell r="AK674">
            <v>0</v>
          </cell>
          <cell r="AL674">
            <v>0</v>
          </cell>
          <cell r="AM674">
            <v>0</v>
          </cell>
          <cell r="AN674">
            <v>0</v>
          </cell>
          <cell r="AO674">
            <v>0</v>
          </cell>
          <cell r="AP674">
            <v>1</v>
          </cell>
        </row>
        <row r="675">
          <cell r="U675">
            <v>772833</v>
          </cell>
          <cell r="X675">
            <v>772833</v>
          </cell>
          <cell r="Y675">
            <v>-39961</v>
          </cell>
          <cell r="AD675">
            <v>732872</v>
          </cell>
          <cell r="AG675">
            <v>-270491.55</v>
          </cell>
          <cell r="AH675">
            <v>0</v>
          </cell>
          <cell r="AI675">
            <v>0</v>
          </cell>
          <cell r="AJ675">
            <v>-270491.55</v>
          </cell>
          <cell r="AK675">
            <v>13986.349999999999</v>
          </cell>
          <cell r="AL675">
            <v>0</v>
          </cell>
          <cell r="AM675">
            <v>0</v>
          </cell>
          <cell r="AN675">
            <v>0</v>
          </cell>
          <cell r="AO675">
            <v>-256505.19999999998</v>
          </cell>
        </row>
        <row r="676">
          <cell r="U676">
            <v>260000</v>
          </cell>
          <cell r="X676">
            <v>260000</v>
          </cell>
          <cell r="Y676">
            <v>0</v>
          </cell>
          <cell r="AD676">
            <v>260000</v>
          </cell>
          <cell r="AG676">
            <v>-91000</v>
          </cell>
          <cell r="AH676">
            <v>0</v>
          </cell>
          <cell r="AI676">
            <v>0</v>
          </cell>
          <cell r="AJ676">
            <v>-91000</v>
          </cell>
          <cell r="AK676">
            <v>0</v>
          </cell>
          <cell r="AL676">
            <v>0</v>
          </cell>
          <cell r="AM676">
            <v>0</v>
          </cell>
          <cell r="AN676">
            <v>0</v>
          </cell>
          <cell r="AO676">
            <v>-91000</v>
          </cell>
          <cell r="AP676">
            <v>1</v>
          </cell>
        </row>
        <row r="677">
          <cell r="U677">
            <v>-4153838</v>
          </cell>
          <cell r="X677">
            <v>-4153838</v>
          </cell>
          <cell r="Y677">
            <v>0</v>
          </cell>
          <cell r="AD677">
            <v>-4153838</v>
          </cell>
          <cell r="AG677">
            <v>1453843.3</v>
          </cell>
          <cell r="AH677">
            <v>0</v>
          </cell>
          <cell r="AI677">
            <v>0</v>
          </cell>
          <cell r="AJ677">
            <v>1453843.3</v>
          </cell>
          <cell r="AK677">
            <v>0</v>
          </cell>
          <cell r="AL677">
            <v>0</v>
          </cell>
          <cell r="AM677">
            <v>0</v>
          </cell>
          <cell r="AN677">
            <v>0</v>
          </cell>
          <cell r="AO677">
            <v>1453843.3</v>
          </cell>
        </row>
        <row r="678">
          <cell r="U678">
            <v>2139472</v>
          </cell>
          <cell r="X678">
            <v>2139472</v>
          </cell>
          <cell r="Y678">
            <v>0</v>
          </cell>
          <cell r="AD678">
            <v>2139472</v>
          </cell>
          <cell r="AG678">
            <v>-748815.2</v>
          </cell>
          <cell r="AH678">
            <v>0</v>
          </cell>
          <cell r="AI678">
            <v>0</v>
          </cell>
          <cell r="AJ678">
            <v>-748815.2</v>
          </cell>
          <cell r="AK678">
            <v>0</v>
          </cell>
          <cell r="AL678">
            <v>0</v>
          </cell>
          <cell r="AM678">
            <v>0</v>
          </cell>
          <cell r="AN678">
            <v>0</v>
          </cell>
          <cell r="AO678">
            <v>-748815.2</v>
          </cell>
          <cell r="AP678">
            <v>1</v>
          </cell>
          <cell r="AQ678">
            <v>-748815.2</v>
          </cell>
        </row>
        <row r="679">
          <cell r="U679">
            <v>2664</v>
          </cell>
          <cell r="X679">
            <v>2664</v>
          </cell>
          <cell r="Y679">
            <v>0</v>
          </cell>
          <cell r="AD679">
            <v>2664</v>
          </cell>
          <cell r="AG679">
            <v>-932.4</v>
          </cell>
          <cell r="AH679">
            <v>0</v>
          </cell>
          <cell r="AI679">
            <v>0</v>
          </cell>
          <cell r="AJ679">
            <v>-932.4</v>
          </cell>
          <cell r="AK679">
            <v>0</v>
          </cell>
          <cell r="AL679">
            <v>0</v>
          </cell>
          <cell r="AM679">
            <v>0</v>
          </cell>
          <cell r="AN679">
            <v>0</v>
          </cell>
          <cell r="AO679">
            <v>-932.4</v>
          </cell>
          <cell r="AP679">
            <v>1</v>
          </cell>
        </row>
        <row r="680">
          <cell r="U680">
            <v>-12660374</v>
          </cell>
          <cell r="X680">
            <v>-12660374</v>
          </cell>
          <cell r="Y680">
            <v>0</v>
          </cell>
          <cell r="AD680">
            <v>-12660374</v>
          </cell>
          <cell r="AG680">
            <v>4431130.9000000004</v>
          </cell>
          <cell r="AH680">
            <v>0</v>
          </cell>
          <cell r="AI680">
            <v>0</v>
          </cell>
          <cell r="AJ680">
            <v>4431130.9000000004</v>
          </cell>
          <cell r="AK680">
            <v>0</v>
          </cell>
          <cell r="AL680">
            <v>0</v>
          </cell>
          <cell r="AM680">
            <v>0</v>
          </cell>
          <cell r="AN680">
            <v>0</v>
          </cell>
          <cell r="AO680">
            <v>4431130.9000000004</v>
          </cell>
        </row>
        <row r="681">
          <cell r="U681">
            <v>-1914584</v>
          </cell>
          <cell r="X681">
            <v>-1914584</v>
          </cell>
          <cell r="Y681">
            <v>0</v>
          </cell>
          <cell r="AD681">
            <v>-1914584</v>
          </cell>
          <cell r="AG681">
            <v>670104.4</v>
          </cell>
          <cell r="AH681">
            <v>0</v>
          </cell>
          <cell r="AI681">
            <v>0</v>
          </cell>
          <cell r="AJ681">
            <v>670104.4</v>
          </cell>
          <cell r="AK681">
            <v>0</v>
          </cell>
          <cell r="AL681">
            <v>0</v>
          </cell>
          <cell r="AM681">
            <v>0</v>
          </cell>
          <cell r="AN681">
            <v>0</v>
          </cell>
          <cell r="AO681">
            <v>670104.4</v>
          </cell>
        </row>
        <row r="682">
          <cell r="U682">
            <v>-947161</v>
          </cell>
          <cell r="X682">
            <v>-947161</v>
          </cell>
          <cell r="Y682">
            <v>0</v>
          </cell>
          <cell r="AD682">
            <v>-947161</v>
          </cell>
          <cell r="AG682">
            <v>331506.34999999998</v>
          </cell>
          <cell r="AH682">
            <v>0</v>
          </cell>
          <cell r="AI682">
            <v>0</v>
          </cell>
          <cell r="AJ682">
            <v>331506.34999999998</v>
          </cell>
          <cell r="AK682">
            <v>0</v>
          </cell>
          <cell r="AL682">
            <v>0</v>
          </cell>
          <cell r="AM682">
            <v>0</v>
          </cell>
          <cell r="AN682">
            <v>0</v>
          </cell>
          <cell r="AO682">
            <v>331506.34999999998</v>
          </cell>
        </row>
        <row r="683">
          <cell r="U683">
            <v>-1794737</v>
          </cell>
          <cell r="X683">
            <v>-1794737</v>
          </cell>
          <cell r="Y683">
            <v>0</v>
          </cell>
          <cell r="AD683">
            <v>-1794737</v>
          </cell>
          <cell r="AG683">
            <v>628157.94999999995</v>
          </cell>
          <cell r="AH683">
            <v>0</v>
          </cell>
          <cell r="AI683">
            <v>0</v>
          </cell>
          <cell r="AJ683">
            <v>628157.94999999995</v>
          </cell>
          <cell r="AK683">
            <v>0</v>
          </cell>
          <cell r="AL683">
            <v>0</v>
          </cell>
          <cell r="AM683">
            <v>0</v>
          </cell>
          <cell r="AN683">
            <v>0</v>
          </cell>
          <cell r="AO683">
            <v>628157.94999999995</v>
          </cell>
        </row>
        <row r="684">
          <cell r="U684">
            <v>0</v>
          </cell>
          <cell r="X684">
            <v>0</v>
          </cell>
          <cell r="Y684">
            <v>0</v>
          </cell>
          <cell r="AD684">
            <v>0</v>
          </cell>
          <cell r="AG684">
            <v>0</v>
          </cell>
          <cell r="AJ684">
            <v>0</v>
          </cell>
          <cell r="AK684">
            <v>0</v>
          </cell>
          <cell r="AL684">
            <v>0</v>
          </cell>
          <cell r="AM684">
            <v>0</v>
          </cell>
          <cell r="AN684">
            <v>0</v>
          </cell>
          <cell r="AO684">
            <v>0</v>
          </cell>
        </row>
        <row r="685">
          <cell r="AL685">
            <v>0</v>
          </cell>
          <cell r="AM685">
            <v>0</v>
          </cell>
        </row>
        <row r="686">
          <cell r="U686">
            <v>-28132029</v>
          </cell>
          <cell r="V686">
            <v>0</v>
          </cell>
          <cell r="W686">
            <v>0</v>
          </cell>
          <cell r="X686">
            <v>-28132029</v>
          </cell>
          <cell r="Y686">
            <v>-39961</v>
          </cell>
          <cell r="Z686">
            <v>0</v>
          </cell>
          <cell r="AA686">
            <v>0</v>
          </cell>
          <cell r="AB686">
            <v>0</v>
          </cell>
          <cell r="AD686">
            <v>-28171990</v>
          </cell>
          <cell r="AE686">
            <v>0</v>
          </cell>
          <cell r="AF686">
            <v>0</v>
          </cell>
          <cell r="AG686">
            <v>9846210.1500000004</v>
          </cell>
          <cell r="AH686">
            <v>0</v>
          </cell>
          <cell r="AI686">
            <v>0</v>
          </cell>
          <cell r="AJ686">
            <v>9846210.1500000004</v>
          </cell>
          <cell r="AK686">
            <v>13986.349999999999</v>
          </cell>
          <cell r="AL686">
            <v>0</v>
          </cell>
          <cell r="AM686">
            <v>0</v>
          </cell>
          <cell r="AN686">
            <v>0</v>
          </cell>
          <cell r="AO686">
            <v>9860196.5</v>
          </cell>
          <cell r="AQ686">
            <v>-748815.2</v>
          </cell>
        </row>
        <row r="687">
          <cell r="AG687">
            <v>-9846210.1499999985</v>
          </cell>
        </row>
        <row r="688">
          <cell r="AO688">
            <v>-9860196.5</v>
          </cell>
        </row>
        <row r="693">
          <cell r="U693">
            <v>-28132029</v>
          </cell>
          <cell r="V693">
            <v>0</v>
          </cell>
          <cell r="W693">
            <v>0</v>
          </cell>
          <cell r="X693">
            <v>-28132029</v>
          </cell>
          <cell r="Y693">
            <v>-39961</v>
          </cell>
          <cell r="Z693">
            <v>0</v>
          </cell>
          <cell r="AB693">
            <v>0</v>
          </cell>
          <cell r="AC693">
            <v>-1</v>
          </cell>
          <cell r="AD693">
            <v>-28171990</v>
          </cell>
          <cell r="AE693">
            <v>0</v>
          </cell>
          <cell r="AF693">
            <v>0</v>
          </cell>
          <cell r="AG693">
            <v>9846210.1500000004</v>
          </cell>
          <cell r="AH693">
            <v>0</v>
          </cell>
          <cell r="AI693">
            <v>0</v>
          </cell>
          <cell r="AJ693">
            <v>9846210.1500000004</v>
          </cell>
          <cell r="AK693">
            <v>13986.349999999999</v>
          </cell>
          <cell r="AL693">
            <v>0</v>
          </cell>
          <cell r="AM693">
            <v>0</v>
          </cell>
          <cell r="AN693">
            <v>0</v>
          </cell>
          <cell r="AO693">
            <v>0</v>
          </cell>
          <cell r="AP693">
            <v>0</v>
          </cell>
          <cell r="AQ693">
            <v>-748815.2</v>
          </cell>
          <cell r="AR693">
            <v>0</v>
          </cell>
        </row>
        <row r="711">
          <cell r="X711">
            <v>0</v>
          </cell>
        </row>
        <row r="712">
          <cell r="X712">
            <v>0</v>
          </cell>
        </row>
        <row r="713">
          <cell r="U713">
            <v>-29720</v>
          </cell>
          <cell r="X713">
            <v>-29720</v>
          </cell>
          <cell r="Y713">
            <v>0</v>
          </cell>
          <cell r="AD713">
            <v>-29720</v>
          </cell>
          <cell r="AG713">
            <v>10402</v>
          </cell>
          <cell r="AH713">
            <v>0</v>
          </cell>
          <cell r="AI713">
            <v>0</v>
          </cell>
          <cell r="AJ713">
            <v>10402</v>
          </cell>
          <cell r="AK713">
            <v>0</v>
          </cell>
          <cell r="AL713">
            <v>0</v>
          </cell>
          <cell r="AM713">
            <v>0</v>
          </cell>
          <cell r="AN713">
            <v>0</v>
          </cell>
          <cell r="AO713">
            <v>10402</v>
          </cell>
        </row>
        <row r="714">
          <cell r="U714">
            <v>6901719</v>
          </cell>
          <cell r="X714">
            <v>6901719</v>
          </cell>
          <cell r="Y714">
            <v>-4676216</v>
          </cell>
          <cell r="AD714">
            <v>2225503</v>
          </cell>
          <cell r="AG714">
            <v>-2353192.2400000002</v>
          </cell>
          <cell r="AH714">
            <v>0</v>
          </cell>
          <cell r="AI714">
            <v>0</v>
          </cell>
          <cell r="AJ714">
            <v>-2353192.2400000002</v>
          </cell>
          <cell r="AK714">
            <v>1636675.5999999999</v>
          </cell>
          <cell r="AL714">
            <v>0</v>
          </cell>
          <cell r="AM714">
            <v>0</v>
          </cell>
          <cell r="AN714">
            <v>0</v>
          </cell>
          <cell r="AO714">
            <v>-716516.64000000036</v>
          </cell>
          <cell r="AQ714">
            <v>0</v>
          </cell>
          <cell r="AR714">
            <v>-716516.64000000036</v>
          </cell>
        </row>
        <row r="715">
          <cell r="U715">
            <v>-4320283</v>
          </cell>
          <cell r="X715">
            <v>-4320283</v>
          </cell>
          <cell r="Y715">
            <v>4343090</v>
          </cell>
          <cell r="AD715">
            <v>22807</v>
          </cell>
          <cell r="AG715">
            <v>1512099.05</v>
          </cell>
          <cell r="AH715">
            <v>0</v>
          </cell>
          <cell r="AI715">
            <v>0</v>
          </cell>
          <cell r="AJ715">
            <v>1512099.05</v>
          </cell>
          <cell r="AK715">
            <v>-1520081.5</v>
          </cell>
          <cell r="AL715">
            <v>0</v>
          </cell>
          <cell r="AM715">
            <v>0</v>
          </cell>
          <cell r="AN715">
            <v>0</v>
          </cell>
          <cell r="AO715">
            <v>-7982.4499999999534</v>
          </cell>
          <cell r="AQ715">
            <v>0</v>
          </cell>
          <cell r="AR715">
            <v>-7982.4499999999534</v>
          </cell>
        </row>
        <row r="716">
          <cell r="U716">
            <v>22807</v>
          </cell>
          <cell r="X716">
            <v>22807</v>
          </cell>
          <cell r="Y716">
            <v>163950</v>
          </cell>
          <cell r="AD716">
            <v>186757</v>
          </cell>
          <cell r="AG716">
            <v>-7982.45</v>
          </cell>
          <cell r="AH716">
            <v>0</v>
          </cell>
          <cell r="AI716">
            <v>0</v>
          </cell>
          <cell r="AJ716">
            <v>-7982.45</v>
          </cell>
          <cell r="AK716">
            <v>-57382.499999999993</v>
          </cell>
          <cell r="AL716">
            <v>0</v>
          </cell>
          <cell r="AM716">
            <v>0</v>
          </cell>
          <cell r="AN716">
            <v>0</v>
          </cell>
          <cell r="AO716">
            <v>-65364.94999999999</v>
          </cell>
        </row>
        <row r="717">
          <cell r="U717">
            <v>-3285</v>
          </cell>
          <cell r="X717">
            <v>-3285</v>
          </cell>
          <cell r="Y717">
            <v>0</v>
          </cell>
          <cell r="AD717">
            <v>-3285</v>
          </cell>
          <cell r="AG717">
            <v>1120.23</v>
          </cell>
          <cell r="AH717">
            <v>0</v>
          </cell>
          <cell r="AI717">
            <v>0</v>
          </cell>
          <cell r="AJ717">
            <v>1120.23</v>
          </cell>
          <cell r="AK717">
            <v>0</v>
          </cell>
          <cell r="AL717">
            <v>0</v>
          </cell>
          <cell r="AM717">
            <v>0</v>
          </cell>
          <cell r="AN717">
            <v>0</v>
          </cell>
          <cell r="AO717">
            <v>1120.23</v>
          </cell>
        </row>
        <row r="718">
          <cell r="U718">
            <v>-1879496</v>
          </cell>
          <cell r="X718">
            <v>-1879496</v>
          </cell>
          <cell r="Y718">
            <v>0</v>
          </cell>
          <cell r="AD718">
            <v>-1879496</v>
          </cell>
          <cell r="AG718">
            <v>650179.43000000005</v>
          </cell>
          <cell r="AH718">
            <v>0</v>
          </cell>
          <cell r="AI718">
            <v>0</v>
          </cell>
          <cell r="AJ718">
            <v>650179.43000000005</v>
          </cell>
          <cell r="AK718">
            <v>0</v>
          </cell>
          <cell r="AL718">
            <v>0</v>
          </cell>
          <cell r="AM718">
            <v>0</v>
          </cell>
          <cell r="AN718">
            <v>0</v>
          </cell>
          <cell r="AO718">
            <v>650179.43000000005</v>
          </cell>
        </row>
        <row r="719">
          <cell r="U719">
            <v>-17369798</v>
          </cell>
          <cell r="X719">
            <v>-17369798</v>
          </cell>
          <cell r="Y719">
            <v>0</v>
          </cell>
          <cell r="AD719">
            <v>-17369798</v>
          </cell>
          <cell r="AG719">
            <v>5943812.5299999993</v>
          </cell>
          <cell r="AH719">
            <v>0</v>
          </cell>
          <cell r="AI719">
            <v>0</v>
          </cell>
          <cell r="AJ719">
            <v>5943812.5299999993</v>
          </cell>
          <cell r="AK719">
            <v>0</v>
          </cell>
          <cell r="AL719">
            <v>0</v>
          </cell>
          <cell r="AM719">
            <v>0</v>
          </cell>
          <cell r="AN719">
            <v>0</v>
          </cell>
          <cell r="AO719">
            <v>5943812.5299999993</v>
          </cell>
          <cell r="AQ719">
            <v>0</v>
          </cell>
          <cell r="AR719">
            <v>5943812.5299999993</v>
          </cell>
        </row>
        <row r="720">
          <cell r="U720">
            <v>667351</v>
          </cell>
          <cell r="X720">
            <v>667351</v>
          </cell>
          <cell r="Y720">
            <v>-677285</v>
          </cell>
          <cell r="AD720">
            <v>-9934</v>
          </cell>
          <cell r="AG720">
            <v>-205601.81</v>
          </cell>
          <cell r="AH720">
            <v>0</v>
          </cell>
          <cell r="AI720">
            <v>0</v>
          </cell>
          <cell r="AJ720">
            <v>-205601.81</v>
          </cell>
          <cell r="AK720">
            <v>237049.74999999997</v>
          </cell>
          <cell r="AL720">
            <v>0</v>
          </cell>
          <cell r="AM720">
            <v>0</v>
          </cell>
          <cell r="AN720">
            <v>0</v>
          </cell>
          <cell r="AO720">
            <v>31447.939999999973</v>
          </cell>
        </row>
        <row r="721">
          <cell r="U721">
            <v>-397830</v>
          </cell>
          <cell r="X721">
            <v>-397830</v>
          </cell>
          <cell r="Y721">
            <v>0</v>
          </cell>
          <cell r="AD721">
            <v>-397830</v>
          </cell>
          <cell r="AG721">
            <v>131446.49</v>
          </cell>
          <cell r="AH721">
            <v>0</v>
          </cell>
          <cell r="AI721">
            <v>0</v>
          </cell>
          <cell r="AJ721">
            <v>131446.49</v>
          </cell>
          <cell r="AK721">
            <v>0</v>
          </cell>
          <cell r="AL721">
            <v>0</v>
          </cell>
          <cell r="AM721">
            <v>0</v>
          </cell>
          <cell r="AN721">
            <v>0</v>
          </cell>
          <cell r="AO721">
            <v>131446.49</v>
          </cell>
        </row>
        <row r="722">
          <cell r="U722">
            <v>-7496692</v>
          </cell>
          <cell r="X722">
            <v>-7496692</v>
          </cell>
          <cell r="Y722">
            <v>0</v>
          </cell>
          <cell r="AD722">
            <v>-7496692</v>
          </cell>
          <cell r="AG722">
            <v>2585854.02</v>
          </cell>
          <cell r="AH722">
            <v>0</v>
          </cell>
          <cell r="AI722">
            <v>0</v>
          </cell>
          <cell r="AJ722">
            <v>2585854.02</v>
          </cell>
          <cell r="AK722">
            <v>0</v>
          </cell>
          <cell r="AL722">
            <v>0</v>
          </cell>
          <cell r="AM722">
            <v>0</v>
          </cell>
          <cell r="AN722">
            <v>0</v>
          </cell>
          <cell r="AO722">
            <v>2585854.02</v>
          </cell>
        </row>
        <row r="723">
          <cell r="U723">
            <v>-72300</v>
          </cell>
          <cell r="X723">
            <v>-72300</v>
          </cell>
          <cell r="Y723">
            <v>-103741</v>
          </cell>
          <cell r="AD723">
            <v>-176041</v>
          </cell>
          <cell r="AG723">
            <v>24205</v>
          </cell>
          <cell r="AH723">
            <v>0</v>
          </cell>
          <cell r="AI723">
            <v>0</v>
          </cell>
          <cell r="AJ723">
            <v>24205</v>
          </cell>
          <cell r="AK723">
            <v>36309.35</v>
          </cell>
          <cell r="AL723">
            <v>0</v>
          </cell>
          <cell r="AM723">
            <v>0</v>
          </cell>
          <cell r="AN723">
            <v>0</v>
          </cell>
          <cell r="AO723">
            <v>60514.35</v>
          </cell>
        </row>
        <row r="724">
          <cell r="U724">
            <v>-1166292</v>
          </cell>
          <cell r="X724">
            <v>-1166292</v>
          </cell>
          <cell r="Y724">
            <v>-73996</v>
          </cell>
          <cell r="AD724">
            <v>-1240288</v>
          </cell>
          <cell r="AG724">
            <v>393868.17</v>
          </cell>
          <cell r="AH724">
            <v>0</v>
          </cell>
          <cell r="AI724">
            <v>0</v>
          </cell>
          <cell r="AJ724">
            <v>393868.17</v>
          </cell>
          <cell r="AK724">
            <v>25898.6</v>
          </cell>
          <cell r="AL724">
            <v>0</v>
          </cell>
          <cell r="AM724">
            <v>0</v>
          </cell>
          <cell r="AN724">
            <v>0</v>
          </cell>
          <cell r="AO724">
            <v>419766.76999999996</v>
          </cell>
        </row>
        <row r="725">
          <cell r="U725">
            <v>0</v>
          </cell>
          <cell r="X725">
            <v>0</v>
          </cell>
          <cell r="Y725">
            <v>0</v>
          </cell>
          <cell r="AD725">
            <v>0</v>
          </cell>
          <cell r="AG725">
            <v>0</v>
          </cell>
          <cell r="AH725">
            <v>0</v>
          </cell>
          <cell r="AI725">
            <v>0</v>
          </cell>
          <cell r="AJ725">
            <v>0</v>
          </cell>
          <cell r="AK725">
            <v>0</v>
          </cell>
          <cell r="AL725">
            <v>0</v>
          </cell>
          <cell r="AM725">
            <v>0</v>
          </cell>
          <cell r="AN725">
            <v>0</v>
          </cell>
          <cell r="AO725">
            <v>0</v>
          </cell>
        </row>
        <row r="726">
          <cell r="U726">
            <v>-256808</v>
          </cell>
          <cell r="X726">
            <v>-256808</v>
          </cell>
          <cell r="Y726">
            <v>0</v>
          </cell>
          <cell r="AD726">
            <v>-256808</v>
          </cell>
          <cell r="AG726">
            <v>57401.440000000061</v>
          </cell>
          <cell r="AH726">
            <v>0</v>
          </cell>
          <cell r="AI726">
            <v>0</v>
          </cell>
          <cell r="AJ726">
            <v>57401.440000000061</v>
          </cell>
          <cell r="AK726">
            <v>0</v>
          </cell>
          <cell r="AL726">
            <v>0</v>
          </cell>
          <cell r="AM726">
            <v>0</v>
          </cell>
          <cell r="AN726">
            <v>0</v>
          </cell>
          <cell r="AO726">
            <v>57401.440000000061</v>
          </cell>
        </row>
        <row r="727">
          <cell r="U727">
            <v>-19107</v>
          </cell>
          <cell r="X727">
            <v>-19107</v>
          </cell>
          <cell r="Y727">
            <v>0</v>
          </cell>
          <cell r="AD727">
            <v>-19107</v>
          </cell>
          <cell r="AG727">
            <v>6496.38</v>
          </cell>
          <cell r="AH727">
            <v>0</v>
          </cell>
          <cell r="AI727">
            <v>0</v>
          </cell>
          <cell r="AJ727">
            <v>6496.38</v>
          </cell>
          <cell r="AK727">
            <v>0</v>
          </cell>
          <cell r="AL727">
            <v>0</v>
          </cell>
          <cell r="AM727">
            <v>0</v>
          </cell>
          <cell r="AN727">
            <v>0</v>
          </cell>
          <cell r="AO727">
            <v>6496.38</v>
          </cell>
        </row>
        <row r="728">
          <cell r="U728">
            <v>-98679</v>
          </cell>
          <cell r="X728">
            <v>-98679</v>
          </cell>
          <cell r="Y728">
            <v>0</v>
          </cell>
          <cell r="AD728">
            <v>-98679</v>
          </cell>
          <cell r="AG728">
            <v>33837.65</v>
          </cell>
          <cell r="AH728">
            <v>0</v>
          </cell>
          <cell r="AI728">
            <v>0</v>
          </cell>
          <cell r="AJ728">
            <v>33837.65</v>
          </cell>
          <cell r="AK728">
            <v>0</v>
          </cell>
          <cell r="AL728">
            <v>0</v>
          </cell>
          <cell r="AM728">
            <v>0</v>
          </cell>
          <cell r="AN728">
            <v>0</v>
          </cell>
          <cell r="AO728">
            <v>33837.65</v>
          </cell>
        </row>
        <row r="729">
          <cell r="U729">
            <v>-140304</v>
          </cell>
          <cell r="X729">
            <v>-140304</v>
          </cell>
          <cell r="Y729">
            <v>-22543</v>
          </cell>
          <cell r="AD729">
            <v>-162847</v>
          </cell>
          <cell r="AG729">
            <v>47521.98</v>
          </cell>
          <cell r="AH729">
            <v>0</v>
          </cell>
          <cell r="AI729">
            <v>0</v>
          </cell>
          <cell r="AJ729">
            <v>47521.98</v>
          </cell>
          <cell r="AK729">
            <v>7890.0499999999993</v>
          </cell>
          <cell r="AL729">
            <v>0</v>
          </cell>
          <cell r="AM729">
            <v>0</v>
          </cell>
          <cell r="AN729">
            <v>0</v>
          </cell>
          <cell r="AO729">
            <v>55412.03</v>
          </cell>
        </row>
        <row r="730">
          <cell r="U730">
            <v>115098</v>
          </cell>
          <cell r="X730">
            <v>115098</v>
          </cell>
          <cell r="Y730">
            <v>0</v>
          </cell>
          <cell r="AD730">
            <v>115098</v>
          </cell>
          <cell r="AG730">
            <v>-40284.300000000003</v>
          </cell>
          <cell r="AH730">
            <v>0</v>
          </cell>
          <cell r="AI730">
            <v>0</v>
          </cell>
          <cell r="AJ730">
            <v>-40284.300000000003</v>
          </cell>
          <cell r="AK730">
            <v>0</v>
          </cell>
          <cell r="AL730">
            <v>0</v>
          </cell>
          <cell r="AM730">
            <v>0</v>
          </cell>
          <cell r="AN730">
            <v>0</v>
          </cell>
          <cell r="AO730">
            <v>-40284.300000000003</v>
          </cell>
        </row>
        <row r="731">
          <cell r="U731">
            <v>240722</v>
          </cell>
          <cell r="X731">
            <v>240722</v>
          </cell>
          <cell r="Y731">
            <v>-208960</v>
          </cell>
          <cell r="AD731">
            <v>31762</v>
          </cell>
          <cell r="AG731">
            <v>-84252.7</v>
          </cell>
          <cell r="AH731">
            <v>0</v>
          </cell>
          <cell r="AI731">
            <v>0</v>
          </cell>
          <cell r="AJ731">
            <v>-84252.7</v>
          </cell>
          <cell r="AK731">
            <v>73136</v>
          </cell>
          <cell r="AL731">
            <v>0</v>
          </cell>
          <cell r="AM731">
            <v>0</v>
          </cell>
          <cell r="AN731">
            <v>0</v>
          </cell>
          <cell r="AO731">
            <v>-11116.699999999997</v>
          </cell>
        </row>
        <row r="732">
          <cell r="U732">
            <v>13333</v>
          </cell>
          <cell r="X732">
            <v>13333</v>
          </cell>
          <cell r="Y732">
            <v>0</v>
          </cell>
          <cell r="AD732">
            <v>13333</v>
          </cell>
          <cell r="AG732">
            <v>-4666.55</v>
          </cell>
          <cell r="AH732">
            <v>0</v>
          </cell>
          <cell r="AI732">
            <v>0</v>
          </cell>
          <cell r="AJ732">
            <v>-4666.55</v>
          </cell>
          <cell r="AK732">
            <v>0</v>
          </cell>
          <cell r="AL732">
            <v>0</v>
          </cell>
          <cell r="AM732">
            <v>0</v>
          </cell>
          <cell r="AN732">
            <v>0</v>
          </cell>
          <cell r="AO732">
            <v>-4666.55</v>
          </cell>
        </row>
        <row r="733">
          <cell r="U733">
            <v>-4228999</v>
          </cell>
          <cell r="X733">
            <v>-4228999</v>
          </cell>
          <cell r="Y733">
            <v>-80333</v>
          </cell>
          <cell r="AD733">
            <v>-4309332</v>
          </cell>
          <cell r="AG733">
            <v>1436449.99</v>
          </cell>
          <cell r="AH733">
            <v>0</v>
          </cell>
          <cell r="AI733">
            <v>0</v>
          </cell>
          <cell r="AJ733">
            <v>1436449.99</v>
          </cell>
          <cell r="AK733">
            <v>28116.55</v>
          </cell>
          <cell r="AL733">
            <v>0</v>
          </cell>
          <cell r="AM733">
            <v>0</v>
          </cell>
          <cell r="AN733">
            <v>0</v>
          </cell>
          <cell r="AO733">
            <v>1464566.54</v>
          </cell>
        </row>
        <row r="734">
          <cell r="U734">
            <v>-1022123</v>
          </cell>
          <cell r="X734">
            <v>-1022123</v>
          </cell>
          <cell r="Y734">
            <v>0</v>
          </cell>
          <cell r="AD734">
            <v>-1022123</v>
          </cell>
          <cell r="AG734">
            <v>343970.53</v>
          </cell>
          <cell r="AH734">
            <v>0</v>
          </cell>
          <cell r="AI734">
            <v>0</v>
          </cell>
          <cell r="AJ734">
            <v>343970.53</v>
          </cell>
          <cell r="AK734">
            <v>0</v>
          </cell>
          <cell r="AL734">
            <v>0</v>
          </cell>
          <cell r="AM734">
            <v>0</v>
          </cell>
          <cell r="AN734">
            <v>0</v>
          </cell>
          <cell r="AO734">
            <v>343970.53</v>
          </cell>
        </row>
        <row r="735">
          <cell r="U735">
            <v>352231</v>
          </cell>
          <cell r="X735">
            <v>352231</v>
          </cell>
          <cell r="Y735">
            <v>-96241</v>
          </cell>
          <cell r="AD735">
            <v>255990</v>
          </cell>
          <cell r="AG735">
            <v>-123280.85</v>
          </cell>
          <cell r="AH735">
            <v>0</v>
          </cell>
          <cell r="AI735">
            <v>0</v>
          </cell>
          <cell r="AJ735">
            <v>-123280.85</v>
          </cell>
          <cell r="AK735">
            <v>33684.35</v>
          </cell>
          <cell r="AL735">
            <v>0</v>
          </cell>
          <cell r="AM735">
            <v>0</v>
          </cell>
          <cell r="AN735">
            <v>0</v>
          </cell>
          <cell r="AO735">
            <v>-89596.5</v>
          </cell>
        </row>
        <row r="736">
          <cell r="U736">
            <v>-47092</v>
          </cell>
          <cell r="X736">
            <v>-47092</v>
          </cell>
          <cell r="Y736">
            <v>0</v>
          </cell>
          <cell r="AD736">
            <v>-47092</v>
          </cell>
          <cell r="AG736">
            <v>16482.2</v>
          </cell>
          <cell r="AH736">
            <v>0</v>
          </cell>
          <cell r="AI736">
            <v>0</v>
          </cell>
          <cell r="AJ736">
            <v>16482.2</v>
          </cell>
          <cell r="AK736">
            <v>0</v>
          </cell>
          <cell r="AL736">
            <v>0</v>
          </cell>
          <cell r="AM736">
            <v>0</v>
          </cell>
          <cell r="AN736">
            <v>0</v>
          </cell>
          <cell r="AO736">
            <v>16482.2</v>
          </cell>
        </row>
        <row r="737">
          <cell r="U737">
            <v>-4465113</v>
          </cell>
          <cell r="X737">
            <v>-4465113</v>
          </cell>
          <cell r="Y737">
            <v>0</v>
          </cell>
          <cell r="AD737">
            <v>-4465113</v>
          </cell>
          <cell r="AG737">
            <v>1562789.55</v>
          </cell>
          <cell r="AH737">
            <v>0</v>
          </cell>
          <cell r="AI737">
            <v>0</v>
          </cell>
          <cell r="AJ737">
            <v>1562789.55</v>
          </cell>
          <cell r="AK737">
            <v>0</v>
          </cell>
          <cell r="AL737">
            <v>0</v>
          </cell>
          <cell r="AM737">
            <v>0</v>
          </cell>
          <cell r="AN737">
            <v>0</v>
          </cell>
          <cell r="AO737">
            <v>1562789.55</v>
          </cell>
        </row>
        <row r="738">
          <cell r="U738">
            <v>1293497</v>
          </cell>
          <cell r="X738">
            <v>1293497</v>
          </cell>
          <cell r="Y738">
            <v>0</v>
          </cell>
          <cell r="AD738">
            <v>1293497</v>
          </cell>
          <cell r="AG738">
            <v>-452723.95</v>
          </cell>
          <cell r="AH738">
            <v>0</v>
          </cell>
          <cell r="AI738">
            <v>0</v>
          </cell>
          <cell r="AJ738">
            <v>-452723.95</v>
          </cell>
          <cell r="AK738">
            <v>0</v>
          </cell>
          <cell r="AL738">
            <v>0</v>
          </cell>
          <cell r="AM738">
            <v>0</v>
          </cell>
          <cell r="AN738">
            <v>0</v>
          </cell>
          <cell r="AO738">
            <v>-452723.95</v>
          </cell>
        </row>
        <row r="739">
          <cell r="U739">
            <v>0</v>
          </cell>
          <cell r="X739">
            <v>0</v>
          </cell>
          <cell r="Y739">
            <v>1025668</v>
          </cell>
          <cell r="AD739">
            <v>1025668</v>
          </cell>
          <cell r="AG739">
            <v>0</v>
          </cell>
          <cell r="AH739">
            <v>0</v>
          </cell>
          <cell r="AI739">
            <v>0</v>
          </cell>
          <cell r="AJ739">
            <v>0</v>
          </cell>
          <cell r="AK739">
            <v>-358983.8</v>
          </cell>
          <cell r="AL739">
            <v>0</v>
          </cell>
          <cell r="AM739">
            <v>0</v>
          </cell>
          <cell r="AN739">
            <v>0</v>
          </cell>
          <cell r="AO739">
            <v>-358983.8</v>
          </cell>
        </row>
        <row r="740">
          <cell r="U740">
            <v>0</v>
          </cell>
          <cell r="X740">
            <v>0</v>
          </cell>
          <cell r="Y740">
            <v>637582</v>
          </cell>
          <cell r="AD740">
            <v>637582</v>
          </cell>
          <cell r="AG740">
            <v>0</v>
          </cell>
          <cell r="AH740">
            <v>0</v>
          </cell>
          <cell r="AI740">
            <v>0</v>
          </cell>
          <cell r="AJ740">
            <v>0</v>
          </cell>
          <cell r="AK740">
            <v>-223153.69999999998</v>
          </cell>
          <cell r="AL740">
            <v>0</v>
          </cell>
          <cell r="AM740">
            <v>0</v>
          </cell>
          <cell r="AN740">
            <v>0</v>
          </cell>
          <cell r="AO740">
            <v>-223153.69999999998</v>
          </cell>
        </row>
        <row r="741">
          <cell r="U741">
            <v>0</v>
          </cell>
          <cell r="X741">
            <v>0</v>
          </cell>
          <cell r="Y741">
            <v>-13170</v>
          </cell>
          <cell r="AD741">
            <v>-13170</v>
          </cell>
          <cell r="AG741">
            <v>0</v>
          </cell>
          <cell r="AH741">
            <v>0</v>
          </cell>
          <cell r="AI741">
            <v>0</v>
          </cell>
          <cell r="AJ741">
            <v>0</v>
          </cell>
          <cell r="AK741">
            <v>4609.5</v>
          </cell>
          <cell r="AL741">
            <v>0</v>
          </cell>
          <cell r="AM741">
            <v>0</v>
          </cell>
          <cell r="AN741">
            <v>0</v>
          </cell>
          <cell r="AO741">
            <v>4609.5</v>
          </cell>
        </row>
        <row r="742">
          <cell r="U742">
            <v>-8100732</v>
          </cell>
          <cell r="X742">
            <v>-8100732</v>
          </cell>
          <cell r="Y742">
            <v>0</v>
          </cell>
          <cell r="AD742">
            <v>-8100732</v>
          </cell>
          <cell r="AG742">
            <v>2835256.2</v>
          </cell>
          <cell r="AH742">
            <v>0</v>
          </cell>
          <cell r="AI742">
            <v>0</v>
          </cell>
          <cell r="AJ742">
            <v>2835256.2</v>
          </cell>
          <cell r="AK742">
            <v>0</v>
          </cell>
          <cell r="AL742">
            <v>0</v>
          </cell>
          <cell r="AM742">
            <v>0</v>
          </cell>
          <cell r="AN742">
            <v>0</v>
          </cell>
          <cell r="AO742">
            <v>2835256.2</v>
          </cell>
        </row>
        <row r="743">
          <cell r="U743">
            <v>0</v>
          </cell>
          <cell r="X743">
            <v>0</v>
          </cell>
          <cell r="Y743">
            <v>0</v>
          </cell>
          <cell r="AD743">
            <v>0</v>
          </cell>
          <cell r="AG743">
            <v>0</v>
          </cell>
          <cell r="AH743">
            <v>0</v>
          </cell>
          <cell r="AI743">
            <v>0</v>
          </cell>
          <cell r="AJ743">
            <v>0</v>
          </cell>
          <cell r="AK743">
            <v>0</v>
          </cell>
          <cell r="AL743">
            <v>0</v>
          </cell>
          <cell r="AM743">
            <v>0</v>
          </cell>
          <cell r="AN743">
            <v>0</v>
          </cell>
          <cell r="AO743">
            <v>0</v>
          </cell>
        </row>
        <row r="746">
          <cell r="U746">
            <v>-41507895</v>
          </cell>
          <cell r="V746">
            <v>0</v>
          </cell>
          <cell r="W746">
            <v>0</v>
          </cell>
          <cell r="X746">
            <v>-41507895</v>
          </cell>
          <cell r="Y746">
            <v>217805</v>
          </cell>
          <cell r="Z746">
            <v>0</v>
          </cell>
          <cell r="AA746">
            <v>0</v>
          </cell>
          <cell r="AB746">
            <v>0</v>
          </cell>
          <cell r="AD746">
            <v>-41290090</v>
          </cell>
          <cell r="AE746">
            <v>0</v>
          </cell>
          <cell r="AF746">
            <v>0</v>
          </cell>
          <cell r="AG746">
            <v>14321207.990000002</v>
          </cell>
          <cell r="AH746">
            <v>0</v>
          </cell>
          <cell r="AI746">
            <v>0</v>
          </cell>
          <cell r="AJ746">
            <v>14321207.990000002</v>
          </cell>
          <cell r="AK746">
            <v>-76231.750000000204</v>
          </cell>
          <cell r="AL746">
            <v>0</v>
          </cell>
          <cell r="AM746">
            <v>0</v>
          </cell>
          <cell r="AN746">
            <v>0</v>
          </cell>
          <cell r="AO746">
            <v>14244976.239999998</v>
          </cell>
          <cell r="AQ746">
            <v>0</v>
          </cell>
        </row>
        <row r="747">
          <cell r="U747" t="str">
            <v>ending 8/31/04</v>
          </cell>
        </row>
        <row r="748">
          <cell r="AO748">
            <v>-14451531.5</v>
          </cell>
        </row>
        <row r="753">
          <cell r="U753">
            <v>-41507895</v>
          </cell>
          <cell r="V753">
            <v>0</v>
          </cell>
          <cell r="W753">
            <v>0</v>
          </cell>
          <cell r="X753">
            <v>-41507895</v>
          </cell>
          <cell r="Y753">
            <v>217805</v>
          </cell>
          <cell r="Z753">
            <v>0</v>
          </cell>
          <cell r="AA753">
            <v>0</v>
          </cell>
          <cell r="AB753">
            <v>0</v>
          </cell>
          <cell r="AC753">
            <v>-1</v>
          </cell>
          <cell r="AD753">
            <v>-41290090</v>
          </cell>
          <cell r="AE753">
            <v>0</v>
          </cell>
          <cell r="AF753">
            <v>0</v>
          </cell>
          <cell r="AG753">
            <v>14321207.990000002</v>
          </cell>
          <cell r="AH753">
            <v>0</v>
          </cell>
          <cell r="AI753">
            <v>0</v>
          </cell>
          <cell r="AJ753">
            <v>14321207.990000002</v>
          </cell>
          <cell r="AK753">
            <v>-76231.750000000204</v>
          </cell>
          <cell r="AL753">
            <v>0</v>
          </cell>
          <cell r="AM753">
            <v>0</v>
          </cell>
          <cell r="AN753">
            <v>0</v>
          </cell>
          <cell r="AO753">
            <v>-206555.26000000164</v>
          </cell>
          <cell r="AP753">
            <v>0</v>
          </cell>
          <cell r="AQ753">
            <v>0</v>
          </cell>
          <cell r="AR753">
            <v>0</v>
          </cell>
        </row>
        <row r="763">
          <cell r="U763">
            <v>-29823606.32</v>
          </cell>
          <cell r="V763">
            <v>0</v>
          </cell>
          <cell r="W763">
            <v>4966170</v>
          </cell>
          <cell r="X763">
            <v>-24857436.320000015</v>
          </cell>
          <cell r="Y763">
            <v>-38990819.349999994</v>
          </cell>
          <cell r="Z763">
            <v>0</v>
          </cell>
          <cell r="AA763">
            <v>0</v>
          </cell>
          <cell r="AB763">
            <v>0</v>
          </cell>
          <cell r="AD763">
            <v>-63848255.670000002</v>
          </cell>
          <cell r="AE763" t="e">
            <v>#REF!</v>
          </cell>
          <cell r="AF763" t="e">
            <v>#REF!</v>
          </cell>
          <cell r="AG763">
            <v>10231706.251999982</v>
          </cell>
          <cell r="AH763">
            <v>0</v>
          </cell>
          <cell r="AI763">
            <v>-1738159.5</v>
          </cell>
          <cell r="AJ763">
            <v>8493546.7519999817</v>
          </cell>
          <cell r="AK763">
            <v>13646786.772499999</v>
          </cell>
          <cell r="AL763">
            <v>0</v>
          </cell>
          <cell r="AM763">
            <v>0</v>
          </cell>
          <cell r="AN763">
            <v>0</v>
          </cell>
          <cell r="AO763">
            <v>23878493.024499983</v>
          </cell>
          <cell r="AQ763">
            <v>-12127876.599999998</v>
          </cell>
          <cell r="AR763">
            <v>-2029399.0255000084</v>
          </cell>
        </row>
        <row r="764">
          <cell r="AG764">
            <v>-10438262.211999999</v>
          </cell>
          <cell r="AH764">
            <v>0</v>
          </cell>
          <cell r="AI764">
            <v>1738159.5</v>
          </cell>
          <cell r="AJ764">
            <v>-8700102.7120000049</v>
          </cell>
          <cell r="AK764">
            <v>-13646786.772499997</v>
          </cell>
          <cell r="AL764">
            <v>0</v>
          </cell>
          <cell r="AM764">
            <v>0</v>
          </cell>
          <cell r="AN764">
            <v>0</v>
          </cell>
          <cell r="AO764">
            <v>-22346889.484499998</v>
          </cell>
        </row>
      </sheetData>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 val="Assumptions"/>
      <sheetName val="BGS Deferral"/>
      <sheetName val="Variable"/>
      <sheetName val="Bid_Information"/>
      <sheetName val="PRISM Impacts Inputs"/>
      <sheetName val="Summary"/>
      <sheetName val="MPP Contract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_Lookup"/>
      <sheetName val="New Accts 2009"/>
      <sheetName val="Sheet2"/>
      <sheetName val="Sheet3"/>
    </sheetNames>
    <sheetDataSet>
      <sheetData sheetId="0" refreshError="1"/>
      <sheetData sheetId="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ummary"/>
      <sheetName val="Sheet1"/>
      <sheetName val="Q2 Data"/>
      <sheetName val="190100"/>
      <sheetName val="190110"/>
      <sheetName val="190200"/>
      <sheetName val="190210"/>
      <sheetName val="190500"/>
      <sheetName val="190510"/>
      <sheetName val="282100"/>
      <sheetName val="282200"/>
      <sheetName val="283100"/>
      <sheetName val="283110"/>
      <sheetName val="283200"/>
      <sheetName val="283210"/>
      <sheetName val="Defd Expense RFWD"/>
      <sheetName val="797037"/>
      <sheetName val="797047"/>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Revenue"/>
      <sheetName val="Starpower"/>
      <sheetName val="Summary Dec06"/>
    </sheetNames>
    <sheetDataSet>
      <sheetData sheetId="0"/>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ttings"/>
      <sheetName val="Index"/>
      <sheetName val="Glossary"/>
      <sheetName val="Latest Changes"/>
      <sheetName val="Validations"/>
      <sheetName val="IS01"/>
      <sheetName val="IS02"/>
      <sheetName val="IS03"/>
      <sheetName val="IS04"/>
      <sheetName val="IS04A"/>
      <sheetName val="IS05"/>
      <sheetName val="IS06"/>
      <sheetName val="IS06A"/>
      <sheetName val="IS07"/>
      <sheetName val="IS07A"/>
      <sheetName val="IS08"/>
      <sheetName val="IS09"/>
      <sheetName val="IS10"/>
      <sheetName val="IS11"/>
      <sheetName val="IS12"/>
      <sheetName val="IS13"/>
      <sheetName val="IS14"/>
      <sheetName val="IS15"/>
      <sheetName val="IS16"/>
      <sheetName val="IS17"/>
      <sheetName val="BS01"/>
      <sheetName val="BS04"/>
      <sheetName val="BS05"/>
      <sheetName val="BS06"/>
      <sheetName val="BS07"/>
      <sheetName val="BS08"/>
      <sheetName val="BS0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9"/>
      <sheetName val="BS30"/>
      <sheetName val="CF01"/>
      <sheetName val="CF02"/>
      <sheetName val="CF03"/>
      <sheetName val="CF04"/>
      <sheetName val="CF02 LOGIC"/>
      <sheetName val="TX01"/>
      <sheetName val="Appendix 1"/>
      <sheetName val="Appendix 2"/>
      <sheetName val="Appendix 3"/>
      <sheetName val="Appendix 4"/>
      <sheetName val="Appendix 5"/>
      <sheetName val="DataSheet"/>
    </sheetNames>
    <sheetDataSet>
      <sheetData sheetId="0" refreshError="1"/>
      <sheetData sheetId="1" refreshError="1">
        <row r="17">
          <cell r="F17" t="str">
            <v>xx000</v>
          </cell>
        </row>
        <row r="23">
          <cell r="F23" t="str">
            <v>May 2002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sheetName val="Average Rates"/>
      <sheetName val="Unbund Rev Sum w  Tax &amp; SBC"/>
      <sheetName val="Unbundled Revenue Summary "/>
      <sheetName val="Unbundled Rev Summary with Tax"/>
      <sheetName val="NUG Savings Revenue Proof"/>
      <sheetName val="2000 Target Rates"/>
      <sheetName val="Rate Class Detail"/>
      <sheetName val="Rate Class Detail with Tax"/>
      <sheetName val="BGS 1999"/>
      <sheetName val="BGS 2000"/>
      <sheetName val="BGS Rates"/>
      <sheetName val="Shopping Credit Table"/>
      <sheetName val="Distribution Rates"/>
      <sheetName val="NNC Rates"/>
      <sheetName val="2000 NNC Rate"/>
      <sheetName val="2000 NNC Rate Reduction"/>
      <sheetName val="MTC NNC RATES"/>
      <sheetName val="Regulatory Assets"/>
      <sheetName val="SBC"/>
      <sheetName val="Determinants"/>
      <sheetName val="AGS-TOU Determinants"/>
      <sheetName val="OTRA Discounts"/>
      <sheetName val="Merger &amp; TEFA"/>
      <sheetName val="Bill Impact Analysis"/>
      <sheetName val="2000 Sales"/>
      <sheetName val="2000 TEFA"/>
      <sheetName val="2000 BGS Deferral"/>
      <sheetName val="BGS Ancillary &amp; Admin."/>
      <sheetName val="2000 Rates"/>
      <sheetName val="G"/>
      <sheetName val="HQ"/>
      <sheetName val="R"/>
      <sheetName val="V"/>
      <sheetName val="COSS Results UNBUND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row r="51">
          <cell r="H51">
            <v>0.40232499999999999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3">
          <cell r="E13">
            <v>3502447.52935</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Month"/>
      <sheetName val="ALL"/>
      <sheetName val="Percent Read YTD "/>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 val="DACTIVE$"/>
      <sheetName val="summary"/>
      <sheetName val="proforma int"/>
      <sheetName val="fit"/>
      <sheetName val="Dollar Computations By Co"/>
      <sheetName val="Mon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 val="kWh-Mcf"/>
      <sheetName val="O&amp;M per cust-CPD"/>
      <sheetName val="LEGAL ENTITY SUMMARY"/>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pense"/>
      <sheetName val="Results"/>
      <sheetName val="BalSheet"/>
      <sheetName val="Notes"/>
      <sheetName val="Cost Center List"/>
    </sheetNames>
    <sheetDataSet>
      <sheetData sheetId="0"/>
      <sheetData sheetId="1"/>
      <sheetData sheetId="2"/>
      <sheetData sheetId="3"/>
      <sheetData sheetId="4"/>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study "/>
      <sheetName val="Solution "/>
      <sheetName val="IS01"/>
      <sheetName val="IS09"/>
      <sheetName val="BS32"/>
    </sheetNames>
    <sheetDataSet>
      <sheetData sheetId="0">
        <row r="28">
          <cell r="C28">
            <v>0.3</v>
          </cell>
        </row>
      </sheetData>
      <sheetData sheetId="1" refreshError="1"/>
      <sheetData sheetId="2" refreshError="1"/>
      <sheetData sheetId="3" refreshError="1"/>
      <sheetData sheetId="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lossary"/>
      <sheetName val="Latest Changes"/>
      <sheetName val="Index"/>
      <sheetName val="IS01"/>
      <sheetName val="IS02"/>
      <sheetName val="IS03"/>
      <sheetName val="IS04"/>
      <sheetName val="IS05"/>
      <sheetName val="IS06"/>
      <sheetName val="IS07"/>
      <sheetName val="IS08"/>
      <sheetName val="IS09"/>
      <sheetName val="IS10"/>
      <sheetName val="IS10A"/>
      <sheetName val="IS10B"/>
      <sheetName val="IS10C"/>
      <sheetName val="IS10D"/>
      <sheetName val="IS11"/>
      <sheetName val="IS12"/>
      <sheetName val="IS13"/>
      <sheetName val="IS14"/>
      <sheetName val="IS15"/>
      <sheetName val="IS16"/>
      <sheetName val="IS17"/>
      <sheetName val="BS01"/>
      <sheetName val="BS04"/>
      <sheetName val="BS05"/>
      <sheetName val="BS06"/>
      <sheetName val="BS07"/>
      <sheetName val="BS08"/>
      <sheetName val="BS0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BS26"/>
      <sheetName val="BS27"/>
      <sheetName val="BS29"/>
      <sheetName val="BS30"/>
      <sheetName val="CF01"/>
      <sheetName val="CF02"/>
      <sheetName val="CF02 LOGIC"/>
      <sheetName val="CF03"/>
      <sheetName val="CF04"/>
      <sheetName val="TX01"/>
      <sheetName val="BSBUD"/>
      <sheetName val="Appendix 1"/>
      <sheetName val="Appendix 2"/>
      <sheetName val="Appendix 3"/>
      <sheetName val="Appendix 4"/>
      <sheetName val="Appendix 5"/>
      <sheetName val="Appendix 6"/>
    </sheetNames>
    <sheetDataSet>
      <sheetData sheetId="0" refreshError="1">
        <row r="9">
          <cell r="A9" t="str">
            <v>Version 4.1 - Aug 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lossary"/>
      <sheetName val="Latest Changes"/>
      <sheetName val="Index"/>
      <sheetName val="IS01"/>
      <sheetName val="IS01PP"/>
      <sheetName val="IS01PP Data Entry"/>
      <sheetName val="IS02"/>
      <sheetName val="IS02S"/>
      <sheetName val="IS02CRP"/>
      <sheetName val="IS02SYN"/>
      <sheetName val="IS03"/>
      <sheetName val="IS03S"/>
      <sheetName val="IS03CRP"/>
      <sheetName val="IS03SYN"/>
      <sheetName val="IS04"/>
      <sheetName val="IS04A"/>
      <sheetName val="IS04S"/>
      <sheetName val="IS05"/>
      <sheetName val="IS05A"/>
      <sheetName val="IS05B"/>
      <sheetName val="IS06"/>
      <sheetName val="IS06A"/>
      <sheetName val="IS06S"/>
      <sheetName val="IS07"/>
      <sheetName val="IS07A"/>
      <sheetName val="IS07S"/>
      <sheetName val="IS08"/>
      <sheetName val="IS09"/>
      <sheetName val="IS10"/>
      <sheetName val="IS10A"/>
      <sheetName val="IS10B"/>
      <sheetName val="IS10C"/>
      <sheetName val="IS10D"/>
      <sheetName val="IS10Da"/>
      <sheetName val="IS10S"/>
      <sheetName val="IS11"/>
      <sheetName val="IS12"/>
      <sheetName val="IS13"/>
      <sheetName val="IS13S"/>
      <sheetName val="IS15"/>
      <sheetName val="IS16"/>
      <sheetName val="IS17"/>
      <sheetName val="IS18"/>
      <sheetName val="IS19A"/>
      <sheetName val="IS19B"/>
      <sheetName val="SS01"/>
      <sheetName val="SS02"/>
      <sheetName val="SS03"/>
      <sheetName val="BS01"/>
      <sheetName val="BS01S"/>
      <sheetName val="BS03S"/>
      <sheetName val="BS04"/>
      <sheetName val="BS05"/>
      <sheetName val="BS06"/>
      <sheetName val="BS07"/>
      <sheetName val="BS07A"/>
      <sheetName val="BS07B"/>
      <sheetName val="BS08"/>
      <sheetName val="BS09"/>
      <sheetName val="BS10"/>
      <sheetName val="BS11"/>
      <sheetName val="BS12"/>
      <sheetName val="BS13"/>
      <sheetName val="BS13S"/>
      <sheetName val="BS13CRP"/>
      <sheetName val="BS13SYN"/>
      <sheetName val="BS14"/>
      <sheetName val="BS15"/>
      <sheetName val="BS15S"/>
      <sheetName val="BS16"/>
      <sheetName val="BS17"/>
      <sheetName val="BS18"/>
      <sheetName val="BS19"/>
      <sheetName val="BS22"/>
      <sheetName val="BS25"/>
      <sheetName val="BS26"/>
      <sheetName val="BS29"/>
      <sheetName val="BS30"/>
      <sheetName val="BS31"/>
      <sheetName val="BS32"/>
      <sheetName val="BS33"/>
      <sheetName val="BS33A"/>
      <sheetName val="BS34"/>
      <sheetName val="BS35"/>
      <sheetName val="CF01"/>
      <sheetName val="CF02"/>
      <sheetName val="CF02 LOGIC"/>
      <sheetName val="CF03"/>
      <sheetName val="CF05"/>
      <sheetName val="CF05S"/>
      <sheetName val="TX01"/>
      <sheetName val="TX04"/>
      <sheetName val="TX05"/>
      <sheetName val="TB01"/>
      <sheetName val="Appendix 1"/>
      <sheetName val="Appendix 2"/>
      <sheetName val="Appendix 3"/>
      <sheetName val="Appendix 4"/>
      <sheetName val="Appendix 5"/>
      <sheetName val="Appendix 6"/>
      <sheetName val="Appendix 7"/>
      <sheetName val="Appendix 8"/>
      <sheetName val="SEEDS Validations"/>
      <sheetName val="S-FormsSubaccountLevel1"/>
      <sheetName val="S-FormsSubaccountLevel2"/>
    </sheetNames>
    <sheetDataSet>
      <sheetData sheetId="0">
        <row r="9">
          <cell r="A9" t="str">
            <v>Version 5.3 - May 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cenerios"/>
      <sheetName val="Comps vs 5-year plan"/>
      <sheetName val="AMG Comp vs 5-year plan"/>
      <sheetName val="PMG Information"/>
      <sheetName val="PBS Breakout"/>
      <sheetName val="ROE Summary 5-years"/>
      <sheetName val="Free funds flow by business unt"/>
      <sheetName val="ROA Summary 5-years"/>
      <sheetName val="PESCONS Annual"/>
      <sheetName val="PESCONS Monthly"/>
      <sheetName val="PMG Annual"/>
      <sheetName val="PMG Monthly"/>
      <sheetName val="PMG Base Annual"/>
      <sheetName val="PMG Base Monthly"/>
      <sheetName val="PMG Thermal Annual"/>
      <sheetName val="PMG Thermal Monthly"/>
      <sheetName val="PBS Annual"/>
      <sheetName val="PBS Monthly"/>
      <sheetName val="AMGCONS Annual"/>
      <sheetName val="AMGCONS Monthly"/>
      <sheetName val="MM Gas Annual"/>
      <sheetName val="MM Gas Monthly"/>
      <sheetName val="MM Electric Annual"/>
      <sheetName val="MM Electric Monthly"/>
      <sheetName val="C&amp;I Electric Annual"/>
      <sheetName val="C&amp;I Electric Monthly"/>
      <sheetName val="C&amp;I Gas Annual"/>
      <sheetName val="C&amp;I Gas Monthly"/>
      <sheetName val="PPR Annual"/>
      <sheetName val="PPR Monthly"/>
      <sheetName val="PDG Annual"/>
      <sheetName val="PDG Monthly"/>
      <sheetName val="ELIM PPR Annual"/>
      <sheetName val="ELIM PPR Monthly"/>
      <sheetName val="PESCORP Annual"/>
      <sheetName val="PESCORP Monthly"/>
      <sheetName val="Corporate total"/>
      <sheetName val="Corporate Expenses"/>
      <sheetName val="Strategy-Marketing-IT"/>
      <sheetName val="STRATEGY"/>
      <sheetName val="Marketing"/>
      <sheetName val="IT"/>
      <sheetName val="LEGAL"/>
      <sheetName val="HR"/>
      <sheetName val="F&amp;A Total"/>
      <sheetName val="F&amp;A"/>
      <sheetName val="PES Shared Svc-portion"/>
      <sheetName val="Total G&amp;A Break Out"/>
      <sheetName val="Int Allocation 2005 Prel"/>
      <sheetName val="Int Allocation"/>
      <sheetName val="ROE Summary"/>
      <sheetName val="Per retturns"/>
      <sheetName val="Performance Numbers-2005 prel"/>
      <sheetName val="Performance Numbers - 2005"/>
      <sheetName val="Performance Numbers - 2006"/>
      <sheetName val="Performance Numbers - 2007"/>
      <sheetName val="Performance Numbers - 2008"/>
      <sheetName val="ELIM Help"/>
      <sheetName val="Tax Calc"/>
      <sheetName val="Legal I"/>
      <sheetName val="Rates Eff July04 wo OL"/>
      <sheetName val="Dollar Computations By Co"/>
      <sheetName val="deftax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Cost Centers"/>
      <sheetName val="Cost Center List"/>
      <sheetName val="MS O&amp;M Contractors"/>
      <sheetName val="Pivot Table MS"/>
      <sheetName val="Construction O&amp;M"/>
      <sheetName val="Sheet1"/>
      <sheetName val="combined"/>
      <sheetName val="2000 contract over 50k"/>
      <sheetName val="Pivot Table (2)"/>
      <sheetName val="Pivot Table"/>
      <sheetName val="Sheet2"/>
      <sheetName val="2000 ms contractor"/>
      <sheetName val="2000 Combined"/>
      <sheetName val="Electric 2000"/>
      <sheetName val="Gas Deliver 2000"/>
      <sheetName val="Delshr 2000"/>
      <sheetName val="pivot ms over 50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January"/>
      <sheetName val="February"/>
      <sheetName val="March"/>
      <sheetName val="April"/>
      <sheetName val="May"/>
      <sheetName val="June"/>
      <sheetName val="July"/>
      <sheetName val="August"/>
      <sheetName val="September"/>
      <sheetName val="October"/>
      <sheetName val="November"/>
      <sheetName val="December"/>
      <sheetName val="1st Qtr. Summary"/>
      <sheetName val="2nd Qtr. Summary"/>
      <sheetName val="3rd Qtr. Summary"/>
      <sheetName val="4th Qtr. Summary "/>
      <sheetName val="YTD Summary"/>
      <sheetName val="True Up"/>
      <sheetName val="Journal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64PG Right of Way"/>
      <sheetName val="6501DC Delivery"/>
      <sheetName val="6502DC RE"/>
      <sheetName val="6503 DC Use"/>
      <sheetName val="6504 DC Ballpark"/>
      <sheetName val="6512 DC Pers. Prop"/>
      <sheetName val="6513DC PSC"/>
      <sheetName val="6521 not used"/>
      <sheetName val="6522 EATF"/>
      <sheetName val="6523 SETF"/>
      <sheetName val="6524 not used"/>
      <sheetName val="6525not used"/>
      <sheetName val="6526 MD Univer"/>
      <sheetName val="6529MtgyF&amp;E "/>
      <sheetName val="6530 MD GR 236250"/>
      <sheetName val="6531MD GR"/>
      <sheetName val="6532Mtgy RE"/>
      <sheetName val="6533PG RE"/>
      <sheetName val="6534Fred RE"/>
      <sheetName val="6535MD Other RE"/>
      <sheetName val="6536Mtgy O&amp;P"/>
      <sheetName val="6537PG O&amp;P"/>
      <sheetName val="6538Charles O&amp;P"/>
      <sheetName val="6539Fred O&amp;P not used"/>
      <sheetName val="6540MD Other O&amp;P"/>
      <sheetName val="6541MD Use"/>
      <sheetName val="6543Charles RE"/>
      <sheetName val="6544St Mary RE"/>
      <sheetName val="6545St Mary O&amp;P"/>
      <sheetName val="6546MD Filing"/>
      <sheetName val="6547MD Envir"/>
      <sheetName val="6548Calvert RE"/>
      <sheetName val="6550Howard RE"/>
      <sheetName val="6551Howard O&amp;P"/>
      <sheetName val="6552Calvert O&amp;P"/>
      <sheetName val="6553 MD Use 236250 or 165100"/>
      <sheetName val="6554DC BID"/>
      <sheetName val="6558MD Delivery"/>
      <sheetName val="6559DC RETF"/>
      <sheetName val="6571VA Income"/>
      <sheetName val="6572Alex"/>
      <sheetName val="6573Arlington"/>
      <sheetName val="6575 Va Use"/>
      <sheetName val="6576VA Regist"/>
      <sheetName val="6577Fairfax"/>
      <sheetName val="6578PW"/>
      <sheetName val="6579 Delaware Annual Re"/>
      <sheetName val="6580not used"/>
      <sheetName val="6581DC Right of Way"/>
      <sheetName val="6592PA Franchise"/>
      <sheetName val="6593PA Corp"/>
      <sheetName val="6594PA property"/>
      <sheetName val="6596PA realty"/>
      <sheetName val="Summ 165_236"/>
      <sheetName val="Summ 241 etc"/>
      <sheetName val="Reconciliation"/>
      <sheetName val="2010vs123109 3rd Qtr Jay"/>
      <sheetName val="2010vs123109 2nd Qtr Jay  "/>
      <sheetName val="2010vs123109 1st Qtr Jay   "/>
      <sheetName val="2009vs2008 annual Jay "/>
      <sheetName val="1109 vs 1009 165100"/>
      <sheetName val="2009vs2008 3rd Qtr Jay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January"/>
      <sheetName val="February"/>
      <sheetName val="March"/>
      <sheetName val="April"/>
      <sheetName val="May"/>
      <sheetName val="June"/>
      <sheetName val="July"/>
      <sheetName val="August"/>
      <sheetName val="September"/>
      <sheetName val="October"/>
      <sheetName val="November"/>
      <sheetName val="December"/>
      <sheetName val="1st Qtr"/>
      <sheetName val="2nd Qtr"/>
      <sheetName val="3rd Qtr"/>
      <sheetName val="4th Qtr"/>
      <sheetName val="YTD"/>
      <sheetName val="True-Up"/>
      <sheetName val="Summary"/>
      <sheetName val="Summary (2)"/>
      <sheetName val="Summary (3)"/>
      <sheetName val="Summary (4)"/>
      <sheetName val="YTD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2.bin"/><Relationship Id="rId7" Type="http://schemas.openxmlformats.org/officeDocument/2006/relationships/printerSettings" Target="../printerSettings/printerSettings36.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FX336"/>
  <sheetViews>
    <sheetView tabSelected="1" zoomScale="75" zoomScaleNormal="75" zoomScaleSheetLayoutView="75" workbookViewId="0">
      <pane xSplit="3" ySplit="7" topLeftCell="D8" activePane="bottomRight" state="frozen"/>
      <selection pane="topRight" activeCell="D1" sqref="D1"/>
      <selection pane="bottomLeft" activeCell="A8" sqref="A8"/>
      <selection pane="bottomRight" activeCell="D9" sqref="D9"/>
    </sheetView>
  </sheetViews>
  <sheetFormatPr defaultRowHeight="15"/>
  <cols>
    <col min="1" max="1" width="7.42578125" style="83" customWidth="1"/>
    <col min="2" max="2" width="5.7109375" style="34" customWidth="1"/>
    <col min="3" max="3" width="58" style="34" customWidth="1"/>
    <col min="4" max="4" width="58.85546875" style="34" customWidth="1"/>
    <col min="5" max="5" width="23.85546875" style="115" customWidth="1"/>
    <col min="6" max="6" width="42.42578125" style="58" customWidth="1"/>
    <col min="7" max="7" width="2.7109375" style="58" customWidth="1"/>
    <col min="8" max="8" width="21.5703125" style="58" customWidth="1"/>
    <col min="9" max="16384" width="9.140625" style="58"/>
  </cols>
  <sheetData>
    <row r="1" spans="1:8">
      <c r="A1" s="305"/>
      <c r="H1" s="93"/>
    </row>
    <row r="2" spans="1:8" ht="27.75">
      <c r="A2" s="305"/>
      <c r="D2" s="701" t="s">
        <v>407</v>
      </c>
      <c r="F2" s="832"/>
      <c r="H2" s="93"/>
    </row>
    <row r="3" spans="1:8" ht="25.5" customHeight="1" thickBot="1"/>
    <row r="4" spans="1:8" ht="27.75" customHeight="1" thickBot="1">
      <c r="A4" s="493" t="s">
        <v>506</v>
      </c>
      <c r="B4" s="485"/>
      <c r="C4" s="485"/>
      <c r="D4" s="485"/>
      <c r="E4" s="486"/>
      <c r="F4" s="487"/>
    </row>
    <row r="5" spans="1:8" s="90" customFormat="1" ht="42" customHeight="1" thickBot="1">
      <c r="A5" s="488" t="s">
        <v>545</v>
      </c>
      <c r="B5" s="489"/>
      <c r="C5" s="490"/>
      <c r="D5" s="490"/>
      <c r="E5" s="491" t="s">
        <v>200</v>
      </c>
      <c r="F5" s="492" t="s">
        <v>315</v>
      </c>
      <c r="G5" s="484"/>
      <c r="H5" s="847">
        <v>2015</v>
      </c>
    </row>
    <row r="6" spans="1:8" s="318" customFormat="1" ht="23.25" customHeight="1">
      <c r="A6" s="313" t="s">
        <v>489</v>
      </c>
      <c r="B6" s="314"/>
      <c r="C6" s="315"/>
      <c r="D6" s="591"/>
      <c r="E6" s="209"/>
      <c r="F6" s="316"/>
      <c r="G6" s="179"/>
      <c r="H6" s="317"/>
    </row>
    <row r="7" spans="1:8" s="64" customFormat="1" ht="15.75">
      <c r="A7" s="114" t="s">
        <v>103</v>
      </c>
      <c r="B7" s="111"/>
      <c r="C7" s="147"/>
      <c r="D7" s="147"/>
      <c r="E7" s="210"/>
      <c r="F7" s="148"/>
      <c r="G7" s="148"/>
      <c r="H7" s="158"/>
    </row>
    <row r="8" spans="1:8" s="64" customFormat="1" ht="15.75">
      <c r="A8" s="124"/>
      <c r="B8" s="101"/>
      <c r="C8" s="101"/>
      <c r="D8" s="101"/>
      <c r="E8" s="209"/>
      <c r="F8" s="136"/>
      <c r="G8" s="136"/>
      <c r="H8" s="146"/>
    </row>
    <row r="9" spans="1:8" ht="15.75">
      <c r="A9" s="53"/>
      <c r="B9" s="26" t="s">
        <v>110</v>
      </c>
      <c r="E9" s="21"/>
      <c r="F9" s="5"/>
      <c r="G9" s="5"/>
      <c r="H9" s="5"/>
    </row>
    <row r="10" spans="1:8">
      <c r="A10" s="33">
        <v>1</v>
      </c>
      <c r="B10" s="33"/>
      <c r="C10" s="73" t="s">
        <v>63</v>
      </c>
      <c r="D10" s="258"/>
      <c r="E10" s="117"/>
      <c r="F10" s="5" t="s">
        <v>632</v>
      </c>
      <c r="G10" s="34"/>
      <c r="H10" s="826">
        <v>2768309</v>
      </c>
    </row>
    <row r="11" spans="1:8">
      <c r="A11" s="115"/>
      <c r="C11" s="11"/>
      <c r="D11" s="11"/>
    </row>
    <row r="12" spans="1:8">
      <c r="A12" s="33">
        <f>+A10+1</f>
        <v>2</v>
      </c>
      <c r="B12" s="33"/>
      <c r="C12" s="73" t="s">
        <v>64</v>
      </c>
      <c r="D12" s="73"/>
      <c r="E12" s="211"/>
      <c r="F12" s="73" t="s">
        <v>633</v>
      </c>
      <c r="G12" s="34"/>
      <c r="H12" s="826">
        <v>37790367</v>
      </c>
    </row>
    <row r="13" spans="1:8">
      <c r="A13" s="33">
        <f>+A12+1</f>
        <v>3</v>
      </c>
      <c r="B13" s="33"/>
      <c r="C13" s="73" t="s">
        <v>104</v>
      </c>
      <c r="D13" s="73"/>
      <c r="F13" s="73" t="s">
        <v>634</v>
      </c>
      <c r="G13" s="34"/>
      <c r="H13" s="826">
        <v>3407632</v>
      </c>
    </row>
    <row r="14" spans="1:8">
      <c r="A14" s="33">
        <f>+A13+1</f>
        <v>4</v>
      </c>
      <c r="B14" s="33"/>
      <c r="C14" s="43" t="s">
        <v>181</v>
      </c>
      <c r="D14" s="37"/>
      <c r="E14" s="212"/>
      <c r="F14" s="37" t="str">
        <f>"(Line "&amp;A12&amp;" - "&amp;A13&amp;")"</f>
        <v>(Line 2 - 3)</v>
      </c>
      <c r="G14" s="72"/>
      <c r="H14" s="37">
        <f>+H12-H13</f>
        <v>34382735</v>
      </c>
    </row>
    <row r="15" spans="1:8">
      <c r="A15" s="33"/>
      <c r="B15" s="33"/>
      <c r="C15" s="3"/>
      <c r="D15" s="11"/>
      <c r="E15" s="21"/>
      <c r="F15" s="34"/>
      <c r="G15" s="34"/>
      <c r="H15" s="5"/>
    </row>
    <row r="16" spans="1:8" ht="16.5" thickBot="1">
      <c r="A16" s="33">
        <v>5</v>
      </c>
      <c r="B16" s="46" t="s">
        <v>146</v>
      </c>
      <c r="C16" s="46"/>
      <c r="D16" s="149"/>
      <c r="E16" s="213"/>
      <c r="F16" s="47" t="str">
        <f>"(Line "&amp;A10&amp;" / "&amp;A14&amp;")"</f>
        <v>(Line 1 / 4)</v>
      </c>
      <c r="G16" s="150"/>
      <c r="H16" s="138">
        <f>+H10/H14</f>
        <v>8.0514508226294385E-2</v>
      </c>
    </row>
    <row r="17" spans="1:8" ht="16.5" thickTop="1">
      <c r="A17" s="33"/>
      <c r="B17" s="33"/>
      <c r="C17" s="26"/>
      <c r="D17" s="63"/>
      <c r="E17" s="30"/>
      <c r="F17" s="34"/>
      <c r="G17" s="34"/>
      <c r="H17" s="44"/>
    </row>
    <row r="18" spans="1:8" ht="15.75">
      <c r="A18" s="115"/>
      <c r="B18" s="26" t="s">
        <v>167</v>
      </c>
      <c r="D18" s="58"/>
    </row>
    <row r="19" spans="1:8">
      <c r="A19" s="98">
        <f>+A16+1</f>
        <v>6</v>
      </c>
      <c r="B19" s="58"/>
      <c r="C19" s="73" t="s">
        <v>189</v>
      </c>
      <c r="E19" s="244" t="str">
        <f>"(Note "&amp;B$298&amp;")"</f>
        <v>(Note B)</v>
      </c>
      <c r="F19" s="73" t="s">
        <v>764</v>
      </c>
      <c r="H19" s="826">
        <f>'5 - Cost Support 1'!I203</f>
        <v>3430855851</v>
      </c>
    </row>
    <row r="20" spans="1:8">
      <c r="A20" s="98">
        <f>+A19+1</f>
        <v>7</v>
      </c>
      <c r="B20" s="58"/>
      <c r="C20" s="73" t="s">
        <v>105</v>
      </c>
      <c r="E20" s="244"/>
      <c r="F20" s="140" t="str">
        <f>"(Line "&amp;A$46&amp;")"</f>
        <v>(Line 24)</v>
      </c>
      <c r="H20" s="12">
        <f>H46</f>
        <v>88071964</v>
      </c>
    </row>
    <row r="21" spans="1:8">
      <c r="A21" s="98">
        <f>+A20+1</f>
        <v>8</v>
      </c>
      <c r="B21" s="58"/>
      <c r="C21" s="56" t="s">
        <v>109</v>
      </c>
      <c r="D21" s="72"/>
      <c r="E21" s="216"/>
      <c r="F21" s="70" t="str">
        <f>"(Sum Lines "&amp;A19&amp;" &amp; "&amp;A20&amp;")"</f>
        <v>(Sum Lines 6 &amp; 7)</v>
      </c>
      <c r="G21" s="68"/>
      <c r="H21" s="70">
        <f>SUM(H19:H20)</f>
        <v>3518927815</v>
      </c>
    </row>
    <row r="22" spans="1:8">
      <c r="A22" s="117"/>
      <c r="B22" s="58"/>
      <c r="C22" s="73"/>
      <c r="E22" s="215"/>
      <c r="F22" s="73"/>
      <c r="H22" s="12"/>
    </row>
    <row r="23" spans="1:8">
      <c r="A23" s="98">
        <f>+A21+1</f>
        <v>9</v>
      </c>
      <c r="B23" s="58"/>
      <c r="C23" s="73" t="s">
        <v>61</v>
      </c>
      <c r="F23" s="73" t="s">
        <v>765</v>
      </c>
      <c r="H23" s="826">
        <f>'5 - Cost Support 1'!I204</f>
        <v>892238236</v>
      </c>
    </row>
    <row r="24" spans="1:8">
      <c r="A24" s="98">
        <f>+A23+1</f>
        <v>10</v>
      </c>
      <c r="B24" s="58"/>
      <c r="C24" s="73" t="s">
        <v>201</v>
      </c>
      <c r="E24" s="244" t="str">
        <f>"(Note "&amp;B$297&amp;")"</f>
        <v>(Note A)</v>
      </c>
      <c r="F24" s="5" t="s">
        <v>212</v>
      </c>
      <c r="H24" s="826">
        <v>9955634</v>
      </c>
    </row>
    <row r="25" spans="1:8">
      <c r="A25" s="98">
        <f>+A24+1</f>
        <v>11</v>
      </c>
      <c r="B25" s="58"/>
      <c r="C25" s="73" t="s">
        <v>162</v>
      </c>
      <c r="E25" s="244" t="str">
        <f>"(Note "&amp;B$297&amp;")"</f>
        <v>(Note A)</v>
      </c>
      <c r="F25" s="5" t="s">
        <v>65</v>
      </c>
      <c r="H25" s="12">
        <f>'5 - Cost Support 1'!H8</f>
        <v>14161633</v>
      </c>
    </row>
    <row r="26" spans="1:8">
      <c r="A26" s="98">
        <f>+A25+1</f>
        <v>12</v>
      </c>
      <c r="C26" s="39" t="s">
        <v>202</v>
      </c>
      <c r="E26" s="244" t="str">
        <f>"(Note "&amp;B$297&amp;")"</f>
        <v>(Note A)</v>
      </c>
      <c r="F26" s="5" t="s">
        <v>65</v>
      </c>
      <c r="H26" s="716">
        <v>51400525</v>
      </c>
    </row>
    <row r="27" spans="1:8">
      <c r="A27" s="98">
        <f>+A26+1</f>
        <v>13</v>
      </c>
      <c r="C27" s="56" t="s">
        <v>108</v>
      </c>
      <c r="D27" s="72"/>
      <c r="E27" s="217"/>
      <c r="F27" s="37" t="str">
        <f>"(Sum Lines "&amp;A23&amp;" to "&amp;A26&amp;")"</f>
        <v>(Sum Lines 9 to 12)</v>
      </c>
      <c r="G27" s="68"/>
      <c r="H27" s="70">
        <f>SUM(H23:H26)</f>
        <v>967756028</v>
      </c>
    </row>
    <row r="28" spans="1:8" ht="17.25" customHeight="1">
      <c r="A28" s="115"/>
      <c r="C28" s="39"/>
      <c r="F28" s="5"/>
      <c r="H28" s="109"/>
    </row>
    <row r="29" spans="1:8">
      <c r="A29" s="33">
        <f>+A27+1</f>
        <v>14</v>
      </c>
      <c r="B29" s="58"/>
      <c r="C29" s="68" t="s">
        <v>158</v>
      </c>
      <c r="D29" s="68"/>
      <c r="E29" s="217"/>
      <c r="F29" s="37" t="str">
        <f>"(Line "&amp;A21&amp;" - "&amp;A27&amp;")"</f>
        <v>(Line 8 - 13)</v>
      </c>
      <c r="G29" s="68"/>
      <c r="H29" s="37">
        <f>+H21-H27</f>
        <v>2551171787</v>
      </c>
    </row>
    <row r="30" spans="1:8">
      <c r="A30" s="115"/>
      <c r="B30" s="58"/>
      <c r="C30" s="58"/>
      <c r="D30" s="58"/>
    </row>
    <row r="31" spans="1:8">
      <c r="A31" s="98">
        <f>+A29+1</f>
        <v>15</v>
      </c>
      <c r="B31" s="58"/>
      <c r="C31" s="58" t="s">
        <v>106</v>
      </c>
      <c r="D31" s="58"/>
      <c r="F31" s="140" t="str">
        <f>"(Line "&amp;A53&amp;" - Line "&amp;A51&amp;")"</f>
        <v>(Line 29 - Line 28)</v>
      </c>
      <c r="H31" s="109">
        <f>+H53-H51</f>
        <v>1229396887.0091333</v>
      </c>
    </row>
    <row r="32" spans="1:8" ht="16.5" thickBot="1">
      <c r="A32" s="33">
        <f>+A31+1</f>
        <v>16</v>
      </c>
      <c r="B32" s="51" t="s">
        <v>48</v>
      </c>
      <c r="C32" s="51"/>
      <c r="D32" s="139"/>
      <c r="E32" s="218"/>
      <c r="F32" s="47" t="str">
        <f>"(Line "&amp;A31&amp;" / "&amp;A21&amp;")"</f>
        <v>(Line 15 / 8)</v>
      </c>
      <c r="G32" s="139"/>
      <c r="H32" s="138">
        <f>+H31/(H21)</f>
        <v>0.34936689572563268</v>
      </c>
    </row>
    <row r="33" spans="1:9" ht="15.75" thickTop="1">
      <c r="A33" s="115"/>
    </row>
    <row r="34" spans="1:9" s="38" customFormat="1">
      <c r="A34" s="98">
        <f>+A32+1</f>
        <v>17</v>
      </c>
      <c r="B34" s="6"/>
      <c r="C34" s="28" t="s">
        <v>107</v>
      </c>
      <c r="D34" s="29"/>
      <c r="E34" s="30"/>
      <c r="F34" s="140" t="str">
        <f>"(Line "&amp;A69&amp;" - Line "&amp;A51&amp;")"</f>
        <v>(Line 39 - Line 28)</v>
      </c>
      <c r="G34" s="11"/>
      <c r="H34" s="7">
        <f>+H69-H51</f>
        <v>897303360.33913517</v>
      </c>
    </row>
    <row r="35" spans="1:9" ht="16.5" thickBot="1">
      <c r="A35" s="33">
        <f>+A34+1</f>
        <v>18</v>
      </c>
      <c r="B35" s="51" t="s">
        <v>159</v>
      </c>
      <c r="C35" s="51"/>
      <c r="D35" s="139"/>
      <c r="E35" s="218"/>
      <c r="F35" s="47" t="str">
        <f>"(Line "&amp;A34&amp;" / "&amp;A29&amp;")"</f>
        <v>(Line 17 / 14)</v>
      </c>
      <c r="G35" s="139"/>
      <c r="H35" s="138">
        <f>+H34/H29</f>
        <v>0.35172204588946998</v>
      </c>
    </row>
    <row r="36" spans="1:9" ht="16.5" thickTop="1">
      <c r="A36" s="60"/>
      <c r="B36" s="33"/>
      <c r="C36" s="26"/>
      <c r="D36" s="63"/>
      <c r="E36" s="30"/>
      <c r="F36" s="34"/>
      <c r="G36" s="34"/>
      <c r="H36" s="44"/>
    </row>
    <row r="37" spans="1:9" s="64" customFormat="1" ht="15.75">
      <c r="A37" s="114" t="s">
        <v>157</v>
      </c>
      <c r="B37" s="111"/>
      <c r="C37" s="147"/>
      <c r="D37" s="147"/>
      <c r="E37" s="210"/>
      <c r="F37" s="148"/>
      <c r="G37" s="148"/>
      <c r="H37" s="158"/>
    </row>
    <row r="38" spans="1:9" s="64" customFormat="1" ht="15.75">
      <c r="A38" s="151"/>
      <c r="B38" s="152"/>
      <c r="C38" s="101"/>
      <c r="D38" s="101"/>
      <c r="E38" s="209"/>
      <c r="F38" s="136"/>
      <c r="G38" s="136"/>
      <c r="H38" s="146"/>
    </row>
    <row r="39" spans="1:9" ht="15.75">
      <c r="A39" s="116"/>
      <c r="B39" s="26" t="s">
        <v>116</v>
      </c>
      <c r="E39" s="30"/>
      <c r="F39" s="12"/>
      <c r="G39" s="53"/>
      <c r="H39" s="5"/>
    </row>
    <row r="40" spans="1:9">
      <c r="A40" s="31">
        <f>+A35+1</f>
        <v>19</v>
      </c>
      <c r="B40" s="98"/>
      <c r="C40" s="28" t="s">
        <v>152</v>
      </c>
      <c r="E40" s="244" t="str">
        <f>"(Note "&amp;B$298&amp;")"</f>
        <v>(Note B)</v>
      </c>
      <c r="F40" s="12" t="s">
        <v>79</v>
      </c>
      <c r="G40" s="34"/>
      <c r="H40" s="826">
        <v>1207860962</v>
      </c>
    </row>
    <row r="41" spans="1:9">
      <c r="A41" s="31">
        <f>+A40+1</f>
        <v>20</v>
      </c>
      <c r="B41" s="98"/>
      <c r="C41" s="28" t="s">
        <v>541</v>
      </c>
      <c r="E41" s="30" t="s">
        <v>552</v>
      </c>
      <c r="F41" s="443" t="s">
        <v>553</v>
      </c>
      <c r="G41" s="34"/>
      <c r="H41" s="10"/>
    </row>
    <row r="42" spans="1:9">
      <c r="A42" s="31">
        <f>+A41+1</f>
        <v>21</v>
      </c>
      <c r="B42" s="98"/>
      <c r="C42" s="200" t="s">
        <v>380</v>
      </c>
      <c r="D42" s="127"/>
      <c r="E42" s="230"/>
      <c r="F42" s="541" t="s">
        <v>494</v>
      </c>
      <c r="G42" s="127"/>
      <c r="H42" s="142">
        <f>'6- Est &amp; Reconcile WS'!R116</f>
        <v>0</v>
      </c>
      <c r="I42" s="954"/>
    </row>
    <row r="43" spans="1:9" ht="15.75">
      <c r="A43" s="31">
        <f>+A42+1</f>
        <v>22</v>
      </c>
      <c r="B43" s="98"/>
      <c r="C43" s="26" t="s">
        <v>379</v>
      </c>
      <c r="E43" s="244"/>
      <c r="F43" s="27" t="str">
        <f>"(Line "&amp;A40&amp;" - "&amp;A41&amp;" + "&amp;A42&amp;")"</f>
        <v>(Line 19 - 20 + 21)</v>
      </c>
      <c r="G43" s="34"/>
      <c r="H43" s="499">
        <f>+H40-H41+H42</f>
        <v>1207860962</v>
      </c>
    </row>
    <row r="44" spans="1:9" s="64" customFormat="1">
      <c r="A44" s="31"/>
      <c r="B44" s="98"/>
      <c r="C44" s="28"/>
      <c r="D44" s="63"/>
      <c r="E44" s="117"/>
      <c r="F44" s="12"/>
      <c r="G44" s="63"/>
      <c r="H44" s="12"/>
    </row>
    <row r="45" spans="1:9">
      <c r="A45" s="31">
        <f>+A43+1</f>
        <v>23</v>
      </c>
      <c r="B45" s="33"/>
      <c r="C45" s="3" t="s">
        <v>151</v>
      </c>
      <c r="F45" s="12" t="s">
        <v>766</v>
      </c>
      <c r="G45" s="34"/>
      <c r="H45" s="10">
        <f>'5 - Cost Support 1'!I205</f>
        <v>179406848</v>
      </c>
    </row>
    <row r="46" spans="1:9">
      <c r="A46" s="31">
        <f>+A45+1</f>
        <v>24</v>
      </c>
      <c r="B46" s="33"/>
      <c r="C46" s="3" t="s">
        <v>112</v>
      </c>
      <c r="E46" s="244" t="str">
        <f>"(Notes "&amp;B$297&amp;" &amp; "&amp;B$298&amp;")"</f>
        <v>(Notes A &amp; B)</v>
      </c>
      <c r="F46" s="142" t="s">
        <v>65</v>
      </c>
      <c r="G46" s="34"/>
      <c r="H46" s="50">
        <v>88071964</v>
      </c>
    </row>
    <row r="47" spans="1:9">
      <c r="A47" s="31">
        <f>+A46+1</f>
        <v>25</v>
      </c>
      <c r="B47" s="33"/>
      <c r="C47" s="43" t="s">
        <v>153</v>
      </c>
      <c r="D47" s="72"/>
      <c r="E47" s="217"/>
      <c r="F47" s="27" t="str">
        <f>"(Line "&amp;A45&amp;" + "&amp;A46&amp;")"</f>
        <v>(Line 23 + 24)</v>
      </c>
      <c r="G47" s="72"/>
      <c r="H47" s="37">
        <f>SUM(H45:H46)</f>
        <v>267478812</v>
      </c>
    </row>
    <row r="48" spans="1:9" ht="15.75">
      <c r="A48" s="31">
        <f>+A47+1</f>
        <v>26</v>
      </c>
      <c r="B48" s="33"/>
      <c r="C48" s="82" t="s">
        <v>168</v>
      </c>
      <c r="D48" s="28"/>
      <c r="E48" s="30"/>
      <c r="F48" s="140" t="str">
        <f>"(Line "&amp;A$16&amp;")"</f>
        <v>(Line 5)</v>
      </c>
      <c r="G48" s="25"/>
      <c r="H48" s="254">
        <f>+H16</f>
        <v>8.0514508226294385E-2</v>
      </c>
    </row>
    <row r="49" spans="1:8" ht="15.75">
      <c r="A49" s="98">
        <f>+A48+1</f>
        <v>27</v>
      </c>
      <c r="B49" s="58"/>
      <c r="C49" s="45" t="s">
        <v>114</v>
      </c>
      <c r="D49" s="69"/>
      <c r="E49" s="212"/>
      <c r="F49" s="27" t="str">
        <f>"(Line "&amp;A47&amp;" * "&amp;A48&amp;")"</f>
        <v>(Line 25 * 26)</v>
      </c>
      <c r="G49" s="68"/>
      <c r="H49" s="335">
        <f>+H48*H47</f>
        <v>21535925.009133451</v>
      </c>
    </row>
    <row r="50" spans="1:8" ht="15.75">
      <c r="A50" s="126"/>
      <c r="B50" s="58"/>
      <c r="C50" s="26"/>
      <c r="D50" s="64"/>
      <c r="E50" s="346"/>
      <c r="H50" s="27"/>
    </row>
    <row r="51" spans="1:8" ht="15.75">
      <c r="A51" s="98">
        <f>+A49+1</f>
        <v>28</v>
      </c>
      <c r="B51" s="33"/>
      <c r="C51" s="45" t="s">
        <v>273</v>
      </c>
      <c r="D51" s="251"/>
      <c r="E51" s="244" t="str">
        <f>"(Note "&amp;B$303&amp;")"</f>
        <v>(Note C)</v>
      </c>
      <c r="F51" s="37" t="s">
        <v>204</v>
      </c>
      <c r="G51" s="72"/>
      <c r="H51" s="336">
        <f>'5 - Cost Support 1'!H27</f>
        <v>0</v>
      </c>
    </row>
    <row r="52" spans="1:8" ht="15.75">
      <c r="A52" s="126"/>
      <c r="B52" s="58"/>
      <c r="C52" s="26"/>
      <c r="D52" s="64"/>
      <c r="E52" s="117"/>
      <c r="H52" s="27"/>
    </row>
    <row r="53" spans="1:8" s="1" customFormat="1" ht="16.5" thickBot="1">
      <c r="A53" s="98">
        <f>+A51+1</f>
        <v>29</v>
      </c>
      <c r="B53" s="51" t="s">
        <v>111</v>
      </c>
      <c r="C53" s="51"/>
      <c r="D53" s="51"/>
      <c r="E53" s="220"/>
      <c r="F53" s="48" t="str">
        <f>"(Line "&amp;A43&amp;" + "&amp;A49&amp;" + "&amp;A51&amp;")"</f>
        <v>(Line 22 + 27 + 28)</v>
      </c>
      <c r="G53" s="51"/>
      <c r="H53" s="52">
        <f>SUM(H43,H49,H51)</f>
        <v>1229396887.0091333</v>
      </c>
    </row>
    <row r="54" spans="1:8" ht="15.75" thickTop="1">
      <c r="A54" s="126"/>
      <c r="B54" s="58"/>
      <c r="C54" s="58"/>
      <c r="D54" s="58"/>
    </row>
    <row r="55" spans="1:8" ht="15.75">
      <c r="A55" s="31"/>
      <c r="B55" s="26" t="s">
        <v>100</v>
      </c>
      <c r="C55" s="26"/>
      <c r="D55" s="12"/>
      <c r="E55" s="21"/>
      <c r="F55" s="5"/>
      <c r="G55" s="16"/>
      <c r="H55" s="5"/>
    </row>
    <row r="56" spans="1:8">
      <c r="A56" s="126"/>
      <c r="B56" s="63"/>
      <c r="C56" s="63"/>
      <c r="D56" s="63"/>
      <c r="F56" s="5"/>
      <c r="G56" s="5"/>
      <c r="H56" s="5"/>
    </row>
    <row r="57" spans="1:8">
      <c r="A57" s="31">
        <f>+A53+1</f>
        <v>30</v>
      </c>
      <c r="B57" s="33"/>
      <c r="C57" s="3" t="s">
        <v>188</v>
      </c>
      <c r="D57" s="11"/>
      <c r="E57" s="244" t="str">
        <f>"(Note "&amp;B$298&amp;")"</f>
        <v>(Note B)</v>
      </c>
      <c r="F57" s="12" t="s">
        <v>80</v>
      </c>
      <c r="G57" s="11"/>
      <c r="H57" s="826">
        <v>322619784</v>
      </c>
    </row>
    <row r="58" spans="1:8" s="64" customFormat="1">
      <c r="A58" s="31"/>
      <c r="B58" s="98"/>
      <c r="C58" s="63"/>
      <c r="D58" s="28"/>
      <c r="E58" s="117"/>
      <c r="F58" s="12"/>
      <c r="G58" s="63"/>
      <c r="H58" s="12"/>
    </row>
    <row r="59" spans="1:8">
      <c r="A59" s="98">
        <f>+A57+1</f>
        <v>31</v>
      </c>
      <c r="B59" s="33"/>
      <c r="C59" s="3" t="s">
        <v>230</v>
      </c>
      <c r="F59" s="12" t="s">
        <v>767</v>
      </c>
      <c r="G59" s="34"/>
      <c r="H59" s="826">
        <f>'5 - Cost Support 1'!I206</f>
        <v>42147246</v>
      </c>
    </row>
    <row r="60" spans="1:8">
      <c r="A60" s="31">
        <f t="shared" ref="A60:A65" si="0">+A59+1</f>
        <v>32</v>
      </c>
      <c r="B60" s="33"/>
      <c r="C60" s="3" t="str">
        <f>+C24</f>
        <v>Accumulated Intangible Amortization</v>
      </c>
      <c r="F60" s="27" t="str">
        <f>"(Line "&amp;A$24&amp;")"</f>
        <v>(Line 10)</v>
      </c>
      <c r="G60" s="34"/>
      <c r="H60" s="12">
        <f>+H24</f>
        <v>9955634</v>
      </c>
    </row>
    <row r="61" spans="1:8">
      <c r="A61" s="31">
        <f t="shared" si="0"/>
        <v>33</v>
      </c>
      <c r="B61" s="33"/>
      <c r="C61" s="3" t="str">
        <f>+C25</f>
        <v>Accumulated Common Amortization - Electric</v>
      </c>
      <c r="E61" s="244"/>
      <c r="F61" s="27" t="str">
        <f>"(Line "&amp;A$25&amp;")"</f>
        <v>(Line 11)</v>
      </c>
      <c r="G61" s="34"/>
      <c r="H61" s="12">
        <f>+H25</f>
        <v>14161633</v>
      </c>
    </row>
    <row r="62" spans="1:8">
      <c r="A62" s="31">
        <f t="shared" si="0"/>
        <v>34</v>
      </c>
      <c r="B62" s="33"/>
      <c r="C62" s="206" t="s">
        <v>113</v>
      </c>
      <c r="D62" s="127"/>
      <c r="E62" s="253"/>
      <c r="F62" s="140" t="str">
        <f>"(Line "&amp;A$26&amp;")"</f>
        <v>(Line 12)</v>
      </c>
      <c r="G62" s="34"/>
      <c r="H62" s="142">
        <f>+H26</f>
        <v>51400525</v>
      </c>
    </row>
    <row r="63" spans="1:8">
      <c r="A63" s="31">
        <f t="shared" si="0"/>
        <v>35</v>
      </c>
      <c r="B63" s="33"/>
      <c r="C63" s="242" t="s">
        <v>108</v>
      </c>
      <c r="D63" s="41"/>
      <c r="E63" s="22"/>
      <c r="F63" s="27" t="str">
        <f>"(Sum Lines "&amp;A59&amp;" to "&amp;A62&amp;")"</f>
        <v>(Sum Lines 31 to 34)</v>
      </c>
      <c r="G63" s="27"/>
      <c r="H63" s="27">
        <f>SUM(H59:H62)</f>
        <v>117665038</v>
      </c>
    </row>
    <row r="64" spans="1:8">
      <c r="A64" s="31">
        <f t="shared" si="0"/>
        <v>36</v>
      </c>
      <c r="B64" s="33"/>
      <c r="C64" s="242" t="str">
        <f>+C48</f>
        <v>Wage &amp; Salary Allocation Factor</v>
      </c>
      <c r="D64" s="41"/>
      <c r="E64" s="22"/>
      <c r="F64" s="140" t="str">
        <f>"(Line "&amp;A$16&amp;")"</f>
        <v>(Line 5)</v>
      </c>
      <c r="G64" s="27"/>
      <c r="H64" s="500">
        <f>+H16</f>
        <v>8.0514508226294385E-2</v>
      </c>
    </row>
    <row r="65" spans="1:9" ht="15.75">
      <c r="A65" s="31">
        <f t="shared" si="0"/>
        <v>37</v>
      </c>
      <c r="B65" s="58"/>
      <c r="C65" s="110" t="s">
        <v>138</v>
      </c>
      <c r="D65" s="68"/>
      <c r="E65" s="217"/>
      <c r="F65" s="27" t="str">
        <f>"(Line "&amp;A63&amp;" * "&amp;A64&amp;")"</f>
        <v>(Line 35 * 36)</v>
      </c>
      <c r="G65" s="68"/>
      <c r="H65" s="335">
        <f>+H64*H63</f>
        <v>9473742.6699982416</v>
      </c>
    </row>
    <row r="66" spans="1:9">
      <c r="A66" s="126"/>
      <c r="B66" s="58"/>
      <c r="C66" s="58"/>
      <c r="D66" s="58"/>
    </row>
    <row r="67" spans="1:9" ht="16.5" thickBot="1">
      <c r="A67" s="98">
        <f>+A65+1</f>
        <v>38</v>
      </c>
      <c r="B67" s="51" t="s">
        <v>154</v>
      </c>
      <c r="C67" s="51"/>
      <c r="D67" s="51"/>
      <c r="E67" s="220"/>
      <c r="F67" s="48" t="str">
        <f>"(Line "&amp;A57&amp;" + "&amp;A65&amp;")"</f>
        <v>(Line 30 + 37)</v>
      </c>
      <c r="G67" s="51"/>
      <c r="H67" s="52">
        <f>+H65+H57</f>
        <v>332093526.66999823</v>
      </c>
    </row>
    <row r="68" spans="1:9" ht="15.75" thickTop="1">
      <c r="A68" s="126"/>
      <c r="B68" s="58"/>
      <c r="C68" s="58"/>
      <c r="D68" s="58"/>
    </row>
    <row r="69" spans="1:9" ht="16.5" thickBot="1">
      <c r="A69" s="98">
        <f>+A67+1</f>
        <v>39</v>
      </c>
      <c r="B69" s="51" t="s">
        <v>155</v>
      </c>
      <c r="C69" s="51"/>
      <c r="D69" s="51"/>
      <c r="E69" s="220"/>
      <c r="F69" s="48" t="str">
        <f>"(Line "&amp;A53&amp;" - "&amp;A67&amp;")"</f>
        <v>(Line 29 - 38)</v>
      </c>
      <c r="G69" s="51"/>
      <c r="H69" s="52">
        <f>+H53-H67</f>
        <v>897303360.33913517</v>
      </c>
    </row>
    <row r="70" spans="1:9" ht="15.75" thickTop="1">
      <c r="A70" s="116"/>
      <c r="B70" s="58"/>
      <c r="C70" s="58"/>
      <c r="D70" s="58"/>
    </row>
    <row r="71" spans="1:9" ht="15.75">
      <c r="A71" s="114" t="s">
        <v>115</v>
      </c>
      <c r="B71" s="147"/>
      <c r="C71" s="147"/>
      <c r="D71" s="147"/>
      <c r="E71" s="210"/>
      <c r="F71" s="148"/>
      <c r="G71" s="148"/>
      <c r="H71" s="157"/>
    </row>
    <row r="72" spans="1:9">
      <c r="A72" s="292"/>
      <c r="B72" s="293"/>
      <c r="C72" s="293"/>
      <c r="D72" s="293"/>
    </row>
    <row r="73" spans="1:9" ht="15.75">
      <c r="A73" s="117"/>
      <c r="B73" s="112" t="s">
        <v>242</v>
      </c>
      <c r="D73" s="64"/>
      <c r="E73" s="135"/>
      <c r="H73" s="5"/>
    </row>
    <row r="74" spans="1:9" ht="15.75">
      <c r="A74" s="117">
        <f>+A69+1</f>
        <v>40</v>
      </c>
      <c r="B74" s="112"/>
      <c r="C74" s="34" t="s">
        <v>268</v>
      </c>
      <c r="D74" s="64"/>
      <c r="F74" s="81" t="s">
        <v>495</v>
      </c>
      <c r="H74" s="12">
        <f>'1 - ADIT'!E17</f>
        <v>-250466040.19521144</v>
      </c>
    </row>
    <row r="75" spans="1:9" s="63" customFormat="1">
      <c r="A75" s="31">
        <f>+A74+1</f>
        <v>41</v>
      </c>
      <c r="B75" s="64"/>
      <c r="C75" s="54" t="s">
        <v>215</v>
      </c>
      <c r="D75" s="617" t="s">
        <v>573</v>
      </c>
      <c r="E75" s="244" t="str">
        <f>"(Notes "&amp;B$297&amp;" &amp; "&amp;B$308&amp;")"</f>
        <v>(Notes A &amp; I)</v>
      </c>
      <c r="F75" s="49" t="s">
        <v>81</v>
      </c>
      <c r="G75" s="29"/>
      <c r="H75" s="10">
        <f>-'1 - ADIT'!D133</f>
        <v>-3168120.62</v>
      </c>
    </row>
    <row r="76" spans="1:9" ht="15.75">
      <c r="A76" s="31">
        <f>+A75+1</f>
        <v>42</v>
      </c>
      <c r="B76" s="64"/>
      <c r="C76" s="82" t="s">
        <v>117</v>
      </c>
      <c r="D76" s="64"/>
      <c r="E76" s="117"/>
      <c r="F76" s="142" t="str">
        <f>"(Line "&amp;A35&amp;")"</f>
        <v>(Line 18)</v>
      </c>
      <c r="H76" s="76">
        <f>+H$35</f>
        <v>0.35172204588946998</v>
      </c>
    </row>
    <row r="77" spans="1:9" s="64" customFormat="1" ht="15.75">
      <c r="A77" s="31">
        <f>+A76+1</f>
        <v>43</v>
      </c>
      <c r="C77" s="113" t="s">
        <v>139</v>
      </c>
      <c r="D77" s="69"/>
      <c r="E77" s="228"/>
      <c r="F77" s="49" t="str">
        <f>"(Line "&amp;A75&amp;" * "&amp;A76&amp;") + Line "&amp;A74</f>
        <v>(Line 41 * 42) + Line 40</v>
      </c>
      <c r="G77" s="69"/>
      <c r="H77" s="334">
        <f>+H74+H75*H76</f>
        <v>-251580338.06130245</v>
      </c>
    </row>
    <row r="78" spans="1:9" s="64" customFormat="1" ht="15.75">
      <c r="A78" s="31"/>
      <c r="C78" s="112"/>
      <c r="D78" s="136"/>
      <c r="E78" s="257"/>
      <c r="F78" s="49"/>
      <c r="G78" s="136"/>
      <c r="H78" s="597"/>
    </row>
    <row r="79" spans="1:9" s="64" customFormat="1" ht="15.75">
      <c r="A79" s="31" t="s">
        <v>643</v>
      </c>
      <c r="B79" s="112" t="s">
        <v>644</v>
      </c>
      <c r="D79" s="73"/>
      <c r="E79" s="244" t="s">
        <v>645</v>
      </c>
      <c r="F79" s="49" t="s">
        <v>646</v>
      </c>
      <c r="G79" s="136"/>
      <c r="H79" s="991">
        <f>'6- Est &amp; Reconcile WS'!R117</f>
        <v>0</v>
      </c>
      <c r="I79" s="955"/>
    </row>
    <row r="80" spans="1:9" s="64" customFormat="1" ht="15.75">
      <c r="A80" s="31"/>
      <c r="C80" s="112"/>
      <c r="D80" s="136"/>
      <c r="E80" s="257"/>
      <c r="F80" s="49"/>
      <c r="G80" s="136"/>
      <c r="H80" s="597"/>
      <c r="I80" s="955"/>
    </row>
    <row r="81" spans="1:9" s="64" customFormat="1" ht="15.75">
      <c r="A81" s="31" t="s">
        <v>712</v>
      </c>
      <c r="B81" s="879" t="s">
        <v>713</v>
      </c>
      <c r="C81" s="112"/>
      <c r="D81" s="136"/>
      <c r="E81" s="257"/>
      <c r="F81" s="878" t="s">
        <v>497</v>
      </c>
      <c r="G81" s="136"/>
      <c r="H81" s="990">
        <f>'5 - Cost Support 1'!E180</f>
        <v>0</v>
      </c>
      <c r="I81" s="955"/>
    </row>
    <row r="82" spans="1:9" s="64" customFormat="1" ht="15.75">
      <c r="A82" s="31"/>
      <c r="C82" s="112"/>
      <c r="D82" s="136"/>
      <c r="E82" s="257"/>
      <c r="F82" s="49"/>
      <c r="G82" s="136"/>
      <c r="H82" s="597"/>
    </row>
    <row r="83" spans="1:9" s="64" customFormat="1" ht="15.75">
      <c r="A83" s="31"/>
      <c r="B83" s="270" t="s">
        <v>572</v>
      </c>
      <c r="C83" s="112"/>
      <c r="D83" s="136"/>
      <c r="E83" s="257"/>
      <c r="F83" s="49"/>
      <c r="G83" s="136"/>
      <c r="H83" s="597"/>
    </row>
    <row r="84" spans="1:9" ht="15.75">
      <c r="A84" s="117">
        <f>+A77+1</f>
        <v>44</v>
      </c>
      <c r="B84" s="64"/>
      <c r="C84" s="112" t="s">
        <v>574</v>
      </c>
      <c r="D84" s="136"/>
      <c r="E84" s="257" t="s">
        <v>573</v>
      </c>
      <c r="F84" s="136" t="s">
        <v>497</v>
      </c>
      <c r="G84" s="103"/>
      <c r="H84" s="907">
        <f>-'5 - Cost Support 1'!I118</f>
        <v>-3471169.8018521406</v>
      </c>
    </row>
    <row r="85" spans="1:9" ht="15.75">
      <c r="A85" s="98"/>
      <c r="B85" s="61"/>
      <c r="C85" s="63"/>
      <c r="D85" s="63"/>
      <c r="E85" s="117"/>
      <c r="F85" s="635"/>
      <c r="G85" s="80"/>
    </row>
    <row r="86" spans="1:9" ht="15.75">
      <c r="A86" s="98"/>
      <c r="B86" s="74" t="s">
        <v>101</v>
      </c>
      <c r="C86" s="62"/>
      <c r="D86" s="63"/>
      <c r="E86" s="117"/>
      <c r="F86" s="636"/>
      <c r="G86" s="75"/>
    </row>
    <row r="87" spans="1:9" ht="15.75">
      <c r="A87" s="98">
        <f>+A84+1</f>
        <v>45</v>
      </c>
      <c r="B87" s="71"/>
      <c r="C87" s="118" t="s">
        <v>602</v>
      </c>
      <c r="D87" s="253"/>
      <c r="E87" s="253" t="str">
        <f>"(Note "&amp;B$297&amp;")"</f>
        <v>(Note A)</v>
      </c>
      <c r="F87" s="192" t="s">
        <v>497</v>
      </c>
      <c r="G87" s="191"/>
      <c r="H87" s="994">
        <f>+'5 - Cost Support 1'!F129</f>
        <v>14729127.926593091</v>
      </c>
    </row>
    <row r="88" spans="1:9" ht="15.75">
      <c r="A88" s="6">
        <f>+A87+1</f>
        <v>46</v>
      </c>
      <c r="B88" s="61"/>
      <c r="C88" s="270" t="s">
        <v>82</v>
      </c>
      <c r="D88" s="72"/>
      <c r="E88" s="221"/>
      <c r="F88" s="49" t="str">
        <f>"(Line "&amp;A87&amp;")"</f>
        <v>(Line 45)</v>
      </c>
      <c r="G88" s="104"/>
      <c r="H88" s="92">
        <f>+H87</f>
        <v>14729127.926593091</v>
      </c>
    </row>
    <row r="89" spans="1:9" ht="15.75">
      <c r="A89" s="33"/>
      <c r="B89" s="61"/>
      <c r="C89" s="62"/>
      <c r="E89" s="33"/>
      <c r="F89" s="75"/>
      <c r="G89" s="75"/>
      <c r="H89" s="78"/>
    </row>
    <row r="90" spans="1:9" ht="15.75">
      <c r="A90" s="98"/>
      <c r="B90" s="74" t="s">
        <v>98</v>
      </c>
      <c r="C90" s="64"/>
      <c r="D90" s="64"/>
      <c r="E90" s="208"/>
      <c r="F90" s="191"/>
      <c r="G90" s="75"/>
      <c r="H90" s="78"/>
    </row>
    <row r="91" spans="1:9">
      <c r="A91" s="117">
        <f>+A88+1</f>
        <v>47</v>
      </c>
      <c r="B91" s="64"/>
      <c r="C91" s="64" t="s">
        <v>119</v>
      </c>
      <c r="D91" s="63"/>
      <c r="E91" s="244" t="str">
        <f>"(Note "&amp;B$297&amp;")"</f>
        <v>(Note A)</v>
      </c>
      <c r="F91" s="62" t="s">
        <v>20</v>
      </c>
      <c r="H91" s="826">
        <f>'5 - Cost Support 1'!H15</f>
        <v>1270092.23074</v>
      </c>
    </row>
    <row r="92" spans="1:9" s="64" customFormat="1" ht="15.75">
      <c r="A92" s="31">
        <f>+A91+1</f>
        <v>48</v>
      </c>
      <c r="B92" s="61"/>
      <c r="C92" s="118" t="s">
        <v>168</v>
      </c>
      <c r="D92" s="119"/>
      <c r="E92" s="222"/>
      <c r="F92" s="140" t="str">
        <f>"(Line "&amp;A$16&amp;")"</f>
        <v>(Line 5)</v>
      </c>
      <c r="G92" s="121"/>
      <c r="H92" s="833">
        <f>+H16</f>
        <v>8.0514508226294385E-2</v>
      </c>
    </row>
    <row r="93" spans="1:9" ht="15.75">
      <c r="A93" s="31">
        <f>+A92+1</f>
        <v>49</v>
      </c>
      <c r="B93" s="61"/>
      <c r="C93" s="82" t="s">
        <v>187</v>
      </c>
      <c r="D93" s="63"/>
      <c r="E93" s="117"/>
      <c r="F93" s="27" t="str">
        <f>"(Line "&amp;A91&amp;" * "&amp;A92&amp;")"</f>
        <v>(Line 47 * 48)</v>
      </c>
      <c r="G93" s="75"/>
      <c r="H93" s="84">
        <f>+H91*H92</f>
        <v>102260.85136006832</v>
      </c>
    </row>
    <row r="94" spans="1:9" ht="15.75">
      <c r="A94" s="31">
        <f>+A93+1</f>
        <v>50</v>
      </c>
      <c r="B94" s="61"/>
      <c r="C94" s="82" t="s">
        <v>84</v>
      </c>
      <c r="D94" s="63"/>
      <c r="E94" s="98"/>
      <c r="F94" s="192" t="s">
        <v>169</v>
      </c>
      <c r="G94" s="75"/>
      <c r="H94" s="993">
        <v>2649667</v>
      </c>
    </row>
    <row r="95" spans="1:9" ht="18" customHeight="1">
      <c r="A95" s="31">
        <f>+A94+1</f>
        <v>51</v>
      </c>
      <c r="B95" s="61"/>
      <c r="C95" s="134" t="s">
        <v>97</v>
      </c>
      <c r="D95" s="86"/>
      <c r="E95" s="223"/>
      <c r="F95" s="27" t="str">
        <f>"(Line "&amp;A93&amp;" + "&amp;A94&amp;")"</f>
        <v>(Line 49 + 50)</v>
      </c>
      <c r="G95" s="87"/>
      <c r="H95" s="88">
        <f>SUM(H93:H94)</f>
        <v>2751927.8513600682</v>
      </c>
    </row>
    <row r="96" spans="1:9" ht="15.75">
      <c r="A96" s="98"/>
      <c r="B96" s="61"/>
      <c r="C96" s="62"/>
      <c r="E96" s="33"/>
      <c r="F96" s="75"/>
      <c r="G96" s="75"/>
    </row>
    <row r="97" spans="1:8" ht="15.75">
      <c r="A97" s="98"/>
      <c r="B97" s="74" t="s">
        <v>102</v>
      </c>
      <c r="C97" s="64"/>
      <c r="F97" s="75"/>
      <c r="G97" s="75"/>
    </row>
    <row r="98" spans="1:8" ht="15.75">
      <c r="A98" s="98">
        <f>+A95+1</f>
        <v>52</v>
      </c>
      <c r="B98" s="61"/>
      <c r="C98" s="62" t="s">
        <v>184</v>
      </c>
      <c r="D98" s="83"/>
      <c r="F98" s="27" t="str">
        <f>"(Line "&amp;A$146&amp;")"</f>
        <v>(Line 85)</v>
      </c>
      <c r="G98" s="75"/>
      <c r="H98" s="65">
        <f>+H146</f>
        <v>23011796.662214957</v>
      </c>
    </row>
    <row r="99" spans="1:8" ht="15.75">
      <c r="A99" s="31">
        <f>+A98+1</f>
        <v>53</v>
      </c>
      <c r="B99" s="61"/>
      <c r="C99" s="81" t="s">
        <v>170</v>
      </c>
      <c r="D99" s="83"/>
      <c r="F99" s="120" t="s">
        <v>205</v>
      </c>
      <c r="H99" s="255">
        <v>0.125</v>
      </c>
    </row>
    <row r="100" spans="1:8" s="90" customFormat="1" ht="15.75">
      <c r="A100" s="31">
        <f>+A99+1</f>
        <v>54</v>
      </c>
      <c r="B100" s="271"/>
      <c r="C100" s="272" t="s">
        <v>83</v>
      </c>
      <c r="D100" s="89"/>
      <c r="E100" s="224"/>
      <c r="F100" s="27" t="str">
        <f>"(Line "&amp;A98&amp;" * "&amp;A99&amp;")"</f>
        <v>(Line 52 * 53)</v>
      </c>
      <c r="G100" s="85"/>
      <c r="H100" s="91">
        <f>+H98*H99</f>
        <v>2876474.5827768696</v>
      </c>
    </row>
    <row r="101" spans="1:8" s="90" customFormat="1" ht="15.75">
      <c r="A101" s="31"/>
      <c r="B101" s="271"/>
      <c r="C101" s="330"/>
      <c r="D101" s="331"/>
      <c r="E101" s="232"/>
      <c r="F101" s="27"/>
      <c r="G101" s="332"/>
      <c r="H101" s="180"/>
    </row>
    <row r="102" spans="1:8" s="90" customFormat="1" ht="15.75">
      <c r="B102" s="330" t="s">
        <v>304</v>
      </c>
      <c r="D102" s="331"/>
      <c r="F102" s="27"/>
      <c r="G102" s="332"/>
      <c r="H102" s="180"/>
    </row>
    <row r="103" spans="1:8">
      <c r="A103" s="31">
        <f>+A100+1</f>
        <v>55</v>
      </c>
      <c r="B103" s="58"/>
      <c r="C103" s="58" t="s">
        <v>305</v>
      </c>
      <c r="D103" s="58"/>
      <c r="E103" s="244" t="str">
        <f>"(Note "&amp;B$318&amp;")"</f>
        <v>(Note N)</v>
      </c>
      <c r="F103" s="58" t="s">
        <v>307</v>
      </c>
      <c r="H103" s="320">
        <f>+'5 - Cost Support 1'!G99</f>
        <v>0</v>
      </c>
    </row>
    <row r="104" spans="1:8">
      <c r="A104" s="115">
        <f>+A103+1</f>
        <v>56</v>
      </c>
      <c r="B104" s="58"/>
      <c r="C104" s="321" t="s">
        <v>381</v>
      </c>
      <c r="D104" s="321"/>
      <c r="E104" s="533" t="str">
        <f>+E103</f>
        <v>(Note N)</v>
      </c>
      <c r="F104" s="448" t="str">
        <f>+F103</f>
        <v>From PJM</v>
      </c>
      <c r="H104" s="333">
        <f>+'5 - Cost Support 1'!G104</f>
        <v>0</v>
      </c>
    </row>
    <row r="105" spans="1:8" ht="15.75">
      <c r="A105" s="115">
        <f>+A104+1</f>
        <v>57</v>
      </c>
      <c r="B105" s="58"/>
      <c r="C105" s="58" t="s">
        <v>306</v>
      </c>
      <c r="D105" s="58"/>
      <c r="F105" s="27" t="str">
        <f>"(Line "&amp;A103&amp;" - "&amp;A104&amp;")"</f>
        <v>(Line 55 - 56)</v>
      </c>
      <c r="H105" s="1">
        <f>+H103+H104</f>
        <v>0</v>
      </c>
    </row>
    <row r="106" spans="1:8">
      <c r="A106" s="115"/>
      <c r="B106" s="58"/>
      <c r="C106" s="58"/>
      <c r="D106" s="58"/>
    </row>
    <row r="107" spans="1:8" ht="16.5" thickBot="1">
      <c r="A107" s="115">
        <f>+A105+1</f>
        <v>58</v>
      </c>
      <c r="B107" s="51" t="s">
        <v>179</v>
      </c>
      <c r="C107" s="51"/>
      <c r="D107" s="51"/>
      <c r="E107" s="220"/>
      <c r="F107" s="637" t="str">
        <f>"(Line "&amp;A77&amp;" + "&amp;A79&amp;" + "&amp;A84&amp;" + "&amp;A88&amp;" + "&amp;A95&amp;" + "&amp;A100&amp;" - "&amp;A105&amp;")"</f>
        <v>(Line 43 + 43a + 44 + 46 + 51 + 54 - 57)</v>
      </c>
      <c r="G107" s="638"/>
      <c r="H107" s="639">
        <f>SUM(H77,H79,H81,H84,H88,H95,H100,H105)</f>
        <v>-234693977.50242454</v>
      </c>
    </row>
    <row r="108" spans="1:8" ht="15.75" thickTop="1">
      <c r="A108" s="115"/>
      <c r="B108" s="58"/>
      <c r="C108" s="58"/>
      <c r="D108" s="58"/>
    </row>
    <row r="109" spans="1:8" s="38" customFormat="1" ht="16.5" thickBot="1">
      <c r="A109" s="33">
        <f>+A107+1</f>
        <v>59</v>
      </c>
      <c r="B109" s="51" t="s">
        <v>160</v>
      </c>
      <c r="C109" s="51"/>
      <c r="D109" s="51"/>
      <c r="E109" s="220"/>
      <c r="F109" s="47" t="str">
        <f>"(Line "&amp;A69&amp;" + "&amp;A107&amp;")"</f>
        <v>(Line 39 + 58)</v>
      </c>
      <c r="G109" s="51"/>
      <c r="H109" s="52">
        <f>+H69+H107</f>
        <v>662609382.83671069</v>
      </c>
    </row>
    <row r="110" spans="1:8" ht="15.75" thickTop="1">
      <c r="B110" s="58"/>
      <c r="C110" s="58"/>
      <c r="D110" s="58"/>
    </row>
    <row r="111" spans="1:8" s="64" customFormat="1" ht="15.75">
      <c r="A111" s="153" t="s">
        <v>210</v>
      </c>
      <c r="B111" s="154"/>
      <c r="C111" s="155"/>
      <c r="D111" s="156"/>
      <c r="E111" s="225"/>
      <c r="F111" s="157"/>
      <c r="G111" s="157"/>
      <c r="H111" s="158"/>
    </row>
    <row r="112" spans="1:8" s="64" customFormat="1" ht="15.75">
      <c r="A112" s="63"/>
      <c r="B112" s="63"/>
      <c r="C112" s="63"/>
      <c r="D112" s="63"/>
      <c r="E112" s="226"/>
      <c r="H112" s="146"/>
    </row>
    <row r="113" spans="1:8" ht="15.75">
      <c r="A113" s="6"/>
      <c r="B113" s="26" t="s">
        <v>144</v>
      </c>
      <c r="D113" s="5"/>
      <c r="E113" s="21"/>
      <c r="G113" s="5"/>
      <c r="H113" s="5"/>
    </row>
    <row r="114" spans="1:8" ht="15.75">
      <c r="A114" s="6">
        <f>+A109+1</f>
        <v>60</v>
      </c>
      <c r="B114" s="33"/>
      <c r="C114" s="28" t="s">
        <v>144</v>
      </c>
      <c r="D114" s="63"/>
      <c r="E114" s="117"/>
      <c r="F114" s="12" t="s">
        <v>768</v>
      </c>
      <c r="G114" s="53"/>
      <c r="H114" s="826">
        <f>'5 - Cost Support 1'!I196</f>
        <v>18064153.84</v>
      </c>
    </row>
    <row r="115" spans="1:8" ht="15.75">
      <c r="A115" s="6">
        <f>A114+1</f>
        <v>61</v>
      </c>
      <c r="B115" s="33"/>
      <c r="C115" s="28" t="s">
        <v>615</v>
      </c>
      <c r="D115" s="63"/>
      <c r="E115" s="117"/>
      <c r="F115" s="12" t="s">
        <v>497</v>
      </c>
      <c r="G115" s="53"/>
      <c r="H115" s="717">
        <f>'5 - Cost Support 1'!G138</f>
        <v>0</v>
      </c>
    </row>
    <row r="116" spans="1:8" ht="15.75">
      <c r="A116" s="6">
        <f>A115+1</f>
        <v>62</v>
      </c>
      <c r="B116" s="33"/>
      <c r="C116" s="28" t="s">
        <v>436</v>
      </c>
      <c r="D116" s="63"/>
      <c r="E116" s="117"/>
      <c r="F116" s="12" t="s">
        <v>497</v>
      </c>
      <c r="G116" s="53"/>
      <c r="H116" s="717">
        <f>'5 - Cost Support 1'!J139</f>
        <v>0</v>
      </c>
    </row>
    <row r="117" spans="1:8">
      <c r="A117" s="6">
        <f>+A116+1</f>
        <v>63</v>
      </c>
      <c r="B117" s="33"/>
      <c r="C117" s="28" t="s">
        <v>211</v>
      </c>
      <c r="D117" s="63"/>
      <c r="E117" s="117"/>
      <c r="F117" s="12" t="s">
        <v>12</v>
      </c>
      <c r="G117" s="63"/>
      <c r="H117" s="716">
        <v>0</v>
      </c>
    </row>
    <row r="118" spans="1:8">
      <c r="A118" s="31">
        <f>+A117+1</f>
        <v>64</v>
      </c>
      <c r="B118" s="98"/>
      <c r="C118" s="28" t="s">
        <v>402</v>
      </c>
      <c r="D118" s="63"/>
      <c r="E118" s="244" t="str">
        <f>"(Note "&amp;B$321&amp;")"</f>
        <v>(Note O)</v>
      </c>
      <c r="F118" s="12" t="s">
        <v>309</v>
      </c>
      <c r="G118" s="63"/>
      <c r="H118" s="716">
        <v>0</v>
      </c>
    </row>
    <row r="119" spans="1:8">
      <c r="A119" s="6">
        <f>+A118+1</f>
        <v>65</v>
      </c>
      <c r="B119" s="33"/>
      <c r="C119" s="28" t="s">
        <v>145</v>
      </c>
      <c r="D119" s="12"/>
      <c r="E119" s="253" t="str">
        <f>"(Note "&amp;B$297&amp;")"</f>
        <v>(Note A)</v>
      </c>
      <c r="F119" s="142" t="s">
        <v>635</v>
      </c>
      <c r="G119" s="63"/>
      <c r="H119" s="718">
        <v>0</v>
      </c>
    </row>
    <row r="120" spans="1:8" ht="15.75">
      <c r="A120" s="31">
        <f>+A119+1</f>
        <v>66</v>
      </c>
      <c r="B120" s="63"/>
      <c r="C120" s="45" t="s">
        <v>144</v>
      </c>
      <c r="D120" s="67"/>
      <c r="E120" s="228"/>
      <c r="F120" s="49" t="str">
        <f>"(Lines "&amp;A114&amp;" - "&amp;A117&amp;" + "&amp;A118&amp;" + "&amp;A119&amp;")"</f>
        <v>(Lines 60 - 63 + 64 + 65)</v>
      </c>
      <c r="G120" s="69"/>
      <c r="H120" s="337">
        <f>+H114-H115+H116-H117+H118+H119</f>
        <v>18064153.84</v>
      </c>
    </row>
    <row r="121" spans="1:8" ht="15.75">
      <c r="A121" s="31"/>
      <c r="B121" s="98"/>
      <c r="C121" s="26"/>
      <c r="D121" s="63"/>
      <c r="E121" s="30"/>
      <c r="F121" s="63"/>
      <c r="G121" s="63"/>
      <c r="H121" s="44"/>
    </row>
    <row r="122" spans="1:8" ht="15.75">
      <c r="A122" s="31"/>
      <c r="B122" s="26" t="s">
        <v>88</v>
      </c>
      <c r="C122" s="63"/>
      <c r="D122" s="63"/>
      <c r="E122" s="30"/>
      <c r="F122" s="63"/>
      <c r="G122" s="63"/>
      <c r="H122" s="44"/>
    </row>
    <row r="123" spans="1:8">
      <c r="A123" s="31">
        <f>+A120+1</f>
        <v>67</v>
      </c>
      <c r="B123" s="98"/>
      <c r="C123" s="28" t="s">
        <v>147</v>
      </c>
      <c r="D123" s="63"/>
      <c r="E123" s="244" t="str">
        <f>"(Note "&amp;B$297&amp;")"</f>
        <v>(Note A)</v>
      </c>
      <c r="F123" s="5" t="s">
        <v>65</v>
      </c>
      <c r="G123" s="63"/>
      <c r="H123" s="10">
        <v>0</v>
      </c>
    </row>
    <row r="124" spans="1:8">
      <c r="A124" s="31">
        <f t="shared" ref="A124:A133" si="1">+A123+1</f>
        <v>68</v>
      </c>
      <c r="B124" s="98"/>
      <c r="C124" s="28" t="s">
        <v>150</v>
      </c>
      <c r="D124" s="63"/>
      <c r="E124" s="117"/>
      <c r="F124" s="12" t="s">
        <v>769</v>
      </c>
      <c r="G124" s="63"/>
      <c r="H124" s="826">
        <f>'5 - Cost Support 1'!I197</f>
        <v>66358630.210000001</v>
      </c>
    </row>
    <row r="125" spans="1:8" ht="15.75">
      <c r="A125" s="98" t="s">
        <v>803</v>
      </c>
      <c r="B125" s="98"/>
      <c r="C125" s="1124" t="s">
        <v>804</v>
      </c>
      <c r="D125" s="63"/>
      <c r="E125" s="244" t="s">
        <v>805</v>
      </c>
      <c r="F125" s="1125" t="s">
        <v>497</v>
      </c>
      <c r="G125" s="1126"/>
      <c r="H125" s="10">
        <f>'5 - Cost Support 1'!I212</f>
        <v>-648857.56106267578</v>
      </c>
    </row>
    <row r="126" spans="1:8">
      <c r="A126" s="31">
        <f>+A124+1</f>
        <v>69</v>
      </c>
      <c r="B126" s="98"/>
      <c r="C126" s="28" t="s">
        <v>216</v>
      </c>
      <c r="D126" s="12"/>
      <c r="E126" s="126"/>
      <c r="F126" s="28" t="s">
        <v>14</v>
      </c>
      <c r="G126" s="34"/>
      <c r="H126" s="10">
        <v>414475</v>
      </c>
    </row>
    <row r="127" spans="1:8">
      <c r="A127" s="31">
        <f t="shared" si="1"/>
        <v>70</v>
      </c>
      <c r="B127" s="98"/>
      <c r="C127" s="28" t="s">
        <v>217</v>
      </c>
      <c r="D127" s="12"/>
      <c r="E127" s="244" t="str">
        <f>"(Note "&amp;B$305&amp;")"</f>
        <v>(Note E)</v>
      </c>
      <c r="F127" s="28" t="s">
        <v>15</v>
      </c>
      <c r="G127" s="34"/>
      <c r="H127" s="10">
        <v>3651224</v>
      </c>
    </row>
    <row r="128" spans="1:8">
      <c r="A128" s="31">
        <f t="shared" si="1"/>
        <v>71</v>
      </c>
      <c r="B128" s="98"/>
      <c r="C128" s="28" t="s">
        <v>218</v>
      </c>
      <c r="D128" s="12"/>
      <c r="E128" s="126"/>
      <c r="F128" s="28" t="s">
        <v>16</v>
      </c>
      <c r="G128" s="34"/>
      <c r="H128" s="10">
        <v>161759</v>
      </c>
    </row>
    <row r="129" spans="1:8">
      <c r="A129" s="31">
        <f>A128+1</f>
        <v>72</v>
      </c>
      <c r="B129" s="98"/>
      <c r="C129" s="28" t="s">
        <v>74</v>
      </c>
      <c r="D129" s="12"/>
      <c r="E129" s="126"/>
      <c r="F129" s="28" t="s">
        <v>614</v>
      </c>
      <c r="G129" s="34"/>
      <c r="H129" s="10">
        <v>6586524</v>
      </c>
    </row>
    <row r="130" spans="1:8">
      <c r="A130" s="31">
        <f>A129+1</f>
        <v>73</v>
      </c>
      <c r="B130" s="98"/>
      <c r="C130" s="28" t="s">
        <v>194</v>
      </c>
      <c r="D130" s="58"/>
      <c r="E130" s="244" t="str">
        <f>"(Note "&amp;B$304&amp;")"</f>
        <v>(Note D)</v>
      </c>
      <c r="F130" s="142" t="s">
        <v>163</v>
      </c>
      <c r="G130" s="63"/>
      <c r="H130" s="10">
        <f>'5 - Cost Support 1'!H49</f>
        <v>136301</v>
      </c>
    </row>
    <row r="131" spans="1:8" ht="15.75">
      <c r="A131" s="31">
        <f t="shared" si="1"/>
        <v>74</v>
      </c>
      <c r="B131" s="98"/>
      <c r="C131" s="45" t="s">
        <v>85</v>
      </c>
      <c r="D131" s="67"/>
      <c r="E131" s="219"/>
      <c r="F131" s="27" t="str">
        <f>"(Lines "&amp;A123&amp;" + "&amp;A124&amp;") -  Sum ("&amp;A126&amp;" to "&amp;A130&amp;")"</f>
        <v>(Lines 67 + 68) -  Sum (69 to 73)</v>
      </c>
      <c r="G131" s="72"/>
      <c r="H131" s="37">
        <f>H123+H124-H126-H127-H128-H129-H130</f>
        <v>55408347.210000001</v>
      </c>
    </row>
    <row r="132" spans="1:8" ht="15.75">
      <c r="A132" s="31">
        <f t="shared" si="1"/>
        <v>75</v>
      </c>
      <c r="B132" s="98"/>
      <c r="C132" s="82" t="s">
        <v>168</v>
      </c>
      <c r="D132" s="81"/>
      <c r="F132" s="243" t="str">
        <f>"(Line "&amp;A$16&amp;")"</f>
        <v>(Line 5)</v>
      </c>
      <c r="G132" s="75"/>
      <c r="H132" s="78">
        <f>+H16</f>
        <v>8.0514508226294385E-2</v>
      </c>
    </row>
    <row r="133" spans="1:8" ht="15.75">
      <c r="A133" s="31">
        <f t="shared" si="1"/>
        <v>76</v>
      </c>
      <c r="B133" s="98"/>
      <c r="C133" s="45" t="s">
        <v>96</v>
      </c>
      <c r="D133" s="67"/>
      <c r="E133" s="212"/>
      <c r="F133" s="27" t="str">
        <f>"(Line "&amp;A131&amp;" * "&amp;A132&amp;")"</f>
        <v>(Line 74 * 75)</v>
      </c>
      <c r="G133" s="72"/>
      <c r="H133" s="335">
        <f>+H132*H131</f>
        <v>4461175.8272449207</v>
      </c>
    </row>
    <row r="134" spans="1:8" ht="15.75">
      <c r="A134" s="31"/>
      <c r="B134" s="98"/>
      <c r="C134" s="57"/>
      <c r="D134" s="101"/>
      <c r="E134" s="22"/>
      <c r="F134" s="77"/>
      <c r="G134" s="77"/>
      <c r="H134" s="27"/>
    </row>
    <row r="135" spans="1:8" ht="15.75">
      <c r="A135" s="31"/>
      <c r="B135" s="26" t="s">
        <v>86</v>
      </c>
      <c r="C135" s="64"/>
      <c r="D135" s="101"/>
      <c r="E135" s="22"/>
      <c r="F135" s="77"/>
      <c r="G135" s="77"/>
      <c r="H135" s="27"/>
    </row>
    <row r="136" spans="1:8">
      <c r="A136" s="31">
        <f>+A133+1</f>
        <v>77</v>
      </c>
      <c r="B136" s="61"/>
      <c r="C136" s="62" t="s">
        <v>219</v>
      </c>
      <c r="D136" s="214"/>
      <c r="E136" s="244" t="str">
        <f>"(Note "&amp;B$307&amp;")"</f>
        <v>(Note G)</v>
      </c>
      <c r="F136" s="62" t="s">
        <v>15</v>
      </c>
      <c r="G136" s="64"/>
      <c r="H136" s="10">
        <f>'5 - Cost Support 1'!H55</f>
        <v>340687</v>
      </c>
    </row>
    <row r="137" spans="1:8" ht="15.75">
      <c r="A137" s="6">
        <f>+A136+1</f>
        <v>78</v>
      </c>
      <c r="B137" s="61"/>
      <c r="C137" s="192" t="s">
        <v>220</v>
      </c>
      <c r="D137" s="252"/>
      <c r="E137" s="253" t="str">
        <f>"(Note "&amp;B$315&amp;")"</f>
        <v>(Note K)</v>
      </c>
      <c r="F137" s="192" t="s">
        <v>16</v>
      </c>
      <c r="G137" s="64"/>
      <c r="H137" s="343">
        <f>'5 - Cost Support 1'!H63</f>
        <v>0</v>
      </c>
    </row>
    <row r="138" spans="1:8" ht="15.75">
      <c r="A138" s="6">
        <f>+A137+1</f>
        <v>79</v>
      </c>
      <c r="B138" s="61"/>
      <c r="C138" s="62" t="s">
        <v>195</v>
      </c>
      <c r="D138" s="63"/>
      <c r="E138" s="208"/>
      <c r="F138" s="27" t="str">
        <f>"(Line "&amp;A136&amp;" + "&amp;A137&amp;")"</f>
        <v>(Line 77 + 78)</v>
      </c>
      <c r="G138" s="64"/>
      <c r="H138" s="341">
        <f>+H137+H136</f>
        <v>340687</v>
      </c>
    </row>
    <row r="139" spans="1:8" ht="15.75">
      <c r="A139" s="31"/>
      <c r="B139" s="61"/>
      <c r="C139" s="62"/>
      <c r="D139" s="63"/>
      <c r="E139" s="208"/>
      <c r="F139" s="62"/>
      <c r="G139" s="64"/>
      <c r="H139" s="191"/>
    </row>
    <row r="140" spans="1:8">
      <c r="A140" s="33">
        <f>+A138+1</f>
        <v>80</v>
      </c>
      <c r="B140" s="61"/>
      <c r="C140" s="62" t="s">
        <v>221</v>
      </c>
      <c r="D140" s="63"/>
      <c r="F140" s="62" t="s">
        <v>14</v>
      </c>
      <c r="G140" s="64"/>
      <c r="H140" s="10">
        <f>H126</f>
        <v>414475</v>
      </c>
    </row>
    <row r="141" spans="1:8" ht="15.75">
      <c r="A141" s="6">
        <f>+A140+1</f>
        <v>81</v>
      </c>
      <c r="B141" s="61"/>
      <c r="C141" s="62" t="s">
        <v>220</v>
      </c>
      <c r="D141" s="63"/>
      <c r="E141" s="244" t="str">
        <f>"(Note "&amp;B$306&amp;")"</f>
        <v>(Note F)</v>
      </c>
      <c r="F141" s="192" t="s">
        <v>16</v>
      </c>
      <c r="G141" s="64"/>
      <c r="H141" s="343">
        <f>+'5 - Cost Support 1'!H76</f>
        <v>0</v>
      </c>
    </row>
    <row r="142" spans="1:8" ht="15.75">
      <c r="A142" s="31">
        <f>+A141+1</f>
        <v>82</v>
      </c>
      <c r="B142" s="61"/>
      <c r="C142" s="66" t="s">
        <v>181</v>
      </c>
      <c r="D142" s="67"/>
      <c r="E142" s="217"/>
      <c r="F142" s="27" t="str">
        <f>"(Line "&amp;A140&amp;" + "&amp;A141&amp;")"</f>
        <v>(Line 80 + 81)</v>
      </c>
      <c r="G142" s="69"/>
      <c r="H142" s="341">
        <f>+H140+H141</f>
        <v>414475</v>
      </c>
    </row>
    <row r="143" spans="1:8" ht="15.75">
      <c r="A143" s="6">
        <f>+A142+1</f>
        <v>83</v>
      </c>
      <c r="B143" s="98"/>
      <c r="C143" s="123" t="s">
        <v>117</v>
      </c>
      <c r="D143" s="81"/>
      <c r="E143" s="33"/>
      <c r="F143" s="140" t="str">
        <f>"(Line "&amp;A$35&amp;")"</f>
        <v>(Line 18)</v>
      </c>
      <c r="G143" s="75"/>
      <c r="H143" s="79">
        <f>+H35</f>
        <v>0.35172204588946998</v>
      </c>
    </row>
    <row r="144" spans="1:8" ht="15.75">
      <c r="A144" s="31">
        <f>+A143+1</f>
        <v>84</v>
      </c>
      <c r="B144" s="98"/>
      <c r="C144" s="45" t="s">
        <v>89</v>
      </c>
      <c r="D144" s="67"/>
      <c r="E144" s="212"/>
      <c r="F144" s="27" t="str">
        <f>"(Line "&amp;A142&amp;" * "&amp;A143&amp;")"</f>
        <v>(Line 82 * 83)</v>
      </c>
      <c r="G144" s="72"/>
      <c r="H144" s="125">
        <f>+H143*H142</f>
        <v>145779.99497003807</v>
      </c>
    </row>
    <row r="145" spans="1:8" ht="15.75">
      <c r="A145" s="6"/>
      <c r="B145" s="33"/>
      <c r="C145" s="26"/>
      <c r="D145" s="63"/>
      <c r="E145" s="21"/>
      <c r="F145" s="34"/>
      <c r="G145" s="34"/>
      <c r="H145" s="27"/>
    </row>
    <row r="146" spans="1:8" ht="16.5" thickBot="1">
      <c r="A146" s="33">
        <f>+A144+1</f>
        <v>85</v>
      </c>
      <c r="B146" s="33"/>
      <c r="C146" s="46" t="s">
        <v>148</v>
      </c>
      <c r="D146" s="149"/>
      <c r="E146" s="229"/>
      <c r="F146" s="48" t="str">
        <f>"(Line "&amp;A120&amp;" + "&amp;A133&amp;" + "&amp;A138&amp;" + "&amp;A144&amp;")"</f>
        <v>(Line 66 + 76 + 79 + 84)</v>
      </c>
      <c r="G146" s="150"/>
      <c r="H146" s="48">
        <f>+H120+H133+H138+H144</f>
        <v>23011796.662214957</v>
      </c>
    </row>
    <row r="147" spans="1:8" ht="16.5" thickTop="1">
      <c r="A147" s="60"/>
      <c r="B147" s="33"/>
      <c r="C147" s="26"/>
      <c r="D147" s="63"/>
      <c r="E147" s="21"/>
      <c r="F147" s="34"/>
      <c r="G147" s="34"/>
      <c r="H147" s="44"/>
    </row>
    <row r="148" spans="1:8" ht="15.75">
      <c r="A148" s="153" t="s">
        <v>140</v>
      </c>
      <c r="B148" s="154"/>
      <c r="C148" s="155"/>
      <c r="D148" s="156"/>
      <c r="E148" s="225"/>
      <c r="F148" s="157"/>
      <c r="G148" s="157"/>
      <c r="H148" s="158"/>
    </row>
    <row r="149" spans="1:8" ht="15.75">
      <c r="A149" s="26"/>
      <c r="B149" s="33"/>
      <c r="C149" s="26"/>
      <c r="D149" s="63"/>
      <c r="E149" s="21"/>
      <c r="F149" s="34"/>
      <c r="G149" s="34"/>
      <c r="H149" s="44"/>
    </row>
    <row r="150" spans="1:8" ht="15.75">
      <c r="A150" s="116"/>
      <c r="B150" s="122" t="s">
        <v>60</v>
      </c>
      <c r="C150" s="58"/>
      <c r="F150" s="93"/>
      <c r="G150" s="93"/>
      <c r="H150" s="94"/>
    </row>
    <row r="151" spans="1:8">
      <c r="A151" s="6">
        <f>+A146+1</f>
        <v>86</v>
      </c>
      <c r="B151" s="59"/>
      <c r="C151" s="199" t="s">
        <v>62</v>
      </c>
      <c r="E151" s="33"/>
      <c r="F151" s="60" t="s">
        <v>164</v>
      </c>
      <c r="H151" s="10">
        <v>28875685</v>
      </c>
    </row>
    <row r="152" spans="1:8" ht="15.75">
      <c r="A152" s="6"/>
      <c r="B152" s="59"/>
      <c r="C152" s="60"/>
      <c r="E152" s="33"/>
      <c r="F152" s="60"/>
      <c r="G152" s="75"/>
      <c r="H152" s="78"/>
    </row>
    <row r="153" spans="1:8" ht="15.75">
      <c r="A153" s="6" t="s">
        <v>714</v>
      </c>
      <c r="B153" s="59"/>
      <c r="C153" s="878" t="s">
        <v>715</v>
      </c>
      <c r="E153" s="33"/>
      <c r="F153" s="878" t="s">
        <v>497</v>
      </c>
      <c r="G153" s="75"/>
      <c r="H153" s="993">
        <f>'5 - Cost Support 1'!E178</f>
        <v>0</v>
      </c>
    </row>
    <row r="154" spans="1:8" ht="15.75">
      <c r="A154" s="6"/>
      <c r="B154" s="59"/>
      <c r="C154" s="60"/>
      <c r="E154" s="33"/>
      <c r="F154" s="60"/>
      <c r="G154" s="75"/>
      <c r="H154" s="78"/>
    </row>
    <row r="155" spans="1:8">
      <c r="A155" s="33">
        <f>+A151+1</f>
        <v>87</v>
      </c>
      <c r="B155" s="59"/>
      <c r="C155" s="534" t="s">
        <v>180</v>
      </c>
      <c r="D155" s="77"/>
      <c r="E155" s="99"/>
      <c r="F155" s="100" t="s">
        <v>17</v>
      </c>
      <c r="H155" s="10">
        <v>6962923</v>
      </c>
    </row>
    <row r="156" spans="1:8">
      <c r="A156" s="6">
        <f>+A155+1</f>
        <v>88</v>
      </c>
      <c r="B156" s="59"/>
      <c r="C156" s="535" t="s">
        <v>118</v>
      </c>
      <c r="D156" s="127"/>
      <c r="E156" s="253" t="str">
        <f>"(Note "&amp;B$297&amp;")"</f>
        <v>(Note A)</v>
      </c>
      <c r="F156" s="192" t="s">
        <v>267</v>
      </c>
      <c r="H156" s="992">
        <v>136005</v>
      </c>
    </row>
    <row r="157" spans="1:8">
      <c r="A157" s="6">
        <f>+A156+1</f>
        <v>89</v>
      </c>
      <c r="B157" s="59"/>
      <c r="C157" s="201" t="s">
        <v>181</v>
      </c>
      <c r="D157" s="77"/>
      <c r="E157" s="99"/>
      <c r="F157" s="27" t="str">
        <f>"(Line "&amp;A155&amp;" + "&amp;A156&amp;")"</f>
        <v>(Line 87 + 88)</v>
      </c>
      <c r="H157" s="994">
        <f>SUM(H155:H156)</f>
        <v>7098928</v>
      </c>
    </row>
    <row r="158" spans="1:8" ht="15.75">
      <c r="A158" s="6">
        <f>+A157+1</f>
        <v>90</v>
      </c>
      <c r="B158" s="59"/>
      <c r="C158" s="118" t="s">
        <v>168</v>
      </c>
      <c r="D158" s="119"/>
      <c r="E158" s="230"/>
      <c r="F158" s="243" t="str">
        <f>"(Line "&amp;A$16&amp;")"</f>
        <v>(Line 5)</v>
      </c>
      <c r="G158" s="121"/>
      <c r="H158" s="128">
        <f>+H16</f>
        <v>8.0514508226294385E-2</v>
      </c>
    </row>
    <row r="159" spans="1:8" ht="15.75">
      <c r="A159" s="6">
        <f>+A158+1</f>
        <v>91</v>
      </c>
      <c r="B159" s="59"/>
      <c r="C159" s="132" t="s">
        <v>121</v>
      </c>
      <c r="E159" s="33"/>
      <c r="F159" s="27" t="str">
        <f>"(Line "&amp;A157&amp;" * "&amp;A158&amp;")"</f>
        <v>(Line 89 * 90)</v>
      </c>
      <c r="G159" s="75"/>
      <c r="H159" s="995">
        <f>+H157*H158</f>
        <v>571566.69685387157</v>
      </c>
    </row>
    <row r="160" spans="1:8" ht="15.75">
      <c r="A160" s="31"/>
      <c r="B160" s="61"/>
      <c r="C160" s="62"/>
      <c r="D160" s="63"/>
      <c r="E160" s="98"/>
      <c r="F160" s="62"/>
      <c r="G160" s="75"/>
      <c r="H160" s="95"/>
    </row>
    <row r="161" spans="1:8">
      <c r="A161" s="33">
        <f>+A159+1</f>
        <v>92</v>
      </c>
      <c r="B161" s="61"/>
      <c r="C161" s="199" t="s">
        <v>47</v>
      </c>
      <c r="D161" s="63"/>
      <c r="E161" s="244" t="str">
        <f>"(Note "&amp;B$297&amp;")"</f>
        <v>(Note A)</v>
      </c>
      <c r="F161" s="62" t="s">
        <v>18</v>
      </c>
      <c r="H161" s="993">
        <v>3738403</v>
      </c>
    </row>
    <row r="162" spans="1:8">
      <c r="A162" s="31">
        <f>+A161+1</f>
        <v>93</v>
      </c>
      <c r="B162" s="61"/>
      <c r="C162" s="535" t="s">
        <v>120</v>
      </c>
      <c r="D162" s="243"/>
      <c r="E162" s="253" t="str">
        <f>"(Note "&amp;B$297&amp;")"</f>
        <v>(Note A)</v>
      </c>
      <c r="F162" s="192" t="s">
        <v>19</v>
      </c>
      <c r="H162" s="992">
        <f>+'5 - Cost Support 1'!H22</f>
        <v>0</v>
      </c>
    </row>
    <row r="163" spans="1:8">
      <c r="A163" s="31">
        <f>+A162+1</f>
        <v>94</v>
      </c>
      <c r="B163" s="61"/>
      <c r="C163" s="199" t="s">
        <v>181</v>
      </c>
      <c r="D163" s="63"/>
      <c r="E163" s="98"/>
      <c r="F163" s="27" t="str">
        <f>"(Line "&amp;A161&amp;" + "&amp;A162&amp;")"</f>
        <v>(Line 92 + 93)</v>
      </c>
      <c r="H163" s="994">
        <f>+H162+H161</f>
        <v>3738403</v>
      </c>
    </row>
    <row r="164" spans="1:8" ht="15.75">
      <c r="A164" s="33">
        <f>+A163+1</f>
        <v>95</v>
      </c>
      <c r="B164" s="61"/>
      <c r="C164" s="118" t="s">
        <v>168</v>
      </c>
      <c r="D164" s="119"/>
      <c r="E164" s="230"/>
      <c r="F164" s="243" t="str">
        <f>"(Line "&amp;A$16&amp;")"</f>
        <v>(Line 5)</v>
      </c>
      <c r="G164" s="121"/>
      <c r="H164" s="128">
        <f>+H16</f>
        <v>8.0514508226294385E-2</v>
      </c>
    </row>
    <row r="165" spans="1:8" ht="15.75">
      <c r="A165" s="6">
        <f>+A164+1</f>
        <v>96</v>
      </c>
      <c r="B165" s="61"/>
      <c r="C165" s="132" t="s">
        <v>122</v>
      </c>
      <c r="D165" s="63"/>
      <c r="E165" s="98"/>
      <c r="F165" s="27" t="str">
        <f>"(Line "&amp;A163&amp;" * "&amp;A164&amp;")"</f>
        <v>(Line 94 * 95)</v>
      </c>
      <c r="G165" s="75"/>
      <c r="H165" s="995">
        <f>+H164*H163</f>
        <v>300995.67909670359</v>
      </c>
    </row>
    <row r="166" spans="1:8" ht="15.75">
      <c r="A166" s="31"/>
      <c r="B166" s="61"/>
      <c r="C166" s="58"/>
      <c r="D166" s="63"/>
      <c r="E166" s="98"/>
      <c r="F166" s="62"/>
      <c r="G166" s="75"/>
      <c r="H166" s="80"/>
    </row>
    <row r="167" spans="1:8" ht="15.75">
      <c r="A167" s="133"/>
      <c r="B167" s="36"/>
      <c r="C167" s="62"/>
      <c r="D167" s="63"/>
      <c r="E167" s="98"/>
      <c r="F167" s="62"/>
      <c r="G167" s="75"/>
      <c r="H167" s="78"/>
    </row>
    <row r="168" spans="1:8" s="90" customFormat="1" ht="16.5" thickBot="1">
      <c r="A168" s="6">
        <f>+A165+1</f>
        <v>97</v>
      </c>
      <c r="B168" s="129" t="s">
        <v>141</v>
      </c>
      <c r="C168" s="129"/>
      <c r="D168" s="130"/>
      <c r="E168" s="231"/>
      <c r="F168" s="48" t="str">
        <f>"(Line "&amp;A151&amp;" + "&amp;A159&amp;" + "&amp;A165&amp;")"</f>
        <v>(Line 86 + 91 + 96)</v>
      </c>
      <c r="G168" s="131"/>
      <c r="H168" s="96">
        <f>+H151+H153+H159+H165</f>
        <v>29748247.375950575</v>
      </c>
    </row>
    <row r="169" spans="1:8" ht="15.75" thickTop="1"/>
    <row r="170" spans="1:8" ht="15.75">
      <c r="A170" s="153" t="s">
        <v>483</v>
      </c>
      <c r="B170" s="154"/>
      <c r="C170" s="155"/>
      <c r="D170" s="156"/>
      <c r="E170" s="429"/>
      <c r="F170" s="157"/>
      <c r="G170" s="157"/>
      <c r="H170" s="158"/>
    </row>
    <row r="171" spans="1:8" ht="15.75">
      <c r="A171" s="292"/>
      <c r="B171" s="33"/>
      <c r="C171" s="26"/>
      <c r="D171" s="63"/>
      <c r="E171" s="21"/>
      <c r="F171" s="34"/>
      <c r="G171" s="34"/>
      <c r="H171" s="44"/>
    </row>
    <row r="172" spans="1:8" ht="15.75">
      <c r="A172" s="31">
        <f>+A168+1</f>
        <v>98</v>
      </c>
      <c r="B172" s="74" t="s">
        <v>42</v>
      </c>
      <c r="C172" s="71"/>
      <c r="E172" s="244"/>
      <c r="F172" s="64" t="s">
        <v>437</v>
      </c>
      <c r="G172" s="64"/>
      <c r="H172" s="311">
        <f>'2 - Other Tax'!G41</f>
        <v>7823974.1584097473</v>
      </c>
    </row>
    <row r="173" spans="1:8">
      <c r="A173" s="126"/>
      <c r="B173" s="63"/>
      <c r="E173" s="33"/>
      <c r="F173" s="60"/>
      <c r="G173" s="64"/>
    </row>
    <row r="174" spans="1:8" ht="16.5" thickBot="1">
      <c r="A174" s="98">
        <f>+A172+1</f>
        <v>99</v>
      </c>
      <c r="B174" s="46" t="s">
        <v>55</v>
      </c>
      <c r="C174" s="46"/>
      <c r="D174" s="137"/>
      <c r="E174" s="220"/>
      <c r="F174" s="48" t="str">
        <f>"(Line "&amp;A172&amp;")"</f>
        <v>(Line 98)</v>
      </c>
      <c r="G174" s="51"/>
      <c r="H174" s="52">
        <f>+H172</f>
        <v>7823974.1584097473</v>
      </c>
    </row>
    <row r="175" spans="1:8" ht="15.75" thickTop="1">
      <c r="A175" s="116"/>
    </row>
    <row r="176" spans="1:8" ht="15.75">
      <c r="A176" s="153" t="s">
        <v>123</v>
      </c>
      <c r="B176" s="154"/>
      <c r="C176" s="155"/>
      <c r="D176" s="156"/>
      <c r="E176" s="225"/>
      <c r="F176" s="157"/>
      <c r="G176" s="157"/>
      <c r="H176" s="158"/>
    </row>
    <row r="177" spans="1:8" ht="15.75">
      <c r="A177" s="60"/>
      <c r="B177" s="33"/>
      <c r="C177" s="26"/>
      <c r="D177" s="63"/>
      <c r="E177" s="21"/>
      <c r="F177" s="34"/>
      <c r="G177" s="34"/>
      <c r="H177" s="44"/>
    </row>
    <row r="178" spans="1:8" ht="15.75">
      <c r="A178" s="31"/>
      <c r="B178" s="106" t="s">
        <v>57</v>
      </c>
      <c r="D178" s="41"/>
      <c r="E178" s="22"/>
      <c r="G178" s="27"/>
    </row>
    <row r="179" spans="1:8" ht="15.75">
      <c r="A179" s="31">
        <f>+A174+1</f>
        <v>100</v>
      </c>
      <c r="B179" s="106"/>
      <c r="C179" s="34" t="s">
        <v>57</v>
      </c>
      <c r="D179" s="41"/>
      <c r="E179" s="22"/>
      <c r="F179" s="27" t="s">
        <v>438</v>
      </c>
      <c r="G179" s="27"/>
      <c r="H179" s="718">
        <f>47490436+1093726+1434173+400371+421083</f>
        <v>50839789</v>
      </c>
    </row>
    <row r="180" spans="1:8">
      <c r="A180" s="31">
        <f>+A179+1</f>
        <v>101</v>
      </c>
      <c r="B180" s="98"/>
      <c r="C180" s="495" t="s">
        <v>605</v>
      </c>
      <c r="D180" s="496"/>
      <c r="E180" s="577" t="str">
        <f>"(Note "&amp;B$323&amp;")"</f>
        <v>(Note P)</v>
      </c>
      <c r="F180" s="142" t="s">
        <v>496</v>
      </c>
      <c r="G180" s="140"/>
      <c r="H180" s="697">
        <f>+'8 - Securitization'!E14</f>
        <v>0</v>
      </c>
    </row>
    <row r="181" spans="1:8" ht="15.75">
      <c r="A181" s="6">
        <f>+A180+1</f>
        <v>102</v>
      </c>
      <c r="B181" s="33"/>
      <c r="C181" s="106" t="s">
        <v>57</v>
      </c>
      <c r="D181" s="41"/>
      <c r="E181" s="233"/>
      <c r="F181" s="49" t="s">
        <v>544</v>
      </c>
      <c r="G181" s="27"/>
      <c r="H181" s="27">
        <f>+H179-H180</f>
        <v>50839789</v>
      </c>
    </row>
    <row r="182" spans="1:8">
      <c r="A182" s="6"/>
      <c r="B182" s="33"/>
      <c r="C182" s="5"/>
      <c r="D182" s="11"/>
      <c r="E182" s="116"/>
      <c r="F182" s="29"/>
      <c r="G182" s="5"/>
      <c r="H182" s="5"/>
    </row>
    <row r="183" spans="1:8" ht="15.75">
      <c r="A183" s="33">
        <f>+A181+1</f>
        <v>103</v>
      </c>
      <c r="B183" s="14" t="s">
        <v>133</v>
      </c>
      <c r="D183" s="11"/>
      <c r="E183" s="21" t="s">
        <v>165</v>
      </c>
      <c r="F183" s="12" t="s">
        <v>134</v>
      </c>
      <c r="G183" s="5"/>
      <c r="H183" s="159">
        <v>0</v>
      </c>
    </row>
    <row r="184" spans="1:8">
      <c r="A184" s="6"/>
      <c r="B184" s="33"/>
      <c r="C184" s="3"/>
      <c r="D184" s="11"/>
      <c r="E184" s="21"/>
      <c r="F184" s="12"/>
      <c r="G184" s="5"/>
      <c r="H184" s="5"/>
    </row>
    <row r="185" spans="1:8" ht="15.75">
      <c r="A185" s="6"/>
      <c r="B185" s="15" t="s">
        <v>43</v>
      </c>
      <c r="D185" s="11"/>
      <c r="E185" s="21"/>
      <c r="F185" s="12"/>
      <c r="G185" s="5"/>
      <c r="H185" s="5"/>
    </row>
    <row r="186" spans="1:8">
      <c r="A186" s="6">
        <f>+A183+1</f>
        <v>104</v>
      </c>
      <c r="B186" s="33"/>
      <c r="C186" s="5" t="s">
        <v>183</v>
      </c>
      <c r="D186" s="5"/>
      <c r="E186" s="21"/>
      <c r="F186" s="12" t="s">
        <v>21</v>
      </c>
      <c r="G186" s="5"/>
      <c r="H186" s="10">
        <v>1227904110</v>
      </c>
    </row>
    <row r="187" spans="1:8">
      <c r="A187" s="31">
        <f>+A186+1</f>
        <v>105</v>
      </c>
      <c r="B187" s="98"/>
      <c r="C187" s="12" t="s">
        <v>125</v>
      </c>
      <c r="D187" s="12"/>
      <c r="E187" s="30" t="s">
        <v>206</v>
      </c>
      <c r="F187" s="101" t="str">
        <f>"(Line "&amp;A198&amp;")"</f>
        <v>(Line 114)</v>
      </c>
      <c r="G187" s="5"/>
      <c r="H187" s="12">
        <f>-H198</f>
        <v>0</v>
      </c>
    </row>
    <row r="188" spans="1:8">
      <c r="A188" s="6">
        <f>+A187+1</f>
        <v>106</v>
      </c>
      <c r="B188" s="98"/>
      <c r="C188" s="142" t="s">
        <v>124</v>
      </c>
      <c r="D188" s="142"/>
      <c r="E188" s="256" t="s">
        <v>206</v>
      </c>
      <c r="F188" s="142" t="s">
        <v>22</v>
      </c>
      <c r="G188" s="140"/>
      <c r="H188" s="143">
        <f>--2177779</f>
        <v>2177779</v>
      </c>
    </row>
    <row r="189" spans="1:8" ht="15.75">
      <c r="A189" s="6">
        <f>+A188+1</f>
        <v>107</v>
      </c>
      <c r="B189" s="98"/>
      <c r="C189" s="165" t="s">
        <v>43</v>
      </c>
      <c r="D189" s="49"/>
      <c r="E189" s="215"/>
      <c r="F189" s="49" t="str">
        <f>"(Sum Lines "&amp;A186&amp;" to "&amp;A188&amp;")"</f>
        <v>(Sum Lines 104 to 106)</v>
      </c>
      <c r="G189" s="160"/>
      <c r="H189" s="5">
        <f>SUM(H186:H188)</f>
        <v>1230081889</v>
      </c>
    </row>
    <row r="190" spans="1:8">
      <c r="A190" s="6"/>
      <c r="B190" s="33"/>
      <c r="C190" s="3"/>
      <c r="D190" s="11"/>
      <c r="E190" s="21"/>
      <c r="F190" s="12"/>
      <c r="G190" s="34"/>
      <c r="H190" s="5"/>
    </row>
    <row r="191" spans="1:8" ht="15.75">
      <c r="A191" s="6"/>
      <c r="B191" s="15" t="s">
        <v>126</v>
      </c>
      <c r="D191" s="11"/>
      <c r="E191" s="21"/>
      <c r="F191" s="12"/>
      <c r="G191" s="34"/>
      <c r="H191" s="5"/>
    </row>
    <row r="192" spans="1:8">
      <c r="A192" s="6">
        <f>+A189+1</f>
        <v>108</v>
      </c>
      <c r="B192" s="33"/>
      <c r="C192" s="3" t="s">
        <v>58</v>
      </c>
      <c r="D192" s="11"/>
      <c r="E192" s="6"/>
      <c r="F192" s="28" t="s">
        <v>351</v>
      </c>
      <c r="G192" s="34"/>
      <c r="H192" s="10">
        <f>1233230000+40000000</f>
        <v>1273230000</v>
      </c>
    </row>
    <row r="193" spans="1:8">
      <c r="A193" s="31">
        <f t="shared" ref="A193:A200" si="2">+A192+1</f>
        <v>109</v>
      </c>
      <c r="B193" s="33"/>
      <c r="C193" s="3" t="s">
        <v>270</v>
      </c>
      <c r="D193" s="11"/>
      <c r="E193" s="21" t="str">
        <f>+E188</f>
        <v>enter negative</v>
      </c>
      <c r="F193" s="28" t="s">
        <v>439</v>
      </c>
      <c r="G193" s="34"/>
      <c r="H193" s="10">
        <v>-10083973</v>
      </c>
    </row>
    <row r="194" spans="1:8">
      <c r="A194" s="31">
        <f t="shared" si="2"/>
        <v>110</v>
      </c>
      <c r="B194" s="33"/>
      <c r="C194" s="3" t="s">
        <v>271</v>
      </c>
      <c r="D194" s="11"/>
      <c r="E194" s="6" t="s">
        <v>272</v>
      </c>
      <c r="F194" s="54" t="s">
        <v>440</v>
      </c>
      <c r="G194" s="34"/>
      <c r="H194" s="10">
        <v>0</v>
      </c>
    </row>
    <row r="195" spans="1:8">
      <c r="A195" s="31">
        <f>+A194+1</f>
        <v>111</v>
      </c>
      <c r="B195" s="98"/>
      <c r="C195" s="28" t="s">
        <v>571</v>
      </c>
      <c r="D195" s="29"/>
      <c r="E195" s="30" t="str">
        <f>+E193</f>
        <v>enter negative</v>
      </c>
      <c r="F195" s="54" t="s">
        <v>495</v>
      </c>
      <c r="G195" s="63"/>
      <c r="H195" s="12">
        <f>-'1 - ADIT'!D21</f>
        <v>4090231.9629676146</v>
      </c>
    </row>
    <row r="196" spans="1:8">
      <c r="A196" s="31">
        <f>+A195+1</f>
        <v>112</v>
      </c>
      <c r="B196" s="98"/>
      <c r="C196" s="497" t="s">
        <v>302</v>
      </c>
      <c r="D196" s="577" t="str">
        <f>"(Note "&amp;B$323&amp;")"</f>
        <v>(Note P)</v>
      </c>
      <c r="E196" s="30" t="s">
        <v>206</v>
      </c>
      <c r="F196" s="142" t="str">
        <f>+F180</f>
        <v>Attachment 8</v>
      </c>
      <c r="G196" s="34"/>
      <c r="H196" s="12">
        <f>+'8 - Securitization'!E18</f>
        <v>0</v>
      </c>
    </row>
    <row r="197" spans="1:8">
      <c r="A197" s="31">
        <f>+A196+1</f>
        <v>113</v>
      </c>
      <c r="B197" s="98"/>
      <c r="C197" s="55" t="s">
        <v>50</v>
      </c>
      <c r="D197" s="640"/>
      <c r="E197" s="216"/>
      <c r="F197" s="49" t="str">
        <f>"(Sum Lines Lines "&amp;A192&amp;" to "&amp;A196&amp;")"</f>
        <v>(Sum Lines Lines 108 to 112)</v>
      </c>
      <c r="G197" s="67"/>
      <c r="H197" s="70">
        <f>SUM(H192:H196)</f>
        <v>1267236258.9629676</v>
      </c>
    </row>
    <row r="198" spans="1:8">
      <c r="A198" s="6">
        <f t="shared" si="2"/>
        <v>114</v>
      </c>
      <c r="B198" s="33"/>
      <c r="C198" s="3" t="s">
        <v>71</v>
      </c>
      <c r="D198" s="11"/>
      <c r="E198" s="6"/>
      <c r="F198" s="28" t="s">
        <v>441</v>
      </c>
      <c r="G198" s="34"/>
      <c r="H198" s="10">
        <v>0</v>
      </c>
    </row>
    <row r="199" spans="1:8">
      <c r="A199" s="6">
        <f t="shared" si="2"/>
        <v>115</v>
      </c>
      <c r="B199" s="33"/>
      <c r="C199" s="3" t="s">
        <v>43</v>
      </c>
      <c r="F199" s="142" t="str">
        <f>"(Line "&amp;A189&amp;")"</f>
        <v>(Line 107)</v>
      </c>
      <c r="G199" s="34"/>
      <c r="H199" s="27">
        <f>H189</f>
        <v>1230081889</v>
      </c>
    </row>
    <row r="200" spans="1:8" ht="15.75">
      <c r="A200" s="6">
        <f t="shared" si="2"/>
        <v>116</v>
      </c>
      <c r="B200" s="33"/>
      <c r="C200" s="45" t="s">
        <v>49</v>
      </c>
      <c r="D200" s="72"/>
      <c r="E200" s="217"/>
      <c r="F200" s="49" t="str">
        <f>"(Sum Lines "&amp;A197&amp;" to "&amp;A199&amp;")"</f>
        <v>(Sum Lines 113 to 115)</v>
      </c>
      <c r="G200" s="37"/>
      <c r="H200" s="37">
        <f>H199+H198+H197</f>
        <v>2497318147.9629679</v>
      </c>
    </row>
    <row r="201" spans="1:8">
      <c r="A201" s="6"/>
      <c r="B201" s="33"/>
      <c r="C201" s="3"/>
      <c r="F201" s="64"/>
      <c r="G201" s="5"/>
      <c r="H201" s="21"/>
    </row>
    <row r="202" spans="1:8">
      <c r="A202" s="98">
        <f>+A200+1</f>
        <v>117</v>
      </c>
      <c r="B202" s="33"/>
      <c r="C202" s="201" t="s">
        <v>224</v>
      </c>
      <c r="D202" s="54" t="s">
        <v>50</v>
      </c>
      <c r="E202" s="634"/>
      <c r="F202" s="49" t="str">
        <f>"(Line "&amp;A197&amp;" / "&amp;A200&amp;")"</f>
        <v>(Line 113 / 116)</v>
      </c>
      <c r="G202" s="5"/>
      <c r="H202" s="727">
        <f>IF(A3="Atlantic City Electric Company",0.5,IF(H200&gt;0,H197/H200,0))</f>
        <v>0.50743885395484623</v>
      </c>
    </row>
    <row r="203" spans="1:8">
      <c r="A203" s="31">
        <f>+A202+1</f>
        <v>118</v>
      </c>
      <c r="B203" s="33"/>
      <c r="C203" s="201" t="s">
        <v>231</v>
      </c>
      <c r="D203" s="3" t="s">
        <v>71</v>
      </c>
      <c r="E203" s="634"/>
      <c r="F203" s="49" t="str">
        <f>"(Line "&amp;A198&amp;" / "&amp;A200&amp;")"</f>
        <v>(Line 114 / 116)</v>
      </c>
      <c r="G203" s="5"/>
      <c r="H203" s="727">
        <f>IF(A3="Atlantic City Electric Company",0,IF(H200&gt;0,H198/H200,0))</f>
        <v>0</v>
      </c>
    </row>
    <row r="204" spans="1:8">
      <c r="A204" s="31">
        <f>+A203+1</f>
        <v>119</v>
      </c>
      <c r="B204" s="33"/>
      <c r="C204" s="201" t="s">
        <v>225</v>
      </c>
      <c r="D204" s="3" t="s">
        <v>43</v>
      </c>
      <c r="E204" s="634"/>
      <c r="F204" s="49" t="str">
        <f>"(Line "&amp;A199&amp;" / "&amp;A200&amp;")"</f>
        <v>(Line 115 / 116)</v>
      </c>
      <c r="G204" s="5"/>
      <c r="H204" s="727">
        <f>IF(A3="Atlantic City Electric Company",0.5,IF(H200&gt;0,H199/H200,0))</f>
        <v>0.49256114604515361</v>
      </c>
    </row>
    <row r="205" spans="1:8">
      <c r="A205" s="31"/>
      <c r="B205" s="33"/>
      <c r="C205" s="202"/>
      <c r="F205" s="12"/>
      <c r="G205" s="5"/>
      <c r="H205" s="21"/>
    </row>
    <row r="206" spans="1:8">
      <c r="A206" s="98">
        <f>+A204+1</f>
        <v>120</v>
      </c>
      <c r="B206" s="33"/>
      <c r="C206" s="202" t="s">
        <v>226</v>
      </c>
      <c r="D206" s="54" t="s">
        <v>50</v>
      </c>
      <c r="F206" s="27" t="str">
        <f>"(Line "&amp;A181&amp;" / "&amp;A197&amp;")"</f>
        <v>(Line 102 / 113)</v>
      </c>
      <c r="G206" s="5"/>
      <c r="H206" s="23">
        <f>IF(H197&gt;0,H181/H197,0)</f>
        <v>4.0118635053580556E-2</v>
      </c>
    </row>
    <row r="207" spans="1:8">
      <c r="A207" s="31">
        <f>+A206+1</f>
        <v>121</v>
      </c>
      <c r="B207" s="33"/>
      <c r="C207" s="202" t="s">
        <v>232</v>
      </c>
      <c r="D207" s="3" t="s">
        <v>71</v>
      </c>
      <c r="F207" s="27" t="str">
        <f>"(Line "&amp;A183&amp;" / "&amp;A198&amp;")"</f>
        <v>(Line 103 / 114)</v>
      </c>
      <c r="G207" s="5"/>
      <c r="H207" s="23">
        <f>IF(H198&gt;0,H183/H198,0)</f>
        <v>0</v>
      </c>
    </row>
    <row r="208" spans="1:8">
      <c r="A208" s="31">
        <f>+A207+1</f>
        <v>122</v>
      </c>
      <c r="B208" s="33"/>
      <c r="C208" s="202" t="s">
        <v>227</v>
      </c>
      <c r="D208" s="3" t="s">
        <v>43</v>
      </c>
      <c r="E208" s="244" t="str">
        <f>"(Note "&amp;B$314&amp;")"</f>
        <v>(Note J)</v>
      </c>
      <c r="F208" s="12" t="s">
        <v>207</v>
      </c>
      <c r="G208" s="5"/>
      <c r="H208" s="698">
        <v>0.105</v>
      </c>
    </row>
    <row r="209" spans="1:8">
      <c r="A209" s="31"/>
      <c r="B209" s="33"/>
      <c r="C209" s="202"/>
      <c r="F209" s="5"/>
      <c r="G209" s="5"/>
      <c r="H209" s="34"/>
    </row>
    <row r="210" spans="1:8">
      <c r="A210" s="98">
        <f>+A208+1</f>
        <v>123</v>
      </c>
      <c r="B210" s="33"/>
      <c r="C210" s="201" t="s">
        <v>228</v>
      </c>
      <c r="D210" s="54" t="s">
        <v>52</v>
      </c>
      <c r="F210" s="27" t="str">
        <f>"(Line "&amp;A202&amp;" * "&amp;A206&amp;")"</f>
        <v>(Line 117 * 120)</v>
      </c>
      <c r="G210" s="32"/>
      <c r="H210" s="23">
        <f>H206*H202</f>
        <v>2.0357754193821638E-2</v>
      </c>
    </row>
    <row r="211" spans="1:8">
      <c r="A211" s="31">
        <f>+A210+1</f>
        <v>124</v>
      </c>
      <c r="B211" s="33"/>
      <c r="C211" s="201" t="s">
        <v>233</v>
      </c>
      <c r="D211" s="3" t="s">
        <v>71</v>
      </c>
      <c r="F211" s="27" t="str">
        <f>"(Line "&amp;A203&amp;" * "&amp;A207&amp;")"</f>
        <v>(Line 118 * 121)</v>
      </c>
      <c r="G211" s="93"/>
      <c r="H211" s="23">
        <f>H207*H203</f>
        <v>0</v>
      </c>
    </row>
    <row r="212" spans="1:8">
      <c r="A212" s="31">
        <f>+A211+1</f>
        <v>125</v>
      </c>
      <c r="B212" s="204"/>
      <c r="C212" s="205" t="s">
        <v>229</v>
      </c>
      <c r="D212" s="206" t="s">
        <v>43</v>
      </c>
      <c r="E212" s="230"/>
      <c r="F212" s="140" t="str">
        <f>"(Line "&amp;A204&amp;" * "&amp;A208&amp;")"</f>
        <v>(Line 119 * 122)</v>
      </c>
      <c r="G212" s="141"/>
      <c r="H212" s="207">
        <f>H208*H204</f>
        <v>5.1718920334741125E-2</v>
      </c>
    </row>
    <row r="213" spans="1:8" ht="15.75">
      <c r="A213" s="6">
        <f>+A212+1</f>
        <v>126</v>
      </c>
      <c r="B213" s="105" t="s">
        <v>51</v>
      </c>
      <c r="C213" s="105"/>
      <c r="D213" s="161"/>
      <c r="E213" s="234"/>
      <c r="F213" s="27" t="str">
        <f>"(Sum Lines "&amp;A210&amp;" to "&amp;A212&amp;")"</f>
        <v>(Sum Lines 123 to 125)</v>
      </c>
      <c r="G213" s="107"/>
      <c r="H213" s="97">
        <f>SUM(H210:H212)</f>
        <v>7.2076674528562756E-2</v>
      </c>
    </row>
    <row r="214" spans="1:8" ht="15.75">
      <c r="A214" s="13"/>
      <c r="B214" s="13"/>
      <c r="C214" s="105"/>
      <c r="D214" s="161"/>
      <c r="E214" s="234"/>
      <c r="F214" s="106"/>
      <c r="G214" s="107"/>
      <c r="H214" s="97"/>
    </row>
    <row r="215" spans="1:8" ht="16.5" thickBot="1">
      <c r="A215" s="33">
        <f>+A213+1</f>
        <v>127</v>
      </c>
      <c r="B215" s="144" t="s">
        <v>131</v>
      </c>
      <c r="C215" s="139"/>
      <c r="D215" s="137"/>
      <c r="E215" s="235"/>
      <c r="F215" s="48" t="str">
        <f>"(Line "&amp;A109&amp;" * "&amp;A213&amp;")"</f>
        <v>(Line 59 * 126)</v>
      </c>
      <c r="G215" s="145"/>
      <c r="H215" s="48">
        <f>+H109*H213</f>
        <v>47758680.826293431</v>
      </c>
    </row>
    <row r="216" spans="1:8" ht="15.75" thickTop="1">
      <c r="A216" s="6"/>
      <c r="B216" s="33"/>
      <c r="C216" s="3"/>
      <c r="F216" s="5"/>
      <c r="G216" s="5"/>
      <c r="H216" s="23"/>
    </row>
    <row r="217" spans="1:8" ht="15.75">
      <c r="A217" s="153" t="s">
        <v>350</v>
      </c>
      <c r="B217" s="154"/>
      <c r="C217" s="155"/>
      <c r="D217" s="156"/>
      <c r="E217" s="429"/>
      <c r="F217" s="157"/>
      <c r="G217" s="157"/>
      <c r="H217" s="158"/>
    </row>
    <row r="218" spans="1:8" ht="15.75">
      <c r="A218" s="62"/>
      <c r="B218" s="33"/>
      <c r="C218" s="26"/>
      <c r="D218" s="63"/>
      <c r="E218" s="21"/>
      <c r="F218" s="34"/>
      <c r="G218" s="34"/>
      <c r="H218" s="44"/>
    </row>
    <row r="219" spans="1:8" ht="15.75">
      <c r="A219" s="33" t="s">
        <v>66</v>
      </c>
      <c r="B219" s="167" t="s">
        <v>132</v>
      </c>
      <c r="E219" s="21"/>
      <c r="F219" s="5"/>
      <c r="G219" s="18"/>
      <c r="H219" s="34"/>
    </row>
    <row r="220" spans="1:8">
      <c r="A220" s="33">
        <f>+A215+1</f>
        <v>128</v>
      </c>
      <c r="B220" s="33"/>
      <c r="C220" s="34" t="s">
        <v>130</v>
      </c>
      <c r="F220" s="34"/>
      <c r="G220" s="35"/>
      <c r="H220" s="703">
        <v>0.35</v>
      </c>
    </row>
    <row r="221" spans="1:8">
      <c r="A221" s="6">
        <f>+A220+1</f>
        <v>129</v>
      </c>
      <c r="B221" s="33"/>
      <c r="C221" s="35" t="s">
        <v>129</v>
      </c>
      <c r="D221" s="24"/>
      <c r="E221" s="244" t="str">
        <f>"(Note "&amp;B$308&amp;")"</f>
        <v>(Note I)</v>
      </c>
      <c r="F221" s="34"/>
      <c r="G221" s="35"/>
      <c r="H221" s="703">
        <f>'5 - Cost Support 1'!F70</f>
        <v>8.5558999999999996E-2</v>
      </c>
    </row>
    <row r="222" spans="1:8">
      <c r="A222" s="6">
        <f>+A221+1</f>
        <v>130</v>
      </c>
      <c r="B222" s="33"/>
      <c r="C222" s="35" t="s">
        <v>198</v>
      </c>
      <c r="D222" s="35" t="s">
        <v>199</v>
      </c>
      <c r="F222" s="34" t="s">
        <v>303</v>
      </c>
      <c r="G222" s="35"/>
      <c r="H222" s="703">
        <v>0</v>
      </c>
    </row>
    <row r="223" spans="1:8">
      <c r="A223" s="6">
        <f>+A222+1</f>
        <v>131</v>
      </c>
      <c r="B223" s="33"/>
      <c r="C223" s="35" t="s">
        <v>208</v>
      </c>
      <c r="D223" s="17" t="s">
        <v>222</v>
      </c>
      <c r="F223" s="34"/>
      <c r="G223" s="35"/>
      <c r="H223" s="19">
        <f>IF(H220&gt;0,1-(((1-H221)*(1-H220))/(1-H221*H220*H222)),0)</f>
        <v>0.40561334999999998</v>
      </c>
    </row>
    <row r="224" spans="1:8">
      <c r="A224" s="6">
        <f>+A223+1</f>
        <v>132</v>
      </c>
      <c r="B224" s="33"/>
      <c r="C224" s="35" t="s">
        <v>197</v>
      </c>
      <c r="D224" s="24"/>
      <c r="F224" s="34"/>
      <c r="G224" s="35"/>
      <c r="H224" s="344">
        <f>+H223/(1-H223)</f>
        <v>0.68240656145288592</v>
      </c>
    </row>
    <row r="225" spans="1:8">
      <c r="A225" s="33"/>
      <c r="B225" s="33"/>
      <c r="E225" s="16"/>
      <c r="F225" s="17"/>
      <c r="G225" s="18"/>
      <c r="H225" s="19"/>
    </row>
    <row r="226" spans="1:8" ht="15.75">
      <c r="A226" s="33"/>
      <c r="B226" s="167" t="s">
        <v>127</v>
      </c>
      <c r="C226" s="3"/>
      <c r="E226" s="244" t="str">
        <f>"(Note "&amp;B$308&amp;")"</f>
        <v>(Note I)</v>
      </c>
      <c r="F226" s="5"/>
      <c r="G226" s="18"/>
      <c r="H226" s="193"/>
    </row>
    <row r="227" spans="1:8">
      <c r="A227" s="33">
        <f>+A224+1</f>
        <v>133</v>
      </c>
      <c r="B227" s="33"/>
      <c r="C227" s="28" t="s">
        <v>186</v>
      </c>
      <c r="E227" s="30" t="s">
        <v>206</v>
      </c>
      <c r="F227" s="4" t="s">
        <v>495</v>
      </c>
      <c r="G227" s="18"/>
      <c r="H227" s="10">
        <f>-'1 - ADIT'!E136</f>
        <v>-86997</v>
      </c>
    </row>
    <row r="228" spans="1:8">
      <c r="A228" s="33">
        <f>+A227+1</f>
        <v>134</v>
      </c>
      <c r="B228" s="33"/>
      <c r="C228" s="3" t="s">
        <v>196</v>
      </c>
      <c r="E228" s="6"/>
      <c r="F228" s="27" t="str">
        <f>"(Line "&amp;A224&amp;")"</f>
        <v>(Line 132)</v>
      </c>
      <c r="G228" s="18"/>
      <c r="H228" s="275">
        <f>+H224</f>
        <v>0.68240656145288592</v>
      </c>
    </row>
    <row r="229" spans="1:8" s="103" customFormat="1" ht="15.75">
      <c r="A229" s="33">
        <f>+A228+1</f>
        <v>135</v>
      </c>
      <c r="B229" s="99"/>
      <c r="C229" s="118" t="s">
        <v>117</v>
      </c>
      <c r="D229" s="119"/>
      <c r="E229" s="204"/>
      <c r="F229" s="140" t="str">
        <f>"(Line "&amp;A$35&amp;")"</f>
        <v>(Line 18)</v>
      </c>
      <c r="G229" s="102"/>
      <c r="H229" s="162">
        <f>+H35</f>
        <v>0.35172204588946998</v>
      </c>
    </row>
    <row r="230" spans="1:8" ht="15.75">
      <c r="A230" s="6">
        <f>+A229+1</f>
        <v>136</v>
      </c>
      <c r="B230" s="33"/>
      <c r="C230" s="172" t="s">
        <v>128</v>
      </c>
      <c r="D230" s="67"/>
      <c r="E230" s="244"/>
      <c r="F230" s="27" t="str">
        <f>"(Line "&amp;A227&amp;" * (1 + "&amp;A228&amp;") * "&amp;A229&amp;")"</f>
        <v>(Line 133 * (1 + 134) * 135)</v>
      </c>
      <c r="G230" s="104"/>
      <c r="H230" s="334">
        <f>+H227*(1+H228)*H229</f>
        <v>-51479.559351217293</v>
      </c>
    </row>
    <row r="231" spans="1:8" ht="15.75">
      <c r="A231" s="6"/>
      <c r="B231" s="33"/>
      <c r="C231" s="198"/>
      <c r="D231" s="101"/>
      <c r="E231" s="281"/>
      <c r="F231" s="278"/>
      <c r="G231" s="102"/>
      <c r="H231" s="279"/>
    </row>
    <row r="232" spans="1:8" ht="15.75">
      <c r="A232" s="6"/>
      <c r="B232" s="33"/>
      <c r="C232" s="198"/>
      <c r="D232" s="101"/>
      <c r="E232" s="281"/>
      <c r="F232" s="278"/>
      <c r="G232" s="102"/>
      <c r="H232" s="280"/>
    </row>
    <row r="233" spans="1:8" ht="15.75">
      <c r="A233" s="33"/>
      <c r="B233" s="33"/>
      <c r="E233" s="16"/>
      <c r="F233" s="17"/>
      <c r="G233" s="18"/>
      <c r="H233" s="277"/>
    </row>
    <row r="234" spans="1:8" ht="15.75">
      <c r="A234" s="33">
        <f>+A230+1</f>
        <v>137</v>
      </c>
      <c r="B234" s="1" t="s">
        <v>161</v>
      </c>
      <c r="C234" s="58"/>
      <c r="D234" s="11" t="s">
        <v>166</v>
      </c>
      <c r="E234" s="21"/>
      <c r="F234" s="27" t="str">
        <f>"[Line "&amp;A224&amp;" * "&amp;+A215&amp;" * (1-("&amp;A210&amp;" / "&amp;A213&amp;"))]"</f>
        <v>[Line 132 * 127 * (1-(123 / 126))]</v>
      </c>
      <c r="G234" s="34"/>
      <c r="H234" s="338">
        <f>+H224*H215*(1-(H210/H213))</f>
        <v>23385691.998958904</v>
      </c>
    </row>
    <row r="235" spans="1:8" ht="15.75">
      <c r="A235" s="33"/>
      <c r="B235" s="33"/>
      <c r="C235" s="100"/>
      <c r="D235" s="101"/>
      <c r="E235" s="236"/>
      <c r="F235" s="102"/>
      <c r="G235" s="102"/>
      <c r="H235" s="80"/>
    </row>
    <row r="236" spans="1:8" ht="16.5" thickBot="1">
      <c r="A236" s="33">
        <f>+A234+1</f>
        <v>138</v>
      </c>
      <c r="B236" s="144" t="s">
        <v>39</v>
      </c>
      <c r="C236" s="144"/>
      <c r="D236" s="137"/>
      <c r="E236" s="220"/>
      <c r="F236" s="48" t="str">
        <f>"(Line "&amp;A230&amp;" + "&amp;A234&amp;")"</f>
        <v>(Line 136 + 137)</v>
      </c>
      <c r="G236" s="166"/>
      <c r="H236" s="203">
        <f>+H234+H230</f>
        <v>23334212.439607687</v>
      </c>
    </row>
    <row r="237" spans="1:8" ht="15.75" thickTop="1">
      <c r="A237" s="33"/>
      <c r="B237" s="33"/>
      <c r="C237" s="17"/>
      <c r="F237" s="20"/>
      <c r="G237" s="8"/>
      <c r="H237" s="168"/>
    </row>
    <row r="238" spans="1:8" ht="15.75">
      <c r="A238" s="153" t="s">
        <v>53</v>
      </c>
      <c r="B238" s="154"/>
      <c r="C238" s="155"/>
      <c r="D238" s="156"/>
      <c r="E238" s="225"/>
      <c r="F238" s="157"/>
      <c r="G238" s="157"/>
      <c r="H238" s="158"/>
    </row>
    <row r="239" spans="1:8">
      <c r="A239" s="115"/>
      <c r="B239" s="58"/>
      <c r="C239" s="58"/>
      <c r="D239" s="58"/>
    </row>
    <row r="240" spans="1:8" ht="15.75">
      <c r="A240" s="115"/>
      <c r="B240" s="1" t="s">
        <v>40</v>
      </c>
      <c r="C240" s="103"/>
      <c r="D240" s="103"/>
    </row>
    <row r="241" spans="1:8">
      <c r="A241" s="115">
        <f>+A236+1</f>
        <v>139</v>
      </c>
      <c r="B241" s="58"/>
      <c r="C241" s="42" t="s">
        <v>41</v>
      </c>
      <c r="D241" s="103"/>
      <c r="F241" s="27" t="str">
        <f>"(Line "&amp;A69&amp;")"</f>
        <v>(Line 39)</v>
      </c>
      <c r="H241" s="109">
        <f>+H69</f>
        <v>897303360.33913517</v>
      </c>
    </row>
    <row r="242" spans="1:8">
      <c r="A242" s="6">
        <f>+A241+1</f>
        <v>140</v>
      </c>
      <c r="B242" s="58"/>
      <c r="C242" s="42" t="s">
        <v>156</v>
      </c>
      <c r="D242" s="103"/>
      <c r="F242" s="140" t="str">
        <f>"(Line "&amp;A107&amp;")"</f>
        <v>(Line 58)</v>
      </c>
      <c r="H242" s="109">
        <f>+H107</f>
        <v>-234693977.50242454</v>
      </c>
    </row>
    <row r="243" spans="1:8" ht="15.75">
      <c r="A243" s="6">
        <f>+A242+1</f>
        <v>141</v>
      </c>
      <c r="B243" s="33"/>
      <c r="C243" s="40" t="s">
        <v>160</v>
      </c>
      <c r="D243" s="173"/>
      <c r="E243" s="237"/>
      <c r="F243" s="27" t="str">
        <f>"(Line "&amp;A109&amp;")"</f>
        <v>(Line 59)</v>
      </c>
      <c r="G243" s="174"/>
      <c r="H243" s="175">
        <f>+H109</f>
        <v>662609382.83671069</v>
      </c>
    </row>
    <row r="244" spans="1:8">
      <c r="A244" s="33"/>
      <c r="B244" s="33"/>
      <c r="C244" s="54"/>
      <c r="D244" s="101"/>
      <c r="E244" s="21"/>
      <c r="F244" s="34"/>
      <c r="G244" s="34"/>
      <c r="H244" s="109"/>
    </row>
    <row r="245" spans="1:8">
      <c r="A245" s="33">
        <f>+A243+1</f>
        <v>142</v>
      </c>
      <c r="C245" s="54" t="s">
        <v>210</v>
      </c>
      <c r="D245" s="77"/>
      <c r="F245" s="27" t="str">
        <f>"(Line "&amp;A146&amp;")"</f>
        <v>(Line 85)</v>
      </c>
      <c r="H245" s="109">
        <f>+H146</f>
        <v>23011796.662214957</v>
      </c>
    </row>
    <row r="246" spans="1:8">
      <c r="A246" s="6">
        <f>+A245+1</f>
        <v>143</v>
      </c>
      <c r="C246" s="201" t="s">
        <v>135</v>
      </c>
      <c r="D246" s="77"/>
      <c r="F246" s="27" t="str">
        <f>"(Line "&amp;A168&amp;")"</f>
        <v>(Line 97)</v>
      </c>
      <c r="H246" s="109">
        <f>+H168</f>
        <v>29748247.375950575</v>
      </c>
    </row>
    <row r="247" spans="1:8">
      <c r="A247" s="6">
        <f>+A246+1</f>
        <v>144</v>
      </c>
      <c r="B247" s="33"/>
      <c r="C247" s="54" t="s">
        <v>42</v>
      </c>
      <c r="D247" s="101"/>
      <c r="E247" s="21"/>
      <c r="F247" s="27" t="str">
        <f>"(Line "&amp;A174&amp;")"</f>
        <v>(Line 99)</v>
      </c>
      <c r="G247" s="34"/>
      <c r="H247" s="109">
        <f>+H174</f>
        <v>7823974.1584097473</v>
      </c>
    </row>
    <row r="248" spans="1:8">
      <c r="A248" s="6">
        <f>+A247+1</f>
        <v>145</v>
      </c>
      <c r="B248" s="33"/>
      <c r="C248" s="108" t="s">
        <v>190</v>
      </c>
      <c r="D248" s="101"/>
      <c r="E248" s="21"/>
      <c r="F248" s="27" t="str">
        <f>"(Line "&amp;A215&amp;")"</f>
        <v>(Line 127)</v>
      </c>
      <c r="G248" s="34"/>
      <c r="H248" s="109">
        <f>+H215</f>
        <v>47758680.826293431</v>
      </c>
    </row>
    <row r="249" spans="1:8">
      <c r="A249" s="6">
        <f>+A248+1</f>
        <v>146</v>
      </c>
      <c r="B249" s="33"/>
      <c r="C249" s="108" t="s">
        <v>191</v>
      </c>
      <c r="D249" s="101"/>
      <c r="E249" s="21"/>
      <c r="F249" s="27" t="str">
        <f>"(Line "&amp;A236&amp;")"</f>
        <v>(Line 138)</v>
      </c>
      <c r="G249" s="34"/>
      <c r="H249" s="109">
        <f>+H236</f>
        <v>23334212.439607687</v>
      </c>
    </row>
    <row r="250" spans="1:8" ht="15.75" thickBot="1">
      <c r="A250" s="6"/>
      <c r="B250" s="33"/>
      <c r="C250" s="108"/>
      <c r="D250" s="101"/>
      <c r="E250" s="21"/>
      <c r="F250" s="34"/>
      <c r="G250" s="34"/>
      <c r="H250" s="109"/>
    </row>
    <row r="251" spans="1:8" ht="18.75" thickBot="1">
      <c r="A251" s="186">
        <f>+A249+1</f>
        <v>147</v>
      </c>
      <c r="B251" s="182"/>
      <c r="C251" s="183" t="s">
        <v>193</v>
      </c>
      <c r="D251" s="184"/>
      <c r="E251" s="238"/>
      <c r="F251" s="342" t="str">
        <f>"(Sum Lines "&amp;A245&amp;" to "&amp;A249&amp;")"</f>
        <v>(Sum Lines 142 to 146)</v>
      </c>
      <c r="G251" s="185"/>
      <c r="H251" s="827">
        <f>SUM(H249,H248,H247,H246,H245)</f>
        <v>131676911.4624764</v>
      </c>
    </row>
    <row r="252" spans="1:8" ht="18">
      <c r="A252" s="196"/>
      <c r="B252" s="259"/>
      <c r="C252" s="260"/>
      <c r="D252" s="261"/>
      <c r="E252" s="262"/>
      <c r="F252" s="106"/>
      <c r="G252" s="263"/>
      <c r="H252" s="828"/>
    </row>
    <row r="253" spans="1:8" ht="18">
      <c r="A253" s="196"/>
      <c r="B253" s="198" t="s">
        <v>90</v>
      </c>
      <c r="C253" s="260"/>
      <c r="D253" s="261"/>
      <c r="E253" s="262"/>
      <c r="F253" s="106"/>
      <c r="G253" s="263"/>
      <c r="H253" s="828"/>
    </row>
    <row r="254" spans="1:8" ht="18">
      <c r="A254" s="227">
        <f>+A251+1</f>
        <v>148</v>
      </c>
      <c r="B254" s="227"/>
      <c r="C254" s="54" t="str">
        <f>+C40</f>
        <v>Transmission Plant In Service</v>
      </c>
      <c r="D254" s="261"/>
      <c r="E254" s="262"/>
      <c r="F254" s="27" t="str">
        <f>"(Line "&amp;A40&amp;")"</f>
        <v>(Line 19)</v>
      </c>
      <c r="G254" s="263"/>
      <c r="H254" s="9">
        <f>+H40</f>
        <v>1207860962</v>
      </c>
    </row>
    <row r="255" spans="1:8" ht="18">
      <c r="A255" s="227">
        <f>+A254+1</f>
        <v>149</v>
      </c>
      <c r="B255" s="227"/>
      <c r="C255" s="200" t="s">
        <v>91</v>
      </c>
      <c r="D255" s="264"/>
      <c r="E255" s="253" t="str">
        <f>"(Note "&amp;B$317&amp;")"</f>
        <v>(Note M)</v>
      </c>
      <c r="F255" s="142" t="s">
        <v>497</v>
      </c>
      <c r="G255" s="263"/>
      <c r="H255" s="269">
        <f>'5 - Cost Support 1'!G82</f>
        <v>0</v>
      </c>
    </row>
    <row r="256" spans="1:8" ht="18">
      <c r="A256" s="227">
        <f>+A255+1</f>
        <v>150</v>
      </c>
      <c r="B256" s="227"/>
      <c r="C256" s="54" t="s">
        <v>92</v>
      </c>
      <c r="D256" s="261"/>
      <c r="E256" s="266"/>
      <c r="F256" s="49" t="str">
        <f>"(Line "&amp;A254&amp;" - "&amp;A255&amp;")"</f>
        <v>(Line 148 - 149)</v>
      </c>
      <c r="G256" s="263"/>
      <c r="H256" s="9">
        <f>+H254-H255</f>
        <v>1207860962</v>
      </c>
    </row>
    <row r="257" spans="1:9" ht="18">
      <c r="A257" s="227">
        <f>+A256+1</f>
        <v>151</v>
      </c>
      <c r="B257" s="227"/>
      <c r="C257" s="54" t="s">
        <v>93</v>
      </c>
      <c r="D257" s="261"/>
      <c r="E257" s="262"/>
      <c r="F257" s="49" t="str">
        <f>"(Line "&amp;A256&amp;" / "&amp;A254&amp;")"</f>
        <v>(Line 150 / 148)</v>
      </c>
      <c r="G257" s="263"/>
      <c r="H257" s="268">
        <f>+H256/H254</f>
        <v>1</v>
      </c>
    </row>
    <row r="258" spans="1:9" ht="18">
      <c r="A258" s="227">
        <f>+A257+1</f>
        <v>152</v>
      </c>
      <c r="B258" s="227"/>
      <c r="C258" s="200" t="s">
        <v>193</v>
      </c>
      <c r="D258" s="264"/>
      <c r="E258" s="265"/>
      <c r="F258" s="142" t="str">
        <f>"(Line "&amp;A251&amp;")"</f>
        <v>(Line 147)</v>
      </c>
      <c r="G258" s="263"/>
      <c r="H258" s="269">
        <f>+H251</f>
        <v>131676911.4624764</v>
      </c>
    </row>
    <row r="259" spans="1:9" ht="18">
      <c r="A259" s="227">
        <f>+A258+1</f>
        <v>153</v>
      </c>
      <c r="B259" s="227"/>
      <c r="C259" s="57" t="s">
        <v>94</v>
      </c>
      <c r="D259" s="261"/>
      <c r="E259" s="262"/>
      <c r="F259" s="49" t="str">
        <f>"(Line "&amp;A257&amp;" * "&amp;A258&amp;")"</f>
        <v>(Line 151 * 152)</v>
      </c>
      <c r="G259" s="263"/>
      <c r="H259" s="274">
        <f>+H258*H257</f>
        <v>131676911.4624764</v>
      </c>
    </row>
    <row r="260" spans="1:9" ht="15.75">
      <c r="A260" s="292"/>
      <c r="B260" s="33"/>
      <c r="C260" s="54"/>
      <c r="D260" s="101"/>
      <c r="E260" s="21"/>
      <c r="F260" s="34"/>
      <c r="G260" s="34"/>
      <c r="H260" s="44"/>
    </row>
    <row r="261" spans="1:9" ht="15.75">
      <c r="A261" s="292"/>
      <c r="B261" s="132" t="s">
        <v>310</v>
      </c>
      <c r="C261" s="54"/>
      <c r="D261" s="101"/>
      <c r="E261" s="21"/>
      <c r="F261" s="34"/>
      <c r="G261" s="34"/>
      <c r="H261" s="44"/>
      <c r="I261" s="1019"/>
    </row>
    <row r="262" spans="1:9" ht="15.75">
      <c r="A262" s="98">
        <f>+A259+1</f>
        <v>154</v>
      </c>
      <c r="B262" s="58"/>
      <c r="C262" s="132" t="s">
        <v>45</v>
      </c>
      <c r="D262" s="101"/>
      <c r="E262" s="21"/>
      <c r="F262" s="34" t="s">
        <v>498</v>
      </c>
      <c r="G262" s="34"/>
      <c r="H262" s="699">
        <f>+'3 - Revenue Credits'!D23</f>
        <v>7441484.4835730884</v>
      </c>
    </row>
    <row r="263" spans="1:9" ht="15.75">
      <c r="A263" s="98">
        <f>+A262+1</f>
        <v>155</v>
      </c>
      <c r="B263" s="58"/>
      <c r="C263" s="132" t="s">
        <v>308</v>
      </c>
      <c r="D263" s="101"/>
      <c r="E263" s="244" t="str">
        <f>"(Note "&amp;B$318&amp;")"</f>
        <v>(Note N)</v>
      </c>
      <c r="F263" s="34" t="s">
        <v>309</v>
      </c>
      <c r="G263" s="34"/>
      <c r="H263" s="339">
        <f>+'5 - Cost Support 1'!G145</f>
        <v>0</v>
      </c>
    </row>
    <row r="264" spans="1:9" ht="16.5" thickBot="1">
      <c r="A264" s="33"/>
      <c r="B264" s="33"/>
      <c r="C264" s="73"/>
      <c r="D264" s="73"/>
      <c r="F264" s="34"/>
      <c r="G264" s="34"/>
      <c r="H264" s="44"/>
    </row>
    <row r="265" spans="1:9" s="1" customFormat="1" ht="18.75" thickBot="1">
      <c r="A265" s="186">
        <f>+A263+1</f>
        <v>156</v>
      </c>
      <c r="B265" s="194"/>
      <c r="C265" s="187" t="s">
        <v>209</v>
      </c>
      <c r="D265" s="188"/>
      <c r="E265" s="239"/>
      <c r="F265" s="342" t="str">
        <f>"(Line "&amp;A259&amp;" - "&amp;A262&amp;" + "&amp;A263&amp;")"</f>
        <v>(Line 153 - 154 + 155)</v>
      </c>
      <c r="G265" s="189"/>
      <c r="H265" s="829">
        <f>+H259-H262+H263</f>
        <v>124235426.97890331</v>
      </c>
    </row>
    <row r="266" spans="1:9" ht="15.75">
      <c r="A266" s="292"/>
      <c r="B266" s="33"/>
      <c r="C266" s="73"/>
      <c r="D266" s="73"/>
      <c r="F266" s="34"/>
      <c r="G266" s="34"/>
      <c r="H266" s="44"/>
    </row>
    <row r="267" spans="1:9" ht="15.75">
      <c r="A267" s="98"/>
      <c r="B267" s="273" t="s">
        <v>171</v>
      </c>
      <c r="C267" s="58"/>
      <c r="D267" s="73"/>
      <c r="F267" s="34"/>
      <c r="G267" s="34"/>
      <c r="H267" s="44"/>
    </row>
    <row r="268" spans="1:9" ht="15.75">
      <c r="A268" s="98">
        <f>+A265+1</f>
        <v>157</v>
      </c>
      <c r="B268" s="98"/>
      <c r="C268" s="73" t="str">
        <f>+C265</f>
        <v>Net Revenue Requirement</v>
      </c>
      <c r="D268" s="73"/>
      <c r="F268" s="34" t="str">
        <f>"(Line "&amp;A265&amp;")"</f>
        <v>(Line 156)</v>
      </c>
      <c r="G268" s="34"/>
      <c r="H268" s="310">
        <f>+H265</f>
        <v>124235426.97890331</v>
      </c>
    </row>
    <row r="269" spans="1:9" ht="15.75">
      <c r="A269" s="98">
        <f>+A268+1</f>
        <v>158</v>
      </c>
      <c r="B269" s="98"/>
      <c r="C269" s="73" t="s">
        <v>275</v>
      </c>
      <c r="D269" s="73"/>
      <c r="F269" s="34" t="str">
        <f>"(Line "&amp;A40&amp;" - "&amp;A57&amp;")"</f>
        <v>(Line 19 - 30)</v>
      </c>
      <c r="G269" s="34"/>
      <c r="H269" s="310">
        <f>+H40-H57</f>
        <v>885241178</v>
      </c>
    </row>
    <row r="270" spans="1:9" ht="15.75">
      <c r="A270" s="98">
        <f>+A269+1</f>
        <v>159</v>
      </c>
      <c r="B270" s="98"/>
      <c r="C270" s="73" t="s">
        <v>173</v>
      </c>
      <c r="D270" s="73"/>
      <c r="F270" s="34" t="str">
        <f>"(Line "&amp;A268&amp;" / "&amp;A269&amp;")"</f>
        <v>(Line 157 / 158)</v>
      </c>
      <c r="G270" s="34"/>
      <c r="H270" s="44">
        <f>+H268/H269</f>
        <v>0.14034076821819885</v>
      </c>
    </row>
    <row r="271" spans="1:9" ht="15.75">
      <c r="A271" s="98">
        <f>+A270+1</f>
        <v>160</v>
      </c>
      <c r="B271" s="98"/>
      <c r="C271" s="73" t="s">
        <v>174</v>
      </c>
      <c r="D271" s="73"/>
      <c r="F271" s="34" t="str">
        <f>"(Line "&amp;A268&amp;" - "&amp;A151&amp;") / "&amp;A269</f>
        <v>(Line 157 - 86) / 158</v>
      </c>
      <c r="G271" s="34"/>
      <c r="H271" s="44">
        <f>(H268-H151)/H269</f>
        <v>0.10772176481255294</v>
      </c>
    </row>
    <row r="272" spans="1:9" ht="15.75">
      <c r="A272" s="98">
        <f>+A271+1</f>
        <v>161</v>
      </c>
      <c r="B272" s="98"/>
      <c r="C272" s="73" t="s">
        <v>175</v>
      </c>
      <c r="D272" s="73"/>
      <c r="E272" s="117"/>
      <c r="F272" s="63" t="str">
        <f>"(Line "&amp;A268&amp;" - "&amp;A151&amp;" - "&amp;A215&amp;" - "&amp;A236&amp;") / "&amp;A269</f>
        <v>(Line 157 - 86 - 127 - 138) / 158</v>
      </c>
      <c r="G272" s="34"/>
      <c r="H272" s="44">
        <f>(H268-H151-H215-H236)/H269</f>
        <v>2.7412697597086012E-2</v>
      </c>
    </row>
    <row r="273" spans="1:180" ht="15.75">
      <c r="A273" s="98"/>
      <c r="B273" s="98"/>
      <c r="C273" s="73"/>
      <c r="D273" s="73"/>
      <c r="F273" s="34"/>
      <c r="G273" s="34"/>
      <c r="H273" s="44"/>
    </row>
    <row r="274" spans="1:180" ht="15.75">
      <c r="A274" s="98"/>
      <c r="B274" s="98"/>
      <c r="C274" s="73"/>
      <c r="D274" s="73"/>
      <c r="F274" s="34"/>
      <c r="G274" s="34"/>
      <c r="H274" s="44"/>
    </row>
    <row r="275" spans="1:180" ht="15.75">
      <c r="A275" s="98"/>
      <c r="B275" s="273" t="s">
        <v>172</v>
      </c>
      <c r="C275" s="73"/>
      <c r="D275" s="73"/>
      <c r="F275" s="34"/>
      <c r="G275" s="34"/>
      <c r="H275" s="44"/>
    </row>
    <row r="276" spans="1:180" ht="15.75">
      <c r="A276" s="98">
        <f>+A272+1</f>
        <v>162</v>
      </c>
      <c r="B276" s="98"/>
      <c r="C276" s="73" t="s">
        <v>352</v>
      </c>
      <c r="D276" s="73"/>
      <c r="F276" s="63" t="str">
        <f>"(Line "&amp;A265&amp;" - "&amp;A248&amp;" - "&amp;A249&amp;")"</f>
        <v>(Line 156 - 145 - 146)</v>
      </c>
      <c r="G276" s="34"/>
      <c r="H276" s="310">
        <f>+H265-H248-H249</f>
        <v>53142533.713002197</v>
      </c>
    </row>
    <row r="277" spans="1:180" ht="15.75">
      <c r="A277" s="98">
        <f>+A276+1</f>
        <v>163</v>
      </c>
      <c r="B277" s="98"/>
      <c r="C277" s="73" t="s">
        <v>403</v>
      </c>
      <c r="D277" s="73"/>
      <c r="F277" s="63" t="s">
        <v>499</v>
      </c>
      <c r="G277" s="34"/>
      <c r="H277" s="310">
        <f>+'4 - 100 Basis Pt ROE'!I9</f>
        <v>76583858.397609949</v>
      </c>
    </row>
    <row r="278" spans="1:180" ht="15.75">
      <c r="A278" s="98">
        <f>+A277+1</f>
        <v>164</v>
      </c>
      <c r="B278" s="98"/>
      <c r="C278" s="73" t="s">
        <v>176</v>
      </c>
      <c r="D278" s="73"/>
      <c r="F278" s="63" t="str">
        <f>"(Line "&amp;A276&amp;" + "&amp;A277&amp;")"</f>
        <v>(Line 162 + 163)</v>
      </c>
      <c r="G278" s="34"/>
      <c r="H278" s="310">
        <f>+H277+H276</f>
        <v>129726392.11061215</v>
      </c>
    </row>
    <row r="279" spans="1:180" ht="15.75">
      <c r="A279" s="98">
        <f>+A278+1</f>
        <v>165</v>
      </c>
      <c r="B279" s="98"/>
      <c r="C279" s="73" t="str">
        <f>+C269</f>
        <v>Net Transmission Plant</v>
      </c>
      <c r="D279" s="73"/>
      <c r="F279" s="34" t="str">
        <f>"(Line "&amp;A40&amp;" - "&amp;A57&amp;")"</f>
        <v>(Line 19 - 30)</v>
      </c>
      <c r="G279" s="34"/>
      <c r="H279" s="310">
        <f>+H269</f>
        <v>885241178</v>
      </c>
    </row>
    <row r="280" spans="1:180" ht="15.75">
      <c r="A280" s="98">
        <f>+A279+1</f>
        <v>166</v>
      </c>
      <c r="B280" s="98"/>
      <c r="C280" s="73" t="s">
        <v>177</v>
      </c>
      <c r="D280" s="73"/>
      <c r="F280" s="34" t="str">
        <f>"(Line "&amp;A278&amp;" / "&amp;A279&amp;")"</f>
        <v>(Line 164 / 165)</v>
      </c>
      <c r="G280" s="34"/>
      <c r="H280" s="44">
        <f>+H278/H279</f>
        <v>0.14654355822409806</v>
      </c>
    </row>
    <row r="281" spans="1:180" ht="15.75">
      <c r="A281" s="98">
        <f>+A280+1</f>
        <v>167</v>
      </c>
      <c r="B281" s="98"/>
      <c r="C281" s="73" t="s">
        <v>178</v>
      </c>
      <c r="D281" s="73"/>
      <c r="F281" s="34" t="str">
        <f>"(Line "&amp;A277&amp;" - "&amp;A151&amp;") / "&amp;A279</f>
        <v>(Line 163 - 86) / 165</v>
      </c>
      <c r="G281" s="34"/>
      <c r="H281" s="44">
        <f>(H278-H151)/H279</f>
        <v>0.11392455481845215</v>
      </c>
    </row>
    <row r="282" spans="1:180" ht="15.75">
      <c r="A282" s="98"/>
      <c r="B282" s="98"/>
      <c r="C282" s="73"/>
      <c r="D282" s="73"/>
      <c r="F282" s="34"/>
      <c r="G282" s="34"/>
      <c r="H282" s="44"/>
    </row>
    <row r="283" spans="1:180" ht="15.75">
      <c r="A283" s="98">
        <f>+A281+1</f>
        <v>168</v>
      </c>
      <c r="B283" s="98"/>
      <c r="C283" s="273" t="s">
        <v>209</v>
      </c>
      <c r="D283" s="73"/>
      <c r="E283" s="117"/>
      <c r="F283" s="34" t="str">
        <f>"(Line "&amp;A265&amp;")"</f>
        <v>(Line 156)</v>
      </c>
      <c r="G283" s="34"/>
      <c r="H283" s="310">
        <f>+H265</f>
        <v>124235426.97890331</v>
      </c>
    </row>
    <row r="284" spans="1:180" ht="15.75">
      <c r="A284" s="98">
        <f>+A283+1</f>
        <v>169</v>
      </c>
      <c r="B284" s="98"/>
      <c r="C284" s="73" t="s">
        <v>481</v>
      </c>
      <c r="D284" s="73"/>
      <c r="E284" s="481"/>
      <c r="F284" s="540" t="s">
        <v>494</v>
      </c>
      <c r="G284" s="34"/>
      <c r="H284" s="338">
        <f>'6- Est &amp; Reconcile WS'!H160</f>
        <v>-7305737.9054216454</v>
      </c>
    </row>
    <row r="285" spans="1:180" ht="15.75">
      <c r="A285" s="98">
        <f>+A284+1</f>
        <v>170</v>
      </c>
      <c r="B285" s="98"/>
      <c r="C285" s="73" t="s">
        <v>405</v>
      </c>
      <c r="D285" s="73"/>
      <c r="E285" s="481"/>
      <c r="F285" s="540" t="s">
        <v>554</v>
      </c>
      <c r="G285" s="34"/>
      <c r="H285" s="338">
        <f>'7 - Cap Add WS'!BB53-'7 - Cap Add WS'!BC52</f>
        <v>559389.14537612535</v>
      </c>
    </row>
    <row r="286" spans="1:180" ht="15.75">
      <c r="A286" s="98">
        <f>+A285+1</f>
        <v>171</v>
      </c>
      <c r="B286" s="98"/>
      <c r="C286" s="39" t="s">
        <v>406</v>
      </c>
      <c r="D286" s="641"/>
      <c r="E286" s="244"/>
      <c r="F286" s="101" t="s">
        <v>603</v>
      </c>
      <c r="G286" s="34"/>
      <c r="H286" s="700">
        <f>+'5 - Cost Support 1'!G155</f>
        <v>0</v>
      </c>
      <c r="FX286" s="58">
        <f>SUM(A286:FW286)</f>
        <v>171</v>
      </c>
    </row>
    <row r="287" spans="1:180" ht="15.75">
      <c r="A287" s="98" t="s">
        <v>726</v>
      </c>
      <c r="B287" s="98"/>
      <c r="C287" s="39" t="s">
        <v>727</v>
      </c>
      <c r="D287" s="641"/>
      <c r="E287" s="244"/>
      <c r="F287" s="101" t="s">
        <v>603</v>
      </c>
      <c r="G287" s="34"/>
      <c r="H287" s="700">
        <v>0</v>
      </c>
    </row>
    <row r="288" spans="1:180" ht="15.75">
      <c r="A288" s="98">
        <f>+A286+1</f>
        <v>172</v>
      </c>
      <c r="B288" s="98"/>
      <c r="C288" s="273" t="s">
        <v>314</v>
      </c>
      <c r="D288" s="73"/>
      <c r="E288" s="117"/>
      <c r="F288" s="34" t="str">
        <f>"(Line "&amp;A283&amp;" + "&amp;A284&amp;" +"&amp;A285&amp;"+ "&amp;A286&amp;"+"&amp;A287&amp;")"</f>
        <v>(Line 168 + 169 +170+ 171+171a)</v>
      </c>
      <c r="G288" s="34"/>
      <c r="H288" s="310">
        <f>SUM(H283:H287)</f>
        <v>117489078.2188578</v>
      </c>
    </row>
    <row r="289" spans="1:8" ht="15.75">
      <c r="A289" s="98"/>
      <c r="B289" s="98"/>
      <c r="C289" s="73"/>
      <c r="D289" s="73"/>
      <c r="F289" s="34"/>
      <c r="G289" s="34"/>
      <c r="H289" s="44"/>
    </row>
    <row r="290" spans="1:8" ht="15.75">
      <c r="A290" s="98"/>
      <c r="B290" s="691" t="s">
        <v>313</v>
      </c>
      <c r="C290" s="73"/>
      <c r="D290" s="73"/>
      <c r="F290" s="34"/>
      <c r="G290" s="34"/>
      <c r="H290" s="44"/>
    </row>
    <row r="291" spans="1:8" ht="15.75">
      <c r="A291" s="98">
        <f>+A288+1</f>
        <v>173</v>
      </c>
      <c r="B291" s="98"/>
      <c r="C291" s="163" t="s">
        <v>137</v>
      </c>
      <c r="D291" s="163"/>
      <c r="E291" s="244" t="str">
        <f>"(Note "&amp;B$316&amp;")"</f>
        <v>(Note L)</v>
      </c>
      <c r="F291" s="73" t="s">
        <v>309</v>
      </c>
      <c r="G291" s="73"/>
      <c r="H291" s="312">
        <f>'5 - Cost Support 1'!G161</f>
        <v>4114</v>
      </c>
    </row>
    <row r="292" spans="1:8" ht="15.75">
      <c r="A292" s="31">
        <f>+A291+1</f>
        <v>174</v>
      </c>
      <c r="B292" s="98"/>
      <c r="C292" s="163" t="s">
        <v>136</v>
      </c>
      <c r="D292" s="446"/>
      <c r="E292" s="447"/>
      <c r="F292" s="27" t="str">
        <f>"(Line "&amp;A288&amp;" / "&amp;A291&amp;")"</f>
        <v>(Line 172 / 173)</v>
      </c>
      <c r="G292" s="176"/>
      <c r="H292" s="164">
        <f>+H288/H291</f>
        <v>28558.356397388867</v>
      </c>
    </row>
    <row r="293" spans="1:8" ht="16.5" thickBot="1">
      <c r="A293" s="98"/>
      <c r="B293" s="98"/>
      <c r="C293" s="163"/>
      <c r="D293" s="163"/>
      <c r="E293" s="240"/>
      <c r="F293" s="176"/>
      <c r="G293" s="176"/>
      <c r="H293" s="164"/>
    </row>
    <row r="294" spans="1:8" s="103" customFormat="1" ht="18.75" thickBot="1">
      <c r="A294" s="692">
        <f>+A292+1</f>
        <v>175</v>
      </c>
      <c r="B294" s="693"/>
      <c r="C294" s="187" t="s">
        <v>223</v>
      </c>
      <c r="D294" s="197"/>
      <c r="E294" s="197"/>
      <c r="F294" s="197" t="str">
        <f>"(Line "&amp;A292&amp;")"</f>
        <v>(Line 174)</v>
      </c>
      <c r="G294" s="197"/>
      <c r="H294" s="830">
        <f>+H292</f>
        <v>28558.356397388867</v>
      </c>
    </row>
    <row r="295" spans="1:8" s="103" customFormat="1" ht="15.75">
      <c r="A295" s="694"/>
      <c r="B295" s="236"/>
      <c r="C295" s="195"/>
      <c r="D295" s="195"/>
      <c r="E295" s="240"/>
      <c r="F295" s="176"/>
      <c r="G295" s="176"/>
      <c r="H295" s="164"/>
    </row>
    <row r="296" spans="1:8" s="103" customFormat="1" ht="18">
      <c r="A296" s="695"/>
      <c r="B296" s="473" t="s">
        <v>200</v>
      </c>
      <c r="C296" s="195"/>
      <c r="D296" s="195"/>
      <c r="E296" s="240"/>
      <c r="F296" s="176"/>
      <c r="G296" s="176"/>
      <c r="H296" s="164"/>
    </row>
    <row r="297" spans="1:8" s="103" customFormat="1" ht="15.75">
      <c r="A297" s="656"/>
      <c r="B297" s="372" t="s">
        <v>68</v>
      </c>
      <c r="C297" s="353" t="s">
        <v>213</v>
      </c>
      <c r="D297" s="245"/>
      <c r="E297" s="246"/>
      <c r="F297" s="247"/>
      <c r="G297" s="176"/>
      <c r="H297" s="164"/>
    </row>
    <row r="298" spans="1:8" s="103" customFormat="1" ht="15.75">
      <c r="A298" s="656"/>
      <c r="B298" s="372" t="s">
        <v>182</v>
      </c>
      <c r="C298" s="248" t="s">
        <v>555</v>
      </c>
      <c r="D298" s="353"/>
      <c r="E298" s="444"/>
      <c r="F298" s="445"/>
      <c r="G298" s="176"/>
      <c r="H298" s="164"/>
    </row>
    <row r="299" spans="1:8" s="103" customFormat="1" ht="15.75">
      <c r="A299" s="656"/>
      <c r="B299" s="372"/>
      <c r="C299" s="248" t="s">
        <v>556</v>
      </c>
      <c r="D299" s="353"/>
      <c r="E299" s="444"/>
      <c r="F299" s="445"/>
      <c r="G299" s="176"/>
      <c r="H299" s="164"/>
    </row>
    <row r="300" spans="1:8" s="103" customFormat="1" ht="15.75">
      <c r="A300" s="656"/>
      <c r="B300" s="372"/>
      <c r="C300" s="248" t="s">
        <v>557</v>
      </c>
      <c r="D300" s="353"/>
      <c r="E300" s="444"/>
      <c r="F300" s="445"/>
      <c r="G300" s="176"/>
      <c r="H300" s="164"/>
    </row>
    <row r="301" spans="1:8" s="103" customFormat="1" ht="15.75">
      <c r="A301" s="656"/>
      <c r="B301" s="372"/>
      <c r="C301" s="248" t="s">
        <v>558</v>
      </c>
      <c r="D301" s="353"/>
      <c r="E301" s="444"/>
      <c r="F301" s="445"/>
      <c r="G301" s="176"/>
      <c r="H301" s="164"/>
    </row>
    <row r="302" spans="1:8" s="103" customFormat="1" ht="15.75">
      <c r="A302" s="656"/>
      <c r="B302" s="372"/>
      <c r="C302" s="248" t="s">
        <v>636</v>
      </c>
      <c r="D302" s="353"/>
      <c r="E302" s="444"/>
      <c r="F302" s="445"/>
      <c r="G302" s="176"/>
      <c r="H302" s="164"/>
    </row>
    <row r="303" spans="1:8" s="103" customFormat="1" ht="15.75">
      <c r="A303" s="656"/>
      <c r="B303" s="372" t="s">
        <v>46</v>
      </c>
      <c r="C303" s="248" t="s">
        <v>214</v>
      </c>
      <c r="D303" s="245"/>
      <c r="E303" s="246"/>
      <c r="F303" s="247"/>
      <c r="G303" s="176"/>
      <c r="H303" s="164"/>
    </row>
    <row r="304" spans="1:8" s="103" customFormat="1" ht="15.75">
      <c r="A304" s="656"/>
      <c r="B304" s="372" t="s">
        <v>69</v>
      </c>
      <c r="C304" s="249" t="s">
        <v>520</v>
      </c>
      <c r="D304" s="245"/>
      <c r="E304" s="246"/>
      <c r="F304" s="247"/>
      <c r="G304" s="176"/>
      <c r="H304" s="164"/>
    </row>
    <row r="305" spans="1:8" s="103" customFormat="1" ht="15.75">
      <c r="A305" s="656"/>
      <c r="B305" s="372" t="s">
        <v>67</v>
      </c>
      <c r="C305" s="250" t="s">
        <v>95</v>
      </c>
      <c r="D305" s="245"/>
      <c r="E305" s="246"/>
      <c r="F305" s="247"/>
      <c r="G305" s="176"/>
      <c r="H305" s="164"/>
    </row>
    <row r="306" spans="1:8" s="103" customFormat="1" ht="15.75">
      <c r="A306" s="656"/>
      <c r="B306" s="372" t="s">
        <v>340</v>
      </c>
      <c r="C306" s="249" t="s">
        <v>243</v>
      </c>
      <c r="D306" s="245"/>
      <c r="E306" s="246"/>
      <c r="F306" s="247"/>
      <c r="G306" s="176"/>
      <c r="H306" s="164"/>
    </row>
    <row r="307" spans="1:8" s="103" customFormat="1" ht="15.75">
      <c r="A307" s="656"/>
      <c r="B307" s="372" t="s">
        <v>70</v>
      </c>
      <c r="C307" s="249" t="s">
        <v>521</v>
      </c>
      <c r="D307" s="245"/>
      <c r="E307" s="246"/>
      <c r="F307" s="247"/>
      <c r="G307" s="176"/>
      <c r="H307" s="164"/>
    </row>
    <row r="308" spans="1:8" s="103" customFormat="1" ht="15.75">
      <c r="A308" s="656"/>
      <c r="B308" s="372" t="s">
        <v>54</v>
      </c>
      <c r="C308" s="249" t="s">
        <v>73</v>
      </c>
      <c r="D308" s="245"/>
      <c r="E308" s="246"/>
      <c r="F308" s="247"/>
      <c r="G308" s="176"/>
      <c r="H308" s="164"/>
    </row>
    <row r="309" spans="1:8" s="103" customFormat="1" ht="15.75">
      <c r="A309" s="656"/>
      <c r="B309" s="372"/>
      <c r="C309" s="249" t="s">
        <v>87</v>
      </c>
      <c r="D309" s="245"/>
      <c r="E309" s="246"/>
      <c r="F309" s="247"/>
      <c r="G309" s="176"/>
      <c r="H309" s="164"/>
    </row>
    <row r="310" spans="1:8" s="103" customFormat="1" ht="15.75">
      <c r="A310" s="656"/>
      <c r="B310" s="372"/>
      <c r="C310" s="249" t="s">
        <v>625</v>
      </c>
      <c r="D310" s="245"/>
      <c r="E310" s="246"/>
      <c r="F310" s="247"/>
      <c r="G310" s="176"/>
      <c r="H310" s="164"/>
    </row>
    <row r="311" spans="1:8" s="103" customFormat="1" ht="15.75">
      <c r="A311" s="656"/>
      <c r="B311" s="372"/>
      <c r="C311" s="249" t="s">
        <v>442</v>
      </c>
      <c r="D311" s="245"/>
      <c r="E311" s="246"/>
      <c r="F311" s="247"/>
      <c r="G311" s="176"/>
      <c r="H311" s="164"/>
    </row>
    <row r="312" spans="1:8" s="103" customFormat="1" ht="15.75">
      <c r="A312" s="656"/>
      <c r="B312" s="372"/>
      <c r="C312" s="249" t="s">
        <v>76</v>
      </c>
      <c r="D312" s="245"/>
      <c r="E312" s="246"/>
      <c r="F312" s="247"/>
      <c r="G312" s="176"/>
      <c r="H312" s="164"/>
    </row>
    <row r="313" spans="1:8" s="103" customFormat="1" ht="15.75">
      <c r="A313" s="656"/>
      <c r="B313" s="372"/>
      <c r="C313" s="249" t="s">
        <v>274</v>
      </c>
      <c r="D313" s="245"/>
      <c r="E313" s="246"/>
      <c r="F313" s="247"/>
      <c r="G313" s="176"/>
      <c r="H313" s="164"/>
    </row>
    <row r="314" spans="1:8" s="103" customFormat="1" ht="45.75" customHeight="1">
      <c r="A314" s="656"/>
      <c r="B314" s="372" t="s">
        <v>56</v>
      </c>
      <c r="C314" s="1178" t="s">
        <v>802</v>
      </c>
      <c r="D314" s="1179"/>
      <c r="E314" s="1179"/>
      <c r="F314" s="1179"/>
      <c r="G314" s="176"/>
      <c r="H314" s="164"/>
    </row>
    <row r="315" spans="1:8" s="103" customFormat="1" ht="15.75">
      <c r="A315" s="656"/>
      <c r="B315" s="372" t="s">
        <v>72</v>
      </c>
      <c r="C315" s="353" t="s">
        <v>244</v>
      </c>
      <c r="D315" s="245"/>
      <c r="E315" s="246"/>
      <c r="F315" s="247"/>
      <c r="G315" s="176"/>
      <c r="H315" s="164"/>
    </row>
    <row r="316" spans="1:8" s="103" customFormat="1" ht="15.75">
      <c r="A316" s="656"/>
      <c r="B316" s="372" t="s">
        <v>142</v>
      </c>
      <c r="C316" s="353" t="s">
        <v>426</v>
      </c>
      <c r="D316" s="245"/>
      <c r="E316" s="246"/>
      <c r="F316" s="247"/>
      <c r="G316" s="176"/>
      <c r="H316" s="164"/>
    </row>
    <row r="317" spans="1:8" ht="15.75">
      <c r="A317" s="657"/>
      <c r="B317" s="657" t="s">
        <v>143</v>
      </c>
      <c r="C317" s="250" t="s">
        <v>287</v>
      </c>
      <c r="D317" s="267"/>
      <c r="E317" s="246"/>
      <c r="F317" s="247"/>
      <c r="G317" s="176"/>
      <c r="H317" s="164"/>
    </row>
    <row r="318" spans="1:8" ht="15.75">
      <c r="A318" s="657"/>
      <c r="B318" s="657" t="s">
        <v>341</v>
      </c>
      <c r="C318" s="340" t="s">
        <v>312</v>
      </c>
      <c r="D318" s="267"/>
      <c r="E318" s="246"/>
      <c r="F318" s="247"/>
      <c r="G318" s="176"/>
      <c r="H318" s="164"/>
    </row>
    <row r="319" spans="1:8" ht="15.75">
      <c r="A319" s="657"/>
      <c r="B319" s="657"/>
      <c r="C319" s="340" t="s">
        <v>311</v>
      </c>
      <c r="D319" s="267"/>
      <c r="E319" s="246"/>
      <c r="F319" s="247"/>
      <c r="G319" s="176"/>
      <c r="H319" s="164"/>
    </row>
    <row r="320" spans="1:8" ht="15.75">
      <c r="A320" s="657"/>
      <c r="B320" s="657"/>
      <c r="C320" s="340" t="str">
        <f>"  Interest on the Network Credits as booked each year is added to the revenue requirement to make the Transmisison Owner whole on Line "&amp;A263&amp;"."</f>
        <v xml:space="preserve">  Interest on the Network Credits as booked each year is added to the revenue requirement to make the Transmisison Owner whole on Line 155.</v>
      </c>
      <c r="D320" s="250"/>
      <c r="E320" s="444"/>
      <c r="F320" s="445"/>
      <c r="G320" s="176"/>
      <c r="H320" s="164"/>
    </row>
    <row r="321" spans="1:8" ht="15.75">
      <c r="A321" s="657"/>
      <c r="B321" s="657" t="s">
        <v>397</v>
      </c>
      <c r="C321" s="340" t="str">
        <f>"Payments made under Schedule 12 of the PJM OATT that are not directly assessed to load in the Zone under Schedule 12 are included in Transmission O&amp;M."</f>
        <v>Payments made under Schedule 12 of the PJM OATT that are not directly assessed to load in the Zone under Schedule 12 are included in Transmission O&amp;M.</v>
      </c>
      <c r="D321" s="498"/>
      <c r="E321" s="447"/>
      <c r="F321" s="471"/>
      <c r="G321" s="176"/>
      <c r="H321" s="164"/>
    </row>
    <row r="322" spans="1:8" s="103" customFormat="1" ht="18">
      <c r="A322" s="657"/>
      <c r="B322" s="657"/>
      <c r="C322" s="340" t="str">
        <f>"  If they are booked to Acct 565, they are included in on line "&amp;A118&amp;""</f>
        <v xml:space="preserve">  If they are booked to Acct 565, they are included in on line 64</v>
      </c>
      <c r="D322" s="480"/>
      <c r="E322" s="480"/>
      <c r="F322" s="480"/>
      <c r="G322" s="196"/>
      <c r="H322" s="831"/>
    </row>
    <row r="323" spans="1:8" ht="15.75">
      <c r="A323" s="696"/>
      <c r="B323" s="372" t="s">
        <v>99</v>
      </c>
      <c r="C323" s="846" t="s">
        <v>427</v>
      </c>
      <c r="D323" s="472"/>
      <c r="E323" s="447"/>
      <c r="F323" s="471"/>
      <c r="G323" s="176"/>
      <c r="H323" s="164"/>
    </row>
    <row r="324" spans="1:8" ht="15.75">
      <c r="A324" s="372"/>
      <c r="B324" s="372" t="s">
        <v>637</v>
      </c>
      <c r="C324" s="353" t="s">
        <v>638</v>
      </c>
      <c r="D324" s="472"/>
      <c r="E324" s="447"/>
      <c r="F324" s="471"/>
      <c r="G324" s="176"/>
      <c r="H324" s="164"/>
    </row>
    <row r="325" spans="1:8" ht="15.75">
      <c r="A325" s="236"/>
      <c r="B325" s="227" t="s">
        <v>639</v>
      </c>
      <c r="C325" s="472" t="s">
        <v>640</v>
      </c>
      <c r="D325" s="472"/>
      <c r="E325" s="447"/>
      <c r="F325" s="471"/>
      <c r="G325" s="176"/>
      <c r="H325" s="164"/>
    </row>
    <row r="326" spans="1:8" ht="15.75">
      <c r="A326" s="236"/>
      <c r="B326" s="473"/>
      <c r="C326" s="472" t="s">
        <v>641</v>
      </c>
      <c r="D326" s="472"/>
      <c r="E326" s="447"/>
      <c r="F326" s="471"/>
      <c r="G326" s="176"/>
      <c r="H326" s="164"/>
    </row>
    <row r="327" spans="1:8" ht="15.75">
      <c r="A327" s="236"/>
      <c r="B327" s="227" t="s">
        <v>806</v>
      </c>
      <c r="C327" s="472" t="s">
        <v>807</v>
      </c>
      <c r="D327" s="472"/>
      <c r="E327" s="447"/>
      <c r="F327" s="471"/>
      <c r="G327" s="176"/>
      <c r="H327" s="164"/>
    </row>
    <row r="328" spans="1:8" ht="15.75">
      <c r="A328" s="236"/>
      <c r="B328" s="473"/>
      <c r="C328" s="472"/>
      <c r="D328" s="472"/>
      <c r="E328" s="447"/>
      <c r="F328" s="471"/>
      <c r="G328" s="176"/>
      <c r="H328" s="164"/>
    </row>
    <row r="329" spans="1:8" ht="15.75">
      <c r="A329" s="236"/>
      <c r="B329" s="236"/>
      <c r="C329" s="472"/>
      <c r="D329" s="472"/>
      <c r="E329" s="447"/>
      <c r="F329" s="471"/>
      <c r="G329" s="176"/>
      <c r="H329" s="164"/>
    </row>
    <row r="330" spans="1:8" ht="15.75">
      <c r="A330" s="236"/>
      <c r="B330" s="236"/>
      <c r="C330" s="472"/>
      <c r="D330" s="472"/>
      <c r="E330" s="447"/>
      <c r="F330" s="471"/>
      <c r="G330" s="176"/>
      <c r="H330" s="164"/>
    </row>
    <row r="331" spans="1:8" ht="15.75">
      <c r="A331" s="60"/>
      <c r="B331" s="33"/>
      <c r="C331" s="26"/>
      <c r="D331" s="63"/>
      <c r="E331" s="21"/>
      <c r="F331" s="34"/>
      <c r="G331" s="34"/>
      <c r="H331" s="44"/>
    </row>
    <row r="332" spans="1:8" ht="15.75">
      <c r="A332" s="178" t="s">
        <v>44</v>
      </c>
      <c r="B332" s="177"/>
      <c r="C332" s="157"/>
      <c r="D332" s="156"/>
      <c r="E332" s="241"/>
      <c r="F332" s="156"/>
      <c r="G332" s="156"/>
      <c r="H332" s="157"/>
    </row>
    <row r="333" spans="1:8">
      <c r="A333" s="60"/>
      <c r="B333" s="33"/>
      <c r="C333" s="58"/>
      <c r="D333" s="58"/>
    </row>
    <row r="334" spans="1:8">
      <c r="H334" s="171"/>
    </row>
    <row r="335" spans="1:8">
      <c r="H335" s="170"/>
    </row>
    <row r="336" spans="1:8">
      <c r="H336" s="169"/>
    </row>
  </sheetData>
  <customSheetViews>
    <customSheetView guid="{DD59B418-F201-4517-876C-F4216587CC56}" scale="75" showPageBreaks="1" printArea="1" showRuler="0" topLeftCell="A65">
      <selection activeCell="H106" sqref="H106"/>
      <rowBreaks count="3" manualBreakCount="3">
        <brk id="70" max="7" man="1"/>
        <brk id="144" max="7" man="1"/>
        <brk id="211" max="7" man="1"/>
      </rowBreaks>
      <colBreaks count="1" manualBreakCount="1">
        <brk id="8" max="316" man="1"/>
      </colBreaks>
      <pageMargins left="0.25" right="0.25" top="0.75" bottom="0.5" header="0.5" footer="0.5"/>
      <printOptions horizontalCentered="1"/>
      <pageSetup scale="38" fitToHeight="10" orientation="portrait" r:id="rId1"/>
      <headerFooter alignWithMargins="0"/>
    </customSheetView>
    <customSheetView guid="{6FDC2004-56D4-4E4C-BEEF-80DB64AD0DBB}" scale="60" showPageBreaks="1" printArea="1" view="pageBreakPreview" showRuler="0" topLeftCell="A76">
      <selection activeCell="D2" sqref="D2"/>
      <rowBreaks count="4" manualBreakCount="4">
        <brk id="70" max="7" man="1"/>
        <brk id="142" max="7" man="1"/>
        <brk id="209" max="7" man="1"/>
        <brk id="286" max="7" man="1"/>
      </rowBreaks>
      <colBreaks count="1" manualBreakCount="1">
        <brk id="8" max="316" man="1"/>
      </colBreaks>
      <pageMargins left="0.25" right="0.25" top="0.75" bottom="0.5" header="0.5" footer="0.5"/>
      <printOptions horizontalCentered="1"/>
      <pageSetup scale="44" fitToHeight="10" orientation="portrait" r:id="rId2"/>
      <headerFooter alignWithMargins="0">
        <oddHeader>&amp;R&amp;12Page &amp;P of &amp;N</oddHeader>
      </headerFooter>
    </customSheetView>
    <customSheetView guid="{4F5BB44A-5460-4358-BCFE-B7FB945BAE1D}" scale="75" showPageBreaks="1" printArea="1" showRuler="0">
      <selection activeCell="D2" sqref="D2"/>
      <rowBreaks count="4" manualBreakCount="4">
        <brk id="70" max="7" man="1"/>
        <brk id="142" max="7" man="1"/>
        <brk id="209" max="7" man="1"/>
        <brk id="286" max="7" man="1"/>
      </rowBreaks>
      <colBreaks count="1" manualBreakCount="1">
        <brk id="8" max="316" man="1"/>
      </colBreaks>
      <pageMargins left="0.25" right="0.25" top="0.75" bottom="0.5" header="0.5" footer="0.5"/>
      <printOptions horizontalCentered="1"/>
      <pageSetup scale="44" fitToHeight="10" orientation="portrait" r:id="rId3"/>
      <headerFooter alignWithMargins="0">
        <oddHeader>&amp;R&amp;12Page &amp;P of &amp;N</oddHeader>
      </headerFooter>
    </customSheetView>
    <customSheetView guid="{C0EA0F9F-7310-4201-82C9-7B8FC8DB9137}" showPageBreaks="1" printArea="1" showRuler="0">
      <pane ySplit="7" topLeftCell="A97" activePane="bottomLeft" state="frozen"/>
      <selection pane="bottomLeft" activeCell="C112" sqref="C112"/>
      <rowBreaks count="4" manualBreakCount="4">
        <brk id="70" max="7" man="1"/>
        <brk id="142" max="7" man="1"/>
        <brk id="209" max="7" man="1"/>
        <brk id="286" max="7" man="1"/>
      </rowBreaks>
      <colBreaks count="1" manualBreakCount="1">
        <brk id="8" max="316" man="1"/>
      </colBreaks>
      <pageMargins left="0.25" right="0.25" top="0.75" bottom="0.5" header="0.5" footer="0.5"/>
      <printOptions horizontalCentered="1"/>
      <pageSetup scale="50" fitToHeight="10" orientation="portrait" r:id="rId4"/>
      <headerFooter alignWithMargins="0">
        <oddHeader>&amp;R&amp;"Arial,Bold"&amp;14Page &amp;P of &amp;N</oddHeader>
      </headerFooter>
    </customSheetView>
    <customSheetView guid="{3BDD6235-B127-4929-8311-BDAF7BB89818}" scale="75" showPageBreaks="1" printArea="1" showRuler="0">
      <selection activeCell="D2" sqref="D2"/>
      <rowBreaks count="4" manualBreakCount="4">
        <brk id="70" max="7" man="1"/>
        <brk id="142" max="7" man="1"/>
        <brk id="209" max="7" man="1"/>
        <brk id="286" max="7" man="1"/>
      </rowBreaks>
      <colBreaks count="1" manualBreakCount="1">
        <brk id="8" max="316" man="1"/>
      </colBreaks>
      <pageMargins left="0.25" right="0.25" top="0.75" bottom="0.5" header="0.5" footer="0.5"/>
      <printOptions horizontalCentered="1"/>
      <pageSetup scale="44" fitToHeight="10" orientation="portrait" r:id="rId5"/>
      <headerFooter alignWithMargins="0">
        <oddHeader>&amp;R&amp;12Page &amp;P of &amp;N</oddHeader>
      </headerFooter>
    </customSheetView>
    <customSheetView guid="{4C8E812F-DAB5-4C49-9682-E5A34DC8C1B4}" scale="60" showPageBreaks="1" printArea="1" view="pageBreakPreview" showRuler="0" topLeftCell="A10">
      <selection activeCell="H42" sqref="H42"/>
      <rowBreaks count="4" manualBreakCount="4">
        <brk id="70" max="7" man="1"/>
        <brk id="142" max="7" man="1"/>
        <brk id="209" max="7" man="1"/>
        <brk id="286" max="7" man="1"/>
      </rowBreaks>
      <colBreaks count="1" manualBreakCount="1">
        <brk id="8" max="316" man="1"/>
      </colBreaks>
      <pageMargins left="0.25" right="0.25" top="0.75" bottom="0.5" header="0.5" footer="0.5"/>
      <printOptions horizontalCentered="1"/>
      <pageSetup scale="25" fitToHeight="10" orientation="portrait" r:id="rId6"/>
      <headerFooter alignWithMargins="0">
        <oddHeader>&amp;R&amp;12Page &amp;P of &amp;N</oddHeader>
      </headerFooter>
    </customSheetView>
  </customSheetViews>
  <mergeCells count="1">
    <mergeCell ref="C314:F314"/>
  </mergeCells>
  <phoneticPr fontId="0" type="noConversion"/>
  <printOptions horizontalCentered="1"/>
  <pageMargins left="0.25" right="0.25" top="0.75" bottom="0.5" header="0.5" footer="0.5"/>
  <pageSetup scale="40" fitToWidth="4" fitToHeight="4" orientation="portrait" r:id="rId7"/>
  <headerFooter alignWithMargins="0"/>
  <rowBreaks count="3" manualBreakCount="3">
    <brk id="109" max="7" man="1"/>
    <brk id="215" max="7" man="1"/>
    <brk id="295" max="7" man="1"/>
  </rowBreaks>
  <ignoredErrors>
    <ignoredError sqref="C320:C32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45"/>
  <sheetViews>
    <sheetView zoomScaleNormal="100" workbookViewId="0">
      <selection activeCell="H28" sqref="H28"/>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customWidth="1"/>
  </cols>
  <sheetData>
    <row r="1" spans="1:8" ht="18">
      <c r="A1" s="1185" t="str">
        <f>+'ATT H-3D'!A4</f>
        <v>Delmarva Power &amp; Light Company</v>
      </c>
      <c r="B1" s="1185"/>
      <c r="C1" s="1185"/>
      <c r="D1" s="1185"/>
      <c r="E1" s="1185"/>
      <c r="F1" s="1185"/>
    </row>
    <row r="2" spans="1:8">
      <c r="A2" s="305"/>
    </row>
    <row r="3" spans="1:8" ht="15">
      <c r="A3" s="1186" t="s">
        <v>493</v>
      </c>
      <c r="B3" s="1187"/>
      <c r="C3" s="1187"/>
      <c r="D3" s="1187"/>
      <c r="E3" s="1187"/>
      <c r="F3" s="1187"/>
    </row>
    <row r="4" spans="1:8">
      <c r="B4" s="181"/>
      <c r="C4" s="284"/>
      <c r="D4" s="284"/>
    </row>
    <row r="5" spans="1:8">
      <c r="A5" s="181"/>
    </row>
    <row r="6" spans="1:8">
      <c r="E6" s="308"/>
    </row>
    <row r="8" spans="1:8">
      <c r="B8" s="2"/>
      <c r="C8" s="2"/>
      <c r="D8" s="2"/>
      <c r="E8" s="2"/>
      <c r="F8" s="2"/>
      <c r="G8" s="2"/>
      <c r="H8" s="2"/>
    </row>
    <row r="9" spans="1:8">
      <c r="B9" s="309"/>
      <c r="C9" s="309"/>
      <c r="D9" s="309"/>
      <c r="E9" s="309"/>
      <c r="F9" s="309"/>
      <c r="G9" s="309"/>
      <c r="H9" s="2"/>
    </row>
    <row r="10" spans="1:8">
      <c r="B10" s="2"/>
      <c r="C10" s="2"/>
      <c r="D10" s="2"/>
      <c r="E10" s="2"/>
      <c r="F10" s="2"/>
      <c r="G10" s="2"/>
      <c r="H10" s="2"/>
    </row>
    <row r="12" spans="1:8">
      <c r="A12" t="s">
        <v>276</v>
      </c>
    </row>
    <row r="13" spans="1:8">
      <c r="C13" t="s">
        <v>57</v>
      </c>
    </row>
    <row r="14" spans="1:8">
      <c r="A14" s="305">
        <f>+'ATT H-3D'!A180</f>
        <v>101</v>
      </c>
      <c r="B14" s="305">
        <f>+'ATT H-3D'!B182</f>
        <v>0</v>
      </c>
      <c r="C14" s="305" t="str">
        <f>+'ATT H-3D'!C180</f>
        <v xml:space="preserve">    Less LTD Interest on Securitization Bonds</v>
      </c>
      <c r="D14" s="305"/>
      <c r="E14" s="282">
        <v>0</v>
      </c>
      <c r="F14" s="305"/>
    </row>
    <row r="17" spans="1:6">
      <c r="C17" t="s">
        <v>126</v>
      </c>
    </row>
    <row r="18" spans="1:6">
      <c r="A18" s="305">
        <f>+'ATT H-3D'!A196</f>
        <v>112</v>
      </c>
      <c r="C18" s="305" t="str">
        <f>+'ATT H-3D'!C196</f>
        <v xml:space="preserve">      Less LTD on Securitization Bonds</v>
      </c>
      <c r="D18" s="305"/>
      <c r="E18" s="282">
        <v>0</v>
      </c>
      <c r="F18" s="305"/>
    </row>
    <row r="21" spans="1:6">
      <c r="C21" s="2" t="s">
        <v>482</v>
      </c>
      <c r="D21" s="2"/>
      <c r="E21" s="2"/>
    </row>
    <row r="22" spans="1:6">
      <c r="D22" s="282"/>
      <c r="E22" s="282"/>
      <c r="F22" s="282"/>
    </row>
    <row r="23" spans="1:6">
      <c r="D23" s="282"/>
      <c r="E23" s="282"/>
      <c r="F23" s="282"/>
    </row>
    <row r="24" spans="1:6">
      <c r="D24" s="282"/>
      <c r="E24" s="282"/>
      <c r="F24" s="282"/>
    </row>
    <row r="25" spans="1:6">
      <c r="D25" s="282"/>
      <c r="E25" s="282"/>
      <c r="F25" s="282"/>
    </row>
    <row r="26" spans="1:6">
      <c r="D26" s="282"/>
      <c r="E26" s="282"/>
      <c r="F26" s="282"/>
    </row>
    <row r="27" spans="1:6">
      <c r="D27" s="282"/>
      <c r="E27" s="282"/>
      <c r="F27" s="282"/>
    </row>
    <row r="28" spans="1:6">
      <c r="D28" s="282"/>
      <c r="E28" s="282"/>
      <c r="F28" s="282"/>
    </row>
    <row r="29" spans="1:6">
      <c r="D29" s="282"/>
      <c r="E29" s="282"/>
      <c r="F29" s="282"/>
    </row>
    <row r="30" spans="1:6">
      <c r="D30" s="282"/>
      <c r="E30" s="282"/>
      <c r="F30" s="282"/>
    </row>
    <row r="31" spans="1:6">
      <c r="D31" s="282"/>
      <c r="E31" s="282"/>
      <c r="F31" s="282"/>
    </row>
    <row r="32" spans="1:6">
      <c r="D32" s="282"/>
      <c r="E32" s="282"/>
      <c r="F32" s="282"/>
    </row>
    <row r="33" spans="4:6">
      <c r="D33" s="282"/>
      <c r="E33" s="282"/>
      <c r="F33" s="282"/>
    </row>
    <row r="34" spans="4:6">
      <c r="D34" s="282"/>
      <c r="E34" s="282"/>
      <c r="F34" s="282"/>
    </row>
    <row r="35" spans="4:6">
      <c r="D35" s="282"/>
      <c r="E35" s="282"/>
      <c r="F35" s="282"/>
    </row>
    <row r="36" spans="4:6">
      <c r="D36" s="282"/>
      <c r="E36" s="282"/>
      <c r="F36" s="282"/>
    </row>
    <row r="37" spans="4:6">
      <c r="D37" s="282"/>
      <c r="E37" s="282"/>
      <c r="F37" s="282"/>
    </row>
    <row r="38" spans="4:6">
      <c r="D38" s="282"/>
      <c r="E38" s="282"/>
      <c r="F38" s="282"/>
    </row>
    <row r="39" spans="4:6">
      <c r="D39" s="282"/>
      <c r="E39" s="282"/>
      <c r="F39" s="282"/>
    </row>
    <row r="40" spans="4:6">
      <c r="D40" s="282"/>
      <c r="E40" s="282"/>
      <c r="F40" s="282"/>
    </row>
    <row r="41" spans="4:6">
      <c r="D41" s="282"/>
      <c r="E41" s="282"/>
      <c r="F41" s="282"/>
    </row>
    <row r="42" spans="4:6">
      <c r="D42" s="282"/>
      <c r="E42" s="282"/>
      <c r="F42" s="282"/>
    </row>
    <row r="43" spans="4:6">
      <c r="D43" s="282"/>
      <c r="E43" s="282"/>
      <c r="F43" s="282"/>
    </row>
    <row r="44" spans="4:6">
      <c r="D44" s="282"/>
      <c r="E44" s="282"/>
      <c r="F44" s="282"/>
    </row>
    <row r="45" spans="4:6">
      <c r="D45" s="282"/>
      <c r="E45" s="282"/>
      <c r="F45" s="282"/>
    </row>
  </sheetData>
  <customSheetViews>
    <customSheetView guid="{DD59B418-F201-4517-876C-F4216587CC56}" showPageBreaks="1" fitToPage="1" showRuler="0" topLeftCell="A186">
      <pageMargins left="0.75" right="0.75" top="1" bottom="1" header="0.5" footer="0.5"/>
      <pageSetup scale="94" orientation="portrait" r:id="rId1"/>
      <headerFooter alignWithMargins="0"/>
    </customSheetView>
    <customSheetView guid="{6FDC2004-56D4-4E4C-BEEF-80DB64AD0DBB}" scale="60" showPageBreaks="1" fitToPage="1" view="pageBreakPreview" showRuler="0">
      <selection activeCell="F21" sqref="F21"/>
      <pageMargins left="0.75" right="0.75" top="1" bottom="1" header="0.5" footer="0.5"/>
      <pageSetup scale="94" orientation="portrait" r:id="rId2"/>
      <headerFooter alignWithMargins="0">
        <oddHeader>&amp;R&amp;12Page &amp;P of &amp;N</oddHeader>
      </headerFooter>
    </customSheetView>
    <customSheetView guid="{4F5BB44A-5460-4358-BCFE-B7FB945BAE1D}" fitToPage="1" showRuler="0">
      <selection sqref="A1:F1"/>
      <pageMargins left="0.75" right="0.75" top="1" bottom="1" header="0.5" footer="0.5"/>
      <pageSetup scale="94" orientation="portrait" r:id="rId3"/>
      <headerFooter alignWithMargins="0">
        <oddHeader>&amp;R&amp;12Page &amp;P of &amp;N</oddHeader>
      </headerFooter>
    </customSheetView>
    <customSheetView guid="{C0EA0F9F-7310-4201-82C9-7B8FC8DB9137}" fitToPage="1" showRuler="0" topLeftCell="A9">
      <selection activeCell="D21" sqref="D21"/>
      <pageMargins left="0.75" right="0.75" top="1" bottom="1" header="0.5" footer="0.5"/>
      <pageSetup scale="95" orientation="portrait" r:id="rId4"/>
      <headerFooter alignWithMargins="0">
        <oddHeader>&amp;R&amp;14Page &amp;P of &amp;N</oddHeader>
      </headerFooter>
    </customSheetView>
    <customSheetView guid="{3BDD6235-B127-4929-8311-BDAF7BB89818}" showPageBreaks="1" fitToPage="1" showRuler="0">
      <selection sqref="A1:F1"/>
      <pageMargins left="0.75" right="0.75" top="1" bottom="1" header="0.5" footer="0.5"/>
      <pageSetup scale="94" orientation="portrait" r:id="rId5"/>
      <headerFooter alignWithMargins="0">
        <oddHeader>&amp;R&amp;12Page &amp;P of &amp;N</oddHeader>
      </headerFooter>
    </customSheetView>
    <customSheetView guid="{4C8E812F-DAB5-4C49-9682-E5A34DC8C1B4}" showPageBreaks="1" fitToPage="1" showRuler="0">
      <selection sqref="A1:F1"/>
      <pageMargins left="0.75" right="0.75" top="1" bottom="1" header="0.5" footer="0.5"/>
      <pageSetup scale="95" orientation="portrait" r:id="rId6"/>
      <headerFooter alignWithMargins="0">
        <oddHeader>&amp;R&amp;12Page &amp;P of &amp;N</oddHeader>
      </headerFooter>
    </customSheetView>
  </customSheetViews>
  <mergeCells count="2">
    <mergeCell ref="A3:F3"/>
    <mergeCell ref="A1:F1"/>
  </mergeCells>
  <phoneticPr fontId="0" type="noConversion"/>
  <pageMargins left="0.75" right="0.75" top="1" bottom="1" header="0.5" footer="0.5"/>
  <pageSetup scale="95" orientation="portrait" r:id="rId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144"/>
  <sheetViews>
    <sheetView zoomScale="95" zoomScaleNormal="95" workbookViewId="0"/>
  </sheetViews>
  <sheetFormatPr defaultColWidth="9.140625" defaultRowHeight="15"/>
  <cols>
    <col min="1" max="1" width="45.28515625" style="1055" customWidth="1"/>
    <col min="2" max="6" width="20.7109375" style="1060" customWidth="1"/>
    <col min="7" max="7" width="119" style="1055" bestFit="1" customWidth="1"/>
    <col min="8" max="16384" width="9.140625" style="1055"/>
  </cols>
  <sheetData>
    <row r="1" spans="1:189" ht="15.75" customHeight="1">
      <c r="A1" s="1053"/>
      <c r="B1" s="1054"/>
      <c r="C1" s="1054"/>
      <c r="D1" s="1054"/>
      <c r="E1" s="1054"/>
      <c r="F1" s="1054"/>
      <c r="G1" s="1053"/>
    </row>
    <row r="2" spans="1:189" ht="15.75">
      <c r="A2" s="1180" t="s">
        <v>506</v>
      </c>
      <c r="B2" s="1180"/>
      <c r="C2" s="1180"/>
      <c r="D2" s="1180"/>
      <c r="E2" s="1180"/>
      <c r="F2" s="1180"/>
      <c r="G2" s="1180"/>
    </row>
    <row r="3" spans="1:189" ht="20.25">
      <c r="A3" s="1029"/>
      <c r="B3" s="1030"/>
      <c r="C3" s="1030"/>
      <c r="D3" s="1030"/>
      <c r="E3" s="1030"/>
      <c r="F3" s="1030"/>
      <c r="G3" s="1029"/>
      <c r="CP3" s="1181"/>
      <c r="CQ3" s="1181"/>
      <c r="CR3" s="1181"/>
      <c r="CS3" s="1181"/>
      <c r="CT3" s="1181"/>
      <c r="CU3" s="1181"/>
      <c r="CV3" s="1181"/>
      <c r="CW3" s="1181"/>
      <c r="CX3" s="1181"/>
      <c r="CY3" s="1181"/>
      <c r="CZ3" s="1181"/>
      <c r="DA3" s="1181"/>
      <c r="DB3" s="1181"/>
      <c r="DC3" s="1181"/>
      <c r="DD3" s="1181"/>
      <c r="DE3" s="1181"/>
      <c r="DF3" s="1181"/>
      <c r="DG3" s="1181"/>
      <c r="DH3" s="1181"/>
      <c r="DI3" s="1181"/>
      <c r="DJ3" s="1181"/>
      <c r="DK3" s="1181"/>
      <c r="DL3" s="1181"/>
      <c r="DM3" s="1181"/>
      <c r="DN3" s="1181"/>
      <c r="DO3" s="1181"/>
      <c r="DP3" s="1181"/>
      <c r="DQ3" s="1181"/>
      <c r="DR3" s="1181"/>
      <c r="DS3" s="1181"/>
      <c r="DT3" s="1181"/>
      <c r="DU3" s="1181"/>
      <c r="DV3" s="1181"/>
      <c r="DW3" s="1181"/>
      <c r="DX3" s="1181"/>
      <c r="DY3" s="1181"/>
      <c r="DZ3" s="1181"/>
      <c r="EA3" s="1181"/>
      <c r="EB3" s="1181"/>
      <c r="EC3" s="1181"/>
      <c r="ED3" s="1181"/>
      <c r="EE3" s="1181"/>
      <c r="EF3" s="1181"/>
      <c r="EG3" s="1181"/>
      <c r="EH3" s="1181"/>
      <c r="EI3" s="1181"/>
      <c r="EJ3" s="1181"/>
      <c r="EK3" s="1181"/>
      <c r="EL3" s="1181"/>
      <c r="EM3" s="1181"/>
      <c r="EN3" s="1181"/>
      <c r="EO3" s="1181"/>
      <c r="EP3" s="1181"/>
      <c r="EQ3" s="1181"/>
      <c r="ER3" s="1181"/>
      <c r="ES3" s="1181"/>
      <c r="ET3" s="1181"/>
      <c r="EU3" s="1181"/>
      <c r="EV3" s="1181"/>
      <c r="EW3" s="1181"/>
      <c r="EX3" s="1181"/>
      <c r="EY3" s="1181"/>
      <c r="EZ3" s="1181"/>
      <c r="FA3" s="1181"/>
      <c r="FB3" s="1181"/>
      <c r="FC3" s="1181"/>
      <c r="FD3" s="1181"/>
      <c r="FE3" s="1181"/>
      <c r="FF3" s="1181"/>
      <c r="FG3" s="1181"/>
      <c r="FH3" s="1181"/>
      <c r="FI3" s="1181"/>
      <c r="FJ3" s="1181"/>
      <c r="FK3" s="1181"/>
      <c r="FL3" s="1181"/>
      <c r="FM3" s="1181"/>
      <c r="FN3" s="1181"/>
      <c r="FO3" s="1181"/>
      <c r="FP3" s="1181"/>
      <c r="FQ3" s="1181"/>
      <c r="FR3" s="1181"/>
      <c r="FS3" s="1181"/>
      <c r="FT3" s="1181"/>
      <c r="FU3" s="1181"/>
      <c r="FV3" s="1181"/>
      <c r="FW3" s="1181"/>
      <c r="FX3" s="1181"/>
      <c r="FY3" s="1181"/>
      <c r="FZ3" s="1181"/>
      <c r="GA3" s="1181"/>
      <c r="GB3" s="1181"/>
      <c r="GC3" s="1181"/>
      <c r="GD3" s="1181"/>
      <c r="GE3" s="1181"/>
      <c r="GF3" s="1181"/>
      <c r="GG3" s="1181"/>
    </row>
    <row r="4" spans="1:189" ht="18">
      <c r="A4" s="1184" t="s">
        <v>524</v>
      </c>
      <c r="B4" s="1184"/>
      <c r="C4" s="1184"/>
      <c r="D4" s="1184"/>
      <c r="E4" s="1184"/>
      <c r="F4" s="1184"/>
      <c r="G4" s="1184"/>
      <c r="CP4" s="1056"/>
      <c r="CQ4" s="1057"/>
      <c r="CX4" s="1056"/>
      <c r="CY4" s="1057"/>
      <c r="DF4" s="1056"/>
      <c r="DG4" s="1057"/>
      <c r="DN4" s="1056"/>
      <c r="DO4" s="1057"/>
      <c r="DV4" s="1056"/>
      <c r="DW4" s="1057"/>
      <c r="ED4" s="1056"/>
      <c r="EE4" s="1057"/>
      <c r="EL4" s="1056"/>
      <c r="EM4" s="1057"/>
      <c r="ET4" s="1056"/>
      <c r="EU4" s="1057"/>
      <c r="FB4" s="1056"/>
      <c r="FC4" s="1057"/>
      <c r="FJ4" s="1056"/>
      <c r="FK4" s="1057"/>
      <c r="FR4" s="1056"/>
      <c r="FS4" s="1057"/>
      <c r="FZ4" s="1056"/>
      <c r="GA4" s="1057"/>
    </row>
    <row r="5" spans="1:189" ht="18">
      <c r="A5" s="1031"/>
      <c r="B5" s="1031"/>
      <c r="C5" s="1031"/>
      <c r="D5" s="1031"/>
      <c r="E5" s="1031"/>
      <c r="F5" s="1031"/>
      <c r="G5" s="1031"/>
      <c r="CP5" s="1056"/>
      <c r="CQ5" s="1057"/>
      <c r="CX5" s="1056"/>
      <c r="CY5" s="1057"/>
      <c r="DF5" s="1056"/>
      <c r="DG5" s="1057"/>
      <c r="DN5" s="1056"/>
      <c r="DO5" s="1057"/>
      <c r="DV5" s="1056"/>
      <c r="DW5" s="1057"/>
      <c r="ED5" s="1056"/>
      <c r="EE5" s="1057"/>
      <c r="EL5" s="1056"/>
      <c r="EM5" s="1057"/>
      <c r="ET5" s="1056"/>
      <c r="EU5" s="1057"/>
      <c r="FB5" s="1056"/>
      <c r="FC5" s="1057"/>
      <c r="FJ5" s="1056"/>
      <c r="FK5" s="1057"/>
      <c r="FR5" s="1056"/>
      <c r="FS5" s="1057"/>
      <c r="FZ5" s="1056"/>
      <c r="GA5" s="1057"/>
    </row>
    <row r="6" spans="1:189" ht="18">
      <c r="A6" s="1031"/>
      <c r="B6" s="1031"/>
      <c r="C6" s="1031"/>
      <c r="D6" s="1031"/>
      <c r="E6" s="1031"/>
      <c r="F6" s="1031"/>
      <c r="G6" s="1031"/>
      <c r="CP6" s="1056"/>
      <c r="CQ6" s="1057"/>
      <c r="CX6" s="1056"/>
      <c r="CY6" s="1057"/>
      <c r="DF6" s="1056"/>
      <c r="DG6" s="1057"/>
      <c r="DN6" s="1056"/>
      <c r="DO6" s="1057"/>
      <c r="DV6" s="1056"/>
      <c r="DW6" s="1057"/>
      <c r="ED6" s="1056"/>
      <c r="EE6" s="1057"/>
      <c r="EL6" s="1056"/>
      <c r="EM6" s="1057"/>
      <c r="ET6" s="1056"/>
      <c r="EU6" s="1057"/>
      <c r="FB6" s="1056"/>
      <c r="FC6" s="1057"/>
      <c r="FJ6" s="1056"/>
      <c r="FK6" s="1057"/>
      <c r="FR6" s="1056"/>
      <c r="FS6" s="1057"/>
      <c r="FZ6" s="1056"/>
      <c r="GA6" s="1057"/>
    </row>
    <row r="7" spans="1:189">
      <c r="A7" s="895"/>
      <c r="B7" s="889" t="s">
        <v>249</v>
      </c>
      <c r="C7" s="889"/>
      <c r="D7" s="893"/>
      <c r="E7" s="889"/>
      <c r="F7" s="893"/>
      <c r="G7" s="890"/>
      <c r="AL7" s="1058"/>
      <c r="AO7" s="1059"/>
      <c r="AP7" s="1059"/>
      <c r="AR7" s="1059"/>
      <c r="AT7" s="1058"/>
      <c r="AW7" s="1059"/>
      <c r="AX7" s="1059"/>
      <c r="AZ7" s="1059"/>
      <c r="BB7" s="1058"/>
      <c r="BE7" s="1059"/>
      <c r="BF7" s="1059"/>
      <c r="BH7" s="1059"/>
      <c r="BJ7" s="1058"/>
      <c r="BM7" s="1059"/>
      <c r="BN7" s="1059"/>
      <c r="BP7" s="1059"/>
      <c r="BR7" s="1058"/>
      <c r="BU7" s="1059"/>
      <c r="BV7" s="1059"/>
      <c r="BX7" s="1059"/>
      <c r="BZ7" s="1058"/>
      <c r="CC7" s="1059"/>
      <c r="CD7" s="1059"/>
      <c r="CF7" s="1059"/>
      <c r="CH7" s="1058"/>
      <c r="CK7" s="1059"/>
      <c r="CL7" s="1059"/>
      <c r="CN7" s="1059"/>
      <c r="CP7" s="1058"/>
      <c r="CS7" s="1059"/>
      <c r="CT7" s="1059"/>
      <c r="CV7" s="1059"/>
      <c r="CX7" s="1058"/>
      <c r="DA7" s="1059"/>
      <c r="DB7" s="1059"/>
      <c r="DD7" s="1059"/>
      <c r="DF7" s="1058"/>
      <c r="DI7" s="1059"/>
      <c r="DJ7" s="1059"/>
      <c r="DL7" s="1059"/>
      <c r="DN7" s="1058"/>
      <c r="DQ7" s="1059"/>
      <c r="DR7" s="1059"/>
      <c r="DT7" s="1059"/>
      <c r="DV7" s="1058"/>
      <c r="DY7" s="1059"/>
      <c r="DZ7" s="1059"/>
      <c r="EB7" s="1059"/>
    </row>
    <row r="8" spans="1:189">
      <c r="A8" s="890"/>
      <c r="B8" s="889" t="s">
        <v>234</v>
      </c>
      <c r="C8" s="889" t="s">
        <v>245</v>
      </c>
      <c r="D8" s="889" t="s">
        <v>247</v>
      </c>
      <c r="E8" s="889" t="s">
        <v>181</v>
      </c>
      <c r="F8" s="893"/>
      <c r="G8" s="890"/>
      <c r="AL8" s="1058"/>
      <c r="AO8" s="1059"/>
      <c r="AP8" s="1059"/>
      <c r="AQ8" s="1059"/>
      <c r="AR8" s="1059"/>
      <c r="AT8" s="1058"/>
      <c r="AW8" s="1059"/>
      <c r="AX8" s="1059"/>
      <c r="AY8" s="1059"/>
      <c r="AZ8" s="1059"/>
      <c r="BB8" s="1058"/>
      <c r="BE8" s="1059"/>
      <c r="BF8" s="1059"/>
      <c r="BG8" s="1059"/>
      <c r="BH8" s="1059"/>
      <c r="BJ8" s="1058"/>
      <c r="BM8" s="1059"/>
      <c r="BN8" s="1059"/>
      <c r="BO8" s="1059"/>
      <c r="BP8" s="1059"/>
      <c r="BR8" s="1058"/>
      <c r="BU8" s="1059"/>
      <c r="BV8" s="1059"/>
      <c r="BW8" s="1059"/>
      <c r="BX8" s="1059"/>
      <c r="BZ8" s="1058"/>
      <c r="CC8" s="1059"/>
      <c r="CD8" s="1059"/>
      <c r="CE8" s="1059"/>
      <c r="CF8" s="1059"/>
      <c r="CH8" s="1058"/>
      <c r="CK8" s="1059"/>
      <c r="CL8" s="1059"/>
      <c r="CM8" s="1059"/>
      <c r="CN8" s="1059"/>
      <c r="CP8" s="1058"/>
      <c r="CS8" s="1059"/>
      <c r="CT8" s="1059"/>
      <c r="CU8" s="1059"/>
      <c r="CV8" s="1059"/>
      <c r="CX8" s="1058"/>
      <c r="DA8" s="1059"/>
      <c r="DB8" s="1059"/>
      <c r="DC8" s="1059"/>
      <c r="DD8" s="1059"/>
      <c r="DF8" s="1058"/>
      <c r="DI8" s="1059"/>
      <c r="DJ8" s="1059"/>
      <c r="DK8" s="1059"/>
      <c r="DL8" s="1059"/>
      <c r="DN8" s="1058"/>
      <c r="DQ8" s="1059"/>
      <c r="DR8" s="1059"/>
      <c r="DS8" s="1059"/>
      <c r="DT8" s="1059"/>
      <c r="DV8" s="1058"/>
      <c r="DY8" s="1059"/>
      <c r="DZ8" s="1059"/>
      <c r="EA8" s="1059"/>
      <c r="EB8" s="1059"/>
    </row>
    <row r="9" spans="1:189">
      <c r="A9" s="890"/>
      <c r="B9" s="889" t="s">
        <v>246</v>
      </c>
      <c r="C9" s="889" t="s">
        <v>246</v>
      </c>
      <c r="D9" s="889" t="s">
        <v>246</v>
      </c>
      <c r="E9" s="889" t="s">
        <v>255</v>
      </c>
      <c r="F9" s="893"/>
      <c r="G9" s="890"/>
      <c r="AL9" s="1058"/>
      <c r="AO9" s="1059"/>
      <c r="AP9" s="1059"/>
      <c r="AQ9" s="1059"/>
      <c r="AR9" s="1059"/>
      <c r="AT9" s="1058"/>
      <c r="AW9" s="1059"/>
      <c r="AX9" s="1059"/>
      <c r="AY9" s="1059"/>
      <c r="AZ9" s="1059"/>
      <c r="BB9" s="1058"/>
      <c r="BE9" s="1059"/>
      <c r="BF9" s="1059"/>
      <c r="BG9" s="1059"/>
      <c r="BH9" s="1059"/>
      <c r="BJ9" s="1058"/>
      <c r="BM9" s="1059"/>
      <c r="BN9" s="1059"/>
      <c r="BO9" s="1059"/>
      <c r="BP9" s="1059"/>
      <c r="BR9" s="1058"/>
      <c r="BU9" s="1059"/>
      <c r="BV9" s="1059"/>
      <c r="BW9" s="1059"/>
      <c r="BX9" s="1059"/>
      <c r="BZ9" s="1058"/>
      <c r="CC9" s="1059"/>
      <c r="CD9" s="1059"/>
      <c r="CE9" s="1059"/>
      <c r="CF9" s="1059"/>
      <c r="CH9" s="1058"/>
      <c r="CK9" s="1059"/>
      <c r="CL9" s="1059"/>
      <c r="CM9" s="1059"/>
      <c r="CN9" s="1059"/>
      <c r="CP9" s="1058"/>
      <c r="CS9" s="1059"/>
      <c r="CT9" s="1059"/>
      <c r="CU9" s="1059"/>
      <c r="CV9" s="1059"/>
      <c r="CX9" s="1058"/>
      <c r="DA9" s="1059"/>
      <c r="DB9" s="1059"/>
      <c r="DC9" s="1059"/>
      <c r="DD9" s="1059"/>
      <c r="DF9" s="1058"/>
      <c r="DI9" s="1059"/>
      <c r="DJ9" s="1059"/>
      <c r="DK9" s="1059"/>
      <c r="DL9" s="1059"/>
      <c r="DN9" s="1058"/>
      <c r="DQ9" s="1059"/>
      <c r="DR9" s="1059"/>
      <c r="DS9" s="1059"/>
      <c r="DT9" s="1059"/>
      <c r="DV9" s="1058"/>
      <c r="DY9" s="1059"/>
      <c r="DZ9" s="1059"/>
      <c r="EA9" s="1059"/>
      <c r="EB9" s="1059"/>
    </row>
    <row r="10" spans="1:189">
      <c r="A10" s="942"/>
      <c r="B10" s="909"/>
      <c r="C10" s="909"/>
      <c r="D10" s="909"/>
      <c r="E10" s="909"/>
      <c r="F10" s="909"/>
      <c r="G10" s="1032"/>
      <c r="CR10" s="1058"/>
      <c r="CZ10" s="1058"/>
      <c r="DH10" s="1058"/>
      <c r="DP10" s="1058"/>
      <c r="DX10" s="1058"/>
      <c r="EF10" s="1058"/>
      <c r="EN10" s="1058"/>
      <c r="EV10" s="1058"/>
      <c r="FD10" s="1058"/>
      <c r="FL10" s="1058"/>
      <c r="FT10" s="1058"/>
      <c r="GB10" s="1058"/>
    </row>
    <row r="11" spans="1:189">
      <c r="A11" s="894" t="s">
        <v>700</v>
      </c>
      <c r="B11" s="893">
        <f>D76</f>
        <v>0</v>
      </c>
      <c r="C11" s="893">
        <f>E76</f>
        <v>-804963126.8762157</v>
      </c>
      <c r="D11" s="893">
        <f>F76</f>
        <v>0</v>
      </c>
      <c r="E11" s="893">
        <f>SUM(B11:D11)</f>
        <v>-804963126.8762157</v>
      </c>
      <c r="F11" s="909"/>
      <c r="G11" s="1032"/>
      <c r="H11" s="1060"/>
      <c r="I11" s="1060"/>
      <c r="J11" s="1060"/>
      <c r="K11" s="1060"/>
      <c r="L11" s="1060"/>
      <c r="M11" s="1060"/>
      <c r="N11" s="1060"/>
      <c r="CR11" s="1058"/>
      <c r="CS11" s="1061"/>
      <c r="CU11" s="1062"/>
      <c r="CV11" s="1062"/>
      <c r="CW11" s="1062"/>
      <c r="CZ11" s="1058"/>
      <c r="DA11" s="1061"/>
      <c r="DC11" s="1062"/>
      <c r="DD11" s="1062"/>
      <c r="DE11" s="1062"/>
      <c r="DH11" s="1058"/>
      <c r="DI11" s="1061"/>
      <c r="DK11" s="1062"/>
      <c r="DL11" s="1062"/>
      <c r="DM11" s="1062"/>
      <c r="DP11" s="1058"/>
      <c r="DQ11" s="1061"/>
      <c r="DS11" s="1062"/>
      <c r="DT11" s="1062"/>
      <c r="DU11" s="1062"/>
      <c r="DX11" s="1058"/>
      <c r="DY11" s="1061"/>
      <c r="EA11" s="1062"/>
      <c r="EB11" s="1062"/>
      <c r="EC11" s="1062"/>
      <c r="EF11" s="1058"/>
      <c r="EG11" s="1061"/>
      <c r="EI11" s="1062"/>
      <c r="EJ11" s="1062"/>
      <c r="EK11" s="1062"/>
      <c r="EN11" s="1058"/>
      <c r="EO11" s="1061"/>
      <c r="EQ11" s="1062"/>
      <c r="ER11" s="1062"/>
      <c r="ES11" s="1062"/>
      <c r="EV11" s="1058"/>
      <c r="EW11" s="1061"/>
      <c r="EY11" s="1062"/>
      <c r="EZ11" s="1062"/>
      <c r="FA11" s="1062"/>
      <c r="FD11" s="1058"/>
      <c r="FE11" s="1061"/>
      <c r="FG11" s="1062"/>
      <c r="FH11" s="1062"/>
      <c r="FI11" s="1062"/>
      <c r="FL11" s="1058"/>
      <c r="FM11" s="1061"/>
      <c r="FO11" s="1062"/>
      <c r="FP11" s="1062"/>
      <c r="FQ11" s="1062"/>
      <c r="FT11" s="1058"/>
      <c r="FU11" s="1061"/>
      <c r="FW11" s="1062"/>
      <c r="FX11" s="1062"/>
      <c r="FY11" s="1062"/>
      <c r="GB11" s="1058"/>
      <c r="GC11" s="1061"/>
      <c r="GE11" s="1062"/>
      <c r="GF11" s="1062"/>
      <c r="GG11" s="1062"/>
    </row>
    <row r="12" spans="1:189">
      <c r="A12" s="894" t="s">
        <v>237</v>
      </c>
      <c r="B12" s="893">
        <f>D113</f>
        <v>-3835851.227995446</v>
      </c>
      <c r="C12" s="893">
        <f>E113</f>
        <v>-3542120.601784301</v>
      </c>
      <c r="D12" s="893">
        <f>F113</f>
        <v>-76293870.265575111</v>
      </c>
      <c r="E12" s="893">
        <f>SUM(B12:D12)</f>
        <v>-83671842.095354855</v>
      </c>
      <c r="F12" s="909"/>
      <c r="G12" s="1032"/>
      <c r="CR12" s="1058"/>
      <c r="CS12" s="1061"/>
      <c r="CU12" s="1062"/>
      <c r="CV12" s="1062"/>
      <c r="CW12" s="1062"/>
      <c r="CZ12" s="1058"/>
      <c r="DA12" s="1061"/>
      <c r="DC12" s="1062"/>
      <c r="DD12" s="1062"/>
      <c r="DE12" s="1062"/>
      <c r="DH12" s="1058"/>
      <c r="DI12" s="1061"/>
      <c r="DK12" s="1062"/>
      <c r="DL12" s="1062"/>
      <c r="DM12" s="1062"/>
      <c r="DP12" s="1058"/>
      <c r="DQ12" s="1061"/>
      <c r="DS12" s="1062"/>
      <c r="DT12" s="1062"/>
      <c r="DU12" s="1062"/>
      <c r="DX12" s="1058"/>
      <c r="DY12" s="1061"/>
      <c r="EA12" s="1062"/>
      <c r="EB12" s="1062"/>
      <c r="EC12" s="1062"/>
      <c r="EF12" s="1058"/>
      <c r="EG12" s="1061"/>
      <c r="EI12" s="1062"/>
      <c r="EJ12" s="1062"/>
      <c r="EK12" s="1062"/>
      <c r="EN12" s="1058"/>
      <c r="EO12" s="1061"/>
      <c r="EQ12" s="1062"/>
      <c r="ER12" s="1062"/>
      <c r="ES12" s="1062"/>
      <c r="EV12" s="1058"/>
      <c r="EW12" s="1061"/>
      <c r="EY12" s="1062"/>
      <c r="EZ12" s="1062"/>
      <c r="FA12" s="1062"/>
      <c r="FD12" s="1058"/>
      <c r="FE12" s="1061"/>
      <c r="FG12" s="1062"/>
      <c r="FH12" s="1062"/>
      <c r="FI12" s="1062"/>
      <c r="FL12" s="1058"/>
      <c r="FM12" s="1061"/>
      <c r="FO12" s="1062"/>
      <c r="FP12" s="1062"/>
      <c r="FQ12" s="1062"/>
      <c r="FT12" s="1058"/>
      <c r="FU12" s="1061"/>
      <c r="FW12" s="1062"/>
      <c r="FX12" s="1062"/>
      <c r="FY12" s="1062"/>
      <c r="GB12" s="1058"/>
      <c r="GC12" s="1061"/>
      <c r="GE12" s="1062"/>
      <c r="GF12" s="1062"/>
      <c r="GG12" s="1062"/>
    </row>
    <row r="13" spans="1:189">
      <c r="A13" s="894" t="s">
        <v>235</v>
      </c>
      <c r="B13" s="893">
        <f>D47</f>
        <v>4311999.7434194991</v>
      </c>
      <c r="C13" s="893">
        <f>E47</f>
        <v>106126788.98999578</v>
      </c>
      <c r="D13" s="893">
        <f>F47</f>
        <v>7307458.1705641076</v>
      </c>
      <c r="E13" s="893">
        <f>SUM(B13:D13)</f>
        <v>117746246.90397939</v>
      </c>
      <c r="F13" s="909"/>
      <c r="G13" s="1032"/>
      <c r="CR13" s="1058"/>
      <c r="CS13" s="1061"/>
      <c r="CU13" s="1062"/>
      <c r="CV13" s="1062"/>
      <c r="CW13" s="1062"/>
      <c r="CZ13" s="1058"/>
      <c r="DA13" s="1061"/>
      <c r="DC13" s="1062"/>
      <c r="DD13" s="1062"/>
      <c r="DE13" s="1062"/>
      <c r="DH13" s="1058"/>
      <c r="DI13" s="1061"/>
      <c r="DK13" s="1062"/>
      <c r="DL13" s="1062"/>
      <c r="DM13" s="1062"/>
      <c r="DP13" s="1058"/>
      <c r="DQ13" s="1061"/>
      <c r="DS13" s="1062"/>
      <c r="DT13" s="1062"/>
      <c r="DU13" s="1062"/>
      <c r="DX13" s="1058"/>
      <c r="DY13" s="1061"/>
      <c r="EA13" s="1062"/>
      <c r="EB13" s="1062"/>
      <c r="EC13" s="1062"/>
      <c r="EF13" s="1058"/>
      <c r="EG13" s="1061"/>
      <c r="EI13" s="1062"/>
      <c r="EJ13" s="1062"/>
      <c r="EK13" s="1062"/>
      <c r="EN13" s="1058"/>
      <c r="EO13" s="1061"/>
      <c r="EQ13" s="1062"/>
      <c r="ER13" s="1062"/>
      <c r="ES13" s="1062"/>
      <c r="EV13" s="1058"/>
      <c r="EW13" s="1061"/>
      <c r="EY13" s="1062"/>
      <c r="EZ13" s="1062"/>
      <c r="FA13" s="1062"/>
      <c r="FD13" s="1058"/>
      <c r="FE13" s="1061"/>
      <c r="FG13" s="1062"/>
      <c r="FH13" s="1062"/>
      <c r="FI13" s="1062"/>
      <c r="FL13" s="1058"/>
      <c r="FM13" s="1061"/>
      <c r="FO13" s="1062"/>
      <c r="FP13" s="1062"/>
      <c r="FQ13" s="1062"/>
      <c r="FT13" s="1058"/>
      <c r="FU13" s="1061"/>
      <c r="FW13" s="1062"/>
      <c r="FX13" s="1062"/>
      <c r="FY13" s="1062"/>
      <c r="GB13" s="1058"/>
      <c r="GC13" s="1061"/>
      <c r="GE13" s="1062"/>
      <c r="GF13" s="1062"/>
      <c r="GG13" s="1062"/>
    </row>
    <row r="14" spans="1:189">
      <c r="A14" s="894" t="s">
        <v>443</v>
      </c>
      <c r="B14" s="893">
        <f>SUM(B11:B13)</f>
        <v>476148.51542405318</v>
      </c>
      <c r="C14" s="893">
        <f>SUM(C11:C13)</f>
        <v>-702378458.48800421</v>
      </c>
      <c r="D14" s="893">
        <f>SUM(D11:D13)</f>
        <v>-68986412.095010996</v>
      </c>
      <c r="E14" s="893">
        <f>SUM(E11:E13)</f>
        <v>-770888722.06759107</v>
      </c>
      <c r="F14" s="909"/>
      <c r="G14" s="1033"/>
      <c r="CR14" s="1058"/>
      <c r="CS14" s="1061"/>
      <c r="CU14" s="1062"/>
      <c r="CV14" s="1062"/>
      <c r="CW14" s="1062"/>
      <c r="CZ14" s="1058"/>
      <c r="DA14" s="1061"/>
      <c r="DC14" s="1062"/>
      <c r="DD14" s="1062"/>
      <c r="DE14" s="1062"/>
      <c r="DH14" s="1058"/>
      <c r="DI14" s="1061"/>
      <c r="DK14" s="1062"/>
      <c r="DL14" s="1062"/>
      <c r="DM14" s="1062"/>
      <c r="DP14" s="1058"/>
      <c r="DQ14" s="1061"/>
      <c r="DS14" s="1062"/>
      <c r="DT14" s="1062"/>
      <c r="DU14" s="1062"/>
      <c r="DX14" s="1058"/>
      <c r="DY14" s="1061"/>
      <c r="EA14" s="1062"/>
      <c r="EB14" s="1062"/>
      <c r="EC14" s="1062"/>
      <c r="EF14" s="1058"/>
      <c r="EG14" s="1061"/>
      <c r="EI14" s="1062"/>
      <c r="EJ14" s="1062"/>
      <c r="EK14" s="1062"/>
      <c r="EN14" s="1058"/>
      <c r="EO14" s="1061"/>
      <c r="EQ14" s="1062"/>
      <c r="ER14" s="1062"/>
      <c r="ES14" s="1062"/>
      <c r="EV14" s="1058"/>
      <c r="EW14" s="1061"/>
      <c r="EY14" s="1062"/>
      <c r="EZ14" s="1062"/>
      <c r="FA14" s="1062"/>
      <c r="FD14" s="1058"/>
      <c r="FE14" s="1061"/>
      <c r="FG14" s="1062"/>
      <c r="FH14" s="1062"/>
      <c r="FI14" s="1062"/>
      <c r="FL14" s="1058"/>
      <c r="FM14" s="1061"/>
      <c r="FO14" s="1062"/>
      <c r="FP14" s="1062"/>
      <c r="FQ14" s="1062"/>
      <c r="FT14" s="1058"/>
      <c r="FU14" s="1061"/>
      <c r="FW14" s="1062"/>
      <c r="FX14" s="1062"/>
      <c r="FY14" s="1062"/>
      <c r="GB14" s="1058"/>
      <c r="GC14" s="1061"/>
      <c r="GE14" s="1062"/>
      <c r="GF14" s="1062"/>
      <c r="GG14" s="1062"/>
    </row>
    <row r="15" spans="1:189">
      <c r="A15" s="894" t="s">
        <v>146</v>
      </c>
      <c r="B15" s="893"/>
      <c r="C15" s="893"/>
      <c r="D15" s="1034">
        <f>'ATT H-3D'!H16</f>
        <v>8.0514508226294385E-2</v>
      </c>
      <c r="E15" s="893"/>
      <c r="F15" s="909"/>
      <c r="G15" s="1032"/>
      <c r="CR15" s="1058"/>
      <c r="CS15" s="1061"/>
      <c r="CW15" s="1063"/>
      <c r="CZ15" s="1058"/>
      <c r="DA15" s="1061"/>
      <c r="DE15" s="1063"/>
      <c r="DH15" s="1058"/>
      <c r="DI15" s="1061"/>
      <c r="DM15" s="1063"/>
      <c r="DP15" s="1058"/>
      <c r="DQ15" s="1061"/>
      <c r="DU15" s="1063"/>
      <c r="DX15" s="1058"/>
      <c r="DY15" s="1061"/>
      <c r="EC15" s="1063"/>
      <c r="EF15" s="1058"/>
      <c r="EG15" s="1061"/>
      <c r="EK15" s="1063"/>
      <c r="EN15" s="1058"/>
      <c r="EO15" s="1061"/>
      <c r="ES15" s="1063"/>
      <c r="EV15" s="1058"/>
      <c r="EW15" s="1061"/>
      <c r="FA15" s="1063"/>
      <c r="FD15" s="1058"/>
      <c r="FE15" s="1061"/>
      <c r="FI15" s="1063"/>
      <c r="FL15" s="1058"/>
      <c r="FM15" s="1061"/>
      <c r="FQ15" s="1063"/>
      <c r="FT15" s="1058"/>
      <c r="FU15" s="1061"/>
      <c r="FY15" s="1063"/>
      <c r="GB15" s="1058"/>
      <c r="GC15" s="1061"/>
      <c r="GG15" s="1063"/>
    </row>
    <row r="16" spans="1:189">
      <c r="A16" s="894" t="s">
        <v>48</v>
      </c>
      <c r="B16" s="893"/>
      <c r="C16" s="1035">
        <f>'ATT H-3D'!H32</f>
        <v>0.34936689572563268</v>
      </c>
      <c r="D16" s="893"/>
      <c r="E16" s="896"/>
      <c r="F16" s="953"/>
      <c r="G16" s="1033"/>
      <c r="CR16" s="1058"/>
      <c r="CS16" s="1061"/>
      <c r="CV16" s="1063"/>
      <c r="CZ16" s="1058"/>
      <c r="DA16" s="1061"/>
      <c r="DD16" s="1063"/>
      <c r="DH16" s="1058"/>
      <c r="DI16" s="1061"/>
      <c r="DL16" s="1063"/>
      <c r="DP16" s="1058"/>
      <c r="DQ16" s="1061"/>
      <c r="DT16" s="1063"/>
      <c r="DX16" s="1058"/>
      <c r="DY16" s="1061"/>
      <c r="EB16" s="1063"/>
      <c r="EF16" s="1058"/>
      <c r="EG16" s="1061"/>
      <c r="EJ16" s="1063"/>
      <c r="EN16" s="1058"/>
      <c r="EO16" s="1061"/>
      <c r="ER16" s="1063"/>
      <c r="EV16" s="1058"/>
      <c r="EW16" s="1061"/>
      <c r="EZ16" s="1063"/>
      <c r="FD16" s="1058"/>
      <c r="FE16" s="1061"/>
      <c r="FH16" s="1063"/>
      <c r="FL16" s="1058"/>
      <c r="FM16" s="1061"/>
      <c r="FP16" s="1063"/>
      <c r="FT16" s="1058"/>
      <c r="FU16" s="1061"/>
      <c r="FX16" s="1063"/>
      <c r="GB16" s="1058"/>
      <c r="GC16" s="1061"/>
      <c r="GF16" s="1063"/>
    </row>
    <row r="17" spans="1:190">
      <c r="A17" s="894" t="s">
        <v>255</v>
      </c>
      <c r="B17" s="893">
        <f>B14</f>
        <v>476148.51542405318</v>
      </c>
      <c r="C17" s="893">
        <f>C14*C16</f>
        <v>-245387781.66650918</v>
      </c>
      <c r="D17" s="893">
        <f>D14*D15</f>
        <v>-5554407.0441262973</v>
      </c>
      <c r="E17" s="893">
        <f>SUM(B17:D17)</f>
        <v>-250466040.19521144</v>
      </c>
      <c r="F17" s="909"/>
      <c r="G17" s="1032"/>
      <c r="CR17" s="1058"/>
      <c r="CS17" s="1061"/>
      <c r="CU17" s="1062"/>
      <c r="CV17" s="1062"/>
      <c r="CW17" s="1062"/>
      <c r="CX17" s="1062"/>
      <c r="CZ17" s="1058"/>
      <c r="DA17" s="1061"/>
      <c r="DC17" s="1062"/>
      <c r="DD17" s="1062"/>
      <c r="DE17" s="1062"/>
      <c r="DF17" s="1062"/>
      <c r="DH17" s="1058"/>
      <c r="DI17" s="1061"/>
      <c r="DK17" s="1062"/>
      <c r="DL17" s="1062"/>
      <c r="DM17" s="1062"/>
      <c r="DN17" s="1062"/>
      <c r="DP17" s="1058"/>
      <c r="DQ17" s="1061"/>
      <c r="DS17" s="1062"/>
      <c r="DT17" s="1062"/>
      <c r="DU17" s="1062"/>
      <c r="DV17" s="1062"/>
      <c r="DX17" s="1058"/>
      <c r="DY17" s="1061"/>
      <c r="EA17" s="1062"/>
      <c r="EB17" s="1062"/>
      <c r="EC17" s="1062"/>
      <c r="ED17" s="1062"/>
      <c r="EF17" s="1058"/>
      <c r="EG17" s="1061"/>
      <c r="EI17" s="1062"/>
      <c r="EJ17" s="1062"/>
      <c r="EK17" s="1062"/>
      <c r="EL17" s="1062"/>
      <c r="EN17" s="1058"/>
      <c r="EO17" s="1061"/>
      <c r="EQ17" s="1062"/>
      <c r="ER17" s="1062"/>
      <c r="ES17" s="1062"/>
      <c r="ET17" s="1062"/>
      <c r="EV17" s="1058"/>
      <c r="EW17" s="1061"/>
      <c r="EY17" s="1062"/>
      <c r="EZ17" s="1062"/>
      <c r="FA17" s="1062"/>
      <c r="FB17" s="1062"/>
      <c r="FD17" s="1058"/>
      <c r="FE17" s="1061"/>
      <c r="FG17" s="1062"/>
      <c r="FH17" s="1062"/>
      <c r="FI17" s="1062"/>
      <c r="FJ17" s="1062"/>
      <c r="FL17" s="1058"/>
      <c r="FM17" s="1061"/>
      <c r="FO17" s="1062"/>
      <c r="FP17" s="1062"/>
      <c r="FQ17" s="1062"/>
      <c r="FR17" s="1062"/>
      <c r="FT17" s="1058"/>
      <c r="FU17" s="1061"/>
      <c r="FW17" s="1062"/>
      <c r="FX17" s="1062"/>
      <c r="FY17" s="1062"/>
      <c r="FZ17" s="1062"/>
      <c r="GB17" s="1058"/>
      <c r="GC17" s="1061"/>
      <c r="GE17" s="1062"/>
      <c r="GF17" s="1062"/>
      <c r="GG17" s="1062"/>
      <c r="GH17" s="1062"/>
    </row>
    <row r="18" spans="1:190">
      <c r="A18" s="892" t="s">
        <v>181</v>
      </c>
      <c r="B18" s="893"/>
      <c r="C18" s="893"/>
      <c r="D18" s="893"/>
      <c r="E18" s="893"/>
      <c r="F18" s="914"/>
      <c r="G18" s="1033"/>
      <c r="CR18" s="1058"/>
      <c r="CZ18" s="1058"/>
      <c r="DH18" s="1058"/>
      <c r="DP18" s="1058"/>
      <c r="DX18" s="1058"/>
      <c r="EF18" s="1058"/>
      <c r="EN18" s="1058"/>
      <c r="EV18" s="1058"/>
      <c r="FD18" s="1058"/>
      <c r="FL18" s="1058"/>
      <c r="FT18" s="1058"/>
      <c r="GB18" s="1058"/>
    </row>
    <row r="19" spans="1:190">
      <c r="A19" s="1036"/>
      <c r="B19" s="1033"/>
      <c r="C19" s="1033"/>
      <c r="D19" s="1033"/>
      <c r="E19" s="1033"/>
      <c r="F19" s="1037"/>
      <c r="G19" s="1033"/>
      <c r="CR19" s="1058"/>
      <c r="CZ19" s="1058"/>
      <c r="DH19" s="1058"/>
      <c r="DP19" s="1058"/>
      <c r="DX19" s="1058"/>
      <c r="EF19" s="1058"/>
      <c r="EN19" s="1058"/>
      <c r="EV19" s="1058"/>
      <c r="FD19" s="1058"/>
      <c r="FL19" s="1058"/>
      <c r="FT19" s="1058"/>
      <c r="GB19" s="1058"/>
    </row>
    <row r="20" spans="1:190">
      <c r="A20" s="890" t="s">
        <v>445</v>
      </c>
      <c r="B20" s="893"/>
      <c r="C20" s="893"/>
      <c r="D20" s="893"/>
      <c r="E20" s="893"/>
      <c r="F20" s="1033"/>
      <c r="G20" s="1032"/>
      <c r="AL20" s="1058"/>
      <c r="AT20" s="1058"/>
      <c r="BB20" s="1058"/>
      <c r="BJ20" s="1058"/>
      <c r="BR20" s="1058"/>
      <c r="BZ20" s="1058"/>
      <c r="CH20" s="1058"/>
      <c r="CP20" s="1058"/>
      <c r="CX20" s="1058"/>
      <c r="DF20" s="1058"/>
      <c r="DN20" s="1058"/>
      <c r="DV20" s="1058"/>
    </row>
    <row r="21" spans="1:190">
      <c r="A21" s="890"/>
      <c r="B21" s="893"/>
      <c r="C21" s="893" t="s">
        <v>608</v>
      </c>
      <c r="D21" s="898">
        <f>B101</f>
        <v>-4090231.9629676146</v>
      </c>
      <c r="E21" s="893"/>
      <c r="F21" s="1033"/>
      <c r="G21" s="1032"/>
      <c r="CR21" s="1058"/>
      <c r="CV21" s="1062"/>
      <c r="CZ21" s="1058"/>
      <c r="DD21" s="1062"/>
      <c r="DH21" s="1058"/>
      <c r="DL21" s="1062"/>
      <c r="DP21" s="1058"/>
      <c r="DT21" s="1062"/>
      <c r="DX21" s="1058"/>
      <c r="EB21" s="1062"/>
      <c r="EF21" s="1058"/>
      <c r="EJ21" s="1062"/>
      <c r="EN21" s="1058"/>
      <c r="ER21" s="1062"/>
      <c r="EV21" s="1058"/>
      <c r="EZ21" s="1062"/>
      <c r="FD21" s="1058"/>
      <c r="FH21" s="1062"/>
      <c r="FL21" s="1058"/>
      <c r="FP21" s="1062"/>
      <c r="FT21" s="1058"/>
      <c r="FX21" s="1062"/>
      <c r="GB21" s="1058"/>
      <c r="GF21" s="1062"/>
    </row>
    <row r="22" spans="1:190">
      <c r="A22" s="890"/>
      <c r="B22" s="893"/>
      <c r="C22" s="893"/>
      <c r="D22" s="893"/>
      <c r="E22" s="893"/>
      <c r="F22" s="909"/>
      <c r="G22" s="1032"/>
      <c r="CR22" s="1058"/>
      <c r="CV22" s="1062"/>
      <c r="CZ22" s="1058"/>
      <c r="DD22" s="1062"/>
      <c r="DH22" s="1058"/>
      <c r="DL22" s="1062"/>
      <c r="DP22" s="1058"/>
      <c r="DT22" s="1062"/>
      <c r="DX22" s="1058"/>
      <c r="EB22" s="1062"/>
      <c r="EF22" s="1058"/>
      <c r="EJ22" s="1062"/>
      <c r="EN22" s="1058"/>
      <c r="ER22" s="1062"/>
      <c r="EV22" s="1058"/>
      <c r="EZ22" s="1062"/>
      <c r="FD22" s="1058"/>
      <c r="FH22" s="1062"/>
      <c r="FL22" s="1058"/>
      <c r="FP22" s="1062"/>
      <c r="FT22" s="1058"/>
      <c r="FX22" s="1062"/>
      <c r="GB22" s="1058"/>
      <c r="GF22" s="1062"/>
    </row>
    <row r="23" spans="1:190">
      <c r="A23" s="913" t="s">
        <v>444</v>
      </c>
      <c r="B23" s="915"/>
      <c r="C23" s="909"/>
      <c r="D23" s="909"/>
      <c r="E23" s="909"/>
      <c r="F23" s="909"/>
      <c r="G23" s="1032"/>
    </row>
    <row r="24" spans="1:190">
      <c r="A24" s="913" t="s">
        <v>575</v>
      </c>
      <c r="B24" s="915"/>
      <c r="C24" s="909"/>
      <c r="D24" s="909"/>
      <c r="E24" s="909"/>
      <c r="F24" s="909"/>
      <c r="G24" s="1032"/>
    </row>
    <row r="25" spans="1:190" ht="15" customHeight="1">
      <c r="A25" s="1058"/>
      <c r="B25" s="1064"/>
    </row>
    <row r="26" spans="1:190">
      <c r="A26" s="897" t="s">
        <v>68</v>
      </c>
      <c r="B26" s="891" t="s">
        <v>182</v>
      </c>
      <c r="C26" s="891" t="s">
        <v>46</v>
      </c>
      <c r="D26" s="891" t="s">
        <v>69</v>
      </c>
      <c r="E26" s="891" t="s">
        <v>67</v>
      </c>
      <c r="F26" s="891" t="s">
        <v>340</v>
      </c>
      <c r="G26" s="1065" t="s">
        <v>70</v>
      </c>
    </row>
    <row r="27" spans="1:190">
      <c r="A27" s="894" t="s">
        <v>235</v>
      </c>
      <c r="B27" s="889" t="s">
        <v>181</v>
      </c>
      <c r="C27" s="889" t="s">
        <v>248</v>
      </c>
      <c r="D27" s="889" t="s">
        <v>249</v>
      </c>
      <c r="E27" s="889"/>
      <c r="F27" s="889"/>
      <c r="G27" s="890"/>
    </row>
    <row r="28" spans="1:190">
      <c r="A28" s="890"/>
      <c r="B28" s="889"/>
      <c r="C28" s="889" t="s">
        <v>612</v>
      </c>
      <c r="D28" s="889" t="s">
        <v>234</v>
      </c>
      <c r="E28" s="889" t="s">
        <v>245</v>
      </c>
      <c r="F28" s="889" t="s">
        <v>247</v>
      </c>
      <c r="G28" s="890"/>
    </row>
    <row r="29" spans="1:190">
      <c r="A29" s="890"/>
      <c r="B29" s="889"/>
      <c r="C29" s="889" t="s">
        <v>692</v>
      </c>
      <c r="D29" s="889" t="s">
        <v>246</v>
      </c>
      <c r="E29" s="889" t="s">
        <v>246</v>
      </c>
      <c r="F29" s="889" t="s">
        <v>246</v>
      </c>
      <c r="G29" s="888" t="s">
        <v>617</v>
      </c>
    </row>
    <row r="30" spans="1:190" ht="45">
      <c r="A30" s="899" t="s">
        <v>500</v>
      </c>
      <c r="B30" s="900">
        <f>SUM(C30:F30)</f>
        <v>8228112.4145775046</v>
      </c>
      <c r="C30" s="900">
        <v>8228112.4145775046</v>
      </c>
      <c r="D30" s="900">
        <v>0</v>
      </c>
      <c r="E30" s="900">
        <v>0</v>
      </c>
      <c r="F30" s="900">
        <v>0</v>
      </c>
      <c r="G30" s="901" t="s">
        <v>693</v>
      </c>
    </row>
    <row r="31" spans="1:190" ht="30">
      <c r="A31" s="899" t="s">
        <v>629</v>
      </c>
      <c r="B31" s="900">
        <f t="shared" ref="B31:B43" si="0">SUM(C31:F31)</f>
        <v>1354594.8549669436</v>
      </c>
      <c r="C31" s="900">
        <v>1354594.8549669436</v>
      </c>
      <c r="D31" s="900">
        <v>0</v>
      </c>
      <c r="E31" s="900">
        <v>0</v>
      </c>
      <c r="F31" s="900">
        <v>0</v>
      </c>
      <c r="G31" s="901" t="s">
        <v>694</v>
      </c>
    </row>
    <row r="32" spans="1:190" ht="30">
      <c r="A32" s="899" t="s">
        <v>613</v>
      </c>
      <c r="B32" s="900">
        <f t="shared" si="0"/>
        <v>1098177.874702788</v>
      </c>
      <c r="C32" s="900">
        <v>153744.90245839034</v>
      </c>
      <c r="D32" s="900">
        <v>0</v>
      </c>
      <c r="E32" s="900">
        <v>944432.97224439762</v>
      </c>
      <c r="F32" s="900">
        <v>0</v>
      </c>
      <c r="G32" s="901" t="s">
        <v>778</v>
      </c>
    </row>
    <row r="33" spans="1:192" ht="60">
      <c r="A33" s="899" t="s">
        <v>504</v>
      </c>
      <c r="B33" s="900">
        <f t="shared" si="0"/>
        <v>1698120.23</v>
      </c>
      <c r="C33" s="900">
        <v>237736.83220000003</v>
      </c>
      <c r="D33" s="900">
        <v>0</v>
      </c>
      <c r="E33" s="900">
        <v>1460383.3977999999</v>
      </c>
      <c r="F33" s="900">
        <v>0</v>
      </c>
      <c r="G33" s="901" t="s">
        <v>779</v>
      </c>
    </row>
    <row r="34" spans="1:192" ht="30">
      <c r="A34" s="899" t="s">
        <v>501</v>
      </c>
      <c r="B34" s="900">
        <f t="shared" si="0"/>
        <v>1354432.1587852554</v>
      </c>
      <c r="C34" s="900">
        <v>1354432.1587852554</v>
      </c>
      <c r="D34" s="900">
        <v>0</v>
      </c>
      <c r="E34" s="900">
        <v>0</v>
      </c>
      <c r="F34" s="900">
        <v>0</v>
      </c>
      <c r="G34" s="901" t="s">
        <v>695</v>
      </c>
    </row>
    <row r="35" spans="1:192" ht="165">
      <c r="A35" s="899" t="s">
        <v>746</v>
      </c>
      <c r="B35" s="900">
        <f t="shared" si="0"/>
        <v>6099285.1847783178</v>
      </c>
      <c r="C35" s="900">
        <v>6099285.1847783178</v>
      </c>
      <c r="D35" s="900">
        <v>0</v>
      </c>
      <c r="E35" s="900">
        <v>0</v>
      </c>
      <c r="F35" s="900">
        <v>0</v>
      </c>
      <c r="G35" s="901" t="s">
        <v>747</v>
      </c>
    </row>
    <row r="36" spans="1:192" ht="45">
      <c r="A36" s="899" t="s">
        <v>530</v>
      </c>
      <c r="B36" s="900">
        <f t="shared" si="0"/>
        <v>7544898.8459268454</v>
      </c>
      <c r="C36" s="900">
        <v>1056285.8384297586</v>
      </c>
      <c r="D36" s="900">
        <v>0</v>
      </c>
      <c r="E36" s="900">
        <v>0</v>
      </c>
      <c r="F36" s="900">
        <v>6488613.0074970871</v>
      </c>
      <c r="G36" s="901" t="s">
        <v>780</v>
      </c>
    </row>
    <row r="37" spans="1:192" s="1066" customFormat="1" ht="21" customHeight="1">
      <c r="A37" s="899" t="s">
        <v>748</v>
      </c>
      <c r="B37" s="900">
        <f t="shared" si="0"/>
        <v>1228031.6115368162</v>
      </c>
      <c r="C37" s="900">
        <v>499422.93063074874</v>
      </c>
      <c r="D37" s="900">
        <v>0</v>
      </c>
      <c r="E37" s="900">
        <v>6296.1562308556358</v>
      </c>
      <c r="F37" s="900">
        <v>722312.52467521199</v>
      </c>
      <c r="G37" s="901" t="s">
        <v>781</v>
      </c>
    </row>
    <row r="38" spans="1:192" ht="19.5" customHeight="1">
      <c r="A38" s="899" t="s">
        <v>749</v>
      </c>
      <c r="B38" s="900">
        <f t="shared" si="0"/>
        <v>7657146.0998708103</v>
      </c>
      <c r="C38" s="900">
        <v>1072000.4539819136</v>
      </c>
      <c r="D38" s="900">
        <v>0</v>
      </c>
      <c r="E38" s="900">
        <v>0</v>
      </c>
      <c r="F38" s="900">
        <v>6585145.6458888967</v>
      </c>
      <c r="G38" s="901" t="s">
        <v>782</v>
      </c>
    </row>
    <row r="39" spans="1:192" ht="30">
      <c r="A39" s="899" t="s">
        <v>750</v>
      </c>
      <c r="B39" s="900">
        <f t="shared" si="0"/>
        <v>4311999.7434194991</v>
      </c>
      <c r="C39" s="900">
        <v>0</v>
      </c>
      <c r="D39" s="900">
        <v>4311999.7434194991</v>
      </c>
      <c r="E39" s="900">
        <v>0</v>
      </c>
      <c r="F39" s="900">
        <v>0</v>
      </c>
      <c r="G39" s="901" t="s">
        <v>719</v>
      </c>
    </row>
    <row r="40" spans="1:192">
      <c r="A40" s="899" t="s">
        <v>751</v>
      </c>
      <c r="B40" s="900">
        <f t="shared" si="0"/>
        <v>5382024.8551392425</v>
      </c>
      <c r="C40" s="900">
        <v>5382024.8551392425</v>
      </c>
      <c r="D40" s="900">
        <v>0</v>
      </c>
      <c r="E40" s="900">
        <v>0</v>
      </c>
      <c r="F40" s="900">
        <v>0</v>
      </c>
      <c r="G40" s="901" t="s">
        <v>33</v>
      </c>
    </row>
    <row r="41" spans="1:192">
      <c r="A41" s="899" t="s">
        <v>752</v>
      </c>
      <c r="B41" s="900">
        <f t="shared" si="0"/>
        <v>4958288.6778839026</v>
      </c>
      <c r="C41" s="900">
        <v>4958288.6778839026</v>
      </c>
      <c r="D41" s="900">
        <v>0</v>
      </c>
      <c r="E41" s="900">
        <v>0</v>
      </c>
      <c r="F41" s="900">
        <v>0</v>
      </c>
      <c r="G41" s="901" t="s">
        <v>853</v>
      </c>
    </row>
    <row r="42" spans="1:192" ht="60">
      <c r="A42" s="899" t="s">
        <v>753</v>
      </c>
      <c r="B42" s="900">
        <f t="shared" si="0"/>
        <v>821761.28864836134</v>
      </c>
      <c r="C42" s="900">
        <v>115046.58041077059</v>
      </c>
      <c r="D42" s="900">
        <v>0</v>
      </c>
      <c r="E42" s="900">
        <v>706714.70823759073</v>
      </c>
      <c r="F42" s="900">
        <v>0</v>
      </c>
      <c r="G42" s="901" t="s">
        <v>783</v>
      </c>
    </row>
    <row r="43" spans="1:192" ht="45">
      <c r="A43" s="899" t="s">
        <v>697</v>
      </c>
      <c r="B43" s="900">
        <f t="shared" si="0"/>
        <v>122297744.02502385</v>
      </c>
      <c r="C43" s="900">
        <v>17121684.163503341</v>
      </c>
      <c r="D43" s="900">
        <v>0</v>
      </c>
      <c r="E43" s="900">
        <v>105176059.86152051</v>
      </c>
      <c r="F43" s="900">
        <v>0</v>
      </c>
      <c r="G43" s="901" t="s">
        <v>784</v>
      </c>
    </row>
    <row r="44" spans="1:192" ht="21" customHeight="1">
      <c r="A44" s="919" t="s">
        <v>254</v>
      </c>
      <c r="B44" s="917">
        <f>SUM(C44:F44)</f>
        <v>174034617.86526012</v>
      </c>
      <c r="C44" s="917">
        <f>SUM(C30:C43)</f>
        <v>47632659.847746089</v>
      </c>
      <c r="D44" s="917">
        <f>SUM(D30:D43)</f>
        <v>4311999.7434194991</v>
      </c>
      <c r="E44" s="917">
        <f>SUM(E30:E43)</f>
        <v>108293887.09603336</v>
      </c>
      <c r="F44" s="917">
        <f>SUM(F30:F43)</f>
        <v>13796071.178061195</v>
      </c>
      <c r="G44" s="920"/>
    </row>
    <row r="45" spans="1:192" ht="21" customHeight="1">
      <c r="A45" s="919" t="s">
        <v>515</v>
      </c>
      <c r="B45" s="917">
        <f>SUM(C45:F45)</f>
        <v>2519881.5186483613</v>
      </c>
      <c r="C45" s="900">
        <f>C33+C42</f>
        <v>352783.41261077061</v>
      </c>
      <c r="D45" s="900">
        <f>D33+D42</f>
        <v>0</v>
      </c>
      <c r="E45" s="900">
        <f>E33+E42</f>
        <v>2167098.1060375907</v>
      </c>
      <c r="F45" s="900">
        <f>F33+F42</f>
        <v>0</v>
      </c>
      <c r="G45" s="901"/>
    </row>
    <row r="46" spans="1:192" ht="21" customHeight="1">
      <c r="A46" s="919" t="s">
        <v>516</v>
      </c>
      <c r="B46" s="917">
        <f>SUM(C46:F46)</f>
        <v>7544898.8459268454</v>
      </c>
      <c r="C46" s="900">
        <f>C36</f>
        <v>1056285.8384297586</v>
      </c>
      <c r="D46" s="900">
        <f>D36</f>
        <v>0</v>
      </c>
      <c r="E46" s="900">
        <f>E36</f>
        <v>0</v>
      </c>
      <c r="F46" s="900">
        <f>F36</f>
        <v>6488613.0074970871</v>
      </c>
      <c r="G46" s="901"/>
    </row>
    <row r="47" spans="1:192" ht="21" customHeight="1">
      <c r="A47" s="919" t="s">
        <v>181</v>
      </c>
      <c r="B47" s="917">
        <f>SUM(C47:F47)</f>
        <v>163969837.50068495</v>
      </c>
      <c r="C47" s="917">
        <f>C44-C45-C46</f>
        <v>46223590.596705563</v>
      </c>
      <c r="D47" s="917">
        <f>D44-D45-D46</f>
        <v>4311999.7434194991</v>
      </c>
      <c r="E47" s="917">
        <f>E44-E45-E46</f>
        <v>106126788.98999578</v>
      </c>
      <c r="F47" s="917">
        <f>F44-F45-F46</f>
        <v>7307458.1705641076</v>
      </c>
      <c r="G47" s="918"/>
    </row>
    <row r="48" spans="1:192" s="1067" customFormat="1" ht="21" customHeight="1">
      <c r="A48" s="923"/>
      <c r="B48" s="917"/>
      <c r="C48" s="917"/>
      <c r="D48" s="917"/>
      <c r="E48" s="917"/>
      <c r="F48" s="917"/>
      <c r="G48" s="924"/>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s="1055"/>
      <c r="AY48" s="1055"/>
      <c r="AZ48" s="1055"/>
      <c r="BA48" s="1055"/>
      <c r="BB48" s="1055"/>
      <c r="BC48" s="1055"/>
      <c r="BD48" s="1055"/>
      <c r="BE48" s="1055"/>
      <c r="BF48" s="1055"/>
      <c r="BG48" s="1055"/>
      <c r="BH48" s="1055"/>
      <c r="BI48" s="1055"/>
      <c r="BJ48" s="1055"/>
      <c r="BK48" s="1055"/>
      <c r="BL48" s="1055"/>
      <c r="BM48" s="1055"/>
      <c r="BN48" s="1055"/>
      <c r="BO48" s="1055"/>
      <c r="BP48" s="1055"/>
      <c r="BQ48" s="1055"/>
      <c r="BR48" s="1055"/>
      <c r="BS48" s="1055"/>
      <c r="BT48" s="1055"/>
      <c r="BU48" s="1055"/>
      <c r="BV48" s="1055"/>
      <c r="BW48" s="1055"/>
      <c r="BX48" s="1055"/>
      <c r="BY48" s="1055"/>
      <c r="BZ48" s="1055"/>
      <c r="CA48" s="1055"/>
      <c r="CB48" s="1055"/>
      <c r="CC48" s="1055"/>
      <c r="CD48" s="1055"/>
      <c r="CE48" s="1055"/>
      <c r="CF48" s="1055"/>
      <c r="CG48" s="1055"/>
      <c r="CH48" s="1055"/>
      <c r="CI48" s="1055"/>
      <c r="CJ48" s="1055"/>
      <c r="CK48" s="1055"/>
      <c r="CL48" s="1055"/>
      <c r="CM48" s="1055"/>
      <c r="CN48" s="1055"/>
      <c r="CO48" s="1055"/>
      <c r="CP48" s="1055"/>
      <c r="CQ48" s="1055"/>
      <c r="CR48" s="1055"/>
      <c r="CS48" s="1055"/>
      <c r="CT48" s="1055"/>
      <c r="CU48" s="1055"/>
      <c r="CV48" s="1055"/>
      <c r="CW48" s="1055"/>
      <c r="CX48" s="1055"/>
      <c r="CY48" s="1055"/>
      <c r="CZ48" s="1055"/>
      <c r="DA48" s="1055"/>
      <c r="DB48" s="1055"/>
      <c r="DC48" s="1055"/>
      <c r="DD48" s="1055"/>
      <c r="DE48" s="1055"/>
      <c r="DF48" s="1055"/>
      <c r="DG48" s="1055"/>
      <c r="DH48" s="1055"/>
      <c r="DI48" s="1055"/>
      <c r="DJ48" s="1055"/>
      <c r="DK48" s="1055"/>
      <c r="DL48" s="1055"/>
      <c r="DM48" s="1055"/>
      <c r="DN48" s="1055"/>
      <c r="DO48" s="1055"/>
      <c r="DP48" s="1055"/>
      <c r="DQ48" s="1055"/>
      <c r="DR48" s="1055"/>
      <c r="DS48" s="1055"/>
      <c r="DT48" s="1055"/>
      <c r="DU48" s="1055"/>
      <c r="DV48" s="1055"/>
      <c r="DW48" s="1055"/>
      <c r="DX48" s="1055"/>
      <c r="DY48" s="1055"/>
      <c r="DZ48" s="1055"/>
      <c r="EA48" s="1055"/>
      <c r="EB48" s="1055"/>
      <c r="EC48" s="1055"/>
      <c r="ED48" s="1055"/>
      <c r="EE48" s="1055"/>
      <c r="EF48" s="1055"/>
      <c r="EG48" s="1055"/>
      <c r="EH48" s="1055"/>
      <c r="EI48" s="1055"/>
      <c r="EJ48" s="1055"/>
      <c r="EK48" s="1055"/>
      <c r="EL48" s="1055"/>
      <c r="EM48" s="1055"/>
      <c r="EN48" s="1055"/>
      <c r="EO48" s="1055"/>
      <c r="EP48" s="1055"/>
      <c r="EQ48" s="1055"/>
      <c r="ER48" s="1055"/>
      <c r="ES48" s="1055"/>
      <c r="ET48" s="1055"/>
      <c r="EU48" s="1055"/>
      <c r="EV48" s="1055"/>
      <c r="EW48" s="1055"/>
      <c r="EX48" s="1055"/>
      <c r="EY48" s="1055"/>
      <c r="EZ48" s="1055"/>
      <c r="FA48" s="1055"/>
      <c r="FB48" s="1055"/>
      <c r="FC48" s="1055"/>
      <c r="FD48" s="1055"/>
      <c r="FE48" s="1055"/>
      <c r="FF48" s="1055"/>
      <c r="FG48" s="1055"/>
      <c r="FH48" s="1055"/>
      <c r="FI48" s="1055"/>
      <c r="FJ48" s="1055"/>
      <c r="FK48" s="1055"/>
      <c r="FL48" s="1055"/>
      <c r="FM48" s="1055"/>
      <c r="FN48" s="1055"/>
      <c r="FO48" s="1055"/>
      <c r="FP48" s="1055"/>
      <c r="FQ48" s="1055"/>
      <c r="FR48" s="1055"/>
      <c r="FS48" s="1055"/>
      <c r="FT48" s="1055"/>
      <c r="FU48" s="1055"/>
      <c r="FV48" s="1055"/>
      <c r="FW48" s="1055"/>
      <c r="FX48" s="1055"/>
      <c r="FY48" s="1055"/>
      <c r="FZ48" s="1055"/>
      <c r="GA48" s="1055"/>
      <c r="GB48" s="1055"/>
      <c r="GC48" s="1055"/>
      <c r="GD48" s="1055"/>
      <c r="GE48" s="1055"/>
      <c r="GF48" s="1055"/>
      <c r="GG48" s="1055"/>
      <c r="GH48" s="1055"/>
      <c r="GI48" s="1055"/>
      <c r="GJ48" s="1055"/>
    </row>
    <row r="49" spans="1:192" s="1067" customFormat="1" ht="21" customHeight="1">
      <c r="A49" s="1056"/>
      <c r="B49" s="1060"/>
      <c r="C49" s="1060"/>
      <c r="D49" s="1060"/>
      <c r="E49" s="1060"/>
      <c r="F49" s="1060"/>
      <c r="G49" s="1068"/>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c r="AH49" s="1055"/>
      <c r="AI49" s="1055"/>
      <c r="AJ49" s="1055"/>
      <c r="AK49" s="1055"/>
      <c r="AL49" s="1055"/>
      <c r="AM49" s="1055"/>
      <c r="AN49" s="1055"/>
      <c r="AO49" s="1055"/>
      <c r="AP49" s="1055"/>
      <c r="AQ49" s="1055"/>
      <c r="AR49" s="1055"/>
      <c r="AS49" s="1055"/>
      <c r="AT49" s="1055"/>
      <c r="AU49" s="1055"/>
      <c r="AV49" s="1055"/>
      <c r="AW49" s="1055"/>
      <c r="AX49" s="1055"/>
      <c r="AY49" s="1055"/>
      <c r="AZ49" s="1055"/>
      <c r="BA49" s="1055"/>
      <c r="BB49" s="1055"/>
      <c r="BC49" s="1055"/>
      <c r="BD49" s="1055"/>
      <c r="BE49" s="1055"/>
      <c r="BF49" s="1055"/>
      <c r="BG49" s="1055"/>
      <c r="BH49" s="1055"/>
      <c r="BI49" s="1055"/>
      <c r="BJ49" s="1055"/>
      <c r="BK49" s="1055"/>
      <c r="BL49" s="1055"/>
      <c r="BM49" s="1055"/>
      <c r="BN49" s="1055"/>
      <c r="BO49" s="1055"/>
      <c r="BP49" s="1055"/>
      <c r="BQ49" s="1055"/>
      <c r="BR49" s="1055"/>
      <c r="BS49" s="1055"/>
      <c r="BT49" s="1055"/>
      <c r="BU49" s="1055"/>
      <c r="BV49" s="1055"/>
      <c r="BW49" s="1055"/>
      <c r="BX49" s="1055"/>
      <c r="BY49" s="1055"/>
      <c r="BZ49" s="1055"/>
      <c r="CA49" s="1055"/>
      <c r="CB49" s="1055"/>
      <c r="CC49" s="1055"/>
      <c r="CD49" s="1055"/>
      <c r="CE49" s="1055"/>
      <c r="CF49" s="1055"/>
      <c r="CG49" s="1055"/>
      <c r="CH49" s="1055"/>
      <c r="CI49" s="1055"/>
      <c r="CJ49" s="1055"/>
      <c r="CK49" s="1055"/>
      <c r="CL49" s="1055"/>
      <c r="CM49" s="1055"/>
      <c r="CN49" s="1055"/>
      <c r="CO49" s="1055"/>
      <c r="CP49" s="1055"/>
      <c r="CQ49" s="1055"/>
      <c r="CR49" s="1055"/>
      <c r="CS49" s="1055"/>
      <c r="CT49" s="1055"/>
      <c r="CU49" s="1055"/>
      <c r="CV49" s="1055"/>
      <c r="CW49" s="1055"/>
      <c r="CX49" s="1055"/>
      <c r="CY49" s="1055"/>
      <c r="CZ49" s="1055"/>
      <c r="DA49" s="1055"/>
      <c r="DB49" s="1055"/>
      <c r="DC49" s="1055"/>
      <c r="DD49" s="1055"/>
      <c r="DE49" s="1055"/>
      <c r="DF49" s="1055"/>
      <c r="DG49" s="1055"/>
      <c r="DH49" s="1055"/>
      <c r="DI49" s="1055"/>
      <c r="DJ49" s="1055"/>
      <c r="DK49" s="1055"/>
      <c r="DL49" s="1055"/>
      <c r="DM49" s="1055"/>
      <c r="DN49" s="1055"/>
      <c r="DO49" s="1055"/>
      <c r="DP49" s="1055"/>
      <c r="DQ49" s="1055"/>
      <c r="DR49" s="1055"/>
      <c r="DS49" s="1055"/>
      <c r="DT49" s="1055"/>
      <c r="DU49" s="1055"/>
      <c r="DV49" s="1055"/>
      <c r="DW49" s="1055"/>
      <c r="DX49" s="1055"/>
      <c r="DY49" s="1055"/>
      <c r="DZ49" s="1055"/>
      <c r="EA49" s="1055"/>
      <c r="EB49" s="1055"/>
      <c r="EC49" s="1055"/>
      <c r="ED49" s="1055"/>
      <c r="EE49" s="1055"/>
      <c r="EF49" s="1055"/>
      <c r="EG49" s="1055"/>
      <c r="EH49" s="1055"/>
      <c r="EI49" s="1055"/>
      <c r="EJ49" s="1055"/>
      <c r="EK49" s="1055"/>
      <c r="EL49" s="1055"/>
      <c r="EM49" s="1055"/>
      <c r="EN49" s="1055"/>
      <c r="EO49" s="1055"/>
      <c r="EP49" s="1055"/>
      <c r="EQ49" s="1055"/>
      <c r="ER49" s="1055"/>
      <c r="ES49" s="1055"/>
      <c r="ET49" s="1055"/>
      <c r="EU49" s="1055"/>
      <c r="EV49" s="1055"/>
      <c r="EW49" s="1055"/>
      <c r="EX49" s="1055"/>
      <c r="EY49" s="1055"/>
      <c r="EZ49" s="1055"/>
      <c r="FA49" s="1055"/>
      <c r="FB49" s="1055"/>
      <c r="FC49" s="1055"/>
      <c r="FD49" s="1055"/>
      <c r="FE49" s="1055"/>
      <c r="FF49" s="1055"/>
      <c r="FG49" s="1055"/>
      <c r="FH49" s="1055"/>
      <c r="FI49" s="1055"/>
      <c r="FJ49" s="1055"/>
      <c r="FK49" s="1055"/>
      <c r="FL49" s="1055"/>
      <c r="FM49" s="1055"/>
      <c r="FN49" s="1055"/>
      <c r="FO49" s="1055"/>
      <c r="FP49" s="1055"/>
      <c r="FQ49" s="1055"/>
      <c r="FR49" s="1055"/>
      <c r="FS49" s="1055"/>
      <c r="FT49" s="1055"/>
      <c r="FU49" s="1055"/>
      <c r="FV49" s="1055"/>
      <c r="FW49" s="1055"/>
      <c r="FX49" s="1055"/>
      <c r="FY49" s="1055"/>
      <c r="FZ49" s="1055"/>
      <c r="GA49" s="1055"/>
      <c r="GB49" s="1055"/>
      <c r="GC49" s="1055"/>
      <c r="GD49" s="1055"/>
      <c r="GE49" s="1055"/>
      <c r="GF49" s="1055"/>
      <c r="GG49" s="1055"/>
      <c r="GH49" s="1055"/>
      <c r="GI49" s="1055"/>
      <c r="GJ49" s="1055"/>
    </row>
    <row r="50" spans="1:192" s="1067" customFormat="1">
      <c r="A50" s="925" t="s">
        <v>250</v>
      </c>
      <c r="B50" s="926"/>
      <c r="C50" s="927"/>
      <c r="D50" s="927"/>
      <c r="E50" s="927"/>
      <c r="F50" s="928"/>
      <c r="G50" s="929"/>
      <c r="H50" s="1055"/>
      <c r="I50" s="1055"/>
      <c r="J50" s="1055"/>
      <c r="K50" s="1055"/>
      <c r="L50" s="1055"/>
      <c r="M50" s="1055"/>
      <c r="N50" s="1055"/>
      <c r="O50" s="1055"/>
      <c r="P50" s="1055"/>
      <c r="Q50" s="1055"/>
      <c r="R50" s="1055"/>
      <c r="S50" s="1055"/>
      <c r="T50" s="1055"/>
      <c r="U50" s="1055"/>
      <c r="V50" s="1055"/>
      <c r="W50" s="1055"/>
      <c r="X50" s="1055"/>
      <c r="Y50" s="1055"/>
      <c r="Z50" s="1055"/>
      <c r="AA50" s="1055"/>
      <c r="AB50" s="1055"/>
      <c r="AC50" s="1055"/>
      <c r="AD50" s="1055"/>
      <c r="AE50" s="1055"/>
      <c r="AF50" s="1055"/>
      <c r="AG50" s="1055"/>
      <c r="AH50" s="1055"/>
      <c r="AI50" s="1055"/>
      <c r="AJ50" s="1055"/>
      <c r="AK50" s="1055"/>
      <c r="AL50" s="1055"/>
      <c r="AM50" s="1055"/>
      <c r="AN50" s="1055"/>
      <c r="AO50" s="1055"/>
      <c r="AP50" s="1055"/>
      <c r="AQ50" s="1055"/>
      <c r="AR50" s="1055"/>
      <c r="AS50" s="1055"/>
      <c r="AT50" s="1055"/>
      <c r="AU50" s="1055"/>
      <c r="AV50" s="1055"/>
      <c r="AW50" s="1055"/>
      <c r="AX50" s="1055"/>
      <c r="AY50" s="1055"/>
      <c r="AZ50" s="1055"/>
      <c r="BA50" s="1055"/>
      <c r="BB50" s="1055"/>
      <c r="BC50" s="1055"/>
      <c r="BD50" s="1055"/>
      <c r="BE50" s="1055"/>
      <c r="BF50" s="1055"/>
      <c r="BG50" s="1055"/>
      <c r="BH50" s="1055"/>
      <c r="BI50" s="1055"/>
      <c r="BJ50" s="1055"/>
      <c r="BK50" s="1055"/>
      <c r="BL50" s="1055"/>
      <c r="BM50" s="1055"/>
      <c r="BN50" s="1055"/>
      <c r="BO50" s="1055"/>
      <c r="BP50" s="1055"/>
      <c r="BQ50" s="1055"/>
      <c r="BR50" s="1055"/>
      <c r="BS50" s="1055"/>
      <c r="BT50" s="1055"/>
      <c r="BU50" s="1055"/>
      <c r="BV50" s="1055"/>
      <c r="BW50" s="1055"/>
      <c r="BX50" s="1055"/>
      <c r="BY50" s="1055"/>
      <c r="BZ50" s="1055"/>
      <c r="CA50" s="1055"/>
      <c r="CB50" s="1055"/>
      <c r="CC50" s="1055"/>
      <c r="CD50" s="1055"/>
      <c r="CE50" s="1055"/>
      <c r="CF50" s="1055"/>
      <c r="CG50" s="1055"/>
      <c r="CH50" s="1055"/>
      <c r="CI50" s="1055"/>
      <c r="CJ50" s="1055"/>
      <c r="CK50" s="1055"/>
      <c r="CL50" s="1055"/>
      <c r="CM50" s="1055"/>
      <c r="CN50" s="1055"/>
      <c r="CO50" s="1055"/>
      <c r="CP50" s="1055"/>
      <c r="CQ50" s="1055"/>
      <c r="CR50" s="1055"/>
      <c r="CS50" s="1055"/>
      <c r="CT50" s="1055"/>
      <c r="CU50" s="1055"/>
      <c r="CV50" s="1055"/>
      <c r="CW50" s="1055"/>
      <c r="CX50" s="1055"/>
      <c r="CY50" s="1055"/>
      <c r="CZ50" s="1055"/>
      <c r="DA50" s="1055"/>
      <c r="DB50" s="1055"/>
      <c r="DC50" s="1055"/>
      <c r="DD50" s="1055"/>
      <c r="DE50" s="1055"/>
      <c r="DF50" s="1055"/>
      <c r="DG50" s="1055"/>
      <c r="DH50" s="1055"/>
      <c r="DI50" s="1055"/>
      <c r="DJ50" s="1055"/>
      <c r="DK50" s="1055"/>
      <c r="DL50" s="1055"/>
      <c r="DM50" s="1055"/>
      <c r="DN50" s="1055"/>
      <c r="DO50" s="1055"/>
      <c r="DP50" s="1055"/>
      <c r="DQ50" s="1055"/>
      <c r="DR50" s="1055"/>
      <c r="DS50" s="1055"/>
      <c r="DT50" s="1055"/>
      <c r="DU50" s="1055"/>
      <c r="DV50" s="1055"/>
      <c r="DW50" s="1055"/>
      <c r="DX50" s="1055"/>
      <c r="DY50" s="1055"/>
      <c r="DZ50" s="1055"/>
      <c r="EA50" s="1055"/>
      <c r="EB50" s="1055"/>
      <c r="EC50" s="1055"/>
      <c r="ED50" s="1055"/>
      <c r="EE50" s="1055"/>
      <c r="EF50" s="1055"/>
      <c r="EG50" s="1055"/>
      <c r="EH50" s="1055"/>
      <c r="EI50" s="1055"/>
      <c r="EJ50" s="1055"/>
      <c r="EK50" s="1055"/>
      <c r="EL50" s="1055"/>
      <c r="EM50" s="1055"/>
      <c r="EN50" s="1055"/>
      <c r="EO50" s="1055"/>
      <c r="EP50" s="1055"/>
      <c r="EQ50" s="1055"/>
      <c r="ER50" s="1055"/>
      <c r="ES50" s="1055"/>
      <c r="ET50" s="1055"/>
      <c r="EU50" s="1055"/>
      <c r="EV50" s="1055"/>
      <c r="EW50" s="1055"/>
      <c r="EX50" s="1055"/>
      <c r="EY50" s="1055"/>
      <c r="EZ50" s="1055"/>
      <c r="FA50" s="1055"/>
      <c r="FB50" s="1055"/>
      <c r="FC50" s="1055"/>
      <c r="FD50" s="1055"/>
      <c r="FE50" s="1055"/>
      <c r="FF50" s="1055"/>
      <c r="FG50" s="1055"/>
      <c r="FH50" s="1055"/>
      <c r="FI50" s="1055"/>
      <c r="FJ50" s="1055"/>
      <c r="FK50" s="1055"/>
      <c r="FL50" s="1055"/>
      <c r="FM50" s="1055"/>
      <c r="FN50" s="1055"/>
      <c r="FO50" s="1055"/>
      <c r="FP50" s="1055"/>
      <c r="FQ50" s="1055"/>
      <c r="FR50" s="1055"/>
      <c r="FS50" s="1055"/>
      <c r="FT50" s="1055"/>
      <c r="FU50" s="1055"/>
      <c r="FV50" s="1055"/>
      <c r="FW50" s="1055"/>
      <c r="FX50" s="1055"/>
      <c r="FY50" s="1055"/>
      <c r="FZ50" s="1055"/>
      <c r="GA50" s="1055"/>
      <c r="GB50" s="1055"/>
      <c r="GC50" s="1055"/>
      <c r="GD50" s="1055"/>
      <c r="GE50" s="1055"/>
      <c r="GF50" s="1055"/>
      <c r="GG50" s="1055"/>
      <c r="GH50" s="1055"/>
      <c r="GI50" s="1055"/>
      <c r="GJ50" s="1055"/>
    </row>
    <row r="51" spans="1:192" s="1067" customFormat="1" ht="12.75" customHeight="1">
      <c r="A51" s="931" t="s">
        <v>447</v>
      </c>
      <c r="B51" s="912"/>
      <c r="C51" s="912"/>
      <c r="D51" s="912"/>
      <c r="E51" s="912"/>
      <c r="F51" s="912"/>
      <c r="G51" s="932"/>
      <c r="H51" s="1055"/>
      <c r="I51" s="1055"/>
      <c r="J51" s="1055"/>
      <c r="K51" s="1055"/>
      <c r="L51" s="1055"/>
      <c r="M51" s="1055"/>
      <c r="N51" s="1055"/>
      <c r="O51" s="1055"/>
      <c r="P51" s="1055"/>
      <c r="Q51" s="1055"/>
      <c r="R51" s="1055"/>
      <c r="S51" s="1055"/>
      <c r="T51" s="1055"/>
      <c r="U51" s="1055"/>
      <c r="V51" s="1055"/>
      <c r="W51" s="1055"/>
      <c r="X51" s="1055"/>
      <c r="Y51" s="1055"/>
      <c r="Z51" s="1055"/>
      <c r="AA51" s="1055"/>
      <c r="AB51" s="1055"/>
      <c r="AC51" s="1055"/>
      <c r="AD51" s="1055"/>
      <c r="AE51" s="1055"/>
      <c r="AF51" s="1055"/>
      <c r="AG51" s="1055"/>
      <c r="AH51" s="1055"/>
      <c r="AI51" s="1055"/>
      <c r="AJ51" s="1055"/>
      <c r="AK51" s="1055"/>
      <c r="AL51" s="1055"/>
      <c r="AM51" s="1055"/>
      <c r="AN51" s="1055"/>
      <c r="AO51" s="1055"/>
      <c r="AP51" s="1055"/>
      <c r="AQ51" s="1055"/>
      <c r="AR51" s="1055"/>
      <c r="AS51" s="1055"/>
      <c r="AT51" s="1055"/>
      <c r="AU51" s="1055"/>
      <c r="AV51" s="1055"/>
      <c r="AW51" s="1055"/>
      <c r="AX51" s="1055"/>
      <c r="AY51" s="1055"/>
      <c r="AZ51" s="1055"/>
      <c r="BA51" s="1055"/>
      <c r="BB51" s="1055"/>
      <c r="BC51" s="1055"/>
      <c r="BD51" s="1055"/>
      <c r="BE51" s="1055"/>
      <c r="BF51" s="1055"/>
      <c r="BG51" s="1055"/>
      <c r="BH51" s="1055"/>
      <c r="BI51" s="1055"/>
      <c r="BJ51" s="1055"/>
      <c r="BK51" s="1055"/>
      <c r="BL51" s="1055"/>
      <c r="BM51" s="1055"/>
      <c r="BN51" s="1055"/>
      <c r="BO51" s="1055"/>
      <c r="BP51" s="1055"/>
      <c r="BQ51" s="1055"/>
      <c r="BR51" s="1055"/>
      <c r="BS51" s="1055"/>
      <c r="BT51" s="1055"/>
      <c r="BU51" s="1055"/>
      <c r="BV51" s="1055"/>
      <c r="BW51" s="1055"/>
      <c r="BX51" s="1055"/>
      <c r="BY51" s="1055"/>
      <c r="BZ51" s="1055"/>
      <c r="CA51" s="1055"/>
      <c r="CB51" s="1055"/>
      <c r="CC51" s="1055"/>
      <c r="CD51" s="1055"/>
      <c r="CE51" s="1055"/>
      <c r="CF51" s="1055"/>
      <c r="CG51" s="1055"/>
      <c r="CH51" s="1055"/>
      <c r="CI51" s="1055"/>
      <c r="CJ51" s="1055"/>
      <c r="CK51" s="1055"/>
      <c r="CL51" s="1055"/>
      <c r="CM51" s="1055"/>
      <c r="CN51" s="1055"/>
      <c r="CO51" s="1055"/>
      <c r="CP51" s="1055"/>
      <c r="CQ51" s="1055"/>
      <c r="CR51" s="1055"/>
      <c r="CS51" s="1055"/>
      <c r="CT51" s="1055"/>
      <c r="CU51" s="1055"/>
      <c r="CV51" s="1055"/>
      <c r="CW51" s="1055"/>
      <c r="CX51" s="1055"/>
      <c r="CY51" s="1055"/>
      <c r="CZ51" s="1055"/>
      <c r="DA51" s="1055"/>
      <c r="DB51" s="1055"/>
      <c r="DC51" s="1055"/>
      <c r="DD51" s="1055"/>
      <c r="DE51" s="1055"/>
      <c r="DF51" s="1055"/>
      <c r="DG51" s="1055"/>
      <c r="DH51" s="1055"/>
      <c r="DI51" s="1055"/>
      <c r="DJ51" s="1055"/>
      <c r="DK51" s="1055"/>
      <c r="DL51" s="1055"/>
      <c r="DM51" s="1055"/>
      <c r="DN51" s="1055"/>
      <c r="DO51" s="1055"/>
      <c r="DP51" s="1055"/>
      <c r="DQ51" s="1055"/>
      <c r="DR51" s="1055"/>
      <c r="DS51" s="1055"/>
      <c r="DT51" s="1055"/>
      <c r="DU51" s="1055"/>
      <c r="DV51" s="1055"/>
      <c r="DW51" s="1055"/>
      <c r="DX51" s="1055"/>
      <c r="DY51" s="1055"/>
      <c r="DZ51" s="1055"/>
      <c r="EA51" s="1055"/>
      <c r="EB51" s="1055"/>
      <c r="EC51" s="1055"/>
      <c r="ED51" s="1055"/>
      <c r="EE51" s="1055"/>
      <c r="EF51" s="1055"/>
      <c r="EG51" s="1055"/>
      <c r="EH51" s="1055"/>
      <c r="EI51" s="1055"/>
      <c r="EJ51" s="1055"/>
      <c r="EK51" s="1055"/>
      <c r="EL51" s="1055"/>
      <c r="EM51" s="1055"/>
      <c r="EN51" s="1055"/>
      <c r="EO51" s="1055"/>
      <c r="EP51" s="1055"/>
      <c r="EQ51" s="1055"/>
      <c r="ER51" s="1055"/>
      <c r="ES51" s="1055"/>
      <c r="ET51" s="1055"/>
      <c r="EU51" s="1055"/>
      <c r="EV51" s="1055"/>
      <c r="EW51" s="1055"/>
      <c r="EX51" s="1055"/>
      <c r="EY51" s="1055"/>
      <c r="EZ51" s="1055"/>
      <c r="FA51" s="1055"/>
      <c r="FB51" s="1055"/>
      <c r="FC51" s="1055"/>
      <c r="FD51" s="1055"/>
      <c r="FE51" s="1055"/>
      <c r="FF51" s="1055"/>
      <c r="FG51" s="1055"/>
      <c r="FH51" s="1055"/>
      <c r="FI51" s="1055"/>
      <c r="FJ51" s="1055"/>
      <c r="FK51" s="1055"/>
      <c r="FL51" s="1055"/>
      <c r="FM51" s="1055"/>
      <c r="FN51" s="1055"/>
      <c r="FO51" s="1055"/>
      <c r="FP51" s="1055"/>
      <c r="FQ51" s="1055"/>
      <c r="FR51" s="1055"/>
      <c r="FS51" s="1055"/>
      <c r="FT51" s="1055"/>
      <c r="FU51" s="1055"/>
      <c r="FV51" s="1055"/>
      <c r="FW51" s="1055"/>
      <c r="FX51" s="1055"/>
      <c r="FY51" s="1055"/>
      <c r="FZ51" s="1055"/>
      <c r="GA51" s="1055"/>
      <c r="GB51" s="1055"/>
      <c r="GC51" s="1055"/>
      <c r="GD51" s="1055"/>
      <c r="GE51" s="1055"/>
      <c r="GF51" s="1055"/>
      <c r="GG51" s="1055"/>
      <c r="GH51" s="1055"/>
      <c r="GI51" s="1055"/>
      <c r="GJ51" s="1055"/>
    </row>
    <row r="52" spans="1:192" s="1067" customFormat="1">
      <c r="A52" s="931" t="s">
        <v>448</v>
      </c>
      <c r="B52" s="933"/>
      <c r="C52" s="912"/>
      <c r="D52" s="912"/>
      <c r="E52" s="912"/>
      <c r="F52" s="934"/>
      <c r="G52" s="932"/>
      <c r="H52" s="1055"/>
      <c r="I52" s="1055"/>
      <c r="J52" s="1055"/>
      <c r="K52" s="1055"/>
      <c r="L52" s="1055"/>
      <c r="M52" s="1055"/>
      <c r="N52" s="1055"/>
      <c r="O52" s="1055"/>
      <c r="P52" s="1055"/>
      <c r="Q52" s="1055"/>
      <c r="R52" s="1055"/>
      <c r="S52" s="1055"/>
      <c r="T52" s="1055"/>
      <c r="U52" s="1055"/>
      <c r="V52" s="1055"/>
      <c r="W52" s="1055"/>
      <c r="X52" s="1055"/>
      <c r="Y52" s="1055"/>
      <c r="Z52" s="1055"/>
      <c r="AA52" s="1055"/>
      <c r="AB52" s="1055"/>
      <c r="AC52" s="1055"/>
      <c r="AD52" s="1055"/>
      <c r="AE52" s="1055"/>
      <c r="AF52" s="1055"/>
      <c r="AG52" s="1055"/>
      <c r="AH52" s="1055"/>
      <c r="AI52" s="1055"/>
      <c r="AJ52" s="1055"/>
      <c r="AK52" s="1055"/>
      <c r="AL52" s="1055"/>
      <c r="AM52" s="1055"/>
      <c r="AN52" s="1055"/>
      <c r="AO52" s="1055"/>
      <c r="AP52" s="1055"/>
      <c r="AQ52" s="1055"/>
      <c r="AR52" s="1055"/>
      <c r="AS52" s="1055"/>
      <c r="AT52" s="1055"/>
      <c r="AU52" s="1055"/>
      <c r="AV52" s="1055"/>
      <c r="AW52" s="1055"/>
      <c r="AX52" s="1055"/>
      <c r="AY52" s="1055"/>
      <c r="AZ52" s="1055"/>
      <c r="BA52" s="1055"/>
      <c r="BB52" s="1055"/>
      <c r="BC52" s="1055"/>
      <c r="BD52" s="1055"/>
      <c r="BE52" s="1055"/>
      <c r="BF52" s="1055"/>
      <c r="BG52" s="1055"/>
      <c r="BH52" s="1055"/>
      <c r="BI52" s="1055"/>
      <c r="BJ52" s="1055"/>
      <c r="BK52" s="1055"/>
      <c r="BL52" s="1055"/>
      <c r="BM52" s="1055"/>
      <c r="BN52" s="1055"/>
      <c r="BO52" s="1055"/>
      <c r="BP52" s="1055"/>
      <c r="BQ52" s="1055"/>
      <c r="BR52" s="1055"/>
      <c r="BS52" s="1055"/>
      <c r="BT52" s="1055"/>
      <c r="BU52" s="1055"/>
      <c r="BV52" s="1055"/>
      <c r="BW52" s="1055"/>
      <c r="BX52" s="1055"/>
      <c r="BY52" s="1055"/>
      <c r="BZ52" s="1055"/>
      <c r="CA52" s="1055"/>
      <c r="CB52" s="1055"/>
      <c r="CC52" s="1055"/>
      <c r="CD52" s="1055"/>
      <c r="CE52" s="1055"/>
      <c r="CF52" s="1055"/>
      <c r="CG52" s="1055"/>
      <c r="CH52" s="1055"/>
      <c r="CI52" s="1055"/>
      <c r="CJ52" s="1055"/>
      <c r="CK52" s="1055"/>
      <c r="CL52" s="1055"/>
      <c r="CM52" s="1055"/>
      <c r="CN52" s="1055"/>
      <c r="CO52" s="1055"/>
      <c r="CP52" s="1055"/>
      <c r="CQ52" s="1055"/>
      <c r="CR52" s="1055"/>
      <c r="CS52" s="1055"/>
      <c r="CT52" s="1055"/>
      <c r="CU52" s="1055"/>
      <c r="CV52" s="1055"/>
      <c r="CW52" s="1055"/>
      <c r="CX52" s="1055"/>
      <c r="CY52" s="1055"/>
      <c r="CZ52" s="1055"/>
      <c r="DA52" s="1055"/>
      <c r="DB52" s="1055"/>
      <c r="DC52" s="1055"/>
      <c r="DD52" s="1055"/>
      <c r="DE52" s="1055"/>
      <c r="DF52" s="1055"/>
      <c r="DG52" s="1055"/>
      <c r="DH52" s="1055"/>
      <c r="DI52" s="1055"/>
      <c r="DJ52" s="1055"/>
      <c r="DK52" s="1055"/>
      <c r="DL52" s="1055"/>
      <c r="DM52" s="1055"/>
      <c r="DN52" s="1055"/>
      <c r="DO52" s="1055"/>
      <c r="DP52" s="1055"/>
      <c r="DQ52" s="1055"/>
      <c r="DR52" s="1055"/>
      <c r="DS52" s="1055"/>
      <c r="DT52" s="1055"/>
      <c r="DU52" s="1055"/>
      <c r="DV52" s="1055"/>
      <c r="DW52" s="1055"/>
      <c r="DX52" s="1055"/>
      <c r="DY52" s="1055"/>
      <c r="DZ52" s="1055"/>
      <c r="EA52" s="1055"/>
      <c r="EB52" s="1055"/>
      <c r="EC52" s="1055"/>
      <c r="ED52" s="1055"/>
      <c r="EE52" s="1055"/>
      <c r="EF52" s="1055"/>
      <c r="EG52" s="1055"/>
      <c r="EH52" s="1055"/>
      <c r="EI52" s="1055"/>
      <c r="EJ52" s="1055"/>
      <c r="EK52" s="1055"/>
      <c r="EL52" s="1055"/>
      <c r="EM52" s="1055"/>
      <c r="EN52" s="1055"/>
      <c r="EO52" s="1055"/>
      <c r="EP52" s="1055"/>
      <c r="EQ52" s="1055"/>
      <c r="ER52" s="1055"/>
      <c r="ES52" s="1055"/>
      <c r="ET52" s="1055"/>
      <c r="EU52" s="1055"/>
      <c r="EV52" s="1055"/>
      <c r="EW52" s="1055"/>
      <c r="EX52" s="1055"/>
      <c r="EY52" s="1055"/>
      <c r="EZ52" s="1055"/>
      <c r="FA52" s="1055"/>
      <c r="FB52" s="1055"/>
      <c r="FC52" s="1055"/>
      <c r="FD52" s="1055"/>
      <c r="FE52" s="1055"/>
      <c r="FF52" s="1055"/>
      <c r="FG52" s="1055"/>
      <c r="FH52" s="1055"/>
      <c r="FI52" s="1055"/>
      <c r="FJ52" s="1055"/>
      <c r="FK52" s="1055"/>
      <c r="FL52" s="1055"/>
      <c r="FM52" s="1055"/>
      <c r="FN52" s="1055"/>
      <c r="FO52" s="1055"/>
      <c r="FP52" s="1055"/>
      <c r="FQ52" s="1055"/>
      <c r="FR52" s="1055"/>
      <c r="FS52" s="1055"/>
      <c r="FT52" s="1055"/>
      <c r="FU52" s="1055"/>
      <c r="FV52" s="1055"/>
      <c r="FW52" s="1055"/>
      <c r="FX52" s="1055"/>
      <c r="FY52" s="1055"/>
      <c r="FZ52" s="1055"/>
      <c r="GA52" s="1055"/>
      <c r="GB52" s="1055"/>
      <c r="GC52" s="1055"/>
      <c r="GD52" s="1055"/>
      <c r="GE52" s="1055"/>
      <c r="GF52" s="1055"/>
      <c r="GG52" s="1055"/>
      <c r="GH52" s="1055"/>
      <c r="GI52" s="1055"/>
      <c r="GJ52" s="1055"/>
    </row>
    <row r="53" spans="1:192" s="1067" customFormat="1">
      <c r="A53" s="931" t="s">
        <v>546</v>
      </c>
      <c r="B53" s="933"/>
      <c r="C53" s="912"/>
      <c r="D53" s="912"/>
      <c r="E53" s="912"/>
      <c r="F53" s="934"/>
      <c r="G53" s="932"/>
      <c r="H53" s="1055"/>
      <c r="I53" s="1055"/>
      <c r="J53" s="1055"/>
      <c r="K53" s="1055"/>
      <c r="L53" s="1055"/>
      <c r="M53" s="1055"/>
      <c r="N53" s="1055"/>
      <c r="O53" s="1055"/>
      <c r="P53" s="1055"/>
      <c r="Q53" s="1055"/>
      <c r="R53" s="1055"/>
      <c r="S53" s="1055"/>
      <c r="T53" s="1055"/>
      <c r="U53" s="1055"/>
      <c r="V53" s="1055"/>
      <c r="W53" s="1055"/>
      <c r="X53" s="1055"/>
      <c r="Y53" s="1055"/>
      <c r="Z53" s="1055"/>
      <c r="AA53" s="1055"/>
      <c r="AB53" s="1055"/>
      <c r="AC53" s="1055"/>
      <c r="AD53" s="1055"/>
      <c r="AE53" s="1055"/>
      <c r="AF53" s="1055"/>
      <c r="AG53" s="1055"/>
      <c r="AH53" s="1055"/>
      <c r="AI53" s="1055"/>
      <c r="AJ53" s="1055"/>
      <c r="AK53" s="1055"/>
      <c r="AL53" s="1055"/>
      <c r="AM53" s="1055"/>
      <c r="AN53" s="1055"/>
      <c r="AO53" s="1055"/>
      <c r="AP53" s="1055"/>
      <c r="AQ53" s="1055"/>
      <c r="AR53" s="1055"/>
      <c r="AS53" s="1055"/>
      <c r="AT53" s="1055"/>
      <c r="AU53" s="1055"/>
      <c r="AV53" s="1055"/>
      <c r="AW53" s="1055"/>
      <c r="AX53" s="1055"/>
      <c r="AY53" s="1055"/>
      <c r="AZ53" s="1055"/>
      <c r="BA53" s="1055"/>
      <c r="BB53" s="1055"/>
      <c r="BC53" s="1055"/>
      <c r="BD53" s="1055"/>
      <c r="BE53" s="1055"/>
      <c r="BF53" s="1055"/>
      <c r="BG53" s="1055"/>
      <c r="BH53" s="1055"/>
      <c r="BI53" s="1055"/>
      <c r="BJ53" s="1055"/>
      <c r="BK53" s="1055"/>
      <c r="BL53" s="1055"/>
      <c r="BM53" s="1055"/>
      <c r="BN53" s="1055"/>
      <c r="BO53" s="1055"/>
      <c r="BP53" s="1055"/>
      <c r="BQ53" s="1055"/>
      <c r="BR53" s="1055"/>
      <c r="BS53" s="1055"/>
      <c r="BT53" s="1055"/>
      <c r="BU53" s="1055"/>
      <c r="BV53" s="1055"/>
      <c r="BW53" s="1055"/>
      <c r="BX53" s="1055"/>
      <c r="BY53" s="1055"/>
      <c r="BZ53" s="1055"/>
      <c r="CA53" s="1055"/>
      <c r="CB53" s="1055"/>
      <c r="CC53" s="1055"/>
      <c r="CD53" s="1055"/>
      <c r="CE53" s="1055"/>
      <c r="CF53" s="1055"/>
      <c r="CG53" s="1055"/>
      <c r="CH53" s="1055"/>
      <c r="CI53" s="1055"/>
      <c r="CJ53" s="1055"/>
      <c r="CK53" s="1055"/>
      <c r="CL53" s="1055"/>
      <c r="CM53" s="1055"/>
      <c r="CN53" s="1055"/>
      <c r="CO53" s="1055"/>
      <c r="CP53" s="1055"/>
      <c r="CQ53" s="1055"/>
      <c r="CR53" s="1055"/>
      <c r="CS53" s="1055"/>
      <c r="CT53" s="1055"/>
      <c r="CU53" s="1055"/>
      <c r="CV53" s="1055"/>
      <c r="CW53" s="1055"/>
      <c r="CX53" s="1055"/>
      <c r="CY53" s="1055"/>
      <c r="CZ53" s="1055"/>
      <c r="DA53" s="1055"/>
      <c r="DB53" s="1055"/>
      <c r="DC53" s="1055"/>
      <c r="DD53" s="1055"/>
      <c r="DE53" s="1055"/>
      <c r="DF53" s="1055"/>
      <c r="DG53" s="1055"/>
      <c r="DH53" s="1055"/>
      <c r="DI53" s="1055"/>
      <c r="DJ53" s="1055"/>
      <c r="DK53" s="1055"/>
      <c r="DL53" s="1055"/>
      <c r="DM53" s="1055"/>
      <c r="DN53" s="1055"/>
      <c r="DO53" s="1055"/>
      <c r="DP53" s="1055"/>
      <c r="DQ53" s="1055"/>
      <c r="DR53" s="1055"/>
      <c r="DS53" s="1055"/>
      <c r="DT53" s="1055"/>
      <c r="DU53" s="1055"/>
      <c r="DV53" s="1055"/>
      <c r="DW53" s="1055"/>
      <c r="DX53" s="1055"/>
      <c r="DY53" s="1055"/>
      <c r="DZ53" s="1055"/>
      <c r="EA53" s="1055"/>
      <c r="EB53" s="1055"/>
      <c r="EC53" s="1055"/>
      <c r="ED53" s="1055"/>
      <c r="EE53" s="1055"/>
      <c r="EF53" s="1055"/>
      <c r="EG53" s="1055"/>
      <c r="EH53" s="1055"/>
      <c r="EI53" s="1055"/>
      <c r="EJ53" s="1055"/>
      <c r="EK53" s="1055"/>
      <c r="EL53" s="1055"/>
      <c r="EM53" s="1055"/>
      <c r="EN53" s="1055"/>
      <c r="EO53" s="1055"/>
      <c r="EP53" s="1055"/>
      <c r="EQ53" s="1055"/>
      <c r="ER53" s="1055"/>
      <c r="ES53" s="1055"/>
      <c r="ET53" s="1055"/>
      <c r="EU53" s="1055"/>
      <c r="EV53" s="1055"/>
      <c r="EW53" s="1055"/>
      <c r="EX53" s="1055"/>
      <c r="EY53" s="1055"/>
      <c r="EZ53" s="1055"/>
      <c r="FA53" s="1055"/>
      <c r="FB53" s="1055"/>
      <c r="FC53" s="1055"/>
      <c r="FD53" s="1055"/>
      <c r="FE53" s="1055"/>
      <c r="FF53" s="1055"/>
      <c r="FG53" s="1055"/>
      <c r="FH53" s="1055"/>
      <c r="FI53" s="1055"/>
      <c r="FJ53" s="1055"/>
      <c r="FK53" s="1055"/>
      <c r="FL53" s="1055"/>
      <c r="FM53" s="1055"/>
      <c r="FN53" s="1055"/>
      <c r="FO53" s="1055"/>
      <c r="FP53" s="1055"/>
      <c r="FQ53" s="1055"/>
      <c r="FR53" s="1055"/>
      <c r="FS53" s="1055"/>
      <c r="FT53" s="1055"/>
      <c r="FU53" s="1055"/>
      <c r="FV53" s="1055"/>
      <c r="FW53" s="1055"/>
      <c r="FX53" s="1055"/>
      <c r="FY53" s="1055"/>
      <c r="FZ53" s="1055"/>
      <c r="GA53" s="1055"/>
      <c r="GB53" s="1055"/>
      <c r="GC53" s="1055"/>
      <c r="GD53" s="1055"/>
      <c r="GE53" s="1055"/>
      <c r="GF53" s="1055"/>
      <c r="GG53" s="1055"/>
      <c r="GH53" s="1055"/>
      <c r="GI53" s="1055"/>
      <c r="GJ53" s="1055"/>
    </row>
    <row r="54" spans="1:192" s="1067" customFormat="1">
      <c r="A54" s="931" t="s">
        <v>547</v>
      </c>
      <c r="B54" s="933"/>
      <c r="C54" s="912"/>
      <c r="D54" s="912"/>
      <c r="E54" s="912"/>
      <c r="F54" s="934"/>
      <c r="G54" s="932"/>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C54" s="1055"/>
      <c r="AD54" s="1055"/>
      <c r="AE54" s="1055"/>
      <c r="AF54" s="1055"/>
      <c r="AG54" s="1055"/>
      <c r="AH54" s="1055"/>
      <c r="AI54" s="1055"/>
      <c r="AJ54" s="1055"/>
      <c r="AK54" s="1055"/>
      <c r="AL54" s="1055"/>
      <c r="AM54" s="1055"/>
      <c r="AN54" s="1055"/>
      <c r="AO54" s="1055"/>
      <c r="AP54" s="1055"/>
      <c r="AQ54" s="1055"/>
      <c r="AR54" s="1055"/>
      <c r="AS54" s="1055"/>
      <c r="AT54" s="1055"/>
      <c r="AU54" s="1055"/>
      <c r="AV54" s="1055"/>
      <c r="AW54" s="1055"/>
      <c r="AX54" s="1055"/>
      <c r="AY54" s="1055"/>
      <c r="AZ54" s="1055"/>
      <c r="BA54" s="1055"/>
      <c r="BB54" s="1055"/>
      <c r="BC54" s="1055"/>
      <c r="BD54" s="1055"/>
      <c r="BE54" s="1055"/>
      <c r="BF54" s="1055"/>
      <c r="BG54" s="1055"/>
      <c r="BH54" s="1055"/>
      <c r="BI54" s="1055"/>
      <c r="BJ54" s="1055"/>
      <c r="BK54" s="1055"/>
      <c r="BL54" s="1055"/>
      <c r="BM54" s="1055"/>
      <c r="BN54" s="1055"/>
      <c r="BO54" s="1055"/>
      <c r="BP54" s="1055"/>
      <c r="BQ54" s="1055"/>
      <c r="BR54" s="1055"/>
      <c r="BS54" s="1055"/>
      <c r="BT54" s="1055"/>
      <c r="BU54" s="1055"/>
      <c r="BV54" s="1055"/>
      <c r="BW54" s="1055"/>
      <c r="BX54" s="1055"/>
      <c r="BY54" s="1055"/>
      <c r="BZ54" s="1055"/>
      <c r="CA54" s="1055"/>
      <c r="CB54" s="1055"/>
      <c r="CC54" s="1055"/>
      <c r="CD54" s="1055"/>
      <c r="CE54" s="1055"/>
      <c r="CF54" s="1055"/>
      <c r="CG54" s="1055"/>
      <c r="CH54" s="1055"/>
      <c r="CI54" s="1055"/>
      <c r="CJ54" s="1055"/>
      <c r="CK54" s="1055"/>
      <c r="CL54" s="1055"/>
      <c r="CM54" s="1055"/>
      <c r="CN54" s="1055"/>
      <c r="CO54" s="1055"/>
      <c r="CP54" s="1055"/>
      <c r="CQ54" s="1055"/>
      <c r="CR54" s="1055"/>
      <c r="CS54" s="1055"/>
      <c r="CT54" s="1055"/>
      <c r="CU54" s="1055"/>
      <c r="CV54" s="1055"/>
      <c r="CW54" s="1055"/>
      <c r="CX54" s="1055"/>
      <c r="CY54" s="1055"/>
      <c r="CZ54" s="1055"/>
      <c r="DA54" s="1055"/>
      <c r="DB54" s="1055"/>
      <c r="DC54" s="1055"/>
      <c r="DD54" s="1055"/>
      <c r="DE54" s="1055"/>
      <c r="DF54" s="1055"/>
      <c r="DG54" s="1055"/>
      <c r="DH54" s="1055"/>
      <c r="DI54" s="1055"/>
      <c r="DJ54" s="1055"/>
      <c r="DK54" s="1055"/>
      <c r="DL54" s="1055"/>
      <c r="DM54" s="1055"/>
      <c r="DN54" s="1055"/>
      <c r="DO54" s="1055"/>
      <c r="DP54" s="1055"/>
      <c r="DQ54" s="1055"/>
      <c r="DR54" s="1055"/>
      <c r="DS54" s="1055"/>
      <c r="DT54" s="1055"/>
      <c r="DU54" s="1055"/>
      <c r="DV54" s="1055"/>
      <c r="DW54" s="1055"/>
      <c r="DX54" s="1055"/>
      <c r="DY54" s="1055"/>
      <c r="DZ54" s="1055"/>
      <c r="EA54" s="1055"/>
      <c r="EB54" s="1055"/>
      <c r="EC54" s="1055"/>
      <c r="ED54" s="1055"/>
      <c r="EE54" s="1055"/>
      <c r="EF54" s="1055"/>
      <c r="EG54" s="1055"/>
      <c r="EH54" s="1055"/>
      <c r="EI54" s="1055"/>
      <c r="EJ54" s="1055"/>
      <c r="EK54" s="1055"/>
      <c r="EL54" s="1055"/>
      <c r="EM54" s="1055"/>
      <c r="EN54" s="1055"/>
      <c r="EO54" s="1055"/>
      <c r="EP54" s="1055"/>
      <c r="EQ54" s="1055"/>
      <c r="ER54" s="1055"/>
      <c r="ES54" s="1055"/>
      <c r="ET54" s="1055"/>
      <c r="EU54" s="1055"/>
      <c r="EV54" s="1055"/>
      <c r="EW54" s="1055"/>
      <c r="EX54" s="1055"/>
      <c r="EY54" s="1055"/>
      <c r="EZ54" s="1055"/>
      <c r="FA54" s="1055"/>
      <c r="FB54" s="1055"/>
      <c r="FC54" s="1055"/>
      <c r="FD54" s="1055"/>
      <c r="FE54" s="1055"/>
      <c r="FF54" s="1055"/>
      <c r="FG54" s="1055"/>
      <c r="FH54" s="1055"/>
      <c r="FI54" s="1055"/>
      <c r="FJ54" s="1055"/>
      <c r="FK54" s="1055"/>
      <c r="FL54" s="1055"/>
      <c r="FM54" s="1055"/>
      <c r="FN54" s="1055"/>
      <c r="FO54" s="1055"/>
      <c r="FP54" s="1055"/>
      <c r="FQ54" s="1055"/>
      <c r="FR54" s="1055"/>
      <c r="FS54" s="1055"/>
      <c r="FT54" s="1055"/>
      <c r="FU54" s="1055"/>
      <c r="FV54" s="1055"/>
      <c r="FW54" s="1055"/>
      <c r="FX54" s="1055"/>
      <c r="FY54" s="1055"/>
      <c r="FZ54" s="1055"/>
      <c r="GA54" s="1055"/>
      <c r="GB54" s="1055"/>
      <c r="GC54" s="1055"/>
      <c r="GD54" s="1055"/>
      <c r="GE54" s="1055"/>
      <c r="GF54" s="1055"/>
      <c r="GG54" s="1055"/>
      <c r="GH54" s="1055"/>
      <c r="GI54" s="1055"/>
      <c r="GJ54" s="1055"/>
    </row>
    <row r="55" spans="1:192" s="1067" customFormat="1" ht="15" customHeight="1">
      <c r="A55" s="1182" t="s">
        <v>450</v>
      </c>
      <c r="B55" s="1183"/>
      <c r="C55" s="1183"/>
      <c r="D55" s="1183"/>
      <c r="E55" s="1183"/>
      <c r="F55" s="1183"/>
      <c r="G55" s="1183"/>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5"/>
      <c r="AE55" s="1055"/>
      <c r="AF55" s="1055"/>
      <c r="AG55" s="1055"/>
      <c r="AH55" s="1055"/>
      <c r="AI55" s="1055"/>
      <c r="AJ55" s="1055"/>
      <c r="AK55" s="1055"/>
      <c r="AL55" s="1055"/>
      <c r="AM55" s="1055"/>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1055"/>
      <c r="BP55" s="1055"/>
      <c r="BQ55" s="1055"/>
      <c r="BR55" s="1055"/>
      <c r="BS55" s="1055"/>
      <c r="BT55" s="1055"/>
      <c r="BU55" s="1055"/>
      <c r="BV55" s="1055"/>
      <c r="BW55" s="1055"/>
      <c r="BX55" s="1055"/>
      <c r="BY55" s="1055"/>
      <c r="BZ55" s="1055"/>
      <c r="CA55" s="1055"/>
      <c r="CB55" s="1055"/>
      <c r="CC55" s="1055"/>
      <c r="CD55" s="1055"/>
      <c r="CE55" s="1055"/>
      <c r="CF55" s="1055"/>
      <c r="CG55" s="1055"/>
      <c r="CH55" s="1055"/>
      <c r="CI55" s="1055"/>
      <c r="CJ55" s="1055"/>
      <c r="CK55" s="1055"/>
      <c r="CL55" s="1055"/>
      <c r="CM55" s="1055"/>
      <c r="CN55" s="1055"/>
      <c r="CO55" s="1055"/>
      <c r="CP55" s="1055"/>
      <c r="CQ55" s="1055"/>
      <c r="CR55" s="1055"/>
      <c r="CS55" s="1055"/>
      <c r="CT55" s="1055"/>
      <c r="CU55" s="1055"/>
      <c r="CV55" s="1055"/>
      <c r="CW55" s="1055"/>
      <c r="CX55" s="1055"/>
      <c r="CY55" s="1055"/>
      <c r="CZ55" s="1055"/>
      <c r="DA55" s="1055"/>
      <c r="DB55" s="1055"/>
      <c r="DC55" s="1055"/>
      <c r="DD55" s="1055"/>
      <c r="DE55" s="1055"/>
      <c r="DF55" s="1055"/>
      <c r="DG55" s="1055"/>
      <c r="DH55" s="1055"/>
      <c r="DI55" s="1055"/>
      <c r="DJ55" s="1055"/>
      <c r="DK55" s="1055"/>
      <c r="DL55" s="1055"/>
      <c r="DM55" s="1055"/>
      <c r="DN55" s="1055"/>
      <c r="DO55" s="1055"/>
      <c r="DP55" s="1055"/>
      <c r="DQ55" s="1055"/>
      <c r="DR55" s="1055"/>
      <c r="DS55" s="1055"/>
      <c r="DT55" s="1055"/>
      <c r="DU55" s="1055"/>
      <c r="DV55" s="1055"/>
      <c r="DW55" s="1055"/>
      <c r="DX55" s="1055"/>
      <c r="DY55" s="1055"/>
      <c r="DZ55" s="1055"/>
      <c r="EA55" s="1055"/>
      <c r="EB55" s="1055"/>
      <c r="EC55" s="1055"/>
      <c r="ED55" s="1055"/>
      <c r="EE55" s="1055"/>
      <c r="EF55" s="1055"/>
      <c r="EG55" s="1055"/>
      <c r="EH55" s="1055"/>
      <c r="EI55" s="1055"/>
      <c r="EJ55" s="1055"/>
      <c r="EK55" s="1055"/>
      <c r="EL55" s="1055"/>
      <c r="EM55" s="1055"/>
      <c r="EN55" s="1055"/>
      <c r="EO55" s="1055"/>
      <c r="EP55" s="1055"/>
      <c r="EQ55" s="1055"/>
      <c r="ER55" s="1055"/>
      <c r="ES55" s="1055"/>
      <c r="ET55" s="1055"/>
      <c r="EU55" s="1055"/>
      <c r="EV55" s="1055"/>
      <c r="EW55" s="1055"/>
      <c r="EX55" s="1055"/>
      <c r="EY55" s="1055"/>
      <c r="EZ55" s="1055"/>
      <c r="FA55" s="1055"/>
      <c r="FB55" s="1055"/>
      <c r="FC55" s="1055"/>
      <c r="FD55" s="1055"/>
      <c r="FE55" s="1055"/>
      <c r="FF55" s="1055"/>
      <c r="FG55" s="1055"/>
      <c r="FH55" s="1055"/>
      <c r="FI55" s="1055"/>
      <c r="FJ55" s="1055"/>
      <c r="FK55" s="1055"/>
      <c r="FL55" s="1055"/>
      <c r="FM55" s="1055"/>
      <c r="FN55" s="1055"/>
      <c r="FO55" s="1055"/>
      <c r="FP55" s="1055"/>
      <c r="FQ55" s="1055"/>
      <c r="FR55" s="1055"/>
      <c r="FS55" s="1055"/>
      <c r="FT55" s="1055"/>
      <c r="FU55" s="1055"/>
      <c r="FV55" s="1055"/>
      <c r="FW55" s="1055"/>
      <c r="FX55" s="1055"/>
      <c r="FY55" s="1055"/>
      <c r="FZ55" s="1055"/>
      <c r="GA55" s="1055"/>
      <c r="GB55" s="1055"/>
      <c r="GC55" s="1055"/>
      <c r="GD55" s="1055"/>
      <c r="GE55" s="1055"/>
      <c r="GF55" s="1055"/>
      <c r="GG55" s="1055"/>
      <c r="GH55" s="1055"/>
      <c r="GI55" s="1055"/>
      <c r="GJ55" s="1055"/>
    </row>
    <row r="56" spans="1:192" s="1067" customFormat="1" ht="12.75" customHeight="1">
      <c r="A56" s="1182"/>
      <c r="B56" s="1183"/>
      <c r="C56" s="1183"/>
      <c r="D56" s="1183"/>
      <c r="E56" s="1183"/>
      <c r="F56" s="1183"/>
      <c r="G56" s="1183"/>
      <c r="H56" s="1055"/>
      <c r="I56" s="1055"/>
      <c r="J56" s="1055"/>
      <c r="K56" s="1055"/>
      <c r="L56" s="1055"/>
      <c r="M56" s="1055"/>
      <c r="N56" s="1055"/>
      <c r="O56" s="1055"/>
      <c r="P56" s="1055"/>
      <c r="Q56" s="1055"/>
      <c r="R56" s="1055"/>
      <c r="S56" s="1055"/>
      <c r="T56" s="1055"/>
      <c r="U56" s="1055"/>
      <c r="V56" s="1055"/>
      <c r="W56" s="1055"/>
      <c r="X56" s="1055"/>
      <c r="Y56" s="1055"/>
      <c r="Z56" s="1055"/>
      <c r="AA56" s="1055"/>
      <c r="AB56" s="1055"/>
      <c r="AC56" s="1055"/>
      <c r="AD56" s="1055"/>
      <c r="AE56" s="1055"/>
      <c r="AF56" s="1055"/>
      <c r="AG56" s="1055"/>
      <c r="AH56" s="1055"/>
      <c r="AI56" s="1055"/>
      <c r="AJ56" s="1055"/>
      <c r="AK56" s="1055"/>
      <c r="AL56" s="1055"/>
      <c r="AM56" s="1055"/>
      <c r="AN56" s="1055"/>
      <c r="AO56" s="1055"/>
      <c r="AP56" s="1055"/>
      <c r="AQ56" s="1055"/>
      <c r="AR56" s="1055"/>
      <c r="AS56" s="1055"/>
      <c r="AT56" s="1055"/>
      <c r="AU56" s="1055"/>
      <c r="AV56" s="1055"/>
      <c r="AW56" s="1055"/>
      <c r="AX56" s="1055"/>
      <c r="AY56" s="1055"/>
      <c r="AZ56" s="1055"/>
      <c r="BA56" s="1055"/>
      <c r="BB56" s="1055"/>
      <c r="BC56" s="1055"/>
      <c r="BD56" s="1055"/>
      <c r="BE56" s="1055"/>
      <c r="BF56" s="1055"/>
      <c r="BG56" s="1055"/>
      <c r="BH56" s="1055"/>
      <c r="BI56" s="1055"/>
      <c r="BJ56" s="1055"/>
      <c r="BK56" s="1055"/>
      <c r="BL56" s="1055"/>
      <c r="BM56" s="1055"/>
      <c r="BN56" s="1055"/>
      <c r="BO56" s="1055"/>
      <c r="BP56" s="1055"/>
      <c r="BQ56" s="1055"/>
      <c r="BR56" s="1055"/>
      <c r="BS56" s="1055"/>
      <c r="BT56" s="1055"/>
      <c r="BU56" s="1055"/>
      <c r="BV56" s="1055"/>
      <c r="BW56" s="1055"/>
      <c r="BX56" s="1055"/>
      <c r="BY56" s="1055"/>
      <c r="BZ56" s="1055"/>
      <c r="CA56" s="1055"/>
      <c r="CB56" s="1055"/>
      <c r="CC56" s="1055"/>
      <c r="CD56" s="1055"/>
      <c r="CE56" s="1055"/>
      <c r="CF56" s="1055"/>
      <c r="CG56" s="1055"/>
      <c r="CH56" s="1055"/>
      <c r="CI56" s="1055"/>
      <c r="CJ56" s="1055"/>
      <c r="CK56" s="1055"/>
      <c r="CL56" s="1055"/>
      <c r="CM56" s="1055"/>
      <c r="CN56" s="1055"/>
      <c r="CO56" s="1055"/>
      <c r="CP56" s="1055"/>
      <c r="CQ56" s="1055"/>
      <c r="CR56" s="1055"/>
      <c r="CS56" s="1055"/>
      <c r="CT56" s="1055"/>
      <c r="CU56" s="1055"/>
      <c r="CV56" s="1055"/>
      <c r="CW56" s="1055"/>
      <c r="CX56" s="1055"/>
      <c r="CY56" s="1055"/>
      <c r="CZ56" s="1055"/>
      <c r="DA56" s="1055"/>
      <c r="DB56" s="1055"/>
      <c r="DC56" s="1055"/>
      <c r="DD56" s="1055"/>
      <c r="DE56" s="1055"/>
      <c r="DF56" s="1055"/>
      <c r="DG56" s="1055"/>
      <c r="DH56" s="1055"/>
      <c r="DI56" s="1055"/>
      <c r="DJ56" s="1055"/>
      <c r="DK56" s="1055"/>
      <c r="DL56" s="1055"/>
      <c r="DM56" s="1055"/>
      <c r="DN56" s="1055"/>
      <c r="DO56" s="1055"/>
      <c r="DP56" s="1055"/>
      <c r="DQ56" s="1055"/>
      <c r="DR56" s="1055"/>
      <c r="DS56" s="1055"/>
      <c r="DT56" s="1055"/>
      <c r="DU56" s="1055"/>
      <c r="DV56" s="1055"/>
      <c r="DW56" s="1055"/>
      <c r="DX56" s="1055"/>
      <c r="DY56" s="1055"/>
      <c r="DZ56" s="1055"/>
      <c r="EA56" s="1055"/>
      <c r="EB56" s="1055"/>
      <c r="EC56" s="1055"/>
      <c r="ED56" s="1055"/>
      <c r="EE56" s="1055"/>
      <c r="EF56" s="1055"/>
      <c r="EG56" s="1055"/>
      <c r="EH56" s="1055"/>
      <c r="EI56" s="1055"/>
      <c r="EJ56" s="1055"/>
      <c r="EK56" s="1055"/>
      <c r="EL56" s="1055"/>
      <c r="EM56" s="1055"/>
      <c r="EN56" s="1055"/>
      <c r="EO56" s="1055"/>
      <c r="EP56" s="1055"/>
      <c r="EQ56" s="1055"/>
      <c r="ER56" s="1055"/>
      <c r="ES56" s="1055"/>
      <c r="ET56" s="1055"/>
      <c r="EU56" s="1055"/>
      <c r="EV56" s="1055"/>
      <c r="EW56" s="1055"/>
      <c r="EX56" s="1055"/>
      <c r="EY56" s="1055"/>
      <c r="EZ56" s="1055"/>
      <c r="FA56" s="1055"/>
      <c r="FB56" s="1055"/>
      <c r="FC56" s="1055"/>
      <c r="FD56" s="1055"/>
      <c r="FE56" s="1055"/>
      <c r="FF56" s="1055"/>
      <c r="FG56" s="1055"/>
      <c r="FH56" s="1055"/>
      <c r="FI56" s="1055"/>
      <c r="FJ56" s="1055"/>
      <c r="FK56" s="1055"/>
      <c r="FL56" s="1055"/>
      <c r="FM56" s="1055"/>
      <c r="FN56" s="1055"/>
      <c r="FO56" s="1055"/>
      <c r="FP56" s="1055"/>
      <c r="FQ56" s="1055"/>
      <c r="FR56" s="1055"/>
      <c r="FS56" s="1055"/>
      <c r="FT56" s="1055"/>
      <c r="FU56" s="1055"/>
      <c r="FV56" s="1055"/>
      <c r="FW56" s="1055"/>
      <c r="FX56" s="1055"/>
      <c r="FY56" s="1055"/>
      <c r="FZ56" s="1055"/>
      <c r="GA56" s="1055"/>
      <c r="GB56" s="1055"/>
      <c r="GC56" s="1055"/>
      <c r="GD56" s="1055"/>
      <c r="GE56" s="1055"/>
      <c r="GF56" s="1055"/>
      <c r="GG56" s="1055"/>
      <c r="GH56" s="1055"/>
      <c r="GI56" s="1055"/>
      <c r="GJ56" s="1055"/>
    </row>
    <row r="57" spans="1:192" s="1067" customFormat="1">
      <c r="A57" s="931" t="s">
        <v>525</v>
      </c>
      <c r="B57" s="912"/>
      <c r="C57" s="912"/>
      <c r="D57" s="912"/>
      <c r="E57" s="912"/>
      <c r="F57" s="912"/>
      <c r="G57" s="932"/>
      <c r="H57" s="1055"/>
      <c r="I57" s="1055"/>
      <c r="J57" s="1055"/>
      <c r="K57" s="1055"/>
      <c r="L57" s="1055"/>
      <c r="M57" s="1055"/>
      <c r="N57" s="1055"/>
      <c r="O57" s="1055"/>
      <c r="P57" s="1055"/>
      <c r="Q57" s="1055"/>
      <c r="R57" s="1055"/>
      <c r="S57" s="1055"/>
      <c r="T57" s="1055"/>
      <c r="U57" s="1055"/>
      <c r="V57" s="1055"/>
      <c r="W57" s="1055"/>
      <c r="X57" s="1055"/>
      <c r="Y57" s="1055"/>
      <c r="Z57" s="1055"/>
      <c r="AA57" s="1055"/>
      <c r="AB57" s="1055"/>
      <c r="AC57" s="1055"/>
      <c r="AD57" s="1055"/>
      <c r="AE57" s="1055"/>
      <c r="AF57" s="1055"/>
      <c r="AG57" s="1055"/>
      <c r="AH57" s="1055"/>
      <c r="AI57" s="1055"/>
      <c r="AJ57" s="1055"/>
      <c r="AK57" s="1055"/>
      <c r="AL57" s="1055"/>
      <c r="AM57" s="1055"/>
      <c r="AN57" s="1055"/>
      <c r="AO57" s="1055"/>
      <c r="AP57" s="1055"/>
      <c r="AQ57" s="1055"/>
      <c r="AR57" s="1055"/>
      <c r="AS57" s="1055"/>
      <c r="AT57" s="1055"/>
      <c r="AU57" s="1055"/>
      <c r="AV57" s="1055"/>
      <c r="AW57" s="1055"/>
      <c r="AX57" s="1055"/>
      <c r="AY57" s="1055"/>
      <c r="AZ57" s="1055"/>
      <c r="BA57" s="1055"/>
      <c r="BB57" s="1055"/>
      <c r="BC57" s="1055"/>
      <c r="BD57" s="1055"/>
      <c r="BE57" s="1055"/>
      <c r="BF57" s="1055"/>
      <c r="BG57" s="1055"/>
      <c r="BH57" s="1055"/>
      <c r="BI57" s="1055"/>
      <c r="BJ57" s="1055"/>
      <c r="BK57" s="1055"/>
      <c r="BL57" s="1055"/>
      <c r="BM57" s="1055"/>
      <c r="BN57" s="1055"/>
      <c r="BO57" s="1055"/>
      <c r="BP57" s="1055"/>
      <c r="BQ57" s="1055"/>
      <c r="BR57" s="1055"/>
      <c r="BS57" s="1055"/>
      <c r="BT57" s="1055"/>
      <c r="BU57" s="1055"/>
      <c r="BV57" s="1055"/>
      <c r="BW57" s="1055"/>
      <c r="BX57" s="1055"/>
      <c r="BY57" s="1055"/>
      <c r="BZ57" s="1055"/>
      <c r="CA57" s="1055"/>
      <c r="CB57" s="1055"/>
      <c r="CC57" s="1055"/>
      <c r="CD57" s="1055"/>
      <c r="CE57" s="1055"/>
      <c r="CF57" s="1055"/>
      <c r="CG57" s="1055"/>
      <c r="CH57" s="1055"/>
      <c r="CI57" s="1055"/>
      <c r="CJ57" s="1055"/>
      <c r="CK57" s="1055"/>
      <c r="CL57" s="1055"/>
      <c r="CM57" s="1055"/>
      <c r="CN57" s="1055"/>
      <c r="CO57" s="1055"/>
      <c r="CP57" s="1055"/>
      <c r="CQ57" s="1055"/>
      <c r="CR57" s="1055"/>
      <c r="CS57" s="1055"/>
      <c r="CT57" s="1055"/>
      <c r="CU57" s="1055"/>
      <c r="CV57" s="1055"/>
      <c r="CW57" s="1055"/>
      <c r="CX57" s="1055"/>
      <c r="CY57" s="1055"/>
      <c r="CZ57" s="1055"/>
      <c r="DA57" s="1055"/>
      <c r="DB57" s="1055"/>
      <c r="DC57" s="1055"/>
      <c r="DD57" s="1055"/>
      <c r="DE57" s="1055"/>
      <c r="DF57" s="1055"/>
      <c r="DG57" s="1055"/>
      <c r="DH57" s="1055"/>
      <c r="DI57" s="1055"/>
      <c r="DJ57" s="1055"/>
      <c r="DK57" s="1055"/>
      <c r="DL57" s="1055"/>
      <c r="DM57" s="1055"/>
      <c r="DN57" s="1055"/>
      <c r="DO57" s="1055"/>
      <c r="DP57" s="1055"/>
      <c r="DQ57" s="1055"/>
      <c r="DR57" s="1055"/>
      <c r="DS57" s="1055"/>
      <c r="DT57" s="1055"/>
      <c r="DU57" s="1055"/>
      <c r="DV57" s="1055"/>
      <c r="DW57" s="1055"/>
      <c r="DX57" s="1055"/>
      <c r="DY57" s="1055"/>
      <c r="DZ57" s="1055"/>
      <c r="EA57" s="1055"/>
      <c r="EB57" s="1055"/>
      <c r="EC57" s="1055"/>
      <c r="ED57" s="1055"/>
      <c r="EE57" s="1055"/>
      <c r="EF57" s="1055"/>
      <c r="EG57" s="1055"/>
      <c r="EH57" s="1055"/>
      <c r="EI57" s="1055"/>
      <c r="EJ57" s="1055"/>
      <c r="EK57" s="1055"/>
      <c r="EL57" s="1055"/>
      <c r="EM57" s="1055"/>
      <c r="EN57" s="1055"/>
      <c r="EO57" s="1055"/>
      <c r="EP57" s="1055"/>
      <c r="EQ57" s="1055"/>
      <c r="ER57" s="1055"/>
      <c r="ES57" s="1055"/>
      <c r="ET57" s="1055"/>
      <c r="EU57" s="1055"/>
      <c r="EV57" s="1055"/>
      <c r="EW57" s="1055"/>
      <c r="EX57" s="1055"/>
      <c r="EY57" s="1055"/>
      <c r="EZ57" s="1055"/>
      <c r="FA57" s="1055"/>
      <c r="FB57" s="1055"/>
      <c r="FC57" s="1055"/>
      <c r="FD57" s="1055"/>
      <c r="FE57" s="1055"/>
      <c r="FF57" s="1055"/>
      <c r="FG57" s="1055"/>
      <c r="FH57" s="1055"/>
      <c r="FI57" s="1055"/>
      <c r="FJ57" s="1055"/>
      <c r="FK57" s="1055"/>
      <c r="FL57" s="1055"/>
      <c r="FM57" s="1055"/>
      <c r="FN57" s="1055"/>
      <c r="FO57" s="1055"/>
      <c r="FP57" s="1055"/>
      <c r="FQ57" s="1055"/>
      <c r="FR57" s="1055"/>
      <c r="FS57" s="1055"/>
      <c r="FT57" s="1055"/>
      <c r="FU57" s="1055"/>
      <c r="FV57" s="1055"/>
      <c r="FW57" s="1055"/>
      <c r="FX57" s="1055"/>
      <c r="FY57" s="1055"/>
      <c r="FZ57" s="1055"/>
      <c r="GA57" s="1055"/>
      <c r="GB57" s="1055"/>
      <c r="GC57" s="1055"/>
      <c r="GD57" s="1055"/>
      <c r="GE57" s="1055"/>
      <c r="GF57" s="1055"/>
      <c r="GG57" s="1055"/>
      <c r="GH57" s="1055"/>
      <c r="GI57" s="1055"/>
      <c r="GJ57" s="1055"/>
    </row>
    <row r="58" spans="1:192" s="1067" customFormat="1">
      <c r="A58" s="1069"/>
      <c r="B58" s="1070"/>
      <c r="C58" s="1071"/>
      <c r="D58" s="1071"/>
      <c r="E58" s="1071"/>
      <c r="F58" s="1072"/>
      <c r="G58" s="1073"/>
      <c r="H58" s="1055"/>
      <c r="I58" s="1055"/>
      <c r="J58" s="1055"/>
      <c r="K58" s="1055"/>
      <c r="L58" s="1055"/>
      <c r="M58" s="1055"/>
      <c r="N58" s="1055"/>
      <c r="O58" s="1055"/>
      <c r="P58" s="1055"/>
      <c r="Q58" s="1055"/>
      <c r="R58" s="1055"/>
      <c r="S58" s="1055"/>
      <c r="T58" s="1055"/>
      <c r="U58" s="1055"/>
      <c r="V58" s="1055"/>
      <c r="W58" s="1055"/>
      <c r="X58" s="1055"/>
      <c r="Y58" s="1055"/>
      <c r="Z58" s="1055"/>
      <c r="AA58" s="1055"/>
      <c r="AB58" s="1055"/>
      <c r="AC58" s="1055"/>
      <c r="AD58" s="1055"/>
      <c r="AE58" s="1055"/>
      <c r="AF58" s="1055"/>
      <c r="AG58" s="1055"/>
      <c r="AH58" s="1055"/>
      <c r="AI58" s="1055"/>
      <c r="AJ58" s="1055"/>
      <c r="AK58" s="1055"/>
      <c r="AL58" s="1055"/>
      <c r="AM58" s="1055"/>
      <c r="AN58" s="1055"/>
      <c r="AO58" s="1055"/>
      <c r="AP58" s="1055"/>
      <c r="AQ58" s="1055"/>
      <c r="AR58" s="1055"/>
      <c r="AS58" s="1055"/>
      <c r="AT58" s="1055"/>
      <c r="AU58" s="1055"/>
      <c r="AV58" s="1055"/>
      <c r="AW58" s="1055"/>
      <c r="AX58" s="1055"/>
      <c r="AY58" s="1055"/>
      <c r="AZ58" s="1055"/>
      <c r="BA58" s="1055"/>
      <c r="BB58" s="1055"/>
      <c r="BC58" s="1055"/>
      <c r="BD58" s="1055"/>
      <c r="BE58" s="1055"/>
      <c r="BF58" s="1055"/>
      <c r="BG58" s="1055"/>
      <c r="BH58" s="1055"/>
      <c r="BI58" s="1055"/>
      <c r="BJ58" s="1055"/>
      <c r="BK58" s="1055"/>
      <c r="BL58" s="1055"/>
      <c r="BM58" s="1055"/>
      <c r="BN58" s="1055"/>
      <c r="BO58" s="1055"/>
      <c r="BP58" s="1055"/>
      <c r="BQ58" s="1055"/>
      <c r="BR58" s="1055"/>
      <c r="BS58" s="1055"/>
      <c r="BT58" s="1055"/>
      <c r="BU58" s="1055"/>
      <c r="BV58" s="1055"/>
      <c r="BW58" s="1055"/>
      <c r="BX58" s="1055"/>
      <c r="BY58" s="1055"/>
      <c r="BZ58" s="1055"/>
      <c r="CA58" s="1055"/>
      <c r="CB58" s="1055"/>
      <c r="CC58" s="1055"/>
      <c r="CD58" s="1055"/>
      <c r="CE58" s="1055"/>
      <c r="CF58" s="1055"/>
      <c r="CG58" s="1055"/>
      <c r="CH58" s="1055"/>
      <c r="CI58" s="1055"/>
      <c r="CJ58" s="1055"/>
      <c r="CK58" s="1055"/>
      <c r="CL58" s="1055"/>
      <c r="CM58" s="1055"/>
      <c r="CN58" s="1055"/>
      <c r="CO58" s="1055"/>
      <c r="CP58" s="1055"/>
      <c r="CQ58" s="1055"/>
      <c r="CR58" s="1055"/>
      <c r="CS58" s="1055"/>
      <c r="CT58" s="1055"/>
      <c r="CU58" s="1055"/>
      <c r="CV58" s="1055"/>
      <c r="CW58" s="1055"/>
      <c r="CX58" s="1055"/>
      <c r="CY58" s="1055"/>
      <c r="CZ58" s="1055"/>
      <c r="DA58" s="1055"/>
      <c r="DB58" s="1055"/>
      <c r="DC58" s="1055"/>
      <c r="DD58" s="1055"/>
      <c r="DE58" s="1055"/>
      <c r="DF58" s="1055"/>
      <c r="DG58" s="1055"/>
      <c r="DH58" s="1055"/>
      <c r="DI58" s="1055"/>
      <c r="DJ58" s="1055"/>
      <c r="DK58" s="1055"/>
      <c r="DL58" s="1055"/>
      <c r="DM58" s="1055"/>
      <c r="DN58" s="1055"/>
      <c r="DO58" s="1055"/>
      <c r="DP58" s="1055"/>
      <c r="DQ58" s="1055"/>
      <c r="DR58" s="1055"/>
      <c r="DS58" s="1055"/>
      <c r="DT58" s="1055"/>
      <c r="DU58" s="1055"/>
      <c r="DV58" s="1055"/>
      <c r="DW58" s="1055"/>
      <c r="DX58" s="1055"/>
      <c r="DY58" s="1055"/>
      <c r="DZ58" s="1055"/>
      <c r="EA58" s="1055"/>
      <c r="EB58" s="1055"/>
      <c r="EC58" s="1055"/>
      <c r="ED58" s="1055"/>
      <c r="EE58" s="1055"/>
      <c r="EF58" s="1055"/>
      <c r="EG58" s="1055"/>
      <c r="EH58" s="1055"/>
      <c r="EI58" s="1055"/>
      <c r="EJ58" s="1055"/>
      <c r="EK58" s="1055"/>
      <c r="EL58" s="1055"/>
      <c r="EM58" s="1055"/>
      <c r="EN58" s="1055"/>
      <c r="EO58" s="1055"/>
      <c r="EP58" s="1055"/>
      <c r="EQ58" s="1055"/>
      <c r="ER58" s="1055"/>
      <c r="ES58" s="1055"/>
      <c r="ET58" s="1055"/>
      <c r="EU58" s="1055"/>
      <c r="EV58" s="1055"/>
      <c r="EW58" s="1055"/>
      <c r="EX58" s="1055"/>
      <c r="EY58" s="1055"/>
      <c r="EZ58" s="1055"/>
      <c r="FA58" s="1055"/>
      <c r="FB58" s="1055"/>
      <c r="FC58" s="1055"/>
      <c r="FD58" s="1055"/>
      <c r="FE58" s="1055"/>
      <c r="FF58" s="1055"/>
      <c r="FG58" s="1055"/>
      <c r="FH58" s="1055"/>
      <c r="FI58" s="1055"/>
      <c r="FJ58" s="1055"/>
      <c r="FK58" s="1055"/>
      <c r="FL58" s="1055"/>
      <c r="FM58" s="1055"/>
      <c r="FN58" s="1055"/>
      <c r="FO58" s="1055"/>
      <c r="FP58" s="1055"/>
      <c r="FQ58" s="1055"/>
      <c r="FR58" s="1055"/>
      <c r="FS58" s="1055"/>
      <c r="FT58" s="1055"/>
      <c r="FU58" s="1055"/>
      <c r="FV58" s="1055"/>
      <c r="FW58" s="1055"/>
      <c r="FX58" s="1055"/>
      <c r="FY58" s="1055"/>
      <c r="FZ58" s="1055"/>
      <c r="GA58" s="1055"/>
      <c r="GB58" s="1055"/>
      <c r="GC58" s="1055"/>
      <c r="GD58" s="1055"/>
      <c r="GE58" s="1055"/>
      <c r="GF58" s="1055"/>
      <c r="GG58" s="1055"/>
      <c r="GH58" s="1055"/>
      <c r="GI58" s="1055"/>
      <c r="GJ58" s="1055"/>
    </row>
    <row r="59" spans="1:192" s="1067" customFormat="1">
      <c r="A59" s="935" t="s">
        <v>506</v>
      </c>
      <c r="B59" s="936"/>
      <c r="C59" s="936"/>
      <c r="D59" s="936"/>
      <c r="E59" s="936"/>
      <c r="F59" s="936"/>
      <c r="G59" s="914"/>
      <c r="H59" s="1055"/>
      <c r="I59" s="1055"/>
      <c r="J59" s="1055"/>
      <c r="K59" s="1055"/>
      <c r="L59" s="1055"/>
      <c r="M59" s="1055"/>
      <c r="N59" s="1055"/>
      <c r="O59" s="1055"/>
      <c r="P59" s="1055"/>
      <c r="Q59" s="1055"/>
      <c r="R59" s="1055"/>
      <c r="S59" s="1055"/>
      <c r="T59" s="1055"/>
      <c r="U59" s="1055"/>
      <c r="V59" s="1055"/>
      <c r="W59" s="1055"/>
      <c r="X59" s="1055"/>
      <c r="Y59" s="1055"/>
      <c r="Z59" s="1055"/>
      <c r="AA59" s="1055"/>
      <c r="AB59" s="1055"/>
      <c r="AC59" s="1055"/>
      <c r="AD59" s="1055"/>
      <c r="AE59" s="1055"/>
      <c r="AF59" s="1055"/>
      <c r="AG59" s="1055"/>
      <c r="AH59" s="1055"/>
      <c r="AI59" s="1055"/>
      <c r="AJ59" s="1055"/>
      <c r="AK59" s="1055"/>
      <c r="AL59" s="1055"/>
      <c r="AM59" s="1055"/>
      <c r="AN59" s="1055"/>
      <c r="AO59" s="1055"/>
      <c r="AP59" s="1055"/>
      <c r="AQ59" s="1055"/>
      <c r="AR59" s="1055"/>
      <c r="AS59" s="1055"/>
      <c r="AT59" s="1055"/>
      <c r="AU59" s="1055"/>
      <c r="AV59" s="1055"/>
      <c r="AW59" s="1055"/>
      <c r="AX59" s="1055"/>
      <c r="AY59" s="1055"/>
      <c r="AZ59" s="1055"/>
      <c r="BA59" s="1055"/>
      <c r="BB59" s="1055"/>
      <c r="BC59" s="1055"/>
      <c r="BD59" s="1055"/>
      <c r="BE59" s="1055"/>
      <c r="BF59" s="1055"/>
      <c r="BG59" s="1055"/>
      <c r="BH59" s="1055"/>
      <c r="BI59" s="1055"/>
      <c r="BJ59" s="1055"/>
      <c r="BK59" s="1055"/>
      <c r="BL59" s="1055"/>
      <c r="BM59" s="1055"/>
      <c r="BN59" s="1055"/>
      <c r="BO59" s="1055"/>
      <c r="BP59" s="1055"/>
      <c r="BQ59" s="1055"/>
      <c r="BR59" s="1055"/>
      <c r="BS59" s="1055"/>
      <c r="BT59" s="1055"/>
      <c r="BU59" s="1055"/>
      <c r="BV59" s="1055"/>
      <c r="BW59" s="1055"/>
      <c r="BX59" s="1055"/>
      <c r="BY59" s="1055"/>
      <c r="BZ59" s="1055"/>
      <c r="CA59" s="1055"/>
      <c r="CB59" s="1055"/>
      <c r="CC59" s="1055"/>
      <c r="CD59" s="1055"/>
      <c r="CE59" s="1055"/>
      <c r="CF59" s="1055"/>
      <c r="CG59" s="1055"/>
      <c r="CH59" s="1055"/>
      <c r="CI59" s="1055"/>
      <c r="CJ59" s="1055"/>
      <c r="CK59" s="1055"/>
      <c r="CL59" s="1055"/>
      <c r="CM59" s="1055"/>
      <c r="CN59" s="1055"/>
      <c r="CO59" s="1055"/>
      <c r="CP59" s="1055"/>
      <c r="CQ59" s="1055"/>
      <c r="CR59" s="1055"/>
      <c r="CS59" s="1055"/>
      <c r="CT59" s="1055"/>
      <c r="CU59" s="1055"/>
      <c r="CV59" s="1055"/>
      <c r="CW59" s="1055"/>
      <c r="CX59" s="1055"/>
      <c r="CY59" s="1055"/>
      <c r="CZ59" s="1055"/>
      <c r="DA59" s="1055"/>
      <c r="DB59" s="1055"/>
      <c r="DC59" s="1055"/>
      <c r="DD59" s="1055"/>
      <c r="DE59" s="1055"/>
      <c r="DF59" s="1055"/>
      <c r="DG59" s="1055"/>
      <c r="DH59" s="1055"/>
      <c r="DI59" s="1055"/>
      <c r="DJ59" s="1055"/>
      <c r="DK59" s="1055"/>
      <c r="DL59" s="1055"/>
      <c r="DM59" s="1055"/>
      <c r="DN59" s="1055"/>
      <c r="DO59" s="1055"/>
      <c r="DP59" s="1055"/>
      <c r="DQ59" s="1055"/>
      <c r="DR59" s="1055"/>
      <c r="DS59" s="1055"/>
      <c r="DT59" s="1055"/>
      <c r="DU59" s="1055"/>
      <c r="DV59" s="1055"/>
      <c r="DW59" s="1055"/>
      <c r="DX59" s="1055"/>
      <c r="DY59" s="1055"/>
      <c r="DZ59" s="1055"/>
      <c r="EA59" s="1055"/>
      <c r="EB59" s="1055"/>
      <c r="EC59" s="1055"/>
      <c r="ED59" s="1055"/>
      <c r="EE59" s="1055"/>
      <c r="EF59" s="1055"/>
      <c r="EG59" s="1055"/>
      <c r="EH59" s="1055"/>
      <c r="EI59" s="1055"/>
      <c r="EJ59" s="1055"/>
      <c r="EK59" s="1055"/>
      <c r="EL59" s="1055"/>
      <c r="EM59" s="1055"/>
      <c r="EN59" s="1055"/>
      <c r="EO59" s="1055"/>
      <c r="EP59" s="1055"/>
      <c r="EQ59" s="1055"/>
      <c r="ER59" s="1055"/>
      <c r="ES59" s="1055"/>
      <c r="ET59" s="1055"/>
      <c r="EU59" s="1055"/>
      <c r="EV59" s="1055"/>
      <c r="EW59" s="1055"/>
      <c r="EX59" s="1055"/>
      <c r="EY59" s="1055"/>
      <c r="EZ59" s="1055"/>
      <c r="FA59" s="1055"/>
      <c r="FB59" s="1055"/>
      <c r="FC59" s="1055"/>
      <c r="FD59" s="1055"/>
      <c r="FE59" s="1055"/>
      <c r="FF59" s="1055"/>
      <c r="FG59" s="1055"/>
      <c r="FH59" s="1055"/>
      <c r="FI59" s="1055"/>
      <c r="FJ59" s="1055"/>
      <c r="FK59" s="1055"/>
      <c r="FL59" s="1055"/>
      <c r="FM59" s="1055"/>
      <c r="FN59" s="1055"/>
      <c r="FO59" s="1055"/>
      <c r="FP59" s="1055"/>
      <c r="FQ59" s="1055"/>
      <c r="FR59" s="1055"/>
      <c r="FS59" s="1055"/>
      <c r="FT59" s="1055"/>
      <c r="FU59" s="1055"/>
      <c r="FV59" s="1055"/>
      <c r="FW59" s="1055"/>
      <c r="FX59" s="1055"/>
      <c r="FY59" s="1055"/>
      <c r="FZ59" s="1055"/>
      <c r="GA59" s="1055"/>
      <c r="GB59" s="1055"/>
      <c r="GC59" s="1055"/>
      <c r="GD59" s="1055"/>
      <c r="GE59" s="1055"/>
      <c r="GF59" s="1055"/>
      <c r="GG59" s="1055"/>
      <c r="GH59" s="1055"/>
      <c r="GI59" s="1055"/>
      <c r="GJ59" s="1055"/>
    </row>
    <row r="60" spans="1:192" s="1067" customFormat="1">
      <c r="A60" s="937" t="s">
        <v>576</v>
      </c>
      <c r="B60" s="938"/>
      <c r="C60" s="939"/>
      <c r="D60" s="939"/>
      <c r="E60" s="939"/>
      <c r="F60" s="939"/>
      <c r="G60" s="940"/>
      <c r="H60" s="1055"/>
      <c r="I60" s="1055"/>
      <c r="J60" s="1055"/>
      <c r="K60" s="1055"/>
      <c r="L60" s="1055"/>
      <c r="M60" s="1055"/>
      <c r="N60" s="1055"/>
      <c r="O60" s="1055"/>
      <c r="P60" s="1055"/>
      <c r="Q60" s="1055"/>
      <c r="R60" s="1055"/>
      <c r="S60" s="1055"/>
      <c r="T60" s="1055"/>
      <c r="U60" s="1055"/>
      <c r="V60" s="1055"/>
      <c r="W60" s="1055"/>
      <c r="X60" s="1055"/>
      <c r="Y60" s="1055"/>
      <c r="Z60" s="1055"/>
      <c r="AA60" s="1055"/>
      <c r="AB60" s="1055"/>
      <c r="AC60" s="1055"/>
      <c r="AD60" s="1055"/>
      <c r="AE60" s="1055"/>
      <c r="AF60" s="1055"/>
      <c r="AG60" s="1055"/>
      <c r="AH60" s="1055"/>
      <c r="AI60" s="1055"/>
      <c r="AJ60" s="1055"/>
      <c r="AK60" s="1055"/>
      <c r="AL60" s="1055"/>
      <c r="AM60" s="1055"/>
      <c r="AN60" s="1055"/>
      <c r="AO60" s="1055"/>
      <c r="AP60" s="1055"/>
      <c r="AQ60" s="1055"/>
      <c r="AR60" s="1055"/>
      <c r="AS60" s="1055"/>
      <c r="AT60" s="1055"/>
      <c r="AU60" s="1055"/>
      <c r="AV60" s="1055"/>
      <c r="AW60" s="1055"/>
      <c r="AX60" s="1055"/>
      <c r="AY60" s="1055"/>
      <c r="AZ60" s="1055"/>
      <c r="BA60" s="1055"/>
      <c r="BB60" s="1055"/>
      <c r="BC60" s="1055"/>
      <c r="BD60" s="1055"/>
      <c r="BE60" s="1055"/>
      <c r="BF60" s="1055"/>
      <c r="BG60" s="1055"/>
      <c r="BH60" s="1055"/>
      <c r="BI60" s="1055"/>
      <c r="BJ60" s="1055"/>
      <c r="BK60" s="1055"/>
      <c r="BL60" s="1055"/>
      <c r="BM60" s="1055"/>
      <c r="BN60" s="1055"/>
      <c r="BO60" s="1055"/>
      <c r="BP60" s="1055"/>
      <c r="BQ60" s="1055"/>
      <c r="BR60" s="1055"/>
      <c r="BS60" s="1055"/>
      <c r="BT60" s="1055"/>
      <c r="BU60" s="1055"/>
      <c r="BV60" s="1055"/>
      <c r="BW60" s="1055"/>
      <c r="BX60" s="1055"/>
      <c r="BY60" s="1055"/>
      <c r="BZ60" s="1055"/>
      <c r="CA60" s="1055"/>
      <c r="CB60" s="1055"/>
      <c r="CC60" s="1055"/>
      <c r="CD60" s="1055"/>
      <c r="CE60" s="1055"/>
      <c r="CF60" s="1055"/>
      <c r="CG60" s="1055"/>
      <c r="CH60" s="1055"/>
      <c r="CI60" s="1055"/>
      <c r="CJ60" s="1055"/>
      <c r="CK60" s="1055"/>
      <c r="CL60" s="1055"/>
      <c r="CM60" s="1055"/>
      <c r="CN60" s="1055"/>
      <c r="CO60" s="1055"/>
      <c r="CP60" s="1055"/>
      <c r="CQ60" s="1055"/>
      <c r="CR60" s="1055"/>
      <c r="CS60" s="1055"/>
      <c r="CT60" s="1055"/>
      <c r="CU60" s="1055"/>
      <c r="CV60" s="1055"/>
      <c r="CW60" s="1055"/>
      <c r="CX60" s="1055"/>
      <c r="CY60" s="1055"/>
      <c r="CZ60" s="1055"/>
      <c r="DA60" s="1055"/>
      <c r="DB60" s="1055"/>
      <c r="DC60" s="1055"/>
      <c r="DD60" s="1055"/>
      <c r="DE60" s="1055"/>
      <c r="DF60" s="1055"/>
      <c r="DG60" s="1055"/>
      <c r="DH60" s="1055"/>
      <c r="DI60" s="1055"/>
      <c r="DJ60" s="1055"/>
      <c r="DK60" s="1055"/>
      <c r="DL60" s="1055"/>
      <c r="DM60" s="1055"/>
      <c r="DN60" s="1055"/>
      <c r="DO60" s="1055"/>
      <c r="DP60" s="1055"/>
      <c r="DQ60" s="1055"/>
      <c r="DR60" s="1055"/>
      <c r="DS60" s="1055"/>
      <c r="DT60" s="1055"/>
      <c r="DU60" s="1055"/>
      <c r="DV60" s="1055"/>
      <c r="DW60" s="1055"/>
      <c r="DX60" s="1055"/>
      <c r="DY60" s="1055"/>
      <c r="DZ60" s="1055"/>
      <c r="EA60" s="1055"/>
      <c r="EB60" s="1055"/>
      <c r="EC60" s="1055"/>
      <c r="ED60" s="1055"/>
      <c r="EE60" s="1055"/>
      <c r="EF60" s="1055"/>
      <c r="EG60" s="1055"/>
      <c r="EH60" s="1055"/>
      <c r="EI60" s="1055"/>
      <c r="EJ60" s="1055"/>
      <c r="EK60" s="1055"/>
      <c r="EL60" s="1055"/>
      <c r="EM60" s="1055"/>
      <c r="EN60" s="1055"/>
      <c r="EO60" s="1055"/>
      <c r="EP60" s="1055"/>
      <c r="EQ60" s="1055"/>
      <c r="ER60" s="1055"/>
      <c r="ES60" s="1055"/>
      <c r="ET60" s="1055"/>
      <c r="EU60" s="1055"/>
      <c r="EV60" s="1055"/>
      <c r="EW60" s="1055"/>
      <c r="EX60" s="1055"/>
      <c r="EY60" s="1055"/>
      <c r="EZ60" s="1055"/>
      <c r="FA60" s="1055"/>
      <c r="FB60" s="1055"/>
      <c r="FC60" s="1055"/>
      <c r="FD60" s="1055"/>
      <c r="FE60" s="1055"/>
      <c r="FF60" s="1055"/>
      <c r="FG60" s="1055"/>
      <c r="FH60" s="1055"/>
      <c r="FI60" s="1055"/>
      <c r="FJ60" s="1055"/>
      <c r="FK60" s="1055"/>
      <c r="FL60" s="1055"/>
      <c r="FM60" s="1055"/>
      <c r="FN60" s="1055"/>
      <c r="FO60" s="1055"/>
      <c r="FP60" s="1055"/>
      <c r="FQ60" s="1055"/>
      <c r="FR60" s="1055"/>
      <c r="FS60" s="1055"/>
      <c r="FT60" s="1055"/>
      <c r="FU60" s="1055"/>
      <c r="FV60" s="1055"/>
      <c r="FW60" s="1055"/>
      <c r="FX60" s="1055"/>
      <c r="FY60" s="1055"/>
      <c r="FZ60" s="1055"/>
      <c r="GA60" s="1055"/>
      <c r="GB60" s="1055"/>
      <c r="GC60" s="1055"/>
      <c r="GD60" s="1055"/>
      <c r="GE60" s="1055"/>
      <c r="GF60" s="1055"/>
      <c r="GG60" s="1055"/>
      <c r="GH60" s="1055"/>
      <c r="GI60" s="1055"/>
      <c r="GJ60" s="1055"/>
    </row>
    <row r="61" spans="1:192" s="1067" customFormat="1">
      <c r="A61" s="941"/>
      <c r="B61" s="938"/>
      <c r="C61" s="939"/>
      <c r="D61" s="939"/>
      <c r="E61" s="939"/>
      <c r="F61" s="939"/>
      <c r="G61" s="940"/>
      <c r="H61" s="1055"/>
      <c r="I61" s="1055"/>
      <c r="J61" s="1055"/>
      <c r="K61" s="1055"/>
      <c r="L61" s="1055"/>
      <c r="M61" s="1055"/>
      <c r="N61" s="1055"/>
      <c r="O61" s="1055"/>
      <c r="P61" s="1055"/>
      <c r="Q61" s="1055"/>
      <c r="R61" s="1055"/>
      <c r="S61" s="1055"/>
      <c r="T61" s="1055"/>
      <c r="U61" s="1055"/>
      <c r="V61" s="1055"/>
      <c r="W61" s="1055"/>
      <c r="X61" s="1055"/>
      <c r="Y61" s="1055"/>
      <c r="Z61" s="1055"/>
      <c r="AA61" s="1055"/>
      <c r="AB61" s="1055"/>
      <c r="AC61" s="1055"/>
      <c r="AD61" s="1055"/>
      <c r="AE61" s="1055"/>
      <c r="AF61" s="1055"/>
      <c r="AG61" s="1055"/>
      <c r="AH61" s="1055"/>
      <c r="AI61" s="1055"/>
      <c r="AJ61" s="1055"/>
      <c r="AK61" s="1055"/>
      <c r="AL61" s="1055"/>
      <c r="AM61" s="1055"/>
      <c r="AN61" s="1055"/>
      <c r="AO61" s="1055"/>
      <c r="AP61" s="1055"/>
      <c r="AQ61" s="1055"/>
      <c r="AR61" s="1055"/>
      <c r="AS61" s="1055"/>
      <c r="AT61" s="1055"/>
      <c r="AU61" s="1055"/>
      <c r="AV61" s="1055"/>
      <c r="AW61" s="1055"/>
      <c r="AX61" s="1055"/>
      <c r="AY61" s="1055"/>
      <c r="AZ61" s="1055"/>
      <c r="BA61" s="1055"/>
      <c r="BB61" s="1055"/>
      <c r="BC61" s="1055"/>
      <c r="BD61" s="1055"/>
      <c r="BE61" s="1055"/>
      <c r="BF61" s="1055"/>
      <c r="BG61" s="1055"/>
      <c r="BH61" s="1055"/>
      <c r="BI61" s="1055"/>
      <c r="BJ61" s="1055"/>
      <c r="BK61" s="1055"/>
      <c r="BL61" s="1055"/>
      <c r="BM61" s="1055"/>
      <c r="BN61" s="1055"/>
      <c r="BO61" s="1055"/>
      <c r="BP61" s="1055"/>
      <c r="BQ61" s="1055"/>
      <c r="BR61" s="1055"/>
      <c r="BS61" s="1055"/>
      <c r="BT61" s="1055"/>
      <c r="BU61" s="1055"/>
      <c r="BV61" s="1055"/>
      <c r="BW61" s="1055"/>
      <c r="BX61" s="1055"/>
      <c r="BY61" s="1055"/>
      <c r="BZ61" s="1055"/>
      <c r="CA61" s="1055"/>
      <c r="CB61" s="1055"/>
      <c r="CC61" s="1055"/>
      <c r="CD61" s="1055"/>
      <c r="CE61" s="1055"/>
      <c r="CF61" s="1055"/>
      <c r="CG61" s="1055"/>
      <c r="CH61" s="1055"/>
      <c r="CI61" s="1055"/>
      <c r="CJ61" s="1055"/>
      <c r="CK61" s="1055"/>
      <c r="CL61" s="1055"/>
      <c r="CM61" s="1055"/>
      <c r="CN61" s="1055"/>
      <c r="CO61" s="1055"/>
      <c r="CP61" s="1055"/>
      <c r="CQ61" s="1055"/>
      <c r="CR61" s="1055"/>
      <c r="CS61" s="1055"/>
      <c r="CT61" s="1055"/>
      <c r="CU61" s="1055"/>
      <c r="CV61" s="1055"/>
      <c r="CW61" s="1055"/>
      <c r="CX61" s="1055"/>
      <c r="CY61" s="1055"/>
      <c r="CZ61" s="1055"/>
      <c r="DA61" s="1055"/>
      <c r="DB61" s="1055"/>
      <c r="DC61" s="1055"/>
      <c r="DD61" s="1055"/>
      <c r="DE61" s="1055"/>
      <c r="DF61" s="1055"/>
      <c r="DG61" s="1055"/>
      <c r="DH61" s="1055"/>
      <c r="DI61" s="1055"/>
      <c r="DJ61" s="1055"/>
      <c r="DK61" s="1055"/>
      <c r="DL61" s="1055"/>
      <c r="DM61" s="1055"/>
      <c r="DN61" s="1055"/>
      <c r="DO61" s="1055"/>
      <c r="DP61" s="1055"/>
      <c r="DQ61" s="1055"/>
      <c r="DR61" s="1055"/>
      <c r="DS61" s="1055"/>
      <c r="DT61" s="1055"/>
      <c r="DU61" s="1055"/>
      <c r="DV61" s="1055"/>
      <c r="DW61" s="1055"/>
      <c r="DX61" s="1055"/>
      <c r="DY61" s="1055"/>
      <c r="DZ61" s="1055"/>
      <c r="EA61" s="1055"/>
      <c r="EB61" s="1055"/>
      <c r="EC61" s="1055"/>
      <c r="ED61" s="1055"/>
      <c r="EE61" s="1055"/>
      <c r="EF61" s="1055"/>
      <c r="EG61" s="1055"/>
      <c r="EH61" s="1055"/>
      <c r="EI61" s="1055"/>
      <c r="EJ61" s="1055"/>
      <c r="EK61" s="1055"/>
      <c r="EL61" s="1055"/>
      <c r="EM61" s="1055"/>
      <c r="EN61" s="1055"/>
      <c r="EO61" s="1055"/>
      <c r="EP61" s="1055"/>
      <c r="EQ61" s="1055"/>
      <c r="ER61" s="1055"/>
      <c r="ES61" s="1055"/>
      <c r="ET61" s="1055"/>
      <c r="EU61" s="1055"/>
      <c r="EV61" s="1055"/>
      <c r="EW61" s="1055"/>
      <c r="EX61" s="1055"/>
      <c r="EY61" s="1055"/>
      <c r="EZ61" s="1055"/>
      <c r="FA61" s="1055"/>
      <c r="FB61" s="1055"/>
      <c r="FC61" s="1055"/>
      <c r="FD61" s="1055"/>
      <c r="FE61" s="1055"/>
      <c r="FF61" s="1055"/>
      <c r="FG61" s="1055"/>
      <c r="FH61" s="1055"/>
      <c r="FI61" s="1055"/>
      <c r="FJ61" s="1055"/>
      <c r="FK61" s="1055"/>
      <c r="FL61" s="1055"/>
      <c r="FM61" s="1055"/>
      <c r="FN61" s="1055"/>
      <c r="FO61" s="1055"/>
      <c r="FP61" s="1055"/>
      <c r="FQ61" s="1055"/>
      <c r="FR61" s="1055"/>
      <c r="FS61" s="1055"/>
      <c r="FT61" s="1055"/>
      <c r="FU61" s="1055"/>
      <c r="FV61" s="1055"/>
      <c r="FW61" s="1055"/>
      <c r="FX61" s="1055"/>
      <c r="FY61" s="1055"/>
      <c r="FZ61" s="1055"/>
      <c r="GA61" s="1055"/>
      <c r="GB61" s="1055"/>
      <c r="GC61" s="1055"/>
      <c r="GD61" s="1055"/>
      <c r="GE61" s="1055"/>
      <c r="GF61" s="1055"/>
      <c r="GG61" s="1055"/>
      <c r="GH61" s="1055"/>
      <c r="GI61" s="1055"/>
      <c r="GJ61" s="1055"/>
    </row>
    <row r="62" spans="1:192">
      <c r="A62" s="922"/>
      <c r="B62" s="912"/>
      <c r="C62" s="912"/>
      <c r="D62" s="912"/>
      <c r="E62" s="912"/>
      <c r="F62" s="912"/>
      <c r="G62" s="914"/>
    </row>
    <row r="63" spans="1:192">
      <c r="A63" s="941" t="s">
        <v>68</v>
      </c>
      <c r="B63" s="911" t="s">
        <v>182</v>
      </c>
      <c r="C63" s="938" t="s">
        <v>46</v>
      </c>
      <c r="D63" s="938" t="s">
        <v>69</v>
      </c>
      <c r="E63" s="938" t="s">
        <v>67</v>
      </c>
      <c r="F63" s="938" t="s">
        <v>340</v>
      </c>
      <c r="G63" s="938" t="s">
        <v>70</v>
      </c>
    </row>
    <row r="64" spans="1:192">
      <c r="A64" s="943" t="s">
        <v>236</v>
      </c>
      <c r="B64" s="916" t="s">
        <v>181</v>
      </c>
      <c r="C64" s="916" t="s">
        <v>248</v>
      </c>
      <c r="D64" s="936" t="s">
        <v>249</v>
      </c>
      <c r="E64" s="936"/>
      <c r="F64" s="936"/>
      <c r="G64" s="944"/>
    </row>
    <row r="65" spans="1:192">
      <c r="A65" s="923"/>
      <c r="B65" s="916"/>
      <c r="C65" s="916" t="s">
        <v>612</v>
      </c>
      <c r="D65" s="936" t="s">
        <v>234</v>
      </c>
      <c r="E65" s="936" t="s">
        <v>245</v>
      </c>
      <c r="F65" s="936" t="s">
        <v>247</v>
      </c>
      <c r="G65" s="936" t="s">
        <v>617</v>
      </c>
    </row>
    <row r="66" spans="1:192">
      <c r="A66" s="922"/>
      <c r="B66" s="939"/>
      <c r="C66" s="916" t="s">
        <v>692</v>
      </c>
      <c r="D66" s="912"/>
      <c r="E66" s="912"/>
      <c r="F66" s="912"/>
      <c r="G66" s="910"/>
    </row>
    <row r="67" spans="1:192">
      <c r="A67" s="902" t="s">
        <v>754</v>
      </c>
      <c r="B67" s="900">
        <f>SUM(C67:F67)</f>
        <v>-900322917.70355105</v>
      </c>
      <c r="C67" s="900">
        <v>-95359790.827335417</v>
      </c>
      <c r="D67" s="900">
        <v>0</v>
      </c>
      <c r="E67" s="900">
        <v>-804963126.8762157</v>
      </c>
      <c r="F67" s="900">
        <v>0</v>
      </c>
      <c r="G67" s="901" t="s">
        <v>785</v>
      </c>
    </row>
    <row r="68" spans="1:192" ht="75">
      <c r="A68" s="902" t="s">
        <v>786</v>
      </c>
      <c r="B68" s="900">
        <f t="shared" ref="B68:B76" si="1">SUM(C68:F68)</f>
        <v>37050972.741660662</v>
      </c>
      <c r="C68" s="900">
        <v>37050972.741660662</v>
      </c>
      <c r="D68" s="900">
        <v>0</v>
      </c>
      <c r="E68" s="900">
        <v>0</v>
      </c>
      <c r="F68" s="900">
        <v>0</v>
      </c>
      <c r="G68" s="901" t="s">
        <v>854</v>
      </c>
    </row>
    <row r="69" spans="1:192" ht="60">
      <c r="A69" s="902" t="s">
        <v>787</v>
      </c>
      <c r="B69" s="900">
        <f t="shared" si="1"/>
        <v>-12985796.5631114</v>
      </c>
      <c r="C69" s="900">
        <f>-12985788.5631114-8</f>
        <v>-12985796.5631114</v>
      </c>
      <c r="D69" s="900">
        <v>0</v>
      </c>
      <c r="E69" s="900">
        <v>0</v>
      </c>
      <c r="F69" s="900">
        <v>0</v>
      </c>
      <c r="G69" s="901" t="s">
        <v>855</v>
      </c>
    </row>
    <row r="70" spans="1:192" ht="60">
      <c r="A70" s="902" t="s">
        <v>788</v>
      </c>
      <c r="B70" s="900">
        <f t="shared" si="1"/>
        <v>-12327853.96751106</v>
      </c>
      <c r="C70" s="900">
        <v>-11276335.488483379</v>
      </c>
      <c r="D70" s="900">
        <v>0</v>
      </c>
      <c r="E70" s="900">
        <v>-1051518.4790276806</v>
      </c>
      <c r="F70" s="900">
        <v>0</v>
      </c>
      <c r="G70" s="901" t="s">
        <v>779</v>
      </c>
    </row>
    <row r="71" spans="1:192" ht="30">
      <c r="A71" s="902" t="s">
        <v>789</v>
      </c>
      <c r="B71" s="900">
        <f t="shared" si="1"/>
        <v>-3351175.5416867957</v>
      </c>
      <c r="C71" s="900">
        <v>0</v>
      </c>
      <c r="D71" s="900">
        <v>-3351175.5416867957</v>
      </c>
      <c r="E71" s="900">
        <v>0</v>
      </c>
      <c r="F71" s="900">
        <v>0</v>
      </c>
      <c r="G71" s="901" t="s">
        <v>856</v>
      </c>
    </row>
    <row r="72" spans="1:192" ht="60">
      <c r="A72" s="902" t="s">
        <v>790</v>
      </c>
      <c r="B72" s="900">
        <f t="shared" si="1"/>
        <v>-7189567.9325042767</v>
      </c>
      <c r="C72" s="900">
        <v>0</v>
      </c>
      <c r="D72" s="900">
        <v>-7189567.9325042767</v>
      </c>
      <c r="E72" s="900">
        <v>0</v>
      </c>
      <c r="F72" s="900">
        <v>0</v>
      </c>
      <c r="G72" s="901" t="s">
        <v>779</v>
      </c>
    </row>
    <row r="73" spans="1:192">
      <c r="A73" s="945" t="s">
        <v>288</v>
      </c>
      <c r="B73" s="917">
        <f t="shared" si="1"/>
        <v>-899126338.96670389</v>
      </c>
      <c r="C73" s="917">
        <f>SUM(C67:C72)</f>
        <v>-82570950.137269542</v>
      </c>
      <c r="D73" s="917">
        <f t="shared" ref="D73:F73" si="2">SUM(D67:D72)</f>
        <v>-10540743.474191073</v>
      </c>
      <c r="E73" s="917">
        <f t="shared" si="2"/>
        <v>-806014645.35524333</v>
      </c>
      <c r="F73" s="917">
        <f t="shared" si="2"/>
        <v>0</v>
      </c>
      <c r="G73" s="914"/>
    </row>
    <row r="74" spans="1:192">
      <c r="A74" s="945" t="s">
        <v>515</v>
      </c>
      <c r="B74" s="917">
        <f t="shared" si="1"/>
        <v>-22868597.441702135</v>
      </c>
      <c r="C74" s="900">
        <f>C70+C71+C72</f>
        <v>-11276335.488483379</v>
      </c>
      <c r="D74" s="900">
        <f>D70+D71+D72</f>
        <v>-10540743.474191073</v>
      </c>
      <c r="E74" s="900">
        <f>E70+E71+E72</f>
        <v>-1051518.4790276806</v>
      </c>
      <c r="F74" s="900">
        <v>0</v>
      </c>
      <c r="G74" s="901"/>
    </row>
    <row r="75" spans="1:192">
      <c r="A75" s="945" t="s">
        <v>516</v>
      </c>
      <c r="B75" s="917">
        <f t="shared" si="1"/>
        <v>0</v>
      </c>
      <c r="C75" s="900"/>
      <c r="D75" s="900"/>
      <c r="E75" s="900"/>
      <c r="F75" s="900"/>
      <c r="G75" s="901"/>
    </row>
    <row r="76" spans="1:192">
      <c r="A76" s="945" t="s">
        <v>181</v>
      </c>
      <c r="B76" s="917">
        <f t="shared" si="1"/>
        <v>-876257741.52500188</v>
      </c>
      <c r="C76" s="917">
        <f>C73-C74-C75</f>
        <v>-71294614.648786157</v>
      </c>
      <c r="D76" s="917">
        <f t="shared" ref="D76:F76" si="3">D73-D74-D75</f>
        <v>0</v>
      </c>
      <c r="E76" s="917">
        <f t="shared" si="3"/>
        <v>-804963126.8762157</v>
      </c>
      <c r="F76" s="917">
        <f t="shared" si="3"/>
        <v>0</v>
      </c>
      <c r="G76" s="921"/>
    </row>
    <row r="77" spans="1:192" s="1032" customFormat="1">
      <c r="A77" s="1074"/>
      <c r="B77" s="1075"/>
      <c r="C77" s="1076"/>
      <c r="D77" s="1076"/>
      <c r="E77" s="912"/>
      <c r="F77" s="934"/>
      <c r="G77" s="930"/>
    </row>
    <row r="78" spans="1:192" s="1067" customFormat="1">
      <c r="A78" s="1043" t="s">
        <v>252</v>
      </c>
      <c r="B78" s="1044"/>
      <c r="C78" s="1040"/>
      <c r="D78" s="1040"/>
      <c r="E78" s="1077"/>
      <c r="F78" s="1078"/>
      <c r="G78" s="1079"/>
      <c r="H78" s="1055"/>
      <c r="I78" s="1055"/>
      <c r="J78" s="1055"/>
      <c r="K78" s="1055"/>
      <c r="L78" s="1055"/>
      <c r="M78" s="1055"/>
      <c r="N78" s="1055"/>
      <c r="O78" s="1055"/>
      <c r="P78" s="1055"/>
      <c r="Q78" s="1055"/>
      <c r="R78" s="1055"/>
      <c r="S78" s="1055"/>
      <c r="T78" s="1055"/>
      <c r="U78" s="1055"/>
      <c r="V78" s="1055"/>
      <c r="W78" s="1055"/>
      <c r="X78" s="1055"/>
      <c r="Y78" s="1055"/>
      <c r="Z78" s="1055"/>
      <c r="AA78" s="1055"/>
      <c r="AB78" s="1055"/>
      <c r="AC78" s="1055"/>
      <c r="AD78" s="1055"/>
      <c r="AE78" s="1055"/>
      <c r="AF78" s="1055"/>
      <c r="AG78" s="1055"/>
      <c r="AH78" s="1055"/>
      <c r="AI78" s="1055"/>
      <c r="AJ78" s="1055"/>
      <c r="AK78" s="1055"/>
      <c r="AL78" s="1055"/>
      <c r="AM78" s="1055"/>
      <c r="AN78" s="1055"/>
      <c r="AO78" s="1055"/>
      <c r="AP78" s="1055"/>
      <c r="AQ78" s="1055"/>
      <c r="AR78" s="1055"/>
      <c r="AS78" s="1055"/>
      <c r="AT78" s="1055"/>
      <c r="AU78" s="1055"/>
      <c r="AV78" s="1055"/>
      <c r="AW78" s="1055"/>
      <c r="AX78" s="1055"/>
      <c r="AY78" s="1055"/>
      <c r="AZ78" s="1055"/>
      <c r="BA78" s="1055"/>
      <c r="BB78" s="1055"/>
      <c r="BC78" s="1055"/>
      <c r="BD78" s="1055"/>
      <c r="BE78" s="1055"/>
      <c r="BF78" s="1055"/>
      <c r="BG78" s="1055"/>
      <c r="BH78" s="1055"/>
      <c r="BI78" s="1055"/>
      <c r="BJ78" s="1055"/>
      <c r="BK78" s="1055"/>
      <c r="BL78" s="1055"/>
      <c r="BM78" s="1055"/>
      <c r="BN78" s="1055"/>
      <c r="BO78" s="1055"/>
      <c r="BP78" s="1055"/>
      <c r="BQ78" s="1055"/>
      <c r="BR78" s="1055"/>
      <c r="BS78" s="1055"/>
      <c r="BT78" s="1055"/>
      <c r="BU78" s="1055"/>
      <c r="BV78" s="1055"/>
      <c r="BW78" s="1055"/>
      <c r="BX78" s="1055"/>
      <c r="BY78" s="1055"/>
      <c r="BZ78" s="1055"/>
      <c r="CA78" s="1055"/>
      <c r="CB78" s="1055"/>
      <c r="CC78" s="1055"/>
      <c r="CD78" s="1055"/>
      <c r="CE78" s="1055"/>
      <c r="CF78" s="1055"/>
      <c r="CG78" s="1055"/>
      <c r="CH78" s="1055"/>
      <c r="CI78" s="1055"/>
      <c r="CJ78" s="1055"/>
      <c r="CK78" s="1055"/>
      <c r="CL78" s="1055"/>
      <c r="CM78" s="1055"/>
      <c r="CN78" s="1055"/>
      <c r="CO78" s="1055"/>
      <c r="CP78" s="1055"/>
      <c r="CQ78" s="1055"/>
      <c r="CR78" s="1055"/>
      <c r="CS78" s="1055"/>
      <c r="CT78" s="1055"/>
      <c r="CU78" s="1055"/>
      <c r="CV78" s="1055"/>
      <c r="CW78" s="1055"/>
      <c r="CX78" s="1055"/>
      <c r="CY78" s="1055"/>
      <c r="CZ78" s="1055"/>
      <c r="DA78" s="1055"/>
      <c r="DB78" s="1055"/>
      <c r="DC78" s="1055"/>
      <c r="DD78" s="1055"/>
      <c r="DE78" s="1055"/>
      <c r="DF78" s="1055"/>
      <c r="DG78" s="1055"/>
      <c r="DH78" s="1055"/>
      <c r="DI78" s="1055"/>
      <c r="DJ78" s="1055"/>
      <c r="DK78" s="1055"/>
      <c r="DL78" s="1055"/>
      <c r="DM78" s="1055"/>
      <c r="DN78" s="1055"/>
      <c r="DO78" s="1055"/>
      <c r="DP78" s="1055"/>
      <c r="DQ78" s="1055"/>
      <c r="DR78" s="1055"/>
      <c r="DS78" s="1055"/>
      <c r="DT78" s="1055"/>
      <c r="DU78" s="1055"/>
      <c r="DV78" s="1055"/>
      <c r="DW78" s="1055"/>
      <c r="DX78" s="1055"/>
      <c r="DY78" s="1055"/>
      <c r="DZ78" s="1055"/>
      <c r="EA78" s="1055"/>
      <c r="EB78" s="1055"/>
      <c r="EC78" s="1055"/>
      <c r="ED78" s="1055"/>
      <c r="EE78" s="1055"/>
      <c r="EF78" s="1055"/>
      <c r="EG78" s="1055"/>
      <c r="EH78" s="1055"/>
      <c r="EI78" s="1055"/>
      <c r="EJ78" s="1055"/>
      <c r="EK78" s="1055"/>
      <c r="EL78" s="1055"/>
      <c r="EM78" s="1055"/>
      <c r="EN78" s="1055"/>
      <c r="EO78" s="1055"/>
      <c r="EP78" s="1055"/>
      <c r="EQ78" s="1055"/>
      <c r="ER78" s="1055"/>
      <c r="ES78" s="1055"/>
      <c r="ET78" s="1055"/>
      <c r="EU78" s="1055"/>
      <c r="EV78" s="1055"/>
      <c r="EW78" s="1055"/>
      <c r="EX78" s="1055"/>
      <c r="EY78" s="1055"/>
      <c r="EZ78" s="1055"/>
      <c r="FA78" s="1055"/>
      <c r="FB78" s="1055"/>
      <c r="FC78" s="1055"/>
      <c r="FD78" s="1055"/>
      <c r="FE78" s="1055"/>
      <c r="FF78" s="1055"/>
      <c r="FG78" s="1055"/>
      <c r="FH78" s="1055"/>
      <c r="FI78" s="1055"/>
      <c r="FJ78" s="1055"/>
      <c r="FK78" s="1055"/>
      <c r="FL78" s="1055"/>
      <c r="FM78" s="1055"/>
      <c r="FN78" s="1055"/>
      <c r="FO78" s="1055"/>
      <c r="FP78" s="1055"/>
      <c r="FQ78" s="1055"/>
      <c r="FR78" s="1055"/>
      <c r="FS78" s="1055"/>
      <c r="FT78" s="1055"/>
      <c r="FU78" s="1055"/>
      <c r="FV78" s="1055"/>
      <c r="FW78" s="1055"/>
      <c r="FX78" s="1055"/>
      <c r="FY78" s="1055"/>
      <c r="FZ78" s="1055"/>
      <c r="GA78" s="1055"/>
      <c r="GB78" s="1055"/>
      <c r="GC78" s="1055"/>
      <c r="GD78" s="1055"/>
      <c r="GE78" s="1055"/>
      <c r="GF78" s="1055"/>
      <c r="GG78" s="1055"/>
      <c r="GH78" s="1055"/>
      <c r="GI78" s="1055"/>
      <c r="GJ78" s="1055"/>
    </row>
    <row r="79" spans="1:192" s="1067" customFormat="1" ht="12.75" customHeight="1">
      <c r="A79" s="946" t="s">
        <v>447</v>
      </c>
      <c r="B79" s="947"/>
      <c r="C79" s="939"/>
      <c r="D79" s="939"/>
      <c r="E79" s="1080"/>
      <c r="F79" s="1080"/>
      <c r="G79" s="1081"/>
      <c r="H79" s="1055"/>
      <c r="I79" s="1055"/>
      <c r="J79" s="1055"/>
      <c r="K79" s="1055"/>
      <c r="L79" s="1055"/>
      <c r="M79" s="1055"/>
      <c r="N79" s="1055"/>
      <c r="O79" s="1055"/>
      <c r="P79" s="1055"/>
      <c r="Q79" s="1055"/>
      <c r="R79" s="1055"/>
      <c r="S79" s="1055"/>
      <c r="T79" s="1055"/>
      <c r="U79" s="1055"/>
      <c r="V79" s="1055"/>
      <c r="W79" s="1055"/>
      <c r="X79" s="1055"/>
      <c r="Y79" s="1055"/>
      <c r="Z79" s="1055"/>
      <c r="AA79" s="1055"/>
      <c r="AB79" s="1055"/>
      <c r="AC79" s="1055"/>
      <c r="AD79" s="1055"/>
      <c r="AE79" s="1055"/>
      <c r="AF79" s="1055"/>
      <c r="AG79" s="1055"/>
      <c r="AH79" s="1055"/>
      <c r="AI79" s="1055"/>
      <c r="AJ79" s="1055"/>
      <c r="AK79" s="1055"/>
      <c r="AL79" s="1055"/>
      <c r="AM79" s="1055"/>
      <c r="AN79" s="1055"/>
      <c r="AO79" s="1055"/>
      <c r="AP79" s="1055"/>
      <c r="AQ79" s="1055"/>
      <c r="AR79" s="1055"/>
      <c r="AS79" s="1055"/>
      <c r="AT79" s="1055"/>
      <c r="AU79" s="1055"/>
      <c r="AV79" s="1055"/>
      <c r="AW79" s="1055"/>
      <c r="AX79" s="1055"/>
      <c r="AY79" s="1055"/>
      <c r="AZ79" s="1055"/>
      <c r="BA79" s="1055"/>
      <c r="BB79" s="1055"/>
      <c r="BC79" s="1055"/>
      <c r="BD79" s="1055"/>
      <c r="BE79" s="1055"/>
      <c r="BF79" s="1055"/>
      <c r="BG79" s="1055"/>
      <c r="BH79" s="1055"/>
      <c r="BI79" s="1055"/>
      <c r="BJ79" s="1055"/>
      <c r="BK79" s="1055"/>
      <c r="BL79" s="1055"/>
      <c r="BM79" s="1055"/>
      <c r="BN79" s="1055"/>
      <c r="BO79" s="1055"/>
      <c r="BP79" s="1055"/>
      <c r="BQ79" s="1055"/>
      <c r="BR79" s="1055"/>
      <c r="BS79" s="1055"/>
      <c r="BT79" s="1055"/>
      <c r="BU79" s="1055"/>
      <c r="BV79" s="1055"/>
      <c r="BW79" s="1055"/>
      <c r="BX79" s="1055"/>
      <c r="BY79" s="1055"/>
      <c r="BZ79" s="1055"/>
      <c r="CA79" s="1055"/>
      <c r="CB79" s="1055"/>
      <c r="CC79" s="1055"/>
      <c r="CD79" s="1055"/>
      <c r="CE79" s="1055"/>
      <c r="CF79" s="1055"/>
      <c r="CG79" s="1055"/>
      <c r="CH79" s="1055"/>
      <c r="CI79" s="1055"/>
      <c r="CJ79" s="1055"/>
      <c r="CK79" s="1055"/>
      <c r="CL79" s="1055"/>
      <c r="CM79" s="1055"/>
      <c r="CN79" s="1055"/>
      <c r="CO79" s="1055"/>
      <c r="CP79" s="1055"/>
      <c r="CQ79" s="1055"/>
      <c r="CR79" s="1055"/>
      <c r="CS79" s="1055"/>
      <c r="CT79" s="1055"/>
      <c r="CU79" s="1055"/>
      <c r="CV79" s="1055"/>
      <c r="CW79" s="1055"/>
      <c r="CX79" s="1055"/>
      <c r="CY79" s="1055"/>
      <c r="CZ79" s="1055"/>
      <c r="DA79" s="1055"/>
      <c r="DB79" s="1055"/>
      <c r="DC79" s="1055"/>
      <c r="DD79" s="1055"/>
      <c r="DE79" s="1055"/>
      <c r="DF79" s="1055"/>
      <c r="DG79" s="1055"/>
      <c r="DH79" s="1055"/>
      <c r="DI79" s="1055"/>
      <c r="DJ79" s="1055"/>
      <c r="DK79" s="1055"/>
      <c r="DL79" s="1055"/>
      <c r="DM79" s="1055"/>
      <c r="DN79" s="1055"/>
      <c r="DO79" s="1055"/>
      <c r="DP79" s="1055"/>
      <c r="DQ79" s="1055"/>
      <c r="DR79" s="1055"/>
      <c r="DS79" s="1055"/>
      <c r="DT79" s="1055"/>
      <c r="DU79" s="1055"/>
      <c r="DV79" s="1055"/>
      <c r="DW79" s="1055"/>
      <c r="DX79" s="1055"/>
      <c r="DY79" s="1055"/>
      <c r="DZ79" s="1055"/>
      <c r="EA79" s="1055"/>
      <c r="EB79" s="1055"/>
      <c r="EC79" s="1055"/>
      <c r="ED79" s="1055"/>
      <c r="EE79" s="1055"/>
      <c r="EF79" s="1055"/>
      <c r="EG79" s="1055"/>
      <c r="EH79" s="1055"/>
      <c r="EI79" s="1055"/>
      <c r="EJ79" s="1055"/>
      <c r="EK79" s="1055"/>
      <c r="EL79" s="1055"/>
      <c r="EM79" s="1055"/>
      <c r="EN79" s="1055"/>
      <c r="EO79" s="1055"/>
      <c r="EP79" s="1055"/>
      <c r="EQ79" s="1055"/>
      <c r="ER79" s="1055"/>
      <c r="ES79" s="1055"/>
      <c r="ET79" s="1055"/>
      <c r="EU79" s="1055"/>
      <c r="EV79" s="1055"/>
      <c r="EW79" s="1055"/>
      <c r="EX79" s="1055"/>
      <c r="EY79" s="1055"/>
      <c r="EZ79" s="1055"/>
      <c r="FA79" s="1055"/>
      <c r="FB79" s="1055"/>
      <c r="FC79" s="1055"/>
      <c r="FD79" s="1055"/>
      <c r="FE79" s="1055"/>
      <c r="FF79" s="1055"/>
      <c r="FG79" s="1055"/>
      <c r="FH79" s="1055"/>
      <c r="FI79" s="1055"/>
      <c r="FJ79" s="1055"/>
      <c r="FK79" s="1055"/>
      <c r="FL79" s="1055"/>
      <c r="FM79" s="1055"/>
      <c r="FN79" s="1055"/>
      <c r="FO79" s="1055"/>
      <c r="FP79" s="1055"/>
      <c r="FQ79" s="1055"/>
      <c r="FR79" s="1055"/>
      <c r="FS79" s="1055"/>
      <c r="FT79" s="1055"/>
      <c r="FU79" s="1055"/>
      <c r="FV79" s="1055"/>
      <c r="FW79" s="1055"/>
      <c r="FX79" s="1055"/>
      <c r="FY79" s="1055"/>
      <c r="FZ79" s="1055"/>
      <c r="GA79" s="1055"/>
      <c r="GB79" s="1055"/>
      <c r="GC79" s="1055"/>
      <c r="GD79" s="1055"/>
      <c r="GE79" s="1055"/>
      <c r="GF79" s="1055"/>
      <c r="GG79" s="1055"/>
      <c r="GH79" s="1055"/>
      <c r="GI79" s="1055"/>
      <c r="GJ79" s="1055"/>
    </row>
    <row r="80" spans="1:192" s="1067" customFormat="1">
      <c r="A80" s="948" t="s">
        <v>448</v>
      </c>
      <c r="B80" s="933"/>
      <c r="C80" s="912"/>
      <c r="D80" s="912"/>
      <c r="E80" s="1060"/>
      <c r="F80" s="1082"/>
      <c r="G80" s="1083"/>
      <c r="H80" s="1055"/>
      <c r="I80" s="1055"/>
      <c r="J80" s="1055"/>
      <c r="K80" s="1055"/>
      <c r="L80" s="1055"/>
      <c r="M80" s="1055"/>
      <c r="N80" s="1055"/>
      <c r="O80" s="1055"/>
      <c r="P80" s="1055"/>
      <c r="Q80" s="1055"/>
      <c r="R80" s="1055"/>
      <c r="S80" s="1055"/>
      <c r="T80" s="1055"/>
      <c r="U80" s="1055"/>
      <c r="V80" s="1055"/>
      <c r="W80" s="1055"/>
      <c r="X80" s="1055"/>
      <c r="Y80" s="1055"/>
      <c r="Z80" s="1055"/>
      <c r="AA80" s="1055"/>
      <c r="AB80" s="1055"/>
      <c r="AC80" s="1055"/>
      <c r="AD80" s="1055"/>
      <c r="AE80" s="1055"/>
      <c r="AF80" s="1055"/>
      <c r="AG80" s="1055"/>
      <c r="AH80" s="1055"/>
      <c r="AI80" s="1055"/>
      <c r="AJ80" s="1055"/>
      <c r="AK80" s="1055"/>
      <c r="AL80" s="1055"/>
      <c r="AM80" s="1055"/>
      <c r="AN80" s="1055"/>
      <c r="AO80" s="1055"/>
      <c r="AP80" s="1055"/>
      <c r="AQ80" s="1055"/>
      <c r="AR80" s="1055"/>
      <c r="AS80" s="1055"/>
      <c r="AT80" s="1055"/>
      <c r="AU80" s="1055"/>
      <c r="AV80" s="1055"/>
      <c r="AW80" s="1055"/>
      <c r="AX80" s="1055"/>
      <c r="AY80" s="1055"/>
      <c r="AZ80" s="1055"/>
      <c r="BA80" s="1055"/>
      <c r="BB80" s="1055"/>
      <c r="BC80" s="1055"/>
      <c r="BD80" s="1055"/>
      <c r="BE80" s="1055"/>
      <c r="BF80" s="1055"/>
      <c r="BG80" s="1055"/>
      <c r="BH80" s="1055"/>
      <c r="BI80" s="1055"/>
      <c r="BJ80" s="1055"/>
      <c r="BK80" s="1055"/>
      <c r="BL80" s="1055"/>
      <c r="BM80" s="1055"/>
      <c r="BN80" s="1055"/>
      <c r="BO80" s="1055"/>
      <c r="BP80" s="1055"/>
      <c r="BQ80" s="1055"/>
      <c r="BR80" s="1055"/>
      <c r="BS80" s="1055"/>
      <c r="BT80" s="1055"/>
      <c r="BU80" s="1055"/>
      <c r="BV80" s="1055"/>
      <c r="BW80" s="1055"/>
      <c r="BX80" s="1055"/>
      <c r="BY80" s="1055"/>
      <c r="BZ80" s="1055"/>
      <c r="CA80" s="1055"/>
      <c r="CB80" s="1055"/>
      <c r="CC80" s="1055"/>
      <c r="CD80" s="1055"/>
      <c r="CE80" s="1055"/>
      <c r="CF80" s="1055"/>
      <c r="CG80" s="1055"/>
      <c r="CH80" s="1055"/>
      <c r="CI80" s="1055"/>
      <c r="CJ80" s="1055"/>
      <c r="CK80" s="1055"/>
      <c r="CL80" s="1055"/>
      <c r="CM80" s="1055"/>
      <c r="CN80" s="1055"/>
      <c r="CO80" s="1055"/>
      <c r="CP80" s="1055"/>
      <c r="CQ80" s="1055"/>
      <c r="CR80" s="1055"/>
      <c r="CS80" s="1055"/>
      <c r="CT80" s="1055"/>
      <c r="CU80" s="1055"/>
      <c r="CV80" s="1055"/>
      <c r="CW80" s="1055"/>
      <c r="CX80" s="1055"/>
      <c r="CY80" s="1055"/>
      <c r="CZ80" s="1055"/>
      <c r="DA80" s="1055"/>
      <c r="DB80" s="1055"/>
      <c r="DC80" s="1055"/>
      <c r="DD80" s="1055"/>
      <c r="DE80" s="1055"/>
      <c r="DF80" s="1055"/>
      <c r="DG80" s="1055"/>
      <c r="DH80" s="1055"/>
      <c r="DI80" s="1055"/>
      <c r="DJ80" s="1055"/>
      <c r="DK80" s="1055"/>
      <c r="DL80" s="1055"/>
      <c r="DM80" s="1055"/>
      <c r="DN80" s="1055"/>
      <c r="DO80" s="1055"/>
      <c r="DP80" s="1055"/>
      <c r="DQ80" s="1055"/>
      <c r="DR80" s="1055"/>
      <c r="DS80" s="1055"/>
      <c r="DT80" s="1055"/>
      <c r="DU80" s="1055"/>
      <c r="DV80" s="1055"/>
      <c r="DW80" s="1055"/>
      <c r="DX80" s="1055"/>
      <c r="DY80" s="1055"/>
      <c r="DZ80" s="1055"/>
      <c r="EA80" s="1055"/>
      <c r="EB80" s="1055"/>
      <c r="EC80" s="1055"/>
      <c r="ED80" s="1055"/>
      <c r="EE80" s="1055"/>
      <c r="EF80" s="1055"/>
      <c r="EG80" s="1055"/>
      <c r="EH80" s="1055"/>
      <c r="EI80" s="1055"/>
      <c r="EJ80" s="1055"/>
      <c r="EK80" s="1055"/>
      <c r="EL80" s="1055"/>
      <c r="EM80" s="1055"/>
      <c r="EN80" s="1055"/>
      <c r="EO80" s="1055"/>
      <c r="EP80" s="1055"/>
      <c r="EQ80" s="1055"/>
      <c r="ER80" s="1055"/>
      <c r="ES80" s="1055"/>
      <c r="ET80" s="1055"/>
      <c r="EU80" s="1055"/>
      <c r="EV80" s="1055"/>
      <c r="EW80" s="1055"/>
      <c r="EX80" s="1055"/>
      <c r="EY80" s="1055"/>
      <c r="EZ80" s="1055"/>
      <c r="FA80" s="1055"/>
      <c r="FB80" s="1055"/>
      <c r="FC80" s="1055"/>
      <c r="FD80" s="1055"/>
      <c r="FE80" s="1055"/>
      <c r="FF80" s="1055"/>
      <c r="FG80" s="1055"/>
      <c r="FH80" s="1055"/>
      <c r="FI80" s="1055"/>
      <c r="FJ80" s="1055"/>
      <c r="FK80" s="1055"/>
      <c r="FL80" s="1055"/>
      <c r="FM80" s="1055"/>
      <c r="FN80" s="1055"/>
      <c r="FO80" s="1055"/>
      <c r="FP80" s="1055"/>
      <c r="FQ80" s="1055"/>
      <c r="FR80" s="1055"/>
      <c r="FS80" s="1055"/>
      <c r="FT80" s="1055"/>
      <c r="FU80" s="1055"/>
      <c r="FV80" s="1055"/>
      <c r="FW80" s="1055"/>
      <c r="FX80" s="1055"/>
      <c r="FY80" s="1055"/>
      <c r="FZ80" s="1055"/>
      <c r="GA80" s="1055"/>
      <c r="GB80" s="1055"/>
      <c r="GC80" s="1055"/>
      <c r="GD80" s="1055"/>
      <c r="GE80" s="1055"/>
      <c r="GF80" s="1055"/>
      <c r="GG80" s="1055"/>
      <c r="GH80" s="1055"/>
      <c r="GI80" s="1055"/>
      <c r="GJ80" s="1055"/>
    </row>
    <row r="81" spans="1:192" s="1067" customFormat="1">
      <c r="A81" s="931" t="s">
        <v>546</v>
      </c>
      <c r="B81" s="933"/>
      <c r="C81" s="912"/>
      <c r="D81" s="912"/>
      <c r="E81" s="1060"/>
      <c r="F81" s="1082"/>
      <c r="G81" s="1083"/>
      <c r="H81" s="1055"/>
      <c r="I81" s="1055"/>
      <c r="J81" s="1055"/>
      <c r="K81" s="1055"/>
      <c r="L81" s="1055"/>
      <c r="M81" s="1055"/>
      <c r="N81" s="1055"/>
      <c r="O81" s="1055"/>
      <c r="P81" s="1055"/>
      <c r="Q81" s="1055"/>
      <c r="R81" s="1055"/>
      <c r="S81" s="1055"/>
      <c r="T81" s="1055"/>
      <c r="U81" s="1055"/>
      <c r="V81" s="1055"/>
      <c r="W81" s="1055"/>
      <c r="X81" s="1055"/>
      <c r="Y81" s="1055"/>
      <c r="Z81" s="1055"/>
      <c r="AA81" s="1055"/>
      <c r="AB81" s="1055"/>
      <c r="AC81" s="1055"/>
      <c r="AD81" s="1055"/>
      <c r="AE81" s="1055"/>
      <c r="AF81" s="1055"/>
      <c r="AG81" s="1055"/>
      <c r="AH81" s="1055"/>
      <c r="AI81" s="1055"/>
      <c r="AJ81" s="1055"/>
      <c r="AK81" s="1055"/>
      <c r="AL81" s="1055"/>
      <c r="AM81" s="1055"/>
      <c r="AN81" s="1055"/>
      <c r="AO81" s="1055"/>
      <c r="AP81" s="1055"/>
      <c r="AQ81" s="1055"/>
      <c r="AR81" s="1055"/>
      <c r="AS81" s="1055"/>
      <c r="AT81" s="1055"/>
      <c r="AU81" s="1055"/>
      <c r="AV81" s="1055"/>
      <c r="AW81" s="1055"/>
      <c r="AX81" s="1055"/>
      <c r="AY81" s="1055"/>
      <c r="AZ81" s="1055"/>
      <c r="BA81" s="1055"/>
      <c r="BB81" s="1055"/>
      <c r="BC81" s="1055"/>
      <c r="BD81" s="1055"/>
      <c r="BE81" s="1055"/>
      <c r="BF81" s="1055"/>
      <c r="BG81" s="1055"/>
      <c r="BH81" s="1055"/>
      <c r="BI81" s="1055"/>
      <c r="BJ81" s="1055"/>
      <c r="BK81" s="1055"/>
      <c r="BL81" s="1055"/>
      <c r="BM81" s="1055"/>
      <c r="BN81" s="1055"/>
      <c r="BO81" s="1055"/>
      <c r="BP81" s="1055"/>
      <c r="BQ81" s="1055"/>
      <c r="BR81" s="1055"/>
      <c r="BS81" s="1055"/>
      <c r="BT81" s="1055"/>
      <c r="BU81" s="1055"/>
      <c r="BV81" s="1055"/>
      <c r="BW81" s="1055"/>
      <c r="BX81" s="1055"/>
      <c r="BY81" s="1055"/>
      <c r="BZ81" s="1055"/>
      <c r="CA81" s="1055"/>
      <c r="CB81" s="1055"/>
      <c r="CC81" s="1055"/>
      <c r="CD81" s="1055"/>
      <c r="CE81" s="1055"/>
      <c r="CF81" s="1055"/>
      <c r="CG81" s="1055"/>
      <c r="CH81" s="1055"/>
      <c r="CI81" s="1055"/>
      <c r="CJ81" s="1055"/>
      <c r="CK81" s="1055"/>
      <c r="CL81" s="1055"/>
      <c r="CM81" s="1055"/>
      <c r="CN81" s="1055"/>
      <c r="CO81" s="1055"/>
      <c r="CP81" s="1055"/>
      <c r="CQ81" s="1055"/>
      <c r="CR81" s="1055"/>
      <c r="CS81" s="1055"/>
      <c r="CT81" s="1055"/>
      <c r="CU81" s="1055"/>
      <c r="CV81" s="1055"/>
      <c r="CW81" s="1055"/>
      <c r="CX81" s="1055"/>
      <c r="CY81" s="1055"/>
      <c r="CZ81" s="1055"/>
      <c r="DA81" s="1055"/>
      <c r="DB81" s="1055"/>
      <c r="DC81" s="1055"/>
      <c r="DD81" s="1055"/>
      <c r="DE81" s="1055"/>
      <c r="DF81" s="1055"/>
      <c r="DG81" s="1055"/>
      <c r="DH81" s="1055"/>
      <c r="DI81" s="1055"/>
      <c r="DJ81" s="1055"/>
      <c r="DK81" s="1055"/>
      <c r="DL81" s="1055"/>
      <c r="DM81" s="1055"/>
      <c r="DN81" s="1055"/>
      <c r="DO81" s="1055"/>
      <c r="DP81" s="1055"/>
      <c r="DQ81" s="1055"/>
      <c r="DR81" s="1055"/>
      <c r="DS81" s="1055"/>
      <c r="DT81" s="1055"/>
      <c r="DU81" s="1055"/>
      <c r="DV81" s="1055"/>
      <c r="DW81" s="1055"/>
      <c r="DX81" s="1055"/>
      <c r="DY81" s="1055"/>
      <c r="DZ81" s="1055"/>
      <c r="EA81" s="1055"/>
      <c r="EB81" s="1055"/>
      <c r="EC81" s="1055"/>
      <c r="ED81" s="1055"/>
      <c r="EE81" s="1055"/>
      <c r="EF81" s="1055"/>
      <c r="EG81" s="1055"/>
      <c r="EH81" s="1055"/>
      <c r="EI81" s="1055"/>
      <c r="EJ81" s="1055"/>
      <c r="EK81" s="1055"/>
      <c r="EL81" s="1055"/>
      <c r="EM81" s="1055"/>
      <c r="EN81" s="1055"/>
      <c r="EO81" s="1055"/>
      <c r="EP81" s="1055"/>
      <c r="EQ81" s="1055"/>
      <c r="ER81" s="1055"/>
      <c r="ES81" s="1055"/>
      <c r="ET81" s="1055"/>
      <c r="EU81" s="1055"/>
      <c r="EV81" s="1055"/>
      <c r="EW81" s="1055"/>
      <c r="EX81" s="1055"/>
      <c r="EY81" s="1055"/>
      <c r="EZ81" s="1055"/>
      <c r="FA81" s="1055"/>
      <c r="FB81" s="1055"/>
      <c r="FC81" s="1055"/>
      <c r="FD81" s="1055"/>
      <c r="FE81" s="1055"/>
      <c r="FF81" s="1055"/>
      <c r="FG81" s="1055"/>
      <c r="FH81" s="1055"/>
      <c r="FI81" s="1055"/>
      <c r="FJ81" s="1055"/>
      <c r="FK81" s="1055"/>
      <c r="FL81" s="1055"/>
      <c r="FM81" s="1055"/>
      <c r="FN81" s="1055"/>
      <c r="FO81" s="1055"/>
      <c r="FP81" s="1055"/>
      <c r="FQ81" s="1055"/>
      <c r="FR81" s="1055"/>
      <c r="FS81" s="1055"/>
      <c r="FT81" s="1055"/>
      <c r="FU81" s="1055"/>
      <c r="FV81" s="1055"/>
      <c r="FW81" s="1055"/>
      <c r="FX81" s="1055"/>
      <c r="FY81" s="1055"/>
      <c r="FZ81" s="1055"/>
      <c r="GA81" s="1055"/>
      <c r="GB81" s="1055"/>
      <c r="GC81" s="1055"/>
      <c r="GD81" s="1055"/>
      <c r="GE81" s="1055"/>
      <c r="GF81" s="1055"/>
      <c r="GG81" s="1055"/>
      <c r="GH81" s="1055"/>
      <c r="GI81" s="1055"/>
      <c r="GJ81" s="1055"/>
    </row>
    <row r="82" spans="1:192" s="1067" customFormat="1">
      <c r="A82" s="948" t="s">
        <v>547</v>
      </c>
      <c r="B82" s="933"/>
      <c r="C82" s="912"/>
      <c r="D82" s="912"/>
      <c r="E82" s="1060"/>
      <c r="F82" s="1082"/>
      <c r="G82" s="1083"/>
      <c r="H82" s="1055"/>
      <c r="I82" s="1055"/>
      <c r="J82" s="1055"/>
      <c r="K82" s="1055"/>
      <c r="L82" s="1055"/>
      <c r="M82" s="1055"/>
      <c r="N82" s="1055"/>
      <c r="O82" s="1055"/>
      <c r="P82" s="1055"/>
      <c r="Q82" s="1055"/>
      <c r="R82" s="1055"/>
      <c r="S82" s="1055"/>
      <c r="T82" s="1055"/>
      <c r="U82" s="1055"/>
      <c r="V82" s="1055"/>
      <c r="W82" s="1055"/>
      <c r="X82" s="1055"/>
      <c r="Y82" s="1055"/>
      <c r="Z82" s="1055"/>
      <c r="AA82" s="1055"/>
      <c r="AB82" s="1055"/>
      <c r="AC82" s="1055"/>
      <c r="AD82" s="1055"/>
      <c r="AE82" s="1055"/>
      <c r="AF82" s="1055"/>
      <c r="AG82" s="1055"/>
      <c r="AH82" s="1055"/>
      <c r="AI82" s="1055"/>
      <c r="AJ82" s="1055"/>
      <c r="AK82" s="1055"/>
      <c r="AL82" s="1055"/>
      <c r="AM82" s="1055"/>
      <c r="AN82" s="1055"/>
      <c r="AO82" s="1055"/>
      <c r="AP82" s="1055"/>
      <c r="AQ82" s="1055"/>
      <c r="AR82" s="1055"/>
      <c r="AS82" s="1055"/>
      <c r="AT82" s="1055"/>
      <c r="AU82" s="1055"/>
      <c r="AV82" s="1055"/>
      <c r="AW82" s="1055"/>
      <c r="AX82" s="1055"/>
      <c r="AY82" s="1055"/>
      <c r="AZ82" s="1055"/>
      <c r="BA82" s="1055"/>
      <c r="BB82" s="1055"/>
      <c r="BC82" s="1055"/>
      <c r="BD82" s="1055"/>
      <c r="BE82" s="1055"/>
      <c r="BF82" s="1055"/>
      <c r="BG82" s="1055"/>
      <c r="BH82" s="1055"/>
      <c r="BI82" s="1055"/>
      <c r="BJ82" s="1055"/>
      <c r="BK82" s="1055"/>
      <c r="BL82" s="1055"/>
      <c r="BM82" s="1055"/>
      <c r="BN82" s="1055"/>
      <c r="BO82" s="1055"/>
      <c r="BP82" s="1055"/>
      <c r="BQ82" s="1055"/>
      <c r="BR82" s="1055"/>
      <c r="BS82" s="1055"/>
      <c r="BT82" s="1055"/>
      <c r="BU82" s="1055"/>
      <c r="BV82" s="1055"/>
      <c r="BW82" s="1055"/>
      <c r="BX82" s="1055"/>
      <c r="BY82" s="1055"/>
      <c r="BZ82" s="1055"/>
      <c r="CA82" s="1055"/>
      <c r="CB82" s="1055"/>
      <c r="CC82" s="1055"/>
      <c r="CD82" s="1055"/>
      <c r="CE82" s="1055"/>
      <c r="CF82" s="1055"/>
      <c r="CG82" s="1055"/>
      <c r="CH82" s="1055"/>
      <c r="CI82" s="1055"/>
      <c r="CJ82" s="1055"/>
      <c r="CK82" s="1055"/>
      <c r="CL82" s="1055"/>
      <c r="CM82" s="1055"/>
      <c r="CN82" s="1055"/>
      <c r="CO82" s="1055"/>
      <c r="CP82" s="1055"/>
      <c r="CQ82" s="1055"/>
      <c r="CR82" s="1055"/>
      <c r="CS82" s="1055"/>
      <c r="CT82" s="1055"/>
      <c r="CU82" s="1055"/>
      <c r="CV82" s="1055"/>
      <c r="CW82" s="1055"/>
      <c r="CX82" s="1055"/>
      <c r="CY82" s="1055"/>
      <c r="CZ82" s="1055"/>
      <c r="DA82" s="1055"/>
      <c r="DB82" s="1055"/>
      <c r="DC82" s="1055"/>
      <c r="DD82" s="1055"/>
      <c r="DE82" s="1055"/>
      <c r="DF82" s="1055"/>
      <c r="DG82" s="1055"/>
      <c r="DH82" s="1055"/>
      <c r="DI82" s="1055"/>
      <c r="DJ82" s="1055"/>
      <c r="DK82" s="1055"/>
      <c r="DL82" s="1055"/>
      <c r="DM82" s="1055"/>
      <c r="DN82" s="1055"/>
      <c r="DO82" s="1055"/>
      <c r="DP82" s="1055"/>
      <c r="DQ82" s="1055"/>
      <c r="DR82" s="1055"/>
      <c r="DS82" s="1055"/>
      <c r="DT82" s="1055"/>
      <c r="DU82" s="1055"/>
      <c r="DV82" s="1055"/>
      <c r="DW82" s="1055"/>
      <c r="DX82" s="1055"/>
      <c r="DY82" s="1055"/>
      <c r="DZ82" s="1055"/>
      <c r="EA82" s="1055"/>
      <c r="EB82" s="1055"/>
      <c r="EC82" s="1055"/>
      <c r="ED82" s="1055"/>
      <c r="EE82" s="1055"/>
      <c r="EF82" s="1055"/>
      <c r="EG82" s="1055"/>
      <c r="EH82" s="1055"/>
      <c r="EI82" s="1055"/>
      <c r="EJ82" s="1055"/>
      <c r="EK82" s="1055"/>
      <c r="EL82" s="1055"/>
      <c r="EM82" s="1055"/>
      <c r="EN82" s="1055"/>
      <c r="EO82" s="1055"/>
      <c r="EP82" s="1055"/>
      <c r="EQ82" s="1055"/>
      <c r="ER82" s="1055"/>
      <c r="ES82" s="1055"/>
      <c r="ET82" s="1055"/>
      <c r="EU82" s="1055"/>
      <c r="EV82" s="1055"/>
      <c r="EW82" s="1055"/>
      <c r="EX82" s="1055"/>
      <c r="EY82" s="1055"/>
      <c r="EZ82" s="1055"/>
      <c r="FA82" s="1055"/>
      <c r="FB82" s="1055"/>
      <c r="FC82" s="1055"/>
      <c r="FD82" s="1055"/>
      <c r="FE82" s="1055"/>
      <c r="FF82" s="1055"/>
      <c r="FG82" s="1055"/>
      <c r="FH82" s="1055"/>
      <c r="FI82" s="1055"/>
      <c r="FJ82" s="1055"/>
      <c r="FK82" s="1055"/>
      <c r="FL82" s="1055"/>
      <c r="FM82" s="1055"/>
      <c r="FN82" s="1055"/>
      <c r="FO82" s="1055"/>
      <c r="FP82" s="1055"/>
      <c r="FQ82" s="1055"/>
      <c r="FR82" s="1055"/>
      <c r="FS82" s="1055"/>
      <c r="FT82" s="1055"/>
      <c r="FU82" s="1055"/>
      <c r="FV82" s="1055"/>
      <c r="FW82" s="1055"/>
      <c r="FX82" s="1055"/>
      <c r="FY82" s="1055"/>
      <c r="FZ82" s="1055"/>
      <c r="GA82" s="1055"/>
      <c r="GB82" s="1055"/>
      <c r="GC82" s="1055"/>
      <c r="GD82" s="1055"/>
      <c r="GE82" s="1055"/>
      <c r="GF82" s="1055"/>
      <c r="GG82" s="1055"/>
      <c r="GH82" s="1055"/>
      <c r="GI82" s="1055"/>
      <c r="GJ82" s="1055"/>
    </row>
    <row r="83" spans="1:192" s="1067" customFormat="1" ht="12.75" customHeight="1">
      <c r="A83" s="949" t="s">
        <v>450</v>
      </c>
      <c r="B83" s="950"/>
      <c r="C83" s="951"/>
      <c r="D83" s="951"/>
      <c r="E83" s="1084"/>
      <c r="F83" s="1084"/>
      <c r="G83" s="1085"/>
      <c r="H83" s="1055"/>
      <c r="I83" s="1055"/>
      <c r="J83" s="1055"/>
      <c r="K83" s="1055"/>
      <c r="L83" s="1055"/>
      <c r="M83" s="1055"/>
      <c r="N83" s="1055"/>
      <c r="O83" s="1055"/>
      <c r="P83" s="1055"/>
      <c r="Q83" s="1055"/>
      <c r="R83" s="1055"/>
      <c r="S83" s="1055"/>
      <c r="T83" s="1055"/>
      <c r="U83" s="1055"/>
      <c r="V83" s="1055"/>
      <c r="W83" s="1055"/>
      <c r="X83" s="1055"/>
      <c r="Y83" s="1055"/>
      <c r="Z83" s="1055"/>
      <c r="AA83" s="1055"/>
      <c r="AB83" s="1055"/>
      <c r="AC83" s="1055"/>
      <c r="AD83" s="1055"/>
      <c r="AE83" s="1055"/>
      <c r="AF83" s="1055"/>
      <c r="AG83" s="1055"/>
      <c r="AH83" s="1055"/>
      <c r="AI83" s="1055"/>
      <c r="AJ83" s="1055"/>
      <c r="AK83" s="1055"/>
      <c r="AL83" s="1055"/>
      <c r="AM83" s="1055"/>
      <c r="AN83" s="1055"/>
      <c r="AO83" s="1055"/>
      <c r="AP83" s="1055"/>
      <c r="AQ83" s="1055"/>
      <c r="AR83" s="1055"/>
      <c r="AS83" s="1055"/>
      <c r="AT83" s="1055"/>
      <c r="AU83" s="1055"/>
      <c r="AV83" s="1055"/>
      <c r="AW83" s="1055"/>
      <c r="AX83" s="1055"/>
      <c r="AY83" s="1055"/>
      <c r="AZ83" s="1055"/>
      <c r="BA83" s="1055"/>
      <c r="BB83" s="1055"/>
      <c r="BC83" s="1055"/>
      <c r="BD83" s="1055"/>
      <c r="BE83" s="1055"/>
      <c r="BF83" s="1055"/>
      <c r="BG83" s="1055"/>
      <c r="BH83" s="1055"/>
      <c r="BI83" s="1055"/>
      <c r="BJ83" s="1055"/>
      <c r="BK83" s="1055"/>
      <c r="BL83" s="1055"/>
      <c r="BM83" s="1055"/>
      <c r="BN83" s="1055"/>
      <c r="BO83" s="1055"/>
      <c r="BP83" s="1055"/>
      <c r="BQ83" s="1055"/>
      <c r="BR83" s="1055"/>
      <c r="BS83" s="1055"/>
      <c r="BT83" s="1055"/>
      <c r="BU83" s="1055"/>
      <c r="BV83" s="1055"/>
      <c r="BW83" s="1055"/>
      <c r="BX83" s="1055"/>
      <c r="BY83" s="1055"/>
      <c r="BZ83" s="1055"/>
      <c r="CA83" s="1055"/>
      <c r="CB83" s="1055"/>
      <c r="CC83" s="1055"/>
      <c r="CD83" s="1055"/>
      <c r="CE83" s="1055"/>
      <c r="CF83" s="1055"/>
      <c r="CG83" s="1055"/>
      <c r="CH83" s="1055"/>
      <c r="CI83" s="1055"/>
      <c r="CJ83" s="1055"/>
      <c r="CK83" s="1055"/>
      <c r="CL83" s="1055"/>
      <c r="CM83" s="1055"/>
      <c r="CN83" s="1055"/>
      <c r="CO83" s="1055"/>
      <c r="CP83" s="1055"/>
      <c r="CQ83" s="1055"/>
      <c r="CR83" s="1055"/>
      <c r="CS83" s="1055"/>
      <c r="CT83" s="1055"/>
      <c r="CU83" s="1055"/>
      <c r="CV83" s="1055"/>
      <c r="CW83" s="1055"/>
      <c r="CX83" s="1055"/>
      <c r="CY83" s="1055"/>
      <c r="CZ83" s="1055"/>
      <c r="DA83" s="1055"/>
      <c r="DB83" s="1055"/>
      <c r="DC83" s="1055"/>
      <c r="DD83" s="1055"/>
      <c r="DE83" s="1055"/>
      <c r="DF83" s="1055"/>
      <c r="DG83" s="1055"/>
      <c r="DH83" s="1055"/>
      <c r="DI83" s="1055"/>
      <c r="DJ83" s="1055"/>
      <c r="DK83" s="1055"/>
      <c r="DL83" s="1055"/>
      <c r="DM83" s="1055"/>
      <c r="DN83" s="1055"/>
      <c r="DO83" s="1055"/>
      <c r="DP83" s="1055"/>
      <c r="DQ83" s="1055"/>
      <c r="DR83" s="1055"/>
      <c r="DS83" s="1055"/>
      <c r="DT83" s="1055"/>
      <c r="DU83" s="1055"/>
      <c r="DV83" s="1055"/>
      <c r="DW83" s="1055"/>
      <c r="DX83" s="1055"/>
      <c r="DY83" s="1055"/>
      <c r="DZ83" s="1055"/>
      <c r="EA83" s="1055"/>
      <c r="EB83" s="1055"/>
      <c r="EC83" s="1055"/>
      <c r="ED83" s="1055"/>
      <c r="EE83" s="1055"/>
      <c r="EF83" s="1055"/>
      <c r="EG83" s="1055"/>
      <c r="EH83" s="1055"/>
      <c r="EI83" s="1055"/>
      <c r="EJ83" s="1055"/>
      <c r="EK83" s="1055"/>
      <c r="EL83" s="1055"/>
      <c r="EM83" s="1055"/>
      <c r="EN83" s="1055"/>
      <c r="EO83" s="1055"/>
      <c r="EP83" s="1055"/>
      <c r="EQ83" s="1055"/>
      <c r="ER83" s="1055"/>
      <c r="ES83" s="1055"/>
      <c r="ET83" s="1055"/>
      <c r="EU83" s="1055"/>
      <c r="EV83" s="1055"/>
      <c r="EW83" s="1055"/>
      <c r="EX83" s="1055"/>
      <c r="EY83" s="1055"/>
      <c r="EZ83" s="1055"/>
      <c r="FA83" s="1055"/>
      <c r="FB83" s="1055"/>
      <c r="FC83" s="1055"/>
      <c r="FD83" s="1055"/>
      <c r="FE83" s="1055"/>
      <c r="FF83" s="1055"/>
      <c r="FG83" s="1055"/>
      <c r="FH83" s="1055"/>
      <c r="FI83" s="1055"/>
      <c r="FJ83" s="1055"/>
      <c r="FK83" s="1055"/>
      <c r="FL83" s="1055"/>
      <c r="FM83" s="1055"/>
      <c r="FN83" s="1055"/>
      <c r="FO83" s="1055"/>
      <c r="FP83" s="1055"/>
      <c r="FQ83" s="1055"/>
      <c r="FR83" s="1055"/>
      <c r="FS83" s="1055"/>
      <c r="FT83" s="1055"/>
      <c r="FU83" s="1055"/>
      <c r="FV83" s="1055"/>
      <c r="FW83" s="1055"/>
      <c r="FX83" s="1055"/>
      <c r="FY83" s="1055"/>
      <c r="FZ83" s="1055"/>
      <c r="GA83" s="1055"/>
      <c r="GB83" s="1055"/>
      <c r="GC83" s="1055"/>
      <c r="GD83" s="1055"/>
      <c r="GE83" s="1055"/>
      <c r="GF83" s="1055"/>
      <c r="GG83" s="1055"/>
      <c r="GH83" s="1055"/>
      <c r="GI83" s="1055"/>
      <c r="GJ83" s="1055"/>
    </row>
    <row r="84" spans="1:192" s="1067" customFormat="1">
      <c r="A84" s="948" t="s">
        <v>525</v>
      </c>
      <c r="B84" s="951"/>
      <c r="C84" s="951"/>
      <c r="D84" s="951"/>
      <c r="E84" s="1084"/>
      <c r="F84" s="1084"/>
      <c r="G84" s="1085"/>
      <c r="H84" s="1055"/>
      <c r="I84" s="1055"/>
      <c r="J84" s="1055"/>
      <c r="K84" s="1055"/>
      <c r="L84" s="1055"/>
      <c r="M84" s="1055"/>
      <c r="N84" s="1055"/>
      <c r="O84" s="1055"/>
      <c r="P84" s="1055"/>
      <c r="Q84" s="1055"/>
      <c r="R84" s="1055"/>
      <c r="S84" s="1055"/>
      <c r="T84" s="1055"/>
      <c r="U84" s="1055"/>
      <c r="V84" s="1055"/>
      <c r="W84" s="1055"/>
      <c r="X84" s="1055"/>
      <c r="Y84" s="1055"/>
      <c r="Z84" s="1055"/>
      <c r="AA84" s="1055"/>
      <c r="AB84" s="1055"/>
      <c r="AC84" s="1055"/>
      <c r="AD84" s="1055"/>
      <c r="AE84" s="1055"/>
      <c r="AF84" s="1055"/>
      <c r="AG84" s="1055"/>
      <c r="AH84" s="1055"/>
      <c r="AI84" s="1055"/>
      <c r="AJ84" s="1055"/>
      <c r="AK84" s="1055"/>
      <c r="AL84" s="1055"/>
      <c r="AM84" s="1055"/>
      <c r="AN84" s="1055"/>
      <c r="AO84" s="1055"/>
      <c r="AP84" s="1055"/>
      <c r="AQ84" s="1055"/>
      <c r="AR84" s="1055"/>
      <c r="AS84" s="1055"/>
      <c r="AT84" s="1055"/>
      <c r="AU84" s="1055"/>
      <c r="AV84" s="1055"/>
      <c r="AW84" s="1055"/>
      <c r="AX84" s="1055"/>
      <c r="AY84" s="1055"/>
      <c r="AZ84" s="1055"/>
      <c r="BA84" s="1055"/>
      <c r="BB84" s="1055"/>
      <c r="BC84" s="1055"/>
      <c r="BD84" s="1055"/>
      <c r="BE84" s="1055"/>
      <c r="BF84" s="1055"/>
      <c r="BG84" s="1055"/>
      <c r="BH84" s="1055"/>
      <c r="BI84" s="1055"/>
      <c r="BJ84" s="1055"/>
      <c r="BK84" s="1055"/>
      <c r="BL84" s="1055"/>
      <c r="BM84" s="1055"/>
      <c r="BN84" s="1055"/>
      <c r="BO84" s="1055"/>
      <c r="BP84" s="1055"/>
      <c r="BQ84" s="1055"/>
      <c r="BR84" s="1055"/>
      <c r="BS84" s="1055"/>
      <c r="BT84" s="1055"/>
      <c r="BU84" s="1055"/>
      <c r="BV84" s="1055"/>
      <c r="BW84" s="1055"/>
      <c r="BX84" s="1055"/>
      <c r="BY84" s="1055"/>
      <c r="BZ84" s="1055"/>
      <c r="CA84" s="1055"/>
      <c r="CB84" s="1055"/>
      <c r="CC84" s="1055"/>
      <c r="CD84" s="1055"/>
      <c r="CE84" s="1055"/>
      <c r="CF84" s="1055"/>
      <c r="CG84" s="1055"/>
      <c r="CH84" s="1055"/>
      <c r="CI84" s="1055"/>
      <c r="CJ84" s="1055"/>
      <c r="CK84" s="1055"/>
      <c r="CL84" s="1055"/>
      <c r="CM84" s="1055"/>
      <c r="CN84" s="1055"/>
      <c r="CO84" s="1055"/>
      <c r="CP84" s="1055"/>
      <c r="CQ84" s="1055"/>
      <c r="CR84" s="1055"/>
      <c r="CS84" s="1055"/>
      <c r="CT84" s="1055"/>
      <c r="CU84" s="1055"/>
      <c r="CV84" s="1055"/>
      <c r="CW84" s="1055"/>
      <c r="CX84" s="1055"/>
      <c r="CY84" s="1055"/>
      <c r="CZ84" s="1055"/>
      <c r="DA84" s="1055"/>
      <c r="DB84" s="1055"/>
      <c r="DC84" s="1055"/>
      <c r="DD84" s="1055"/>
      <c r="DE84" s="1055"/>
      <c r="DF84" s="1055"/>
      <c r="DG84" s="1055"/>
      <c r="DH84" s="1055"/>
      <c r="DI84" s="1055"/>
      <c r="DJ84" s="1055"/>
      <c r="DK84" s="1055"/>
      <c r="DL84" s="1055"/>
      <c r="DM84" s="1055"/>
      <c r="DN84" s="1055"/>
      <c r="DO84" s="1055"/>
      <c r="DP84" s="1055"/>
      <c r="DQ84" s="1055"/>
      <c r="DR84" s="1055"/>
      <c r="DS84" s="1055"/>
      <c r="DT84" s="1055"/>
      <c r="DU84" s="1055"/>
      <c r="DV84" s="1055"/>
      <c r="DW84" s="1055"/>
      <c r="DX84" s="1055"/>
      <c r="DY84" s="1055"/>
      <c r="DZ84" s="1055"/>
      <c r="EA84" s="1055"/>
      <c r="EB84" s="1055"/>
      <c r="EC84" s="1055"/>
      <c r="ED84" s="1055"/>
      <c r="EE84" s="1055"/>
      <c r="EF84" s="1055"/>
      <c r="EG84" s="1055"/>
      <c r="EH84" s="1055"/>
      <c r="EI84" s="1055"/>
      <c r="EJ84" s="1055"/>
      <c r="EK84" s="1055"/>
      <c r="EL84" s="1055"/>
      <c r="EM84" s="1055"/>
      <c r="EN84" s="1055"/>
      <c r="EO84" s="1055"/>
      <c r="EP84" s="1055"/>
      <c r="EQ84" s="1055"/>
      <c r="ER84" s="1055"/>
      <c r="ES84" s="1055"/>
      <c r="ET84" s="1055"/>
      <c r="EU84" s="1055"/>
      <c r="EV84" s="1055"/>
      <c r="EW84" s="1055"/>
      <c r="EX84" s="1055"/>
      <c r="EY84" s="1055"/>
      <c r="EZ84" s="1055"/>
      <c r="FA84" s="1055"/>
      <c r="FB84" s="1055"/>
      <c r="FC84" s="1055"/>
      <c r="FD84" s="1055"/>
      <c r="FE84" s="1055"/>
      <c r="FF84" s="1055"/>
      <c r="FG84" s="1055"/>
      <c r="FH84" s="1055"/>
      <c r="FI84" s="1055"/>
      <c r="FJ84" s="1055"/>
      <c r="FK84" s="1055"/>
      <c r="FL84" s="1055"/>
      <c r="FM84" s="1055"/>
      <c r="FN84" s="1055"/>
      <c r="FO84" s="1055"/>
      <c r="FP84" s="1055"/>
      <c r="FQ84" s="1055"/>
      <c r="FR84" s="1055"/>
      <c r="FS84" s="1055"/>
      <c r="FT84" s="1055"/>
      <c r="FU84" s="1055"/>
      <c r="FV84" s="1055"/>
      <c r="FW84" s="1055"/>
      <c r="FX84" s="1055"/>
      <c r="FY84" s="1055"/>
      <c r="FZ84" s="1055"/>
      <c r="GA84" s="1055"/>
      <c r="GB84" s="1055"/>
      <c r="GC84" s="1055"/>
      <c r="GD84" s="1055"/>
      <c r="GE84" s="1055"/>
      <c r="GF84" s="1055"/>
      <c r="GG84" s="1055"/>
      <c r="GH84" s="1055"/>
      <c r="GI84" s="1055"/>
      <c r="GJ84" s="1055"/>
    </row>
    <row r="85" spans="1:192" s="1067" customFormat="1">
      <c r="A85" s="1069"/>
      <c r="B85" s="1070"/>
      <c r="C85" s="1071"/>
      <c r="D85" s="1071"/>
      <c r="E85" s="1071"/>
      <c r="F85" s="1072"/>
      <c r="G85" s="1073"/>
      <c r="H85" s="1055"/>
      <c r="I85" s="1055"/>
      <c r="J85" s="1055"/>
      <c r="K85" s="1055"/>
      <c r="L85" s="1055"/>
      <c r="M85" s="1055"/>
      <c r="N85" s="1055"/>
      <c r="O85" s="1055"/>
      <c r="P85" s="1055"/>
      <c r="Q85" s="1055"/>
      <c r="R85" s="1055"/>
      <c r="S85" s="1055"/>
      <c r="T85" s="1055"/>
      <c r="U85" s="1055"/>
      <c r="V85" s="1055"/>
      <c r="W85" s="1055"/>
      <c r="X85" s="1055"/>
      <c r="Y85" s="1055"/>
      <c r="Z85" s="1055"/>
      <c r="AA85" s="1055"/>
      <c r="AB85" s="1055"/>
      <c r="AC85" s="1055"/>
      <c r="AD85" s="1055"/>
      <c r="AE85" s="1055"/>
      <c r="AF85" s="1055"/>
      <c r="AG85" s="1055"/>
      <c r="AH85" s="1055"/>
      <c r="AI85" s="1055"/>
      <c r="AJ85" s="1055"/>
      <c r="AK85" s="1055"/>
      <c r="AL85" s="1055"/>
      <c r="AM85" s="1055"/>
      <c r="AN85" s="1055"/>
      <c r="AO85" s="1055"/>
      <c r="AP85" s="1055"/>
      <c r="AQ85" s="1055"/>
      <c r="AR85" s="1055"/>
      <c r="AS85" s="1055"/>
      <c r="AT85" s="1055"/>
      <c r="AU85" s="1055"/>
      <c r="AV85" s="1055"/>
      <c r="AW85" s="1055"/>
      <c r="AX85" s="1055"/>
      <c r="AY85" s="1055"/>
      <c r="AZ85" s="1055"/>
      <c r="BA85" s="1055"/>
      <c r="BB85" s="1055"/>
      <c r="BC85" s="1055"/>
      <c r="BD85" s="1055"/>
      <c r="BE85" s="1055"/>
      <c r="BF85" s="1055"/>
      <c r="BG85" s="1055"/>
      <c r="BH85" s="1055"/>
      <c r="BI85" s="1055"/>
      <c r="BJ85" s="1055"/>
      <c r="BK85" s="1055"/>
      <c r="BL85" s="1055"/>
      <c r="BM85" s="1055"/>
      <c r="BN85" s="1055"/>
      <c r="BO85" s="1055"/>
      <c r="BP85" s="1055"/>
      <c r="BQ85" s="1055"/>
      <c r="BR85" s="1055"/>
      <c r="BS85" s="1055"/>
      <c r="BT85" s="1055"/>
      <c r="BU85" s="1055"/>
      <c r="BV85" s="1055"/>
      <c r="BW85" s="1055"/>
      <c r="BX85" s="1055"/>
      <c r="BY85" s="1055"/>
      <c r="BZ85" s="1055"/>
      <c r="CA85" s="1055"/>
      <c r="CB85" s="1055"/>
      <c r="CC85" s="1055"/>
      <c r="CD85" s="1055"/>
      <c r="CE85" s="1055"/>
      <c r="CF85" s="1055"/>
      <c r="CG85" s="1055"/>
      <c r="CH85" s="1055"/>
      <c r="CI85" s="1055"/>
      <c r="CJ85" s="1055"/>
      <c r="CK85" s="1055"/>
      <c r="CL85" s="1055"/>
      <c r="CM85" s="1055"/>
      <c r="CN85" s="1055"/>
      <c r="CO85" s="1055"/>
      <c r="CP85" s="1055"/>
      <c r="CQ85" s="1055"/>
      <c r="CR85" s="1055"/>
      <c r="CS85" s="1055"/>
      <c r="CT85" s="1055"/>
      <c r="CU85" s="1055"/>
      <c r="CV85" s="1055"/>
      <c r="CW85" s="1055"/>
      <c r="CX85" s="1055"/>
      <c r="CY85" s="1055"/>
      <c r="CZ85" s="1055"/>
      <c r="DA85" s="1055"/>
      <c r="DB85" s="1055"/>
      <c r="DC85" s="1055"/>
      <c r="DD85" s="1055"/>
      <c r="DE85" s="1055"/>
      <c r="DF85" s="1055"/>
      <c r="DG85" s="1055"/>
      <c r="DH85" s="1055"/>
      <c r="DI85" s="1055"/>
      <c r="DJ85" s="1055"/>
      <c r="DK85" s="1055"/>
      <c r="DL85" s="1055"/>
      <c r="DM85" s="1055"/>
      <c r="DN85" s="1055"/>
      <c r="DO85" s="1055"/>
      <c r="DP85" s="1055"/>
      <c r="DQ85" s="1055"/>
      <c r="DR85" s="1055"/>
      <c r="DS85" s="1055"/>
      <c r="DT85" s="1055"/>
      <c r="DU85" s="1055"/>
      <c r="DV85" s="1055"/>
      <c r="DW85" s="1055"/>
      <c r="DX85" s="1055"/>
      <c r="DY85" s="1055"/>
      <c r="DZ85" s="1055"/>
      <c r="EA85" s="1055"/>
      <c r="EB85" s="1055"/>
      <c r="EC85" s="1055"/>
      <c r="ED85" s="1055"/>
      <c r="EE85" s="1055"/>
      <c r="EF85" s="1055"/>
      <c r="EG85" s="1055"/>
      <c r="EH85" s="1055"/>
      <c r="EI85" s="1055"/>
      <c r="EJ85" s="1055"/>
      <c r="EK85" s="1055"/>
      <c r="EL85" s="1055"/>
      <c r="EM85" s="1055"/>
      <c r="EN85" s="1055"/>
      <c r="EO85" s="1055"/>
      <c r="EP85" s="1055"/>
      <c r="EQ85" s="1055"/>
      <c r="ER85" s="1055"/>
      <c r="ES85" s="1055"/>
      <c r="ET85" s="1055"/>
      <c r="EU85" s="1055"/>
      <c r="EV85" s="1055"/>
      <c r="EW85" s="1055"/>
      <c r="EX85" s="1055"/>
      <c r="EY85" s="1055"/>
      <c r="EZ85" s="1055"/>
      <c r="FA85" s="1055"/>
      <c r="FB85" s="1055"/>
      <c r="FC85" s="1055"/>
      <c r="FD85" s="1055"/>
      <c r="FE85" s="1055"/>
      <c r="FF85" s="1055"/>
      <c r="FG85" s="1055"/>
      <c r="FH85" s="1055"/>
      <c r="FI85" s="1055"/>
      <c r="FJ85" s="1055"/>
      <c r="FK85" s="1055"/>
      <c r="FL85" s="1055"/>
      <c r="FM85" s="1055"/>
      <c r="FN85" s="1055"/>
      <c r="FO85" s="1055"/>
      <c r="FP85" s="1055"/>
      <c r="FQ85" s="1055"/>
      <c r="FR85" s="1055"/>
      <c r="FS85" s="1055"/>
      <c r="FT85" s="1055"/>
      <c r="FU85" s="1055"/>
      <c r="FV85" s="1055"/>
      <c r="FW85" s="1055"/>
      <c r="FX85" s="1055"/>
      <c r="FY85" s="1055"/>
      <c r="FZ85" s="1055"/>
      <c r="GA85" s="1055"/>
      <c r="GB85" s="1055"/>
      <c r="GC85" s="1055"/>
      <c r="GD85" s="1055"/>
      <c r="GE85" s="1055"/>
      <c r="GF85" s="1055"/>
      <c r="GG85" s="1055"/>
      <c r="GH85" s="1055"/>
      <c r="GI85" s="1055"/>
      <c r="GJ85" s="1055"/>
    </row>
    <row r="86" spans="1:192" s="1067" customFormat="1">
      <c r="A86" s="1086"/>
      <c r="B86" s="1087"/>
      <c r="C86" s="1060"/>
      <c r="D86" s="1060"/>
      <c r="E86" s="1060"/>
      <c r="F86" s="1082"/>
      <c r="G86" s="1088"/>
      <c r="H86" s="1055"/>
      <c r="I86" s="1055"/>
      <c r="J86" s="1055"/>
      <c r="K86" s="1055"/>
      <c r="L86" s="1055"/>
      <c r="M86" s="1055"/>
      <c r="N86" s="1055"/>
      <c r="O86" s="1055"/>
      <c r="P86" s="1055"/>
      <c r="Q86" s="1055"/>
      <c r="R86" s="1055"/>
      <c r="S86" s="1055"/>
      <c r="T86" s="1055"/>
      <c r="U86" s="1055"/>
      <c r="V86" s="1055"/>
      <c r="W86" s="1055"/>
      <c r="X86" s="1055"/>
      <c r="Y86" s="1055"/>
      <c r="Z86" s="1055"/>
      <c r="AA86" s="1055"/>
      <c r="AB86" s="1055"/>
      <c r="AC86" s="1055"/>
      <c r="AD86" s="1055"/>
      <c r="AE86" s="1055"/>
      <c r="AF86" s="1055"/>
      <c r="AG86" s="1055"/>
      <c r="AH86" s="1055"/>
      <c r="AI86" s="1055"/>
      <c r="AJ86" s="1055"/>
      <c r="AK86" s="1055"/>
      <c r="AL86" s="1055"/>
      <c r="AM86" s="1055"/>
      <c r="AN86" s="1055"/>
      <c r="AO86" s="1055"/>
      <c r="AP86" s="1055"/>
      <c r="AQ86" s="1055"/>
      <c r="AR86" s="1055"/>
      <c r="AS86" s="1055"/>
      <c r="AT86" s="1055"/>
      <c r="AU86" s="1055"/>
      <c r="AV86" s="1055"/>
      <c r="AW86" s="1055"/>
      <c r="AX86" s="1055"/>
      <c r="AY86" s="1055"/>
      <c r="AZ86" s="1055"/>
      <c r="BA86" s="1055"/>
      <c r="BB86" s="1055"/>
      <c r="BC86" s="1055"/>
      <c r="BD86" s="1055"/>
      <c r="BE86" s="1055"/>
      <c r="BF86" s="1055"/>
      <c r="BG86" s="1055"/>
      <c r="BH86" s="1055"/>
      <c r="BI86" s="1055"/>
      <c r="BJ86" s="1055"/>
      <c r="BK86" s="1055"/>
      <c r="BL86" s="1055"/>
      <c r="BM86" s="1055"/>
      <c r="BN86" s="1055"/>
      <c r="BO86" s="1055"/>
      <c r="BP86" s="1055"/>
      <c r="BQ86" s="1055"/>
      <c r="BR86" s="1055"/>
      <c r="BS86" s="1055"/>
      <c r="BT86" s="1055"/>
      <c r="BU86" s="1055"/>
      <c r="BV86" s="1055"/>
      <c r="BW86" s="1055"/>
      <c r="BX86" s="1055"/>
      <c r="BY86" s="1055"/>
      <c r="BZ86" s="1055"/>
      <c r="CA86" s="1055"/>
      <c r="CB86" s="1055"/>
      <c r="CC86" s="1055"/>
      <c r="CD86" s="1055"/>
      <c r="CE86" s="1055"/>
      <c r="CF86" s="1055"/>
      <c r="CG86" s="1055"/>
      <c r="CH86" s="1055"/>
      <c r="CI86" s="1055"/>
      <c r="CJ86" s="1055"/>
      <c r="CK86" s="1055"/>
      <c r="CL86" s="1055"/>
      <c r="CM86" s="1055"/>
      <c r="CN86" s="1055"/>
      <c r="CO86" s="1055"/>
      <c r="CP86" s="1055"/>
      <c r="CQ86" s="1055"/>
      <c r="CR86" s="1055"/>
      <c r="CS86" s="1055"/>
      <c r="CT86" s="1055"/>
      <c r="CU86" s="1055"/>
      <c r="CV86" s="1055"/>
      <c r="CW86" s="1055"/>
      <c r="CX86" s="1055"/>
      <c r="CY86" s="1055"/>
      <c r="CZ86" s="1055"/>
      <c r="DA86" s="1055"/>
      <c r="DB86" s="1055"/>
      <c r="DC86" s="1055"/>
      <c r="DD86" s="1055"/>
      <c r="DE86" s="1055"/>
      <c r="DF86" s="1055"/>
      <c r="DG86" s="1055"/>
      <c r="DH86" s="1055"/>
      <c r="DI86" s="1055"/>
      <c r="DJ86" s="1055"/>
      <c r="DK86" s="1055"/>
      <c r="DL86" s="1055"/>
      <c r="DM86" s="1055"/>
      <c r="DN86" s="1055"/>
      <c r="DO86" s="1055"/>
      <c r="DP86" s="1055"/>
      <c r="DQ86" s="1055"/>
      <c r="DR86" s="1055"/>
      <c r="DS86" s="1055"/>
      <c r="DT86" s="1055"/>
      <c r="DU86" s="1055"/>
      <c r="DV86" s="1055"/>
      <c r="DW86" s="1055"/>
      <c r="DX86" s="1055"/>
      <c r="DY86" s="1055"/>
      <c r="DZ86" s="1055"/>
      <c r="EA86" s="1055"/>
      <c r="EB86" s="1055"/>
      <c r="EC86" s="1055"/>
      <c r="ED86" s="1055"/>
      <c r="EE86" s="1055"/>
      <c r="EF86" s="1055"/>
      <c r="EG86" s="1055"/>
      <c r="EH86" s="1055"/>
      <c r="EI86" s="1055"/>
      <c r="EJ86" s="1055"/>
      <c r="EK86" s="1055"/>
      <c r="EL86" s="1055"/>
      <c r="EM86" s="1055"/>
      <c r="EN86" s="1055"/>
      <c r="EO86" s="1055"/>
      <c r="EP86" s="1055"/>
      <c r="EQ86" s="1055"/>
      <c r="ER86" s="1055"/>
      <c r="ES86" s="1055"/>
      <c r="ET86" s="1055"/>
      <c r="EU86" s="1055"/>
      <c r="EV86" s="1055"/>
      <c r="EW86" s="1055"/>
      <c r="EX86" s="1055"/>
      <c r="EY86" s="1055"/>
      <c r="EZ86" s="1055"/>
      <c r="FA86" s="1055"/>
      <c r="FB86" s="1055"/>
      <c r="FC86" s="1055"/>
      <c r="FD86" s="1055"/>
      <c r="FE86" s="1055"/>
      <c r="FF86" s="1055"/>
      <c r="FG86" s="1055"/>
      <c r="FH86" s="1055"/>
      <c r="FI86" s="1055"/>
      <c r="FJ86" s="1055"/>
      <c r="FK86" s="1055"/>
      <c r="FL86" s="1055"/>
      <c r="FM86" s="1055"/>
      <c r="FN86" s="1055"/>
      <c r="FO86" s="1055"/>
      <c r="FP86" s="1055"/>
      <c r="FQ86" s="1055"/>
      <c r="FR86" s="1055"/>
      <c r="FS86" s="1055"/>
      <c r="FT86" s="1055"/>
      <c r="FU86" s="1055"/>
      <c r="FV86" s="1055"/>
      <c r="FW86" s="1055"/>
      <c r="FX86" s="1055"/>
      <c r="FY86" s="1055"/>
      <c r="FZ86" s="1055"/>
      <c r="GA86" s="1055"/>
      <c r="GB86" s="1055"/>
      <c r="GC86" s="1055"/>
      <c r="GD86" s="1055"/>
      <c r="GE86" s="1055"/>
      <c r="GF86" s="1055"/>
      <c r="GG86" s="1055"/>
      <c r="GH86" s="1055"/>
      <c r="GI86" s="1055"/>
      <c r="GJ86" s="1055"/>
    </row>
    <row r="87" spans="1:192" s="1067" customFormat="1">
      <c r="A87" s="952" t="s">
        <v>506</v>
      </c>
      <c r="B87" s="936"/>
      <c r="C87" s="936"/>
      <c r="D87" s="936"/>
      <c r="E87" s="936"/>
      <c r="F87" s="936"/>
      <c r="G87" s="914"/>
      <c r="H87" s="1055"/>
      <c r="I87" s="1055"/>
      <c r="J87" s="1055"/>
      <c r="K87" s="1055"/>
      <c r="L87" s="1055"/>
      <c r="M87" s="1055"/>
      <c r="N87" s="1055"/>
      <c r="O87" s="1055"/>
      <c r="P87" s="1055"/>
      <c r="Q87" s="1055"/>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5"/>
      <c r="BA87" s="1055"/>
      <c r="BB87" s="1055"/>
      <c r="BC87" s="1055"/>
      <c r="BD87" s="1055"/>
      <c r="BE87" s="1055"/>
      <c r="BF87" s="1055"/>
      <c r="BG87" s="1055"/>
      <c r="BH87" s="1055"/>
      <c r="BI87" s="1055"/>
      <c r="BJ87" s="1055"/>
      <c r="BK87" s="1055"/>
      <c r="BL87" s="1055"/>
      <c r="BM87" s="1055"/>
      <c r="BN87" s="1055"/>
      <c r="BO87" s="1055"/>
      <c r="BP87" s="1055"/>
      <c r="BQ87" s="1055"/>
      <c r="BR87" s="1055"/>
      <c r="BS87" s="1055"/>
      <c r="BT87" s="1055"/>
      <c r="BU87" s="1055"/>
      <c r="BV87" s="1055"/>
      <c r="BW87" s="1055"/>
      <c r="BX87" s="1055"/>
      <c r="BY87" s="1055"/>
      <c r="BZ87" s="1055"/>
      <c r="CA87" s="1055"/>
      <c r="CB87" s="1055"/>
      <c r="CC87" s="1055"/>
      <c r="CD87" s="1055"/>
      <c r="CE87" s="1055"/>
      <c r="CF87" s="1055"/>
      <c r="CG87" s="1055"/>
      <c r="CH87" s="1055"/>
      <c r="CI87" s="1055"/>
      <c r="CJ87" s="1055"/>
      <c r="CK87" s="1055"/>
      <c r="CL87" s="1055"/>
      <c r="CM87" s="1055"/>
      <c r="CN87" s="1055"/>
      <c r="CO87" s="1055"/>
      <c r="CP87" s="1055"/>
      <c r="CQ87" s="1055"/>
      <c r="CR87" s="1055"/>
      <c r="CS87" s="1055"/>
      <c r="CT87" s="1055"/>
      <c r="CU87" s="1055"/>
      <c r="CV87" s="1055"/>
      <c r="CW87" s="1055"/>
      <c r="CX87" s="1055"/>
      <c r="CY87" s="1055"/>
      <c r="CZ87" s="1055"/>
      <c r="DA87" s="1055"/>
      <c r="DB87" s="1055"/>
      <c r="DC87" s="1055"/>
      <c r="DD87" s="1055"/>
      <c r="DE87" s="1055"/>
      <c r="DF87" s="1055"/>
      <c r="DG87" s="1055"/>
      <c r="DH87" s="1055"/>
      <c r="DI87" s="1055"/>
      <c r="DJ87" s="1055"/>
      <c r="DK87" s="1055"/>
      <c r="DL87" s="1055"/>
      <c r="DM87" s="1055"/>
      <c r="DN87" s="1055"/>
      <c r="DO87" s="1055"/>
      <c r="DP87" s="1055"/>
      <c r="DQ87" s="1055"/>
      <c r="DR87" s="1055"/>
      <c r="DS87" s="1055"/>
      <c r="DT87" s="1055"/>
      <c r="DU87" s="1055"/>
      <c r="DV87" s="1055"/>
      <c r="DW87" s="1055"/>
      <c r="DX87" s="1055"/>
      <c r="DY87" s="1055"/>
      <c r="DZ87" s="1055"/>
      <c r="EA87" s="1055"/>
      <c r="EB87" s="1055"/>
      <c r="EC87" s="1055"/>
      <c r="ED87" s="1055"/>
      <c r="EE87" s="1055"/>
      <c r="EF87" s="1055"/>
      <c r="EG87" s="1055"/>
      <c r="EH87" s="1055"/>
      <c r="EI87" s="1055"/>
      <c r="EJ87" s="1055"/>
      <c r="EK87" s="1055"/>
      <c r="EL87" s="1055"/>
      <c r="EM87" s="1055"/>
      <c r="EN87" s="1055"/>
      <c r="EO87" s="1055"/>
      <c r="EP87" s="1055"/>
      <c r="EQ87" s="1055"/>
      <c r="ER87" s="1055"/>
      <c r="ES87" s="1055"/>
      <c r="ET87" s="1055"/>
      <c r="EU87" s="1055"/>
      <c r="EV87" s="1055"/>
      <c r="EW87" s="1055"/>
      <c r="EX87" s="1055"/>
      <c r="EY87" s="1055"/>
      <c r="EZ87" s="1055"/>
      <c r="FA87" s="1055"/>
      <c r="FB87" s="1055"/>
      <c r="FC87" s="1055"/>
      <c r="FD87" s="1055"/>
      <c r="FE87" s="1055"/>
      <c r="FF87" s="1055"/>
      <c r="FG87" s="1055"/>
      <c r="FH87" s="1055"/>
      <c r="FI87" s="1055"/>
      <c r="FJ87" s="1055"/>
      <c r="FK87" s="1055"/>
      <c r="FL87" s="1055"/>
      <c r="FM87" s="1055"/>
      <c r="FN87" s="1055"/>
      <c r="FO87" s="1055"/>
      <c r="FP87" s="1055"/>
      <c r="FQ87" s="1055"/>
      <c r="FR87" s="1055"/>
      <c r="FS87" s="1055"/>
      <c r="FT87" s="1055"/>
      <c r="FU87" s="1055"/>
      <c r="FV87" s="1055"/>
      <c r="FW87" s="1055"/>
      <c r="FX87" s="1055"/>
      <c r="FY87" s="1055"/>
      <c r="FZ87" s="1055"/>
      <c r="GA87" s="1055"/>
      <c r="GB87" s="1055"/>
      <c r="GC87" s="1055"/>
      <c r="GD87" s="1055"/>
      <c r="GE87" s="1055"/>
      <c r="GF87" s="1055"/>
      <c r="GG87" s="1055"/>
      <c r="GH87" s="1055"/>
      <c r="GI87" s="1055"/>
      <c r="GJ87" s="1055"/>
    </row>
    <row r="88" spans="1:192" s="1067" customFormat="1">
      <c r="A88" s="937" t="s">
        <v>576</v>
      </c>
      <c r="B88" s="938"/>
      <c r="C88" s="939"/>
      <c r="D88" s="939"/>
      <c r="E88" s="939"/>
      <c r="F88" s="939"/>
      <c r="G88" s="940"/>
      <c r="H88" s="1055"/>
      <c r="I88" s="1055"/>
      <c r="J88" s="1055"/>
      <c r="K88" s="1055"/>
      <c r="L88" s="1055"/>
      <c r="M88" s="1055"/>
      <c r="N88" s="1055"/>
      <c r="O88" s="1055"/>
      <c r="P88" s="1055"/>
      <c r="Q88" s="1055"/>
      <c r="R88" s="1055"/>
      <c r="S88" s="1055"/>
      <c r="T88" s="1055"/>
      <c r="U88" s="1055"/>
      <c r="V88" s="1055"/>
      <c r="W88" s="1055"/>
      <c r="X88" s="1055"/>
      <c r="Y88" s="1055"/>
      <c r="Z88" s="1055"/>
      <c r="AA88" s="1055"/>
      <c r="AB88" s="1055"/>
      <c r="AC88" s="1055"/>
      <c r="AD88" s="1055"/>
      <c r="AE88" s="1055"/>
      <c r="AF88" s="1055"/>
      <c r="AG88" s="1055"/>
      <c r="AH88" s="1055"/>
      <c r="AI88" s="1055"/>
      <c r="AJ88" s="1055"/>
      <c r="AK88" s="1055"/>
      <c r="AL88" s="1055"/>
      <c r="AM88" s="1055"/>
      <c r="AN88" s="1055"/>
      <c r="AO88" s="1055"/>
      <c r="AP88" s="1055"/>
      <c r="AQ88" s="1055"/>
      <c r="AR88" s="1055"/>
      <c r="AS88" s="1055"/>
      <c r="AT88" s="1055"/>
      <c r="AU88" s="1055"/>
      <c r="AV88" s="1055"/>
      <c r="AW88" s="1055"/>
      <c r="AX88" s="1055"/>
      <c r="AY88" s="1055"/>
      <c r="AZ88" s="1055"/>
      <c r="BA88" s="1055"/>
      <c r="BB88" s="1055"/>
      <c r="BC88" s="1055"/>
      <c r="BD88" s="1055"/>
      <c r="BE88" s="1055"/>
      <c r="BF88" s="1055"/>
      <c r="BG88" s="1055"/>
      <c r="BH88" s="1055"/>
      <c r="BI88" s="1055"/>
      <c r="BJ88" s="1055"/>
      <c r="BK88" s="1055"/>
      <c r="BL88" s="1055"/>
      <c r="BM88" s="1055"/>
      <c r="BN88" s="1055"/>
      <c r="BO88" s="1055"/>
      <c r="BP88" s="1055"/>
      <c r="BQ88" s="1055"/>
      <c r="BR88" s="1055"/>
      <c r="BS88" s="1055"/>
      <c r="BT88" s="1055"/>
      <c r="BU88" s="1055"/>
      <c r="BV88" s="1055"/>
      <c r="BW88" s="1055"/>
      <c r="BX88" s="1055"/>
      <c r="BY88" s="1055"/>
      <c r="BZ88" s="1055"/>
      <c r="CA88" s="1055"/>
      <c r="CB88" s="1055"/>
      <c r="CC88" s="1055"/>
      <c r="CD88" s="1055"/>
      <c r="CE88" s="1055"/>
      <c r="CF88" s="1055"/>
      <c r="CG88" s="1055"/>
      <c r="CH88" s="1055"/>
      <c r="CI88" s="1055"/>
      <c r="CJ88" s="1055"/>
      <c r="CK88" s="1055"/>
      <c r="CL88" s="1055"/>
      <c r="CM88" s="1055"/>
      <c r="CN88" s="1055"/>
      <c r="CO88" s="1055"/>
      <c r="CP88" s="1055"/>
      <c r="CQ88" s="1055"/>
      <c r="CR88" s="1055"/>
      <c r="CS88" s="1055"/>
      <c r="CT88" s="1055"/>
      <c r="CU88" s="1055"/>
      <c r="CV88" s="1055"/>
      <c r="CW88" s="1055"/>
      <c r="CX88" s="1055"/>
      <c r="CY88" s="1055"/>
      <c r="CZ88" s="1055"/>
      <c r="DA88" s="1055"/>
      <c r="DB88" s="1055"/>
      <c r="DC88" s="1055"/>
      <c r="DD88" s="1055"/>
      <c r="DE88" s="1055"/>
      <c r="DF88" s="1055"/>
      <c r="DG88" s="1055"/>
      <c r="DH88" s="1055"/>
      <c r="DI88" s="1055"/>
      <c r="DJ88" s="1055"/>
      <c r="DK88" s="1055"/>
      <c r="DL88" s="1055"/>
      <c r="DM88" s="1055"/>
      <c r="DN88" s="1055"/>
      <c r="DO88" s="1055"/>
      <c r="DP88" s="1055"/>
      <c r="DQ88" s="1055"/>
      <c r="DR88" s="1055"/>
      <c r="DS88" s="1055"/>
      <c r="DT88" s="1055"/>
      <c r="DU88" s="1055"/>
      <c r="DV88" s="1055"/>
      <c r="DW88" s="1055"/>
      <c r="DX88" s="1055"/>
      <c r="DY88" s="1055"/>
      <c r="DZ88" s="1055"/>
      <c r="EA88" s="1055"/>
      <c r="EB88" s="1055"/>
      <c r="EC88" s="1055"/>
      <c r="ED88" s="1055"/>
      <c r="EE88" s="1055"/>
      <c r="EF88" s="1055"/>
      <c r="EG88" s="1055"/>
      <c r="EH88" s="1055"/>
      <c r="EI88" s="1055"/>
      <c r="EJ88" s="1055"/>
      <c r="EK88" s="1055"/>
      <c r="EL88" s="1055"/>
      <c r="EM88" s="1055"/>
      <c r="EN88" s="1055"/>
      <c r="EO88" s="1055"/>
      <c r="EP88" s="1055"/>
      <c r="EQ88" s="1055"/>
      <c r="ER88" s="1055"/>
      <c r="ES88" s="1055"/>
      <c r="ET88" s="1055"/>
      <c r="EU88" s="1055"/>
      <c r="EV88" s="1055"/>
      <c r="EW88" s="1055"/>
      <c r="EX88" s="1055"/>
      <c r="EY88" s="1055"/>
      <c r="EZ88" s="1055"/>
      <c r="FA88" s="1055"/>
      <c r="FB88" s="1055"/>
      <c r="FC88" s="1055"/>
      <c r="FD88" s="1055"/>
      <c r="FE88" s="1055"/>
      <c r="FF88" s="1055"/>
      <c r="FG88" s="1055"/>
      <c r="FH88" s="1055"/>
      <c r="FI88" s="1055"/>
      <c r="FJ88" s="1055"/>
      <c r="FK88" s="1055"/>
      <c r="FL88" s="1055"/>
      <c r="FM88" s="1055"/>
      <c r="FN88" s="1055"/>
      <c r="FO88" s="1055"/>
      <c r="FP88" s="1055"/>
      <c r="FQ88" s="1055"/>
      <c r="FR88" s="1055"/>
      <c r="FS88" s="1055"/>
      <c r="FT88" s="1055"/>
      <c r="FU88" s="1055"/>
      <c r="FV88" s="1055"/>
      <c r="FW88" s="1055"/>
      <c r="FX88" s="1055"/>
      <c r="FY88" s="1055"/>
      <c r="FZ88" s="1055"/>
      <c r="GA88" s="1055"/>
      <c r="GB88" s="1055"/>
      <c r="GC88" s="1055"/>
      <c r="GD88" s="1055"/>
      <c r="GE88" s="1055"/>
      <c r="GF88" s="1055"/>
      <c r="GG88" s="1055"/>
      <c r="GH88" s="1055"/>
      <c r="GI88" s="1055"/>
      <c r="GJ88" s="1055"/>
    </row>
    <row r="89" spans="1:192" s="1067" customFormat="1">
      <c r="A89" s="941"/>
      <c r="B89" s="938"/>
      <c r="C89" s="939"/>
      <c r="D89" s="939"/>
      <c r="E89" s="939"/>
      <c r="F89" s="939"/>
      <c r="G89" s="940"/>
      <c r="H89" s="1055"/>
      <c r="I89" s="1055"/>
      <c r="J89" s="1055"/>
      <c r="K89" s="1055"/>
      <c r="L89" s="1055"/>
      <c r="M89" s="1055"/>
      <c r="N89" s="1055"/>
      <c r="O89" s="1055"/>
      <c r="P89" s="1055"/>
      <c r="Q89" s="1055"/>
      <c r="R89" s="1055"/>
      <c r="S89" s="1055"/>
      <c r="T89" s="1055"/>
      <c r="U89" s="1055"/>
      <c r="V89" s="1055"/>
      <c r="W89" s="1055"/>
      <c r="X89" s="1055"/>
      <c r="Y89" s="1055"/>
      <c r="Z89" s="1055"/>
      <c r="AA89" s="1055"/>
      <c r="AB89" s="1055"/>
      <c r="AC89" s="1055"/>
      <c r="AD89" s="1055"/>
      <c r="AE89" s="1055"/>
      <c r="AF89" s="1055"/>
      <c r="AG89" s="1055"/>
      <c r="AH89" s="1055"/>
      <c r="AI89" s="1055"/>
      <c r="AJ89" s="1055"/>
      <c r="AK89" s="1055"/>
      <c r="AL89" s="1055"/>
      <c r="AM89" s="1055"/>
      <c r="AN89" s="1055"/>
      <c r="AO89" s="1055"/>
      <c r="AP89" s="1055"/>
      <c r="AQ89" s="1055"/>
      <c r="AR89" s="1055"/>
      <c r="AS89" s="1055"/>
      <c r="AT89" s="1055"/>
      <c r="AU89" s="1055"/>
      <c r="AV89" s="1055"/>
      <c r="AW89" s="1055"/>
      <c r="AX89" s="1055"/>
      <c r="AY89" s="1055"/>
      <c r="AZ89" s="1055"/>
      <c r="BA89" s="1055"/>
      <c r="BB89" s="1055"/>
      <c r="BC89" s="1055"/>
      <c r="BD89" s="1055"/>
      <c r="BE89" s="1055"/>
      <c r="BF89" s="1055"/>
      <c r="BG89" s="1055"/>
      <c r="BH89" s="1055"/>
      <c r="BI89" s="1055"/>
      <c r="BJ89" s="1055"/>
      <c r="BK89" s="1055"/>
      <c r="BL89" s="1055"/>
      <c r="BM89" s="1055"/>
      <c r="BN89" s="1055"/>
      <c r="BO89" s="1055"/>
      <c r="BP89" s="1055"/>
      <c r="BQ89" s="1055"/>
      <c r="BR89" s="1055"/>
      <c r="BS89" s="1055"/>
      <c r="BT89" s="1055"/>
      <c r="BU89" s="1055"/>
      <c r="BV89" s="1055"/>
      <c r="BW89" s="1055"/>
      <c r="BX89" s="1055"/>
      <c r="BY89" s="1055"/>
      <c r="BZ89" s="1055"/>
      <c r="CA89" s="1055"/>
      <c r="CB89" s="1055"/>
      <c r="CC89" s="1055"/>
      <c r="CD89" s="1055"/>
      <c r="CE89" s="1055"/>
      <c r="CF89" s="1055"/>
      <c r="CG89" s="1055"/>
      <c r="CH89" s="1055"/>
      <c r="CI89" s="1055"/>
      <c r="CJ89" s="1055"/>
      <c r="CK89" s="1055"/>
      <c r="CL89" s="1055"/>
      <c r="CM89" s="1055"/>
      <c r="CN89" s="1055"/>
      <c r="CO89" s="1055"/>
      <c r="CP89" s="1055"/>
      <c r="CQ89" s="1055"/>
      <c r="CR89" s="1055"/>
      <c r="CS89" s="1055"/>
      <c r="CT89" s="1055"/>
      <c r="CU89" s="1055"/>
      <c r="CV89" s="1055"/>
      <c r="CW89" s="1055"/>
      <c r="CX89" s="1055"/>
      <c r="CY89" s="1055"/>
      <c r="CZ89" s="1055"/>
      <c r="DA89" s="1055"/>
      <c r="DB89" s="1055"/>
      <c r="DC89" s="1055"/>
      <c r="DD89" s="1055"/>
      <c r="DE89" s="1055"/>
      <c r="DF89" s="1055"/>
      <c r="DG89" s="1055"/>
      <c r="DH89" s="1055"/>
      <c r="DI89" s="1055"/>
      <c r="DJ89" s="1055"/>
      <c r="DK89" s="1055"/>
      <c r="DL89" s="1055"/>
      <c r="DM89" s="1055"/>
      <c r="DN89" s="1055"/>
      <c r="DO89" s="1055"/>
      <c r="DP89" s="1055"/>
      <c r="DQ89" s="1055"/>
      <c r="DR89" s="1055"/>
      <c r="DS89" s="1055"/>
      <c r="DT89" s="1055"/>
      <c r="DU89" s="1055"/>
      <c r="DV89" s="1055"/>
      <c r="DW89" s="1055"/>
      <c r="DX89" s="1055"/>
      <c r="DY89" s="1055"/>
      <c r="DZ89" s="1055"/>
      <c r="EA89" s="1055"/>
      <c r="EB89" s="1055"/>
      <c r="EC89" s="1055"/>
      <c r="ED89" s="1055"/>
      <c r="EE89" s="1055"/>
      <c r="EF89" s="1055"/>
      <c r="EG89" s="1055"/>
      <c r="EH89" s="1055"/>
      <c r="EI89" s="1055"/>
      <c r="EJ89" s="1055"/>
      <c r="EK89" s="1055"/>
      <c r="EL89" s="1055"/>
      <c r="EM89" s="1055"/>
      <c r="EN89" s="1055"/>
      <c r="EO89" s="1055"/>
      <c r="EP89" s="1055"/>
      <c r="EQ89" s="1055"/>
      <c r="ER89" s="1055"/>
      <c r="ES89" s="1055"/>
      <c r="ET89" s="1055"/>
      <c r="EU89" s="1055"/>
      <c r="EV89" s="1055"/>
      <c r="EW89" s="1055"/>
      <c r="EX89" s="1055"/>
      <c r="EY89" s="1055"/>
      <c r="EZ89" s="1055"/>
      <c r="FA89" s="1055"/>
      <c r="FB89" s="1055"/>
      <c r="FC89" s="1055"/>
      <c r="FD89" s="1055"/>
      <c r="FE89" s="1055"/>
      <c r="FF89" s="1055"/>
      <c r="FG89" s="1055"/>
      <c r="FH89" s="1055"/>
      <c r="FI89" s="1055"/>
      <c r="FJ89" s="1055"/>
      <c r="FK89" s="1055"/>
      <c r="FL89" s="1055"/>
      <c r="FM89" s="1055"/>
      <c r="FN89" s="1055"/>
      <c r="FO89" s="1055"/>
      <c r="FP89" s="1055"/>
      <c r="FQ89" s="1055"/>
      <c r="FR89" s="1055"/>
      <c r="FS89" s="1055"/>
      <c r="FT89" s="1055"/>
      <c r="FU89" s="1055"/>
      <c r="FV89" s="1055"/>
      <c r="FW89" s="1055"/>
      <c r="FX89" s="1055"/>
      <c r="FY89" s="1055"/>
      <c r="FZ89" s="1055"/>
      <c r="GA89" s="1055"/>
      <c r="GB89" s="1055"/>
      <c r="GC89" s="1055"/>
      <c r="GD89" s="1055"/>
      <c r="GE89" s="1055"/>
      <c r="GF89" s="1055"/>
      <c r="GG89" s="1055"/>
      <c r="GH89" s="1055"/>
      <c r="GI89" s="1055"/>
      <c r="GJ89" s="1055"/>
    </row>
    <row r="90" spans="1:192" s="1067" customFormat="1">
      <c r="A90" s="941"/>
      <c r="B90" s="938"/>
      <c r="C90" s="939"/>
      <c r="D90" s="939"/>
      <c r="E90" s="939"/>
      <c r="F90" s="939"/>
      <c r="G90" s="940"/>
      <c r="H90" s="1055"/>
      <c r="I90" s="1055"/>
      <c r="J90" s="1055"/>
      <c r="K90" s="1055"/>
      <c r="L90" s="1055"/>
      <c r="M90" s="1055"/>
      <c r="N90" s="1055"/>
      <c r="O90" s="1055"/>
      <c r="P90" s="1055"/>
      <c r="Q90" s="1055"/>
      <c r="R90" s="1055"/>
      <c r="S90" s="1055"/>
      <c r="T90" s="1055"/>
      <c r="U90" s="1055"/>
      <c r="V90" s="1055"/>
      <c r="W90" s="1055"/>
      <c r="X90" s="1055"/>
      <c r="Y90" s="1055"/>
      <c r="Z90" s="1055"/>
      <c r="AA90" s="1055"/>
      <c r="AB90" s="1055"/>
      <c r="AC90" s="1055"/>
      <c r="AD90" s="1055"/>
      <c r="AE90" s="1055"/>
      <c r="AF90" s="1055"/>
      <c r="AG90" s="1055"/>
      <c r="AH90" s="1055"/>
      <c r="AI90" s="1055"/>
      <c r="AJ90" s="1055"/>
      <c r="AK90" s="1055"/>
      <c r="AL90" s="1055"/>
      <c r="AM90" s="1055"/>
      <c r="AN90" s="1055"/>
      <c r="AO90" s="1055"/>
      <c r="AP90" s="1055"/>
      <c r="AQ90" s="1055"/>
      <c r="AR90" s="1055"/>
      <c r="AS90" s="1055"/>
      <c r="AT90" s="1055"/>
      <c r="AU90" s="1055"/>
      <c r="AV90" s="1055"/>
      <c r="AW90" s="1055"/>
      <c r="AX90" s="1055"/>
      <c r="AY90" s="1055"/>
      <c r="AZ90" s="1055"/>
      <c r="BA90" s="1055"/>
      <c r="BB90" s="1055"/>
      <c r="BC90" s="1055"/>
      <c r="BD90" s="1055"/>
      <c r="BE90" s="1055"/>
      <c r="BF90" s="1055"/>
      <c r="BG90" s="1055"/>
      <c r="BH90" s="1055"/>
      <c r="BI90" s="1055"/>
      <c r="BJ90" s="1055"/>
      <c r="BK90" s="1055"/>
      <c r="BL90" s="1055"/>
      <c r="BM90" s="1055"/>
      <c r="BN90" s="1055"/>
      <c r="BO90" s="1055"/>
      <c r="BP90" s="1055"/>
      <c r="BQ90" s="1055"/>
      <c r="BR90" s="1055"/>
      <c r="BS90" s="1055"/>
      <c r="BT90" s="1055"/>
      <c r="BU90" s="1055"/>
      <c r="BV90" s="1055"/>
      <c r="BW90" s="1055"/>
      <c r="BX90" s="1055"/>
      <c r="BY90" s="1055"/>
      <c r="BZ90" s="1055"/>
      <c r="CA90" s="1055"/>
      <c r="CB90" s="1055"/>
      <c r="CC90" s="1055"/>
      <c r="CD90" s="1055"/>
      <c r="CE90" s="1055"/>
      <c r="CF90" s="1055"/>
      <c r="CG90" s="1055"/>
      <c r="CH90" s="1055"/>
      <c r="CI90" s="1055"/>
      <c r="CJ90" s="1055"/>
      <c r="CK90" s="1055"/>
      <c r="CL90" s="1055"/>
      <c r="CM90" s="1055"/>
      <c r="CN90" s="1055"/>
      <c r="CO90" s="1055"/>
      <c r="CP90" s="1055"/>
      <c r="CQ90" s="1055"/>
      <c r="CR90" s="1055"/>
      <c r="CS90" s="1055"/>
      <c r="CT90" s="1055"/>
      <c r="CU90" s="1055"/>
      <c r="CV90" s="1055"/>
      <c r="CW90" s="1055"/>
      <c r="CX90" s="1055"/>
      <c r="CY90" s="1055"/>
      <c r="CZ90" s="1055"/>
      <c r="DA90" s="1055"/>
      <c r="DB90" s="1055"/>
      <c r="DC90" s="1055"/>
      <c r="DD90" s="1055"/>
      <c r="DE90" s="1055"/>
      <c r="DF90" s="1055"/>
      <c r="DG90" s="1055"/>
      <c r="DH90" s="1055"/>
      <c r="DI90" s="1055"/>
      <c r="DJ90" s="1055"/>
      <c r="DK90" s="1055"/>
      <c r="DL90" s="1055"/>
      <c r="DM90" s="1055"/>
      <c r="DN90" s="1055"/>
      <c r="DO90" s="1055"/>
      <c r="DP90" s="1055"/>
      <c r="DQ90" s="1055"/>
      <c r="DR90" s="1055"/>
      <c r="DS90" s="1055"/>
      <c r="DT90" s="1055"/>
      <c r="DU90" s="1055"/>
      <c r="DV90" s="1055"/>
      <c r="DW90" s="1055"/>
      <c r="DX90" s="1055"/>
      <c r="DY90" s="1055"/>
      <c r="DZ90" s="1055"/>
      <c r="EA90" s="1055"/>
      <c r="EB90" s="1055"/>
      <c r="EC90" s="1055"/>
      <c r="ED90" s="1055"/>
      <c r="EE90" s="1055"/>
      <c r="EF90" s="1055"/>
      <c r="EG90" s="1055"/>
      <c r="EH90" s="1055"/>
      <c r="EI90" s="1055"/>
      <c r="EJ90" s="1055"/>
      <c r="EK90" s="1055"/>
      <c r="EL90" s="1055"/>
      <c r="EM90" s="1055"/>
      <c r="EN90" s="1055"/>
      <c r="EO90" s="1055"/>
      <c r="EP90" s="1055"/>
      <c r="EQ90" s="1055"/>
      <c r="ER90" s="1055"/>
      <c r="ES90" s="1055"/>
      <c r="ET90" s="1055"/>
      <c r="EU90" s="1055"/>
      <c r="EV90" s="1055"/>
      <c r="EW90" s="1055"/>
      <c r="EX90" s="1055"/>
      <c r="EY90" s="1055"/>
      <c r="EZ90" s="1055"/>
      <c r="FA90" s="1055"/>
      <c r="FB90" s="1055"/>
      <c r="FC90" s="1055"/>
      <c r="FD90" s="1055"/>
      <c r="FE90" s="1055"/>
      <c r="FF90" s="1055"/>
      <c r="FG90" s="1055"/>
      <c r="FH90" s="1055"/>
      <c r="FI90" s="1055"/>
      <c r="FJ90" s="1055"/>
      <c r="FK90" s="1055"/>
      <c r="FL90" s="1055"/>
      <c r="FM90" s="1055"/>
      <c r="FN90" s="1055"/>
      <c r="FO90" s="1055"/>
      <c r="FP90" s="1055"/>
      <c r="FQ90" s="1055"/>
      <c r="FR90" s="1055"/>
      <c r="FS90" s="1055"/>
      <c r="FT90" s="1055"/>
      <c r="FU90" s="1055"/>
      <c r="FV90" s="1055"/>
      <c r="FW90" s="1055"/>
      <c r="FX90" s="1055"/>
      <c r="FY90" s="1055"/>
      <c r="FZ90" s="1055"/>
      <c r="GA90" s="1055"/>
      <c r="GB90" s="1055"/>
      <c r="GC90" s="1055"/>
      <c r="GD90" s="1055"/>
      <c r="GE90" s="1055"/>
      <c r="GF90" s="1055"/>
      <c r="GG90" s="1055"/>
      <c r="GH90" s="1055"/>
      <c r="GI90" s="1055"/>
      <c r="GJ90" s="1055"/>
    </row>
    <row r="91" spans="1:192" s="1067" customFormat="1">
      <c r="A91" s="1065" t="s">
        <v>68</v>
      </c>
      <c r="B91" s="1089" t="s">
        <v>182</v>
      </c>
      <c r="C91" s="1089" t="s">
        <v>46</v>
      </c>
      <c r="D91" s="1089" t="s">
        <v>69</v>
      </c>
      <c r="E91" s="1089" t="s">
        <v>67</v>
      </c>
      <c r="F91" s="1089" t="s">
        <v>340</v>
      </c>
      <c r="G91" s="1065" t="s">
        <v>70</v>
      </c>
      <c r="H91" s="1055"/>
      <c r="I91" s="1055"/>
      <c r="J91" s="1055"/>
      <c r="K91" s="1055"/>
      <c r="L91" s="1055"/>
      <c r="M91" s="1055"/>
      <c r="N91" s="1055"/>
      <c r="O91" s="1055"/>
      <c r="P91" s="1055"/>
      <c r="Q91" s="1055"/>
      <c r="R91" s="1055"/>
      <c r="S91" s="1055"/>
      <c r="T91" s="1055"/>
      <c r="U91" s="1055"/>
      <c r="V91" s="1055"/>
      <c r="W91" s="1055"/>
      <c r="X91" s="1055"/>
      <c r="Y91" s="1055"/>
      <c r="Z91" s="1055"/>
      <c r="AA91" s="1055"/>
      <c r="AB91" s="1055"/>
      <c r="AC91" s="1055"/>
      <c r="AD91" s="1055"/>
      <c r="AE91" s="1055"/>
      <c r="AF91" s="1055"/>
      <c r="AG91" s="1055"/>
      <c r="AH91" s="1055"/>
      <c r="AI91" s="1055"/>
      <c r="AJ91" s="1055"/>
      <c r="AK91" s="1055"/>
      <c r="AL91" s="1055"/>
      <c r="AM91" s="1055"/>
      <c r="AN91" s="1055"/>
      <c r="AO91" s="1055"/>
      <c r="AP91" s="1055"/>
      <c r="AQ91" s="1055"/>
      <c r="AR91" s="1055"/>
      <c r="AS91" s="1055"/>
      <c r="AT91" s="1055"/>
      <c r="AU91" s="1055"/>
      <c r="AV91" s="1055"/>
      <c r="AW91" s="1055"/>
      <c r="AX91" s="1055"/>
      <c r="AY91" s="1055"/>
      <c r="AZ91" s="1055"/>
      <c r="BA91" s="1055"/>
      <c r="BB91" s="1055"/>
      <c r="BC91" s="1055"/>
      <c r="BD91" s="1055"/>
      <c r="BE91" s="1055"/>
      <c r="BF91" s="1055"/>
      <c r="BG91" s="1055"/>
      <c r="BH91" s="1055"/>
      <c r="BI91" s="1055"/>
      <c r="BJ91" s="1055"/>
      <c r="BK91" s="1055"/>
      <c r="BL91" s="1055"/>
      <c r="BM91" s="1055"/>
      <c r="BN91" s="1055"/>
      <c r="BO91" s="1055"/>
      <c r="BP91" s="1055"/>
      <c r="BQ91" s="1055"/>
      <c r="BR91" s="1055"/>
      <c r="BS91" s="1055"/>
      <c r="BT91" s="1055"/>
      <c r="BU91" s="1055"/>
      <c r="BV91" s="1055"/>
      <c r="BW91" s="1055"/>
      <c r="BX91" s="1055"/>
      <c r="BY91" s="1055"/>
      <c r="BZ91" s="1055"/>
      <c r="CA91" s="1055"/>
      <c r="CB91" s="1055"/>
      <c r="CC91" s="1055"/>
      <c r="CD91" s="1055"/>
      <c r="CE91" s="1055"/>
      <c r="CF91" s="1055"/>
      <c r="CG91" s="1055"/>
      <c r="CH91" s="1055"/>
      <c r="CI91" s="1055"/>
      <c r="CJ91" s="1055"/>
      <c r="CK91" s="1055"/>
      <c r="CL91" s="1055"/>
      <c r="CM91" s="1055"/>
      <c r="CN91" s="1055"/>
      <c r="CO91" s="1055"/>
      <c r="CP91" s="1055"/>
      <c r="CQ91" s="1055"/>
      <c r="CR91" s="1055"/>
      <c r="CS91" s="1055"/>
      <c r="CT91" s="1055"/>
      <c r="CU91" s="1055"/>
      <c r="CV91" s="1055"/>
      <c r="CW91" s="1055"/>
      <c r="CX91" s="1055"/>
      <c r="CY91" s="1055"/>
      <c r="CZ91" s="1055"/>
      <c r="DA91" s="1055"/>
      <c r="DB91" s="1055"/>
      <c r="DC91" s="1055"/>
      <c r="DD91" s="1055"/>
      <c r="DE91" s="1055"/>
      <c r="DF91" s="1055"/>
      <c r="DG91" s="1055"/>
      <c r="DH91" s="1055"/>
      <c r="DI91" s="1055"/>
      <c r="DJ91" s="1055"/>
      <c r="DK91" s="1055"/>
      <c r="DL91" s="1055"/>
      <c r="DM91" s="1055"/>
      <c r="DN91" s="1055"/>
      <c r="DO91" s="1055"/>
      <c r="DP91" s="1055"/>
      <c r="DQ91" s="1055"/>
      <c r="DR91" s="1055"/>
      <c r="DS91" s="1055"/>
      <c r="DT91" s="1055"/>
      <c r="DU91" s="1055"/>
      <c r="DV91" s="1055"/>
      <c r="DW91" s="1055"/>
      <c r="DX91" s="1055"/>
      <c r="DY91" s="1055"/>
      <c r="DZ91" s="1055"/>
      <c r="EA91" s="1055"/>
      <c r="EB91" s="1055"/>
      <c r="EC91" s="1055"/>
      <c r="ED91" s="1055"/>
      <c r="EE91" s="1055"/>
      <c r="EF91" s="1055"/>
      <c r="EG91" s="1055"/>
      <c r="EH91" s="1055"/>
      <c r="EI91" s="1055"/>
      <c r="EJ91" s="1055"/>
      <c r="EK91" s="1055"/>
      <c r="EL91" s="1055"/>
      <c r="EM91" s="1055"/>
      <c r="EN91" s="1055"/>
      <c r="EO91" s="1055"/>
      <c r="EP91" s="1055"/>
      <c r="EQ91" s="1055"/>
      <c r="ER91" s="1055"/>
      <c r="ES91" s="1055"/>
      <c r="ET91" s="1055"/>
      <c r="EU91" s="1055"/>
      <c r="EV91" s="1055"/>
      <c r="EW91" s="1055"/>
      <c r="EX91" s="1055"/>
      <c r="EY91" s="1055"/>
      <c r="EZ91" s="1055"/>
      <c r="FA91" s="1055"/>
      <c r="FB91" s="1055"/>
      <c r="FC91" s="1055"/>
      <c r="FD91" s="1055"/>
      <c r="FE91" s="1055"/>
      <c r="FF91" s="1055"/>
      <c r="FG91" s="1055"/>
      <c r="FH91" s="1055"/>
      <c r="FI91" s="1055"/>
      <c r="FJ91" s="1055"/>
      <c r="FK91" s="1055"/>
      <c r="FL91" s="1055"/>
      <c r="FM91" s="1055"/>
      <c r="FN91" s="1055"/>
      <c r="FO91" s="1055"/>
      <c r="FP91" s="1055"/>
      <c r="FQ91" s="1055"/>
      <c r="FR91" s="1055"/>
      <c r="FS91" s="1055"/>
      <c r="FT91" s="1055"/>
      <c r="FU91" s="1055"/>
      <c r="FV91" s="1055"/>
      <c r="FW91" s="1055"/>
      <c r="FX91" s="1055"/>
      <c r="FY91" s="1055"/>
      <c r="FZ91" s="1055"/>
      <c r="GA91" s="1055"/>
      <c r="GB91" s="1055"/>
      <c r="GC91" s="1055"/>
      <c r="GD91" s="1055"/>
      <c r="GE91" s="1055"/>
      <c r="GF91" s="1055"/>
      <c r="GG91" s="1055"/>
      <c r="GH91" s="1055"/>
      <c r="GI91" s="1055"/>
      <c r="GJ91" s="1055"/>
    </row>
    <row r="92" spans="1:192" s="1067" customFormat="1">
      <c r="A92" s="943" t="s">
        <v>237</v>
      </c>
      <c r="B92" s="916" t="s">
        <v>181</v>
      </c>
      <c r="C92" s="916" t="s">
        <v>248</v>
      </c>
      <c r="D92" s="936" t="s">
        <v>249</v>
      </c>
      <c r="E92" s="936"/>
      <c r="F92" s="936"/>
      <c r="G92" s="944"/>
      <c r="H92" s="1055"/>
      <c r="I92" s="1055"/>
      <c r="J92" s="1055"/>
      <c r="K92" s="1055"/>
      <c r="L92" s="1055"/>
      <c r="M92" s="1055"/>
      <c r="N92" s="1055"/>
      <c r="O92" s="1055"/>
      <c r="P92" s="1055"/>
      <c r="Q92" s="1055"/>
      <c r="R92" s="1055"/>
      <c r="S92" s="1055"/>
      <c r="T92" s="1055"/>
      <c r="U92" s="1055"/>
      <c r="V92" s="1055"/>
      <c r="W92" s="1055"/>
      <c r="X92" s="1055"/>
      <c r="Y92" s="1055"/>
      <c r="Z92" s="1055"/>
      <c r="AA92" s="1055"/>
      <c r="AB92" s="1055"/>
      <c r="AC92" s="1055"/>
      <c r="AD92" s="1055"/>
      <c r="AE92" s="1055"/>
      <c r="AF92" s="1055"/>
      <c r="AG92" s="1055"/>
      <c r="AH92" s="1055"/>
      <c r="AI92" s="1055"/>
      <c r="AJ92" s="1055"/>
      <c r="AK92" s="1055"/>
      <c r="AL92" s="1055"/>
      <c r="AM92" s="1055"/>
      <c r="AN92" s="1055"/>
      <c r="AO92" s="1055"/>
      <c r="AP92" s="1055"/>
      <c r="AQ92" s="1055"/>
      <c r="AR92" s="1055"/>
      <c r="AS92" s="1055"/>
      <c r="AT92" s="1055"/>
      <c r="AU92" s="1055"/>
      <c r="AV92" s="1055"/>
      <c r="AW92" s="1055"/>
      <c r="AX92" s="1055"/>
      <c r="AY92" s="1055"/>
      <c r="AZ92" s="1055"/>
      <c r="BA92" s="1055"/>
      <c r="BB92" s="1055"/>
      <c r="BC92" s="1055"/>
      <c r="BD92" s="1055"/>
      <c r="BE92" s="1055"/>
      <c r="BF92" s="1055"/>
      <c r="BG92" s="1055"/>
      <c r="BH92" s="1055"/>
      <c r="BI92" s="1055"/>
      <c r="BJ92" s="1055"/>
      <c r="BK92" s="1055"/>
      <c r="BL92" s="1055"/>
      <c r="BM92" s="1055"/>
      <c r="BN92" s="1055"/>
      <c r="BO92" s="1055"/>
      <c r="BP92" s="1055"/>
      <c r="BQ92" s="1055"/>
      <c r="BR92" s="1055"/>
      <c r="BS92" s="1055"/>
      <c r="BT92" s="1055"/>
      <c r="BU92" s="1055"/>
      <c r="BV92" s="1055"/>
      <c r="BW92" s="1055"/>
      <c r="BX92" s="1055"/>
      <c r="BY92" s="1055"/>
      <c r="BZ92" s="1055"/>
      <c r="CA92" s="1055"/>
      <c r="CB92" s="1055"/>
      <c r="CC92" s="1055"/>
      <c r="CD92" s="1055"/>
      <c r="CE92" s="1055"/>
      <c r="CF92" s="1055"/>
      <c r="CG92" s="1055"/>
      <c r="CH92" s="1055"/>
      <c r="CI92" s="1055"/>
      <c r="CJ92" s="1055"/>
      <c r="CK92" s="1055"/>
      <c r="CL92" s="1055"/>
      <c r="CM92" s="1055"/>
      <c r="CN92" s="1055"/>
      <c r="CO92" s="1055"/>
      <c r="CP92" s="1055"/>
      <c r="CQ92" s="1055"/>
      <c r="CR92" s="1055"/>
      <c r="CS92" s="1055"/>
      <c r="CT92" s="1055"/>
      <c r="CU92" s="1055"/>
      <c r="CV92" s="1055"/>
      <c r="CW92" s="1055"/>
      <c r="CX92" s="1055"/>
      <c r="CY92" s="1055"/>
      <c r="CZ92" s="1055"/>
      <c r="DA92" s="1055"/>
      <c r="DB92" s="1055"/>
      <c r="DC92" s="1055"/>
      <c r="DD92" s="1055"/>
      <c r="DE92" s="1055"/>
      <c r="DF92" s="1055"/>
      <c r="DG92" s="1055"/>
      <c r="DH92" s="1055"/>
      <c r="DI92" s="1055"/>
      <c r="DJ92" s="1055"/>
      <c r="DK92" s="1055"/>
      <c r="DL92" s="1055"/>
      <c r="DM92" s="1055"/>
      <c r="DN92" s="1055"/>
      <c r="DO92" s="1055"/>
      <c r="DP92" s="1055"/>
      <c r="DQ92" s="1055"/>
      <c r="DR92" s="1055"/>
      <c r="DS92" s="1055"/>
      <c r="DT92" s="1055"/>
      <c r="DU92" s="1055"/>
      <c r="DV92" s="1055"/>
      <c r="DW92" s="1055"/>
      <c r="DX92" s="1055"/>
      <c r="DY92" s="1055"/>
      <c r="DZ92" s="1055"/>
      <c r="EA92" s="1055"/>
      <c r="EB92" s="1055"/>
      <c r="EC92" s="1055"/>
      <c r="ED92" s="1055"/>
      <c r="EE92" s="1055"/>
      <c r="EF92" s="1055"/>
      <c r="EG92" s="1055"/>
      <c r="EH92" s="1055"/>
      <c r="EI92" s="1055"/>
      <c r="EJ92" s="1055"/>
      <c r="EK92" s="1055"/>
      <c r="EL92" s="1055"/>
      <c r="EM92" s="1055"/>
      <c r="EN92" s="1055"/>
      <c r="EO92" s="1055"/>
      <c r="EP92" s="1055"/>
      <c r="EQ92" s="1055"/>
      <c r="ER92" s="1055"/>
      <c r="ES92" s="1055"/>
      <c r="ET92" s="1055"/>
      <c r="EU92" s="1055"/>
      <c r="EV92" s="1055"/>
      <c r="EW92" s="1055"/>
      <c r="EX92" s="1055"/>
      <c r="EY92" s="1055"/>
      <c r="EZ92" s="1055"/>
      <c r="FA92" s="1055"/>
      <c r="FB92" s="1055"/>
      <c r="FC92" s="1055"/>
      <c r="FD92" s="1055"/>
      <c r="FE92" s="1055"/>
      <c r="FF92" s="1055"/>
      <c r="FG92" s="1055"/>
      <c r="FH92" s="1055"/>
      <c r="FI92" s="1055"/>
      <c r="FJ92" s="1055"/>
      <c r="FK92" s="1055"/>
      <c r="FL92" s="1055"/>
      <c r="FM92" s="1055"/>
      <c r="FN92" s="1055"/>
      <c r="FO92" s="1055"/>
      <c r="FP92" s="1055"/>
      <c r="FQ92" s="1055"/>
      <c r="FR92" s="1055"/>
      <c r="FS92" s="1055"/>
      <c r="FT92" s="1055"/>
      <c r="FU92" s="1055"/>
      <c r="FV92" s="1055"/>
      <c r="FW92" s="1055"/>
      <c r="FX92" s="1055"/>
      <c r="FY92" s="1055"/>
      <c r="FZ92" s="1055"/>
      <c r="GA92" s="1055"/>
      <c r="GB92" s="1055"/>
      <c r="GC92" s="1055"/>
      <c r="GD92" s="1055"/>
      <c r="GE92" s="1055"/>
      <c r="GF92" s="1055"/>
      <c r="GG92" s="1055"/>
      <c r="GH92" s="1055"/>
      <c r="GI92" s="1055"/>
      <c r="GJ92" s="1055"/>
    </row>
    <row r="93" spans="1:192" s="1067" customFormat="1">
      <c r="A93" s="922"/>
      <c r="B93" s="916"/>
      <c r="C93" s="916" t="s">
        <v>612</v>
      </c>
      <c r="D93" s="936" t="s">
        <v>234</v>
      </c>
      <c r="E93" s="936" t="s">
        <v>245</v>
      </c>
      <c r="F93" s="936" t="s">
        <v>247</v>
      </c>
      <c r="G93" s="944"/>
      <c r="H93" s="1055"/>
      <c r="I93" s="1055"/>
      <c r="J93" s="1055"/>
      <c r="K93" s="1055"/>
      <c r="L93" s="1055"/>
      <c r="M93" s="1055"/>
      <c r="N93" s="1055"/>
      <c r="O93" s="1055"/>
      <c r="P93" s="1055"/>
      <c r="Q93" s="1055"/>
      <c r="R93" s="1055"/>
      <c r="S93" s="1055"/>
      <c r="T93" s="1055"/>
      <c r="U93" s="1055"/>
      <c r="V93" s="1055"/>
      <c r="W93" s="1055"/>
      <c r="X93" s="1055"/>
      <c r="Y93" s="1055"/>
      <c r="Z93" s="1055"/>
      <c r="AA93" s="1055"/>
      <c r="AB93" s="1055"/>
      <c r="AC93" s="1055"/>
      <c r="AD93" s="1055"/>
      <c r="AE93" s="1055"/>
      <c r="AF93" s="1055"/>
      <c r="AG93" s="1055"/>
      <c r="AH93" s="1055"/>
      <c r="AI93" s="1055"/>
      <c r="AJ93" s="1055"/>
      <c r="AK93" s="1055"/>
      <c r="AL93" s="1055"/>
      <c r="AM93" s="1055"/>
      <c r="AN93" s="1055"/>
      <c r="AO93" s="1055"/>
      <c r="AP93" s="1055"/>
      <c r="AQ93" s="1055"/>
      <c r="AR93" s="1055"/>
      <c r="AS93" s="1055"/>
      <c r="AT93" s="1055"/>
      <c r="AU93" s="1055"/>
      <c r="AV93" s="1055"/>
      <c r="AW93" s="1055"/>
      <c r="AX93" s="1055"/>
      <c r="AY93" s="1055"/>
      <c r="AZ93" s="1055"/>
      <c r="BA93" s="1055"/>
      <c r="BB93" s="1055"/>
      <c r="BC93" s="1055"/>
      <c r="BD93" s="1055"/>
      <c r="BE93" s="1055"/>
      <c r="BF93" s="1055"/>
      <c r="BG93" s="1055"/>
      <c r="BH93" s="1055"/>
      <c r="BI93" s="1055"/>
      <c r="BJ93" s="1055"/>
      <c r="BK93" s="1055"/>
      <c r="BL93" s="1055"/>
      <c r="BM93" s="1055"/>
      <c r="BN93" s="1055"/>
      <c r="BO93" s="1055"/>
      <c r="BP93" s="1055"/>
      <c r="BQ93" s="1055"/>
      <c r="BR93" s="1055"/>
      <c r="BS93" s="1055"/>
      <c r="BT93" s="1055"/>
      <c r="BU93" s="1055"/>
      <c r="BV93" s="1055"/>
      <c r="BW93" s="1055"/>
      <c r="BX93" s="1055"/>
      <c r="BY93" s="1055"/>
      <c r="BZ93" s="1055"/>
      <c r="CA93" s="1055"/>
      <c r="CB93" s="1055"/>
      <c r="CC93" s="1055"/>
      <c r="CD93" s="1055"/>
      <c r="CE93" s="1055"/>
      <c r="CF93" s="1055"/>
      <c r="CG93" s="1055"/>
      <c r="CH93" s="1055"/>
      <c r="CI93" s="1055"/>
      <c r="CJ93" s="1055"/>
      <c r="CK93" s="1055"/>
      <c r="CL93" s="1055"/>
      <c r="CM93" s="1055"/>
      <c r="CN93" s="1055"/>
      <c r="CO93" s="1055"/>
      <c r="CP93" s="1055"/>
      <c r="CQ93" s="1055"/>
      <c r="CR93" s="1055"/>
      <c r="CS93" s="1055"/>
      <c r="CT93" s="1055"/>
      <c r="CU93" s="1055"/>
      <c r="CV93" s="1055"/>
      <c r="CW93" s="1055"/>
      <c r="CX93" s="1055"/>
      <c r="CY93" s="1055"/>
      <c r="CZ93" s="1055"/>
      <c r="DA93" s="1055"/>
      <c r="DB93" s="1055"/>
      <c r="DC93" s="1055"/>
      <c r="DD93" s="1055"/>
      <c r="DE93" s="1055"/>
      <c r="DF93" s="1055"/>
      <c r="DG93" s="1055"/>
      <c r="DH93" s="1055"/>
      <c r="DI93" s="1055"/>
      <c r="DJ93" s="1055"/>
      <c r="DK93" s="1055"/>
      <c r="DL93" s="1055"/>
      <c r="DM93" s="1055"/>
      <c r="DN93" s="1055"/>
      <c r="DO93" s="1055"/>
      <c r="DP93" s="1055"/>
      <c r="DQ93" s="1055"/>
      <c r="DR93" s="1055"/>
      <c r="DS93" s="1055"/>
      <c r="DT93" s="1055"/>
      <c r="DU93" s="1055"/>
      <c r="DV93" s="1055"/>
      <c r="DW93" s="1055"/>
      <c r="DX93" s="1055"/>
      <c r="DY93" s="1055"/>
      <c r="DZ93" s="1055"/>
      <c r="EA93" s="1055"/>
      <c r="EB93" s="1055"/>
      <c r="EC93" s="1055"/>
      <c r="ED93" s="1055"/>
      <c r="EE93" s="1055"/>
      <c r="EF93" s="1055"/>
      <c r="EG93" s="1055"/>
      <c r="EH93" s="1055"/>
      <c r="EI93" s="1055"/>
      <c r="EJ93" s="1055"/>
      <c r="EK93" s="1055"/>
      <c r="EL93" s="1055"/>
      <c r="EM93" s="1055"/>
      <c r="EN93" s="1055"/>
      <c r="EO93" s="1055"/>
      <c r="EP93" s="1055"/>
      <c r="EQ93" s="1055"/>
      <c r="ER93" s="1055"/>
      <c r="ES93" s="1055"/>
      <c r="ET93" s="1055"/>
      <c r="EU93" s="1055"/>
      <c r="EV93" s="1055"/>
      <c r="EW93" s="1055"/>
      <c r="EX93" s="1055"/>
      <c r="EY93" s="1055"/>
      <c r="EZ93" s="1055"/>
      <c r="FA93" s="1055"/>
      <c r="FB93" s="1055"/>
      <c r="FC93" s="1055"/>
      <c r="FD93" s="1055"/>
      <c r="FE93" s="1055"/>
      <c r="FF93" s="1055"/>
      <c r="FG93" s="1055"/>
      <c r="FH93" s="1055"/>
      <c r="FI93" s="1055"/>
      <c r="FJ93" s="1055"/>
      <c r="FK93" s="1055"/>
      <c r="FL93" s="1055"/>
      <c r="FM93" s="1055"/>
      <c r="FN93" s="1055"/>
      <c r="FO93" s="1055"/>
      <c r="FP93" s="1055"/>
      <c r="FQ93" s="1055"/>
      <c r="FR93" s="1055"/>
      <c r="FS93" s="1055"/>
      <c r="FT93" s="1055"/>
      <c r="FU93" s="1055"/>
      <c r="FV93" s="1055"/>
      <c r="FW93" s="1055"/>
      <c r="FX93" s="1055"/>
      <c r="FY93" s="1055"/>
      <c r="FZ93" s="1055"/>
      <c r="GA93" s="1055"/>
      <c r="GB93" s="1055"/>
      <c r="GC93" s="1055"/>
      <c r="GD93" s="1055"/>
      <c r="GE93" s="1055"/>
      <c r="GF93" s="1055"/>
      <c r="GG93" s="1055"/>
      <c r="GH93" s="1055"/>
      <c r="GI93" s="1055"/>
      <c r="GJ93" s="1055"/>
    </row>
    <row r="94" spans="1:192" s="1067" customFormat="1">
      <c r="A94" s="922"/>
      <c r="B94" s="912"/>
      <c r="C94" s="916" t="s">
        <v>692</v>
      </c>
      <c r="D94" s="936" t="s">
        <v>246</v>
      </c>
      <c r="E94" s="936" t="s">
        <v>246</v>
      </c>
      <c r="F94" s="936" t="s">
        <v>246</v>
      </c>
      <c r="G94" s="936" t="s">
        <v>617</v>
      </c>
      <c r="H94" s="1055"/>
      <c r="I94" s="1055"/>
      <c r="J94" s="1055"/>
      <c r="K94" s="1055"/>
      <c r="L94" s="1055"/>
      <c r="M94" s="1055"/>
      <c r="N94" s="1055"/>
      <c r="O94" s="1055"/>
      <c r="P94" s="1055"/>
      <c r="Q94" s="1055"/>
      <c r="R94" s="1055"/>
      <c r="S94" s="1055"/>
      <c r="T94" s="1055"/>
      <c r="U94" s="1055"/>
      <c r="V94" s="1055"/>
      <c r="W94" s="1055"/>
      <c r="X94" s="1055"/>
      <c r="Y94" s="1055"/>
      <c r="Z94" s="1055"/>
      <c r="AA94" s="1055"/>
      <c r="AB94" s="1055"/>
      <c r="AC94" s="1055"/>
      <c r="AD94" s="1055"/>
      <c r="AE94" s="1055"/>
      <c r="AF94" s="1055"/>
      <c r="AG94" s="1055"/>
      <c r="AH94" s="1055"/>
      <c r="AI94" s="1055"/>
      <c r="AJ94" s="1055"/>
      <c r="AK94" s="1055"/>
      <c r="AL94" s="1055"/>
      <c r="AM94" s="1055"/>
      <c r="AN94" s="1055"/>
      <c r="AO94" s="1055"/>
      <c r="AP94" s="1055"/>
      <c r="AQ94" s="1055"/>
      <c r="AR94" s="1055"/>
      <c r="AS94" s="1055"/>
      <c r="AT94" s="1055"/>
      <c r="AU94" s="1055"/>
      <c r="AV94" s="1055"/>
      <c r="AW94" s="1055"/>
      <c r="AX94" s="1055"/>
      <c r="AY94" s="1055"/>
      <c r="AZ94" s="1055"/>
      <c r="BA94" s="1055"/>
      <c r="BB94" s="1055"/>
      <c r="BC94" s="1055"/>
      <c r="BD94" s="1055"/>
      <c r="BE94" s="1055"/>
      <c r="BF94" s="1055"/>
      <c r="BG94" s="1055"/>
      <c r="BH94" s="1055"/>
      <c r="BI94" s="1055"/>
      <c r="BJ94" s="1055"/>
      <c r="BK94" s="1055"/>
      <c r="BL94" s="1055"/>
      <c r="BM94" s="1055"/>
      <c r="BN94" s="1055"/>
      <c r="BO94" s="1055"/>
      <c r="BP94" s="1055"/>
      <c r="BQ94" s="1055"/>
      <c r="BR94" s="1055"/>
      <c r="BS94" s="1055"/>
      <c r="BT94" s="1055"/>
      <c r="BU94" s="1055"/>
      <c r="BV94" s="1055"/>
      <c r="BW94" s="1055"/>
      <c r="BX94" s="1055"/>
      <c r="BY94" s="1055"/>
      <c r="BZ94" s="1055"/>
      <c r="CA94" s="1055"/>
      <c r="CB94" s="1055"/>
      <c r="CC94" s="1055"/>
      <c r="CD94" s="1055"/>
      <c r="CE94" s="1055"/>
      <c r="CF94" s="1055"/>
      <c r="CG94" s="1055"/>
      <c r="CH94" s="1055"/>
      <c r="CI94" s="1055"/>
      <c r="CJ94" s="1055"/>
      <c r="CK94" s="1055"/>
      <c r="CL94" s="1055"/>
      <c r="CM94" s="1055"/>
      <c r="CN94" s="1055"/>
      <c r="CO94" s="1055"/>
      <c r="CP94" s="1055"/>
      <c r="CQ94" s="1055"/>
      <c r="CR94" s="1055"/>
      <c r="CS94" s="1055"/>
      <c r="CT94" s="1055"/>
      <c r="CU94" s="1055"/>
      <c r="CV94" s="1055"/>
      <c r="CW94" s="1055"/>
      <c r="CX94" s="1055"/>
      <c r="CY94" s="1055"/>
      <c r="CZ94" s="1055"/>
      <c r="DA94" s="1055"/>
      <c r="DB94" s="1055"/>
      <c r="DC94" s="1055"/>
      <c r="DD94" s="1055"/>
      <c r="DE94" s="1055"/>
      <c r="DF94" s="1055"/>
      <c r="DG94" s="1055"/>
      <c r="DH94" s="1055"/>
      <c r="DI94" s="1055"/>
      <c r="DJ94" s="1055"/>
      <c r="DK94" s="1055"/>
      <c r="DL94" s="1055"/>
      <c r="DM94" s="1055"/>
      <c r="DN94" s="1055"/>
      <c r="DO94" s="1055"/>
      <c r="DP94" s="1055"/>
      <c r="DQ94" s="1055"/>
      <c r="DR94" s="1055"/>
      <c r="DS94" s="1055"/>
      <c r="DT94" s="1055"/>
      <c r="DU94" s="1055"/>
      <c r="DV94" s="1055"/>
      <c r="DW94" s="1055"/>
      <c r="DX94" s="1055"/>
      <c r="DY94" s="1055"/>
      <c r="DZ94" s="1055"/>
      <c r="EA94" s="1055"/>
      <c r="EB94" s="1055"/>
      <c r="EC94" s="1055"/>
      <c r="ED94" s="1055"/>
      <c r="EE94" s="1055"/>
      <c r="EF94" s="1055"/>
      <c r="EG94" s="1055"/>
      <c r="EH94" s="1055"/>
      <c r="EI94" s="1055"/>
      <c r="EJ94" s="1055"/>
      <c r="EK94" s="1055"/>
      <c r="EL94" s="1055"/>
      <c r="EM94" s="1055"/>
      <c r="EN94" s="1055"/>
      <c r="EO94" s="1055"/>
      <c r="EP94" s="1055"/>
      <c r="EQ94" s="1055"/>
      <c r="ER94" s="1055"/>
      <c r="ES94" s="1055"/>
      <c r="ET94" s="1055"/>
      <c r="EU94" s="1055"/>
      <c r="EV94" s="1055"/>
      <c r="EW94" s="1055"/>
      <c r="EX94" s="1055"/>
      <c r="EY94" s="1055"/>
      <c r="EZ94" s="1055"/>
      <c r="FA94" s="1055"/>
      <c r="FB94" s="1055"/>
      <c r="FC94" s="1055"/>
      <c r="FD94" s="1055"/>
      <c r="FE94" s="1055"/>
      <c r="FF94" s="1055"/>
      <c r="FG94" s="1055"/>
      <c r="FH94" s="1055"/>
      <c r="FI94" s="1055"/>
      <c r="FJ94" s="1055"/>
      <c r="FK94" s="1055"/>
      <c r="FL94" s="1055"/>
      <c r="FM94" s="1055"/>
      <c r="FN94" s="1055"/>
      <c r="FO94" s="1055"/>
      <c r="FP94" s="1055"/>
      <c r="FQ94" s="1055"/>
      <c r="FR94" s="1055"/>
      <c r="FS94" s="1055"/>
      <c r="FT94" s="1055"/>
      <c r="FU94" s="1055"/>
      <c r="FV94" s="1055"/>
      <c r="FW94" s="1055"/>
      <c r="FX94" s="1055"/>
      <c r="FY94" s="1055"/>
      <c r="FZ94" s="1055"/>
      <c r="GA94" s="1055"/>
      <c r="GB94" s="1055"/>
      <c r="GC94" s="1055"/>
      <c r="GD94" s="1055"/>
      <c r="GE94" s="1055"/>
      <c r="GF94" s="1055"/>
      <c r="GG94" s="1055"/>
      <c r="GH94" s="1055"/>
      <c r="GI94" s="1055"/>
      <c r="GJ94" s="1055"/>
    </row>
    <row r="95" spans="1:192" s="1067" customFormat="1" ht="30">
      <c r="A95" s="899" t="s">
        <v>631</v>
      </c>
      <c r="B95" s="900">
        <f>SUM(C95:F95)</f>
        <v>-7490421.9206209341</v>
      </c>
      <c r="C95" s="900">
        <v>-7490421.9206209341</v>
      </c>
      <c r="D95" s="900">
        <v>0</v>
      </c>
      <c r="E95" s="900">
        <v>0</v>
      </c>
      <c r="F95" s="900">
        <v>0</v>
      </c>
      <c r="G95" s="903" t="s">
        <v>719</v>
      </c>
      <c r="H95" s="1055"/>
      <c r="I95" s="1055"/>
      <c r="J95" s="1055"/>
      <c r="K95" s="1055"/>
      <c r="L95" s="1055"/>
      <c r="M95" s="1055"/>
      <c r="N95" s="1055"/>
      <c r="O95" s="1055"/>
      <c r="P95" s="1055"/>
      <c r="Q95" s="1055"/>
      <c r="R95" s="1055"/>
      <c r="S95" s="1055"/>
      <c r="T95" s="1055"/>
      <c r="U95" s="1055"/>
      <c r="V95" s="1055"/>
      <c r="W95" s="1055"/>
      <c r="X95" s="1055"/>
      <c r="Y95" s="1055"/>
      <c r="Z95" s="1055"/>
      <c r="AA95" s="1055"/>
      <c r="AB95" s="1055"/>
      <c r="AC95" s="1055"/>
      <c r="AD95" s="1055"/>
      <c r="AE95" s="1055"/>
      <c r="AF95" s="1055"/>
      <c r="AG95" s="1055"/>
      <c r="AH95" s="1055"/>
      <c r="AI95" s="1055"/>
      <c r="AJ95" s="1055"/>
      <c r="AK95" s="1055"/>
      <c r="AL95" s="1055"/>
      <c r="AM95" s="1055"/>
      <c r="AN95" s="1055"/>
      <c r="AO95" s="1055"/>
      <c r="AP95" s="1055"/>
      <c r="AQ95" s="1055"/>
      <c r="AR95" s="1055"/>
      <c r="AS95" s="1055"/>
      <c r="AT95" s="1055"/>
      <c r="AU95" s="1055"/>
      <c r="AV95" s="1055"/>
      <c r="AW95" s="1055"/>
      <c r="AX95" s="1055"/>
      <c r="AY95" s="1055"/>
      <c r="AZ95" s="1055"/>
      <c r="BA95" s="1055"/>
      <c r="BB95" s="1055"/>
      <c r="BC95" s="1055"/>
      <c r="BD95" s="1055"/>
      <c r="BE95" s="1055"/>
      <c r="BF95" s="1055"/>
      <c r="BG95" s="1055"/>
      <c r="BH95" s="1055"/>
      <c r="BI95" s="1055"/>
      <c r="BJ95" s="1055"/>
      <c r="BK95" s="1055"/>
      <c r="BL95" s="1055"/>
      <c r="BM95" s="1055"/>
      <c r="BN95" s="1055"/>
      <c r="BO95" s="1055"/>
      <c r="BP95" s="1055"/>
      <c r="BQ95" s="1055"/>
      <c r="BR95" s="1055"/>
      <c r="BS95" s="1055"/>
      <c r="BT95" s="1055"/>
      <c r="BU95" s="1055"/>
      <c r="BV95" s="1055"/>
      <c r="BW95" s="1055"/>
      <c r="BX95" s="1055"/>
      <c r="BY95" s="1055"/>
      <c r="BZ95" s="1055"/>
      <c r="CA95" s="1055"/>
      <c r="CB95" s="1055"/>
      <c r="CC95" s="1055"/>
      <c r="CD95" s="1055"/>
      <c r="CE95" s="1055"/>
      <c r="CF95" s="1055"/>
      <c r="CG95" s="1055"/>
      <c r="CH95" s="1055"/>
      <c r="CI95" s="1055"/>
      <c r="CJ95" s="1055"/>
      <c r="CK95" s="1055"/>
      <c r="CL95" s="1055"/>
      <c r="CM95" s="1055"/>
      <c r="CN95" s="1055"/>
      <c r="CO95" s="1055"/>
      <c r="CP95" s="1055"/>
      <c r="CQ95" s="1055"/>
      <c r="CR95" s="1055"/>
      <c r="CS95" s="1055"/>
      <c r="CT95" s="1055"/>
      <c r="CU95" s="1055"/>
      <c r="CV95" s="1055"/>
      <c r="CW95" s="1055"/>
      <c r="CX95" s="1055"/>
      <c r="CY95" s="1055"/>
      <c r="CZ95" s="1055"/>
      <c r="DA95" s="1055"/>
      <c r="DB95" s="1055"/>
      <c r="DC95" s="1055"/>
      <c r="DD95" s="1055"/>
      <c r="DE95" s="1055"/>
      <c r="DF95" s="1055"/>
      <c r="DG95" s="1055"/>
      <c r="DH95" s="1055"/>
      <c r="DI95" s="1055"/>
      <c r="DJ95" s="1055"/>
      <c r="DK95" s="1055"/>
      <c r="DL95" s="1055"/>
      <c r="DM95" s="1055"/>
      <c r="DN95" s="1055"/>
      <c r="DO95" s="1055"/>
      <c r="DP95" s="1055"/>
      <c r="DQ95" s="1055"/>
      <c r="DR95" s="1055"/>
      <c r="DS95" s="1055"/>
      <c r="DT95" s="1055"/>
      <c r="DU95" s="1055"/>
      <c r="DV95" s="1055"/>
      <c r="DW95" s="1055"/>
      <c r="DX95" s="1055"/>
      <c r="DY95" s="1055"/>
      <c r="DZ95" s="1055"/>
      <c r="EA95" s="1055"/>
      <c r="EB95" s="1055"/>
      <c r="EC95" s="1055"/>
      <c r="ED95" s="1055"/>
      <c r="EE95" s="1055"/>
      <c r="EF95" s="1055"/>
      <c r="EG95" s="1055"/>
      <c r="EH95" s="1055"/>
      <c r="EI95" s="1055"/>
      <c r="EJ95" s="1055"/>
      <c r="EK95" s="1055"/>
      <c r="EL95" s="1055"/>
      <c r="EM95" s="1055"/>
      <c r="EN95" s="1055"/>
      <c r="EO95" s="1055"/>
      <c r="EP95" s="1055"/>
      <c r="EQ95" s="1055"/>
      <c r="ER95" s="1055"/>
      <c r="ES95" s="1055"/>
      <c r="ET95" s="1055"/>
      <c r="EU95" s="1055"/>
      <c r="EV95" s="1055"/>
      <c r="EW95" s="1055"/>
      <c r="EX95" s="1055"/>
      <c r="EY95" s="1055"/>
      <c r="EZ95" s="1055"/>
      <c r="FA95" s="1055"/>
      <c r="FB95" s="1055"/>
      <c r="FC95" s="1055"/>
      <c r="FD95" s="1055"/>
      <c r="FE95" s="1055"/>
      <c r="FF95" s="1055"/>
      <c r="FG95" s="1055"/>
      <c r="FH95" s="1055"/>
      <c r="FI95" s="1055"/>
      <c r="FJ95" s="1055"/>
      <c r="FK95" s="1055"/>
      <c r="FL95" s="1055"/>
      <c r="FM95" s="1055"/>
      <c r="FN95" s="1055"/>
      <c r="FO95" s="1055"/>
      <c r="FP95" s="1055"/>
      <c r="FQ95" s="1055"/>
      <c r="FR95" s="1055"/>
      <c r="FS95" s="1055"/>
      <c r="FT95" s="1055"/>
      <c r="FU95" s="1055"/>
      <c r="FV95" s="1055"/>
      <c r="FW95" s="1055"/>
      <c r="FX95" s="1055"/>
      <c r="FY95" s="1055"/>
      <c r="FZ95" s="1055"/>
      <c r="GA95" s="1055"/>
      <c r="GB95" s="1055"/>
      <c r="GC95" s="1055"/>
      <c r="GD95" s="1055"/>
      <c r="GE95" s="1055"/>
      <c r="GF95" s="1055"/>
      <c r="GG95" s="1055"/>
      <c r="GH95" s="1055"/>
      <c r="GI95" s="1055"/>
      <c r="GJ95" s="1055"/>
    </row>
    <row r="96" spans="1:192" s="1067" customFormat="1" ht="75">
      <c r="A96" s="899" t="s">
        <v>503</v>
      </c>
      <c r="B96" s="900">
        <f t="shared" ref="B96:B113" si="4">SUM(C96:F96)</f>
        <v>-3.9165356906596571</v>
      </c>
      <c r="C96" s="900">
        <v>-3.9165356906596571</v>
      </c>
      <c r="D96" s="900">
        <v>0</v>
      </c>
      <c r="E96" s="900">
        <v>0</v>
      </c>
      <c r="F96" s="900">
        <v>0</v>
      </c>
      <c r="G96" s="903" t="s">
        <v>696</v>
      </c>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AL96" s="1055"/>
      <c r="AM96" s="1055"/>
      <c r="AN96" s="1055"/>
      <c r="AO96" s="1055"/>
      <c r="AP96" s="1055"/>
      <c r="AQ96" s="1055"/>
      <c r="AR96" s="1055"/>
      <c r="AS96" s="1055"/>
      <c r="AT96" s="1055"/>
      <c r="AU96" s="1055"/>
      <c r="AV96" s="1055"/>
      <c r="AW96" s="1055"/>
      <c r="AX96" s="1055"/>
      <c r="AY96" s="1055"/>
      <c r="AZ96" s="1055"/>
      <c r="BA96" s="1055"/>
      <c r="BB96" s="1055"/>
      <c r="BC96" s="1055"/>
      <c r="BD96" s="1055"/>
      <c r="BE96" s="1055"/>
      <c r="BF96" s="1055"/>
      <c r="BG96" s="1055"/>
      <c r="BH96" s="1055"/>
      <c r="BI96" s="1055"/>
      <c r="BJ96" s="1055"/>
      <c r="BK96" s="1055"/>
      <c r="BL96" s="1055"/>
      <c r="BM96" s="1055"/>
      <c r="BN96" s="1055"/>
      <c r="BO96" s="1055"/>
      <c r="BP96" s="1055"/>
      <c r="BQ96" s="1055"/>
      <c r="BR96" s="1055"/>
      <c r="BS96" s="1055"/>
      <c r="BT96" s="1055"/>
      <c r="BU96" s="1055"/>
      <c r="BV96" s="1055"/>
      <c r="BW96" s="1055"/>
      <c r="BX96" s="1055"/>
      <c r="BY96" s="1055"/>
      <c r="BZ96" s="1055"/>
      <c r="CA96" s="1055"/>
      <c r="CB96" s="1055"/>
      <c r="CC96" s="1055"/>
      <c r="CD96" s="1055"/>
      <c r="CE96" s="1055"/>
      <c r="CF96" s="1055"/>
      <c r="CG96" s="1055"/>
      <c r="CH96" s="1055"/>
      <c r="CI96" s="1055"/>
      <c r="CJ96" s="1055"/>
      <c r="CK96" s="1055"/>
      <c r="CL96" s="1055"/>
      <c r="CM96" s="1055"/>
      <c r="CN96" s="1055"/>
      <c r="CO96" s="1055"/>
      <c r="CP96" s="1055"/>
      <c r="CQ96" s="1055"/>
      <c r="CR96" s="1055"/>
      <c r="CS96" s="1055"/>
      <c r="CT96" s="1055"/>
      <c r="CU96" s="1055"/>
      <c r="CV96" s="1055"/>
      <c r="CW96" s="1055"/>
      <c r="CX96" s="1055"/>
      <c r="CY96" s="1055"/>
      <c r="CZ96" s="1055"/>
      <c r="DA96" s="1055"/>
      <c r="DB96" s="1055"/>
      <c r="DC96" s="1055"/>
      <c r="DD96" s="1055"/>
      <c r="DE96" s="1055"/>
      <c r="DF96" s="1055"/>
      <c r="DG96" s="1055"/>
      <c r="DH96" s="1055"/>
      <c r="DI96" s="1055"/>
      <c r="DJ96" s="1055"/>
      <c r="DK96" s="1055"/>
      <c r="DL96" s="1055"/>
      <c r="DM96" s="1055"/>
      <c r="DN96" s="1055"/>
      <c r="DO96" s="1055"/>
      <c r="DP96" s="1055"/>
      <c r="DQ96" s="1055"/>
      <c r="DR96" s="1055"/>
      <c r="DS96" s="1055"/>
      <c r="DT96" s="1055"/>
      <c r="DU96" s="1055"/>
      <c r="DV96" s="1055"/>
      <c r="DW96" s="1055"/>
      <c r="DX96" s="1055"/>
      <c r="DY96" s="1055"/>
      <c r="DZ96" s="1055"/>
      <c r="EA96" s="1055"/>
      <c r="EB96" s="1055"/>
      <c r="EC96" s="1055"/>
      <c r="ED96" s="1055"/>
      <c r="EE96" s="1055"/>
      <c r="EF96" s="1055"/>
      <c r="EG96" s="1055"/>
      <c r="EH96" s="1055"/>
      <c r="EI96" s="1055"/>
      <c r="EJ96" s="1055"/>
      <c r="EK96" s="1055"/>
      <c r="EL96" s="1055"/>
      <c r="EM96" s="1055"/>
      <c r="EN96" s="1055"/>
      <c r="EO96" s="1055"/>
      <c r="EP96" s="1055"/>
      <c r="EQ96" s="1055"/>
      <c r="ER96" s="1055"/>
      <c r="ES96" s="1055"/>
      <c r="ET96" s="1055"/>
      <c r="EU96" s="1055"/>
      <c r="EV96" s="1055"/>
      <c r="EW96" s="1055"/>
      <c r="EX96" s="1055"/>
      <c r="EY96" s="1055"/>
      <c r="EZ96" s="1055"/>
      <c r="FA96" s="1055"/>
      <c r="FB96" s="1055"/>
      <c r="FC96" s="1055"/>
      <c r="FD96" s="1055"/>
      <c r="FE96" s="1055"/>
      <c r="FF96" s="1055"/>
      <c r="FG96" s="1055"/>
      <c r="FH96" s="1055"/>
      <c r="FI96" s="1055"/>
      <c r="FJ96" s="1055"/>
      <c r="FK96" s="1055"/>
      <c r="FL96" s="1055"/>
      <c r="FM96" s="1055"/>
      <c r="FN96" s="1055"/>
      <c r="FO96" s="1055"/>
      <c r="FP96" s="1055"/>
      <c r="FQ96" s="1055"/>
      <c r="FR96" s="1055"/>
      <c r="FS96" s="1055"/>
      <c r="FT96" s="1055"/>
      <c r="FU96" s="1055"/>
      <c r="FV96" s="1055"/>
      <c r="FW96" s="1055"/>
      <c r="FX96" s="1055"/>
      <c r="FY96" s="1055"/>
      <c r="FZ96" s="1055"/>
      <c r="GA96" s="1055"/>
      <c r="GB96" s="1055"/>
      <c r="GC96" s="1055"/>
      <c r="GD96" s="1055"/>
      <c r="GE96" s="1055"/>
      <c r="GF96" s="1055"/>
      <c r="GG96" s="1055"/>
      <c r="GH96" s="1055"/>
      <c r="GI96" s="1055"/>
      <c r="GJ96" s="1055"/>
    </row>
    <row r="97" spans="1:192" s="1067" customFormat="1" ht="30">
      <c r="A97" s="899" t="s">
        <v>628</v>
      </c>
      <c r="B97" s="900">
        <f t="shared" si="4"/>
        <v>-531250.99069114297</v>
      </c>
      <c r="C97" s="900">
        <v>-74375.138696760027</v>
      </c>
      <c r="D97" s="900">
        <v>0</v>
      </c>
      <c r="E97" s="900">
        <v>-456875.85199438297</v>
      </c>
      <c r="F97" s="900">
        <v>0</v>
      </c>
      <c r="G97" s="903" t="s">
        <v>791</v>
      </c>
      <c r="H97" s="1055"/>
      <c r="I97" s="1055"/>
      <c r="J97" s="1055"/>
      <c r="K97" s="1055"/>
      <c r="L97" s="1055"/>
      <c r="M97" s="1055"/>
      <c r="N97" s="1055"/>
      <c r="O97" s="1055"/>
      <c r="P97" s="1055"/>
      <c r="Q97" s="1055"/>
      <c r="R97" s="1055"/>
      <c r="S97" s="1055"/>
      <c r="T97" s="1055"/>
      <c r="U97" s="1055"/>
      <c r="V97" s="1055"/>
      <c r="W97" s="1055"/>
      <c r="X97" s="1055"/>
      <c r="Y97" s="1055"/>
      <c r="Z97" s="1055"/>
      <c r="AA97" s="1055"/>
      <c r="AB97" s="1055"/>
      <c r="AC97" s="1055"/>
      <c r="AD97" s="1055"/>
      <c r="AE97" s="1055"/>
      <c r="AF97" s="1055"/>
      <c r="AG97" s="1055"/>
      <c r="AH97" s="1055"/>
      <c r="AI97" s="1055"/>
      <c r="AJ97" s="1055"/>
      <c r="AK97" s="1055"/>
      <c r="AL97" s="1055"/>
      <c r="AM97" s="1055"/>
      <c r="AN97" s="1055"/>
      <c r="AO97" s="1055"/>
      <c r="AP97" s="1055"/>
      <c r="AQ97" s="1055"/>
      <c r="AR97" s="1055"/>
      <c r="AS97" s="1055"/>
      <c r="AT97" s="1055"/>
      <c r="AU97" s="1055"/>
      <c r="AV97" s="1055"/>
      <c r="AW97" s="1055"/>
      <c r="AX97" s="1055"/>
      <c r="AY97" s="1055"/>
      <c r="AZ97" s="1055"/>
      <c r="BA97" s="1055"/>
      <c r="BB97" s="1055"/>
      <c r="BC97" s="1055"/>
      <c r="BD97" s="1055"/>
      <c r="BE97" s="1055"/>
      <c r="BF97" s="1055"/>
      <c r="BG97" s="1055"/>
      <c r="BH97" s="1055"/>
      <c r="BI97" s="1055"/>
      <c r="BJ97" s="1055"/>
      <c r="BK97" s="1055"/>
      <c r="BL97" s="1055"/>
      <c r="BM97" s="1055"/>
      <c r="BN97" s="1055"/>
      <c r="BO97" s="1055"/>
      <c r="BP97" s="1055"/>
      <c r="BQ97" s="1055"/>
      <c r="BR97" s="1055"/>
      <c r="BS97" s="1055"/>
      <c r="BT97" s="1055"/>
      <c r="BU97" s="1055"/>
      <c r="BV97" s="1055"/>
      <c r="BW97" s="1055"/>
      <c r="BX97" s="1055"/>
      <c r="BY97" s="1055"/>
      <c r="BZ97" s="1055"/>
      <c r="CA97" s="1055"/>
      <c r="CB97" s="1055"/>
      <c r="CC97" s="1055"/>
      <c r="CD97" s="1055"/>
      <c r="CE97" s="1055"/>
      <c r="CF97" s="1055"/>
      <c r="CG97" s="1055"/>
      <c r="CH97" s="1055"/>
      <c r="CI97" s="1055"/>
      <c r="CJ97" s="1055"/>
      <c r="CK97" s="1055"/>
      <c r="CL97" s="1055"/>
      <c r="CM97" s="1055"/>
      <c r="CN97" s="1055"/>
      <c r="CO97" s="1055"/>
      <c r="CP97" s="1055"/>
      <c r="CQ97" s="1055"/>
      <c r="CR97" s="1055"/>
      <c r="CS97" s="1055"/>
      <c r="CT97" s="1055"/>
      <c r="CU97" s="1055"/>
      <c r="CV97" s="1055"/>
      <c r="CW97" s="1055"/>
      <c r="CX97" s="1055"/>
      <c r="CY97" s="1055"/>
      <c r="CZ97" s="1055"/>
      <c r="DA97" s="1055"/>
      <c r="DB97" s="1055"/>
      <c r="DC97" s="1055"/>
      <c r="DD97" s="1055"/>
      <c r="DE97" s="1055"/>
      <c r="DF97" s="1055"/>
      <c r="DG97" s="1055"/>
      <c r="DH97" s="1055"/>
      <c r="DI97" s="1055"/>
      <c r="DJ97" s="1055"/>
      <c r="DK97" s="1055"/>
      <c r="DL97" s="1055"/>
      <c r="DM97" s="1055"/>
      <c r="DN97" s="1055"/>
      <c r="DO97" s="1055"/>
      <c r="DP97" s="1055"/>
      <c r="DQ97" s="1055"/>
      <c r="DR97" s="1055"/>
      <c r="DS97" s="1055"/>
      <c r="DT97" s="1055"/>
      <c r="DU97" s="1055"/>
      <c r="DV97" s="1055"/>
      <c r="DW97" s="1055"/>
      <c r="DX97" s="1055"/>
      <c r="DY97" s="1055"/>
      <c r="DZ97" s="1055"/>
      <c r="EA97" s="1055"/>
      <c r="EB97" s="1055"/>
      <c r="EC97" s="1055"/>
      <c r="ED97" s="1055"/>
      <c r="EE97" s="1055"/>
      <c r="EF97" s="1055"/>
      <c r="EG97" s="1055"/>
      <c r="EH97" s="1055"/>
      <c r="EI97" s="1055"/>
      <c r="EJ97" s="1055"/>
      <c r="EK97" s="1055"/>
      <c r="EL97" s="1055"/>
      <c r="EM97" s="1055"/>
      <c r="EN97" s="1055"/>
      <c r="EO97" s="1055"/>
      <c r="EP97" s="1055"/>
      <c r="EQ97" s="1055"/>
      <c r="ER97" s="1055"/>
      <c r="ES97" s="1055"/>
      <c r="ET97" s="1055"/>
      <c r="EU97" s="1055"/>
      <c r="EV97" s="1055"/>
      <c r="EW97" s="1055"/>
      <c r="EX97" s="1055"/>
      <c r="EY97" s="1055"/>
      <c r="EZ97" s="1055"/>
      <c r="FA97" s="1055"/>
      <c r="FB97" s="1055"/>
      <c r="FC97" s="1055"/>
      <c r="FD97" s="1055"/>
      <c r="FE97" s="1055"/>
      <c r="FF97" s="1055"/>
      <c r="FG97" s="1055"/>
      <c r="FH97" s="1055"/>
      <c r="FI97" s="1055"/>
      <c r="FJ97" s="1055"/>
      <c r="FK97" s="1055"/>
      <c r="FL97" s="1055"/>
      <c r="FM97" s="1055"/>
      <c r="FN97" s="1055"/>
      <c r="FO97" s="1055"/>
      <c r="FP97" s="1055"/>
      <c r="FQ97" s="1055"/>
      <c r="FR97" s="1055"/>
      <c r="FS97" s="1055"/>
      <c r="FT97" s="1055"/>
      <c r="FU97" s="1055"/>
      <c r="FV97" s="1055"/>
      <c r="FW97" s="1055"/>
      <c r="FX97" s="1055"/>
      <c r="FY97" s="1055"/>
      <c r="FZ97" s="1055"/>
      <c r="GA97" s="1055"/>
      <c r="GB97" s="1055"/>
      <c r="GC97" s="1055"/>
      <c r="GD97" s="1055"/>
      <c r="GE97" s="1055"/>
      <c r="GF97" s="1055"/>
      <c r="GG97" s="1055"/>
      <c r="GH97" s="1055"/>
      <c r="GI97" s="1055"/>
      <c r="GJ97" s="1055"/>
    </row>
    <row r="98" spans="1:192" s="1067" customFormat="1" ht="30">
      <c r="A98" s="899" t="s">
        <v>502</v>
      </c>
      <c r="B98" s="900">
        <f t="shared" si="4"/>
        <v>-6569280.3138505202</v>
      </c>
      <c r="C98" s="900">
        <v>-6569280.3138505202</v>
      </c>
      <c r="D98" s="900">
        <v>0</v>
      </c>
      <c r="E98" s="900">
        <v>0</v>
      </c>
      <c r="F98" s="900">
        <v>0</v>
      </c>
      <c r="G98" s="903" t="s">
        <v>691</v>
      </c>
      <c r="H98" s="1055"/>
      <c r="I98" s="1055"/>
      <c r="J98" s="1055"/>
      <c r="K98" s="1055"/>
      <c r="L98" s="1055"/>
      <c r="M98" s="1055"/>
      <c r="N98" s="1055"/>
      <c r="O98" s="1055"/>
      <c r="P98" s="1055"/>
      <c r="Q98" s="1055"/>
      <c r="R98" s="1055"/>
      <c r="S98" s="1055"/>
      <c r="T98" s="1055"/>
      <c r="U98" s="1055"/>
      <c r="V98" s="1055"/>
      <c r="W98" s="1055"/>
      <c r="X98" s="1055"/>
      <c r="Y98" s="1055"/>
      <c r="Z98" s="1055"/>
      <c r="AA98" s="1055"/>
      <c r="AB98" s="1055"/>
      <c r="AC98" s="1055"/>
      <c r="AD98" s="1055"/>
      <c r="AE98" s="1055"/>
      <c r="AF98" s="1055"/>
      <c r="AG98" s="1055"/>
      <c r="AH98" s="1055"/>
      <c r="AI98" s="1055"/>
      <c r="AJ98" s="1055"/>
      <c r="AK98" s="1055"/>
      <c r="AL98" s="1055"/>
      <c r="AM98" s="1055"/>
      <c r="AN98" s="1055"/>
      <c r="AO98" s="1055"/>
      <c r="AP98" s="1055"/>
      <c r="AQ98" s="1055"/>
      <c r="AR98" s="1055"/>
      <c r="AS98" s="1055"/>
      <c r="AT98" s="1055"/>
      <c r="AU98" s="1055"/>
      <c r="AV98" s="1055"/>
      <c r="AW98" s="1055"/>
      <c r="AX98" s="1055"/>
      <c r="AY98" s="1055"/>
      <c r="AZ98" s="1055"/>
      <c r="BA98" s="1055"/>
      <c r="BB98" s="1055"/>
      <c r="BC98" s="1055"/>
      <c r="BD98" s="1055"/>
      <c r="BE98" s="1055"/>
      <c r="BF98" s="1055"/>
      <c r="BG98" s="1055"/>
      <c r="BH98" s="1055"/>
      <c r="BI98" s="1055"/>
      <c r="BJ98" s="1055"/>
      <c r="BK98" s="1055"/>
      <c r="BL98" s="1055"/>
      <c r="BM98" s="1055"/>
      <c r="BN98" s="1055"/>
      <c r="BO98" s="1055"/>
      <c r="BP98" s="1055"/>
      <c r="BQ98" s="1055"/>
      <c r="BR98" s="1055"/>
      <c r="BS98" s="1055"/>
      <c r="BT98" s="1055"/>
      <c r="BU98" s="1055"/>
      <c r="BV98" s="1055"/>
      <c r="BW98" s="1055"/>
      <c r="BX98" s="1055"/>
      <c r="BY98" s="1055"/>
      <c r="BZ98" s="1055"/>
      <c r="CA98" s="1055"/>
      <c r="CB98" s="1055"/>
      <c r="CC98" s="1055"/>
      <c r="CD98" s="1055"/>
      <c r="CE98" s="1055"/>
      <c r="CF98" s="1055"/>
      <c r="CG98" s="1055"/>
      <c r="CH98" s="1055"/>
      <c r="CI98" s="1055"/>
      <c r="CJ98" s="1055"/>
      <c r="CK98" s="1055"/>
      <c r="CL98" s="1055"/>
      <c r="CM98" s="1055"/>
      <c r="CN98" s="1055"/>
      <c r="CO98" s="1055"/>
      <c r="CP98" s="1055"/>
      <c r="CQ98" s="1055"/>
      <c r="CR98" s="1055"/>
      <c r="CS98" s="1055"/>
      <c r="CT98" s="1055"/>
      <c r="CU98" s="1055"/>
      <c r="CV98" s="1055"/>
      <c r="CW98" s="1055"/>
      <c r="CX98" s="1055"/>
      <c r="CY98" s="1055"/>
      <c r="CZ98" s="1055"/>
      <c r="DA98" s="1055"/>
      <c r="DB98" s="1055"/>
      <c r="DC98" s="1055"/>
      <c r="DD98" s="1055"/>
      <c r="DE98" s="1055"/>
      <c r="DF98" s="1055"/>
      <c r="DG98" s="1055"/>
      <c r="DH98" s="1055"/>
      <c r="DI98" s="1055"/>
      <c r="DJ98" s="1055"/>
      <c r="DK98" s="1055"/>
      <c r="DL98" s="1055"/>
      <c r="DM98" s="1055"/>
      <c r="DN98" s="1055"/>
      <c r="DO98" s="1055"/>
      <c r="DP98" s="1055"/>
      <c r="DQ98" s="1055"/>
      <c r="DR98" s="1055"/>
      <c r="DS98" s="1055"/>
      <c r="DT98" s="1055"/>
      <c r="DU98" s="1055"/>
      <c r="DV98" s="1055"/>
      <c r="DW98" s="1055"/>
      <c r="DX98" s="1055"/>
      <c r="DY98" s="1055"/>
      <c r="DZ98" s="1055"/>
      <c r="EA98" s="1055"/>
      <c r="EB98" s="1055"/>
      <c r="EC98" s="1055"/>
      <c r="ED98" s="1055"/>
      <c r="EE98" s="1055"/>
      <c r="EF98" s="1055"/>
      <c r="EG98" s="1055"/>
      <c r="EH98" s="1055"/>
      <c r="EI98" s="1055"/>
      <c r="EJ98" s="1055"/>
      <c r="EK98" s="1055"/>
      <c r="EL98" s="1055"/>
      <c r="EM98" s="1055"/>
      <c r="EN98" s="1055"/>
      <c r="EO98" s="1055"/>
      <c r="EP98" s="1055"/>
      <c r="EQ98" s="1055"/>
      <c r="ER98" s="1055"/>
      <c r="ES98" s="1055"/>
      <c r="ET98" s="1055"/>
      <c r="EU98" s="1055"/>
      <c r="EV98" s="1055"/>
      <c r="EW98" s="1055"/>
      <c r="EX98" s="1055"/>
      <c r="EY98" s="1055"/>
      <c r="EZ98" s="1055"/>
      <c r="FA98" s="1055"/>
      <c r="FB98" s="1055"/>
      <c r="FC98" s="1055"/>
      <c r="FD98" s="1055"/>
      <c r="FE98" s="1055"/>
      <c r="FF98" s="1055"/>
      <c r="FG98" s="1055"/>
      <c r="FH98" s="1055"/>
      <c r="FI98" s="1055"/>
      <c r="FJ98" s="1055"/>
      <c r="FK98" s="1055"/>
      <c r="FL98" s="1055"/>
      <c r="FM98" s="1055"/>
      <c r="FN98" s="1055"/>
      <c r="FO98" s="1055"/>
      <c r="FP98" s="1055"/>
      <c r="FQ98" s="1055"/>
      <c r="FR98" s="1055"/>
      <c r="FS98" s="1055"/>
      <c r="FT98" s="1055"/>
      <c r="FU98" s="1055"/>
      <c r="FV98" s="1055"/>
      <c r="FW98" s="1055"/>
      <c r="FX98" s="1055"/>
      <c r="FY98" s="1055"/>
      <c r="FZ98" s="1055"/>
      <c r="GA98" s="1055"/>
      <c r="GB98" s="1055"/>
      <c r="GC98" s="1055"/>
      <c r="GD98" s="1055"/>
      <c r="GE98" s="1055"/>
      <c r="GF98" s="1055"/>
      <c r="GG98" s="1055"/>
      <c r="GH98" s="1055"/>
      <c r="GI98" s="1055"/>
      <c r="GJ98" s="1055"/>
    </row>
    <row r="99" spans="1:192">
      <c r="A99" s="899" t="s">
        <v>755</v>
      </c>
      <c r="B99" s="900">
        <f t="shared" si="4"/>
        <v>-83174536.371260971</v>
      </c>
      <c r="C99" s="900">
        <v>-11644435.091976536</v>
      </c>
      <c r="D99" s="900">
        <v>0</v>
      </c>
      <c r="E99" s="900">
        <v>0</v>
      </c>
      <c r="F99" s="900">
        <v>-71530101.279284433</v>
      </c>
      <c r="G99" s="903" t="s">
        <v>782</v>
      </c>
    </row>
    <row r="100" spans="1:192" s="1067" customFormat="1" ht="30">
      <c r="A100" s="899" t="s">
        <v>630</v>
      </c>
      <c r="B100" s="900">
        <f t="shared" si="4"/>
        <v>-3587493.8951045554</v>
      </c>
      <c r="C100" s="900">
        <v>-502249.1453146378</v>
      </c>
      <c r="D100" s="900">
        <v>0</v>
      </c>
      <c r="E100" s="900">
        <v>-3085244.7497899174</v>
      </c>
      <c r="F100" s="900">
        <v>0</v>
      </c>
      <c r="G100" s="903" t="s">
        <v>792</v>
      </c>
      <c r="H100" s="1055"/>
      <c r="I100" s="1055"/>
      <c r="J100" s="1055"/>
      <c r="K100" s="1055"/>
      <c r="L100" s="1055"/>
      <c r="M100" s="1055"/>
      <c r="N100" s="1055"/>
      <c r="O100" s="1055"/>
      <c r="P100" s="1055"/>
      <c r="Q100" s="1055"/>
      <c r="R100" s="1055"/>
      <c r="S100" s="1055"/>
      <c r="T100" s="1055"/>
      <c r="U100" s="1055"/>
      <c r="V100" s="1055"/>
      <c r="W100" s="1055"/>
      <c r="X100" s="1055"/>
      <c r="Y100" s="1055"/>
      <c r="Z100" s="1055"/>
      <c r="AA100" s="1055"/>
      <c r="AB100" s="1055"/>
      <c r="AC100" s="1055"/>
      <c r="AD100" s="1055"/>
      <c r="AE100" s="1055"/>
      <c r="AF100" s="1055"/>
      <c r="AG100" s="1055"/>
      <c r="AH100" s="1055"/>
      <c r="AI100" s="1055"/>
      <c r="AJ100" s="1055"/>
      <c r="AK100" s="1055"/>
      <c r="AL100" s="1055"/>
      <c r="AM100" s="1055"/>
      <c r="AN100" s="1055"/>
      <c r="AO100" s="1055"/>
      <c r="AP100" s="1055"/>
      <c r="AQ100" s="1055"/>
      <c r="AR100" s="1055"/>
      <c r="AS100" s="1055"/>
      <c r="AT100" s="1055"/>
      <c r="AU100" s="1055"/>
      <c r="AV100" s="1055"/>
      <c r="AW100" s="1055"/>
      <c r="AX100" s="1055"/>
      <c r="AY100" s="1055"/>
      <c r="AZ100" s="1055"/>
      <c r="BA100" s="1055"/>
      <c r="BB100" s="1055"/>
      <c r="BC100" s="1055"/>
      <c r="BD100" s="1055"/>
      <c r="BE100" s="1055"/>
      <c r="BF100" s="1055"/>
      <c r="BG100" s="1055"/>
      <c r="BH100" s="1055"/>
      <c r="BI100" s="1055"/>
      <c r="BJ100" s="1055"/>
      <c r="BK100" s="1055"/>
      <c r="BL100" s="1055"/>
      <c r="BM100" s="1055"/>
      <c r="BN100" s="1055"/>
      <c r="BO100" s="1055"/>
      <c r="BP100" s="1055"/>
      <c r="BQ100" s="1055"/>
      <c r="BR100" s="1055"/>
      <c r="BS100" s="1055"/>
      <c r="BT100" s="1055"/>
      <c r="BU100" s="1055"/>
      <c r="BV100" s="1055"/>
      <c r="BW100" s="1055"/>
      <c r="BX100" s="1055"/>
      <c r="BY100" s="1055"/>
      <c r="BZ100" s="1055"/>
      <c r="CA100" s="1055"/>
      <c r="CB100" s="1055"/>
      <c r="CC100" s="1055"/>
      <c r="CD100" s="1055"/>
      <c r="CE100" s="1055"/>
      <c r="CF100" s="1055"/>
      <c r="CG100" s="1055"/>
      <c r="CH100" s="1055"/>
      <c r="CI100" s="1055"/>
      <c r="CJ100" s="1055"/>
      <c r="CK100" s="1055"/>
      <c r="CL100" s="1055"/>
      <c r="CM100" s="1055"/>
      <c r="CN100" s="1055"/>
      <c r="CO100" s="1055"/>
      <c r="CP100" s="1055"/>
      <c r="CQ100" s="1055"/>
      <c r="CR100" s="1055"/>
      <c r="CS100" s="1055"/>
      <c r="CT100" s="1055"/>
      <c r="CU100" s="1055"/>
      <c r="CV100" s="1055"/>
      <c r="CW100" s="1055"/>
      <c r="CX100" s="1055"/>
      <c r="CY100" s="1055"/>
      <c r="CZ100" s="1055"/>
      <c r="DA100" s="1055"/>
      <c r="DB100" s="1055"/>
      <c r="DC100" s="1055"/>
      <c r="DD100" s="1055"/>
      <c r="DE100" s="1055"/>
      <c r="DF100" s="1055"/>
      <c r="DG100" s="1055"/>
      <c r="DH100" s="1055"/>
      <c r="DI100" s="1055"/>
      <c r="DJ100" s="1055"/>
      <c r="DK100" s="1055"/>
      <c r="DL100" s="1055"/>
      <c r="DM100" s="1055"/>
      <c r="DN100" s="1055"/>
      <c r="DO100" s="1055"/>
      <c r="DP100" s="1055"/>
      <c r="DQ100" s="1055"/>
      <c r="DR100" s="1055"/>
      <c r="DS100" s="1055"/>
      <c r="DT100" s="1055"/>
      <c r="DU100" s="1055"/>
      <c r="DV100" s="1055"/>
      <c r="DW100" s="1055"/>
      <c r="DX100" s="1055"/>
      <c r="DY100" s="1055"/>
      <c r="DZ100" s="1055"/>
      <c r="EA100" s="1055"/>
      <c r="EB100" s="1055"/>
      <c r="EC100" s="1055"/>
      <c r="ED100" s="1055"/>
      <c r="EE100" s="1055"/>
      <c r="EF100" s="1055"/>
      <c r="EG100" s="1055"/>
      <c r="EH100" s="1055"/>
      <c r="EI100" s="1055"/>
      <c r="EJ100" s="1055"/>
      <c r="EK100" s="1055"/>
      <c r="EL100" s="1055"/>
      <c r="EM100" s="1055"/>
      <c r="EN100" s="1055"/>
      <c r="EO100" s="1055"/>
      <c r="EP100" s="1055"/>
      <c r="EQ100" s="1055"/>
      <c r="ER100" s="1055"/>
      <c r="ES100" s="1055"/>
      <c r="ET100" s="1055"/>
      <c r="EU100" s="1055"/>
      <c r="EV100" s="1055"/>
      <c r="EW100" s="1055"/>
      <c r="EX100" s="1055"/>
      <c r="EY100" s="1055"/>
      <c r="EZ100" s="1055"/>
      <c r="FA100" s="1055"/>
      <c r="FB100" s="1055"/>
      <c r="FC100" s="1055"/>
      <c r="FD100" s="1055"/>
      <c r="FE100" s="1055"/>
      <c r="FF100" s="1055"/>
      <c r="FG100" s="1055"/>
      <c r="FH100" s="1055"/>
      <c r="FI100" s="1055"/>
      <c r="FJ100" s="1055"/>
      <c r="FK100" s="1055"/>
      <c r="FL100" s="1055"/>
      <c r="FM100" s="1055"/>
      <c r="FN100" s="1055"/>
      <c r="FO100" s="1055"/>
      <c r="FP100" s="1055"/>
      <c r="FQ100" s="1055"/>
      <c r="FR100" s="1055"/>
      <c r="FS100" s="1055"/>
      <c r="FT100" s="1055"/>
      <c r="FU100" s="1055"/>
      <c r="FV100" s="1055"/>
      <c r="FW100" s="1055"/>
      <c r="FX100" s="1055"/>
      <c r="FY100" s="1055"/>
      <c r="FZ100" s="1055"/>
      <c r="GA100" s="1055"/>
      <c r="GB100" s="1055"/>
      <c r="GC100" s="1055"/>
      <c r="GD100" s="1055"/>
      <c r="GE100" s="1055"/>
      <c r="GF100" s="1055"/>
      <c r="GG100" s="1055"/>
      <c r="GH100" s="1055"/>
      <c r="GI100" s="1055"/>
      <c r="GJ100" s="1055"/>
    </row>
    <row r="101" spans="1:192" s="1067" customFormat="1" ht="30">
      <c r="A101" s="899" t="s">
        <v>505</v>
      </c>
      <c r="B101" s="900">
        <f t="shared" si="4"/>
        <v>-4090231.9629676146</v>
      </c>
      <c r="C101" s="900">
        <v>-4090231.9629676146</v>
      </c>
      <c r="D101" s="900">
        <v>0</v>
      </c>
      <c r="E101" s="900"/>
      <c r="F101" s="900">
        <v>0</v>
      </c>
      <c r="G101" s="903" t="s">
        <v>720</v>
      </c>
      <c r="H101" s="1055"/>
      <c r="I101" s="1055"/>
      <c r="J101" s="1055"/>
      <c r="K101" s="1055"/>
      <c r="L101" s="1055"/>
      <c r="M101" s="1055"/>
      <c r="N101" s="1055"/>
      <c r="O101" s="1055"/>
      <c r="P101" s="1055"/>
      <c r="Q101" s="1055"/>
      <c r="R101" s="1055"/>
      <c r="S101" s="1055"/>
      <c r="T101" s="1055"/>
      <c r="U101" s="1055"/>
      <c r="V101" s="1055"/>
      <c r="W101" s="1055"/>
      <c r="X101" s="1055"/>
      <c r="Y101" s="1055"/>
      <c r="Z101" s="1055"/>
      <c r="AA101" s="1055"/>
      <c r="AB101" s="1055"/>
      <c r="AC101" s="1055"/>
      <c r="AD101" s="1055"/>
      <c r="AE101" s="1055"/>
      <c r="AF101" s="1055"/>
      <c r="AG101" s="1055"/>
      <c r="AH101" s="1055"/>
      <c r="AI101" s="1055"/>
      <c r="AJ101" s="1055"/>
      <c r="AK101" s="1055"/>
      <c r="AL101" s="1055"/>
      <c r="AM101" s="1055"/>
      <c r="AN101" s="1055"/>
      <c r="AO101" s="1055"/>
      <c r="AP101" s="1055"/>
      <c r="AQ101" s="1055"/>
      <c r="AR101" s="1055"/>
      <c r="AS101" s="1055"/>
      <c r="AT101" s="1055"/>
      <c r="AU101" s="1055"/>
      <c r="AV101" s="1055"/>
      <c r="AW101" s="1055"/>
      <c r="AX101" s="1055"/>
      <c r="AY101" s="1055"/>
      <c r="AZ101" s="1055"/>
      <c r="BA101" s="1055"/>
      <c r="BB101" s="1055"/>
      <c r="BC101" s="1055"/>
      <c r="BD101" s="1055"/>
      <c r="BE101" s="1055"/>
      <c r="BF101" s="1055"/>
      <c r="BG101" s="1055"/>
      <c r="BH101" s="1055"/>
      <c r="BI101" s="1055"/>
      <c r="BJ101" s="1055"/>
      <c r="BK101" s="1055"/>
      <c r="BL101" s="1055"/>
      <c r="BM101" s="1055"/>
      <c r="BN101" s="1055"/>
      <c r="BO101" s="1055"/>
      <c r="BP101" s="1055"/>
      <c r="BQ101" s="1055"/>
      <c r="BR101" s="1055"/>
      <c r="BS101" s="1055"/>
      <c r="BT101" s="1055"/>
      <c r="BU101" s="1055"/>
      <c r="BV101" s="1055"/>
      <c r="BW101" s="1055"/>
      <c r="BX101" s="1055"/>
      <c r="BY101" s="1055"/>
      <c r="BZ101" s="1055"/>
      <c r="CA101" s="1055"/>
      <c r="CB101" s="1055"/>
      <c r="CC101" s="1055"/>
      <c r="CD101" s="1055"/>
      <c r="CE101" s="1055"/>
      <c r="CF101" s="1055"/>
      <c r="CG101" s="1055"/>
      <c r="CH101" s="1055"/>
      <c r="CI101" s="1055"/>
      <c r="CJ101" s="1055"/>
      <c r="CK101" s="1055"/>
      <c r="CL101" s="1055"/>
      <c r="CM101" s="1055"/>
      <c r="CN101" s="1055"/>
      <c r="CO101" s="1055"/>
      <c r="CP101" s="1055"/>
      <c r="CQ101" s="1055"/>
      <c r="CR101" s="1055"/>
      <c r="CS101" s="1055"/>
      <c r="CT101" s="1055"/>
      <c r="CU101" s="1055"/>
      <c r="CV101" s="1055"/>
      <c r="CW101" s="1055"/>
      <c r="CX101" s="1055"/>
      <c r="CY101" s="1055"/>
      <c r="CZ101" s="1055"/>
      <c r="DA101" s="1055"/>
      <c r="DB101" s="1055"/>
      <c r="DC101" s="1055"/>
      <c r="DD101" s="1055"/>
      <c r="DE101" s="1055"/>
      <c r="DF101" s="1055"/>
      <c r="DG101" s="1055"/>
      <c r="DH101" s="1055"/>
      <c r="DI101" s="1055"/>
      <c r="DJ101" s="1055"/>
      <c r="DK101" s="1055"/>
      <c r="DL101" s="1055"/>
      <c r="DM101" s="1055"/>
      <c r="DN101" s="1055"/>
      <c r="DO101" s="1055"/>
      <c r="DP101" s="1055"/>
      <c r="DQ101" s="1055"/>
      <c r="DR101" s="1055"/>
      <c r="DS101" s="1055"/>
      <c r="DT101" s="1055"/>
      <c r="DU101" s="1055"/>
      <c r="DV101" s="1055"/>
      <c r="DW101" s="1055"/>
      <c r="DX101" s="1055"/>
      <c r="DY101" s="1055"/>
      <c r="DZ101" s="1055"/>
      <c r="EA101" s="1055"/>
      <c r="EB101" s="1055"/>
      <c r="EC101" s="1055"/>
      <c r="ED101" s="1055"/>
      <c r="EE101" s="1055"/>
      <c r="EF101" s="1055"/>
      <c r="EG101" s="1055"/>
      <c r="EH101" s="1055"/>
      <c r="EI101" s="1055"/>
      <c r="EJ101" s="1055"/>
      <c r="EK101" s="1055"/>
      <c r="EL101" s="1055"/>
      <c r="EM101" s="1055"/>
      <c r="EN101" s="1055"/>
      <c r="EO101" s="1055"/>
      <c r="EP101" s="1055"/>
      <c r="EQ101" s="1055"/>
      <c r="ER101" s="1055"/>
      <c r="ES101" s="1055"/>
      <c r="ET101" s="1055"/>
      <c r="EU101" s="1055"/>
      <c r="EV101" s="1055"/>
      <c r="EW101" s="1055"/>
      <c r="EX101" s="1055"/>
      <c r="EY101" s="1055"/>
      <c r="EZ101" s="1055"/>
      <c r="FA101" s="1055"/>
      <c r="FB101" s="1055"/>
      <c r="FC101" s="1055"/>
      <c r="FD101" s="1055"/>
      <c r="FE101" s="1055"/>
      <c r="FF101" s="1055"/>
      <c r="FG101" s="1055"/>
      <c r="FH101" s="1055"/>
      <c r="FI101" s="1055"/>
      <c r="FJ101" s="1055"/>
      <c r="FK101" s="1055"/>
      <c r="FL101" s="1055"/>
      <c r="FM101" s="1055"/>
      <c r="FN101" s="1055"/>
      <c r="FO101" s="1055"/>
      <c r="FP101" s="1055"/>
      <c r="FQ101" s="1055"/>
      <c r="FR101" s="1055"/>
      <c r="FS101" s="1055"/>
      <c r="FT101" s="1055"/>
      <c r="FU101" s="1055"/>
      <c r="FV101" s="1055"/>
      <c r="FW101" s="1055"/>
      <c r="FX101" s="1055"/>
      <c r="FY101" s="1055"/>
      <c r="FZ101" s="1055"/>
      <c r="GA101" s="1055"/>
      <c r="GB101" s="1055"/>
      <c r="GC101" s="1055"/>
      <c r="GD101" s="1055"/>
      <c r="GE101" s="1055"/>
      <c r="GF101" s="1055"/>
      <c r="GG101" s="1055"/>
      <c r="GH101" s="1055"/>
      <c r="GI101" s="1055"/>
      <c r="GJ101" s="1055"/>
    </row>
    <row r="102" spans="1:192" ht="30">
      <c r="A102" s="899" t="s">
        <v>756</v>
      </c>
      <c r="B102" s="900">
        <f t="shared" si="4"/>
        <v>-32489448.951147251</v>
      </c>
      <c r="C102" s="900">
        <v>-32489448.951147251</v>
      </c>
      <c r="D102" s="900">
        <v>0</v>
      </c>
      <c r="E102" s="900">
        <v>0</v>
      </c>
      <c r="F102" s="900">
        <v>0</v>
      </c>
      <c r="G102" s="903" t="s">
        <v>724</v>
      </c>
    </row>
    <row r="103" spans="1:192" ht="30">
      <c r="A103" s="899" t="s">
        <v>757</v>
      </c>
      <c r="B103" s="900">
        <f t="shared" si="4"/>
        <v>-2711403.9291953314</v>
      </c>
      <c r="C103" s="900">
        <v>0</v>
      </c>
      <c r="D103" s="900">
        <v>-2711403.9291953314</v>
      </c>
      <c r="E103" s="900">
        <v>0</v>
      </c>
      <c r="F103" s="900">
        <v>0</v>
      </c>
      <c r="G103" s="903" t="s">
        <v>719</v>
      </c>
    </row>
    <row r="104" spans="1:192" s="1067" customFormat="1" ht="19.5" customHeight="1">
      <c r="A104" s="899" t="s">
        <v>32</v>
      </c>
      <c r="B104" s="900">
        <f t="shared" si="4"/>
        <v>-53064651.225475378</v>
      </c>
      <c r="C104" s="900">
        <f>-48290983.2391847-9899</f>
        <v>-48300882.2391847</v>
      </c>
      <c r="D104" s="900">
        <v>0</v>
      </c>
      <c r="E104" s="900">
        <v>0</v>
      </c>
      <c r="F104" s="900">
        <v>-4763768.9862906775</v>
      </c>
      <c r="G104" s="903" t="s">
        <v>33</v>
      </c>
      <c r="H104" s="1055"/>
      <c r="I104" s="1055"/>
      <c r="J104" s="1055"/>
      <c r="K104" s="1055"/>
      <c r="L104" s="1055"/>
      <c r="M104" s="1055"/>
      <c r="N104" s="1055"/>
      <c r="O104" s="1055"/>
      <c r="P104" s="1055"/>
      <c r="Q104" s="1055"/>
      <c r="R104" s="1055"/>
      <c r="S104" s="1055"/>
      <c r="T104" s="1055"/>
      <c r="U104" s="1055"/>
      <c r="V104" s="1055"/>
      <c r="W104" s="1055"/>
      <c r="X104" s="1055"/>
      <c r="Y104" s="1055"/>
      <c r="Z104" s="1055"/>
      <c r="AA104" s="1055"/>
      <c r="AB104" s="1055"/>
      <c r="AC104" s="1055"/>
      <c r="AD104" s="1055"/>
      <c r="AE104" s="1055"/>
      <c r="AF104" s="1055"/>
      <c r="AG104" s="1055"/>
      <c r="AH104" s="1055"/>
      <c r="AI104" s="1055"/>
      <c r="AJ104" s="1055"/>
      <c r="AK104" s="1055"/>
      <c r="AL104" s="1055"/>
      <c r="AM104" s="1055"/>
      <c r="AN104" s="1055"/>
      <c r="AO104" s="1055"/>
      <c r="AP104" s="1055"/>
      <c r="AQ104" s="1055"/>
      <c r="AR104" s="1055"/>
      <c r="AS104" s="1055"/>
      <c r="AT104" s="1055"/>
      <c r="AU104" s="1055"/>
      <c r="AV104" s="1055"/>
      <c r="AW104" s="1055"/>
      <c r="AX104" s="1055"/>
      <c r="AY104" s="1055"/>
      <c r="AZ104" s="1055"/>
      <c r="BA104" s="1055"/>
      <c r="BB104" s="1055"/>
      <c r="BC104" s="1055"/>
      <c r="BD104" s="1055"/>
      <c r="BE104" s="1055"/>
      <c r="BF104" s="1055"/>
      <c r="BG104" s="1055"/>
      <c r="BH104" s="1055"/>
      <c r="BI104" s="1055"/>
      <c r="BJ104" s="1055"/>
      <c r="BK104" s="1055"/>
      <c r="BL104" s="1055"/>
      <c r="BM104" s="1055"/>
      <c r="BN104" s="1055"/>
      <c r="BO104" s="1055"/>
      <c r="BP104" s="1055"/>
      <c r="BQ104" s="1055"/>
      <c r="BR104" s="1055"/>
      <c r="BS104" s="1055"/>
      <c r="BT104" s="1055"/>
      <c r="BU104" s="1055"/>
      <c r="BV104" s="1055"/>
      <c r="BW104" s="1055"/>
      <c r="BX104" s="1055"/>
      <c r="BY104" s="1055"/>
      <c r="BZ104" s="1055"/>
      <c r="CA104" s="1055"/>
      <c r="CB104" s="1055"/>
      <c r="CC104" s="1055"/>
      <c r="CD104" s="1055"/>
      <c r="CE104" s="1055"/>
      <c r="CF104" s="1055"/>
      <c r="CG104" s="1055"/>
      <c r="CH104" s="1055"/>
      <c r="CI104" s="1055"/>
      <c r="CJ104" s="1055"/>
      <c r="CK104" s="1055"/>
      <c r="CL104" s="1055"/>
      <c r="CM104" s="1055"/>
      <c r="CN104" s="1055"/>
      <c r="CO104" s="1055"/>
      <c r="CP104" s="1055"/>
      <c r="CQ104" s="1055"/>
      <c r="CR104" s="1055"/>
      <c r="CS104" s="1055"/>
      <c r="CT104" s="1055"/>
      <c r="CU104" s="1055"/>
      <c r="CV104" s="1055"/>
      <c r="CW104" s="1055"/>
      <c r="CX104" s="1055"/>
      <c r="CY104" s="1055"/>
      <c r="CZ104" s="1055"/>
      <c r="DA104" s="1055"/>
      <c r="DB104" s="1055"/>
      <c r="DC104" s="1055"/>
      <c r="DD104" s="1055"/>
      <c r="DE104" s="1055"/>
      <c r="DF104" s="1055"/>
      <c r="DG104" s="1055"/>
      <c r="DH104" s="1055"/>
      <c r="DI104" s="1055"/>
      <c r="DJ104" s="1055"/>
      <c r="DK104" s="1055"/>
      <c r="DL104" s="1055"/>
      <c r="DM104" s="1055"/>
      <c r="DN104" s="1055"/>
      <c r="DO104" s="1055"/>
      <c r="DP104" s="1055"/>
      <c r="DQ104" s="1055"/>
      <c r="DR104" s="1055"/>
      <c r="DS104" s="1055"/>
      <c r="DT104" s="1055"/>
      <c r="DU104" s="1055"/>
      <c r="DV104" s="1055"/>
      <c r="DW104" s="1055"/>
      <c r="DX104" s="1055"/>
      <c r="DY104" s="1055"/>
      <c r="DZ104" s="1055"/>
      <c r="EA104" s="1055"/>
      <c r="EB104" s="1055"/>
      <c r="EC104" s="1055"/>
      <c r="ED104" s="1055"/>
      <c r="EE104" s="1055"/>
      <c r="EF104" s="1055"/>
      <c r="EG104" s="1055"/>
      <c r="EH104" s="1055"/>
      <c r="EI104" s="1055"/>
      <c r="EJ104" s="1055"/>
      <c r="EK104" s="1055"/>
      <c r="EL104" s="1055"/>
      <c r="EM104" s="1055"/>
      <c r="EN104" s="1055"/>
      <c r="EO104" s="1055"/>
      <c r="EP104" s="1055"/>
      <c r="EQ104" s="1055"/>
      <c r="ER104" s="1055"/>
      <c r="ES104" s="1055"/>
      <c r="ET104" s="1055"/>
      <c r="EU104" s="1055"/>
      <c r="EV104" s="1055"/>
      <c r="EW104" s="1055"/>
      <c r="EX104" s="1055"/>
      <c r="EY104" s="1055"/>
      <c r="EZ104" s="1055"/>
      <c r="FA104" s="1055"/>
      <c r="FB104" s="1055"/>
      <c r="FC104" s="1055"/>
      <c r="FD104" s="1055"/>
      <c r="FE104" s="1055"/>
      <c r="FF104" s="1055"/>
      <c r="FG104" s="1055"/>
      <c r="FH104" s="1055"/>
      <c r="FI104" s="1055"/>
      <c r="FJ104" s="1055"/>
      <c r="FK104" s="1055"/>
      <c r="FL104" s="1055"/>
      <c r="FM104" s="1055"/>
      <c r="FN104" s="1055"/>
      <c r="FO104" s="1055"/>
      <c r="FP104" s="1055"/>
      <c r="FQ104" s="1055"/>
      <c r="FR104" s="1055"/>
      <c r="FS104" s="1055"/>
      <c r="FT104" s="1055"/>
      <c r="FU104" s="1055"/>
      <c r="FV104" s="1055"/>
      <c r="FW104" s="1055"/>
      <c r="FX104" s="1055"/>
      <c r="FY104" s="1055"/>
      <c r="FZ104" s="1055"/>
      <c r="GA104" s="1055"/>
      <c r="GB104" s="1055"/>
      <c r="GC104" s="1055"/>
      <c r="GD104" s="1055"/>
      <c r="GE104" s="1055"/>
      <c r="GF104" s="1055"/>
      <c r="GG104" s="1055"/>
      <c r="GH104" s="1055"/>
      <c r="GI104" s="1055"/>
      <c r="GJ104" s="1055"/>
    </row>
    <row r="105" spans="1:192" ht="30">
      <c r="A105" s="899" t="s">
        <v>722</v>
      </c>
      <c r="B105" s="900">
        <f t="shared" si="4"/>
        <v>-1124447.298800115</v>
      </c>
      <c r="C105" s="900">
        <v>0</v>
      </c>
      <c r="D105" s="900">
        <v>-1124447.298800115</v>
      </c>
      <c r="E105" s="900">
        <v>0</v>
      </c>
      <c r="F105" s="900">
        <v>0</v>
      </c>
      <c r="G105" s="903" t="s">
        <v>745</v>
      </c>
    </row>
    <row r="106" spans="1:192" s="1067" customFormat="1" ht="45">
      <c r="A106" s="899" t="s">
        <v>31</v>
      </c>
      <c r="B106" s="900">
        <f t="shared" si="4"/>
        <v>-5350328.996706849</v>
      </c>
      <c r="C106" s="900">
        <v>-5350328.996706849</v>
      </c>
      <c r="D106" s="900">
        <v>0</v>
      </c>
      <c r="E106" s="900">
        <v>0</v>
      </c>
      <c r="F106" s="900">
        <v>0</v>
      </c>
      <c r="G106" s="903" t="s">
        <v>721</v>
      </c>
      <c r="H106" s="1055"/>
      <c r="I106" s="1055"/>
      <c r="J106" s="1055"/>
      <c r="K106" s="1055"/>
      <c r="L106" s="1055"/>
      <c r="M106" s="1055"/>
      <c r="N106" s="1055"/>
      <c r="O106" s="1055"/>
      <c r="P106" s="1055"/>
      <c r="Q106" s="1055"/>
      <c r="R106" s="1055"/>
      <c r="S106" s="1055"/>
      <c r="T106" s="1055"/>
      <c r="U106" s="1055"/>
      <c r="V106" s="1055"/>
      <c r="W106" s="1055"/>
      <c r="X106" s="1055"/>
      <c r="Y106" s="1055"/>
      <c r="Z106" s="1055"/>
      <c r="AA106" s="1055"/>
      <c r="AB106" s="1055"/>
      <c r="AC106" s="1055"/>
      <c r="AD106" s="1055"/>
      <c r="AE106" s="1055"/>
      <c r="AF106" s="1055"/>
      <c r="AG106" s="1055"/>
      <c r="AH106" s="1055"/>
      <c r="AI106" s="1055"/>
      <c r="AJ106" s="1055"/>
      <c r="AK106" s="1055"/>
      <c r="AL106" s="1055"/>
      <c r="AM106" s="1055"/>
      <c r="AN106" s="1055"/>
      <c r="AO106" s="1055"/>
      <c r="AP106" s="1055"/>
      <c r="AQ106" s="1055"/>
      <c r="AR106" s="1055"/>
      <c r="AS106" s="1055"/>
      <c r="AT106" s="1055"/>
      <c r="AU106" s="1055"/>
      <c r="AV106" s="1055"/>
      <c r="AW106" s="1055"/>
      <c r="AX106" s="1055"/>
      <c r="AY106" s="1055"/>
      <c r="AZ106" s="1055"/>
      <c r="BA106" s="1055"/>
      <c r="BB106" s="1055"/>
      <c r="BC106" s="1055"/>
      <c r="BD106" s="1055"/>
      <c r="BE106" s="1055"/>
      <c r="BF106" s="1055"/>
      <c r="BG106" s="1055"/>
      <c r="BH106" s="1055"/>
      <c r="BI106" s="1055"/>
      <c r="BJ106" s="1055"/>
      <c r="BK106" s="1055"/>
      <c r="BL106" s="1055"/>
      <c r="BM106" s="1055"/>
      <c r="BN106" s="1055"/>
      <c r="BO106" s="1055"/>
      <c r="BP106" s="1055"/>
      <c r="BQ106" s="1055"/>
      <c r="BR106" s="1055"/>
      <c r="BS106" s="1055"/>
      <c r="BT106" s="1055"/>
      <c r="BU106" s="1055"/>
      <c r="BV106" s="1055"/>
      <c r="BW106" s="1055"/>
      <c r="BX106" s="1055"/>
      <c r="BY106" s="1055"/>
      <c r="BZ106" s="1055"/>
      <c r="CA106" s="1055"/>
      <c r="CB106" s="1055"/>
      <c r="CC106" s="1055"/>
      <c r="CD106" s="1055"/>
      <c r="CE106" s="1055"/>
      <c r="CF106" s="1055"/>
      <c r="CG106" s="1055"/>
      <c r="CH106" s="1055"/>
      <c r="CI106" s="1055"/>
      <c r="CJ106" s="1055"/>
      <c r="CK106" s="1055"/>
      <c r="CL106" s="1055"/>
      <c r="CM106" s="1055"/>
      <c r="CN106" s="1055"/>
      <c r="CO106" s="1055"/>
      <c r="CP106" s="1055"/>
      <c r="CQ106" s="1055"/>
      <c r="CR106" s="1055"/>
      <c r="CS106" s="1055"/>
      <c r="CT106" s="1055"/>
      <c r="CU106" s="1055"/>
      <c r="CV106" s="1055"/>
      <c r="CW106" s="1055"/>
      <c r="CX106" s="1055"/>
      <c r="CY106" s="1055"/>
      <c r="CZ106" s="1055"/>
      <c r="DA106" s="1055"/>
      <c r="DB106" s="1055"/>
      <c r="DC106" s="1055"/>
      <c r="DD106" s="1055"/>
      <c r="DE106" s="1055"/>
      <c r="DF106" s="1055"/>
      <c r="DG106" s="1055"/>
      <c r="DH106" s="1055"/>
      <c r="DI106" s="1055"/>
      <c r="DJ106" s="1055"/>
      <c r="DK106" s="1055"/>
      <c r="DL106" s="1055"/>
      <c r="DM106" s="1055"/>
      <c r="DN106" s="1055"/>
      <c r="DO106" s="1055"/>
      <c r="DP106" s="1055"/>
      <c r="DQ106" s="1055"/>
      <c r="DR106" s="1055"/>
      <c r="DS106" s="1055"/>
      <c r="DT106" s="1055"/>
      <c r="DU106" s="1055"/>
      <c r="DV106" s="1055"/>
      <c r="DW106" s="1055"/>
      <c r="DX106" s="1055"/>
      <c r="DY106" s="1055"/>
      <c r="DZ106" s="1055"/>
      <c r="EA106" s="1055"/>
      <c r="EB106" s="1055"/>
      <c r="EC106" s="1055"/>
      <c r="ED106" s="1055"/>
      <c r="EE106" s="1055"/>
      <c r="EF106" s="1055"/>
      <c r="EG106" s="1055"/>
      <c r="EH106" s="1055"/>
      <c r="EI106" s="1055"/>
      <c r="EJ106" s="1055"/>
      <c r="EK106" s="1055"/>
      <c r="EL106" s="1055"/>
      <c r="EM106" s="1055"/>
      <c r="EN106" s="1055"/>
      <c r="EO106" s="1055"/>
      <c r="EP106" s="1055"/>
      <c r="EQ106" s="1055"/>
      <c r="ER106" s="1055"/>
      <c r="ES106" s="1055"/>
      <c r="ET106" s="1055"/>
      <c r="EU106" s="1055"/>
      <c r="EV106" s="1055"/>
      <c r="EW106" s="1055"/>
      <c r="EX106" s="1055"/>
      <c r="EY106" s="1055"/>
      <c r="EZ106" s="1055"/>
      <c r="FA106" s="1055"/>
      <c r="FB106" s="1055"/>
      <c r="FC106" s="1055"/>
      <c r="FD106" s="1055"/>
      <c r="FE106" s="1055"/>
      <c r="FF106" s="1055"/>
      <c r="FG106" s="1055"/>
      <c r="FH106" s="1055"/>
      <c r="FI106" s="1055"/>
      <c r="FJ106" s="1055"/>
      <c r="FK106" s="1055"/>
      <c r="FL106" s="1055"/>
      <c r="FM106" s="1055"/>
      <c r="FN106" s="1055"/>
      <c r="FO106" s="1055"/>
      <c r="FP106" s="1055"/>
      <c r="FQ106" s="1055"/>
      <c r="FR106" s="1055"/>
      <c r="FS106" s="1055"/>
      <c r="FT106" s="1055"/>
      <c r="FU106" s="1055"/>
      <c r="FV106" s="1055"/>
      <c r="FW106" s="1055"/>
      <c r="FX106" s="1055"/>
      <c r="FY106" s="1055"/>
      <c r="FZ106" s="1055"/>
      <c r="GA106" s="1055"/>
      <c r="GB106" s="1055"/>
      <c r="GC106" s="1055"/>
      <c r="GD106" s="1055"/>
      <c r="GE106" s="1055"/>
      <c r="GF106" s="1055"/>
      <c r="GG106" s="1055"/>
      <c r="GH106" s="1055"/>
      <c r="GI106" s="1055"/>
      <c r="GJ106" s="1055"/>
    </row>
    <row r="107" spans="1:192" ht="60">
      <c r="A107" s="899" t="s">
        <v>758</v>
      </c>
      <c r="B107" s="900">
        <f t="shared" si="4"/>
        <v>-8392474.3043024447</v>
      </c>
      <c r="C107" s="900">
        <v>-1174946.4026023424</v>
      </c>
      <c r="D107" s="900">
        <v>0</v>
      </c>
      <c r="E107" s="900">
        <v>-7217527.9017001027</v>
      </c>
      <c r="F107" s="900">
        <v>0</v>
      </c>
      <c r="G107" s="903" t="s">
        <v>779</v>
      </c>
    </row>
    <row r="108" spans="1:192" ht="30">
      <c r="A108" s="899" t="s">
        <v>793</v>
      </c>
      <c r="B108" s="900">
        <f t="shared" si="4"/>
        <v>-2286860.8583131973</v>
      </c>
      <c r="C108" s="900">
        <v>-320160.52016384766</v>
      </c>
      <c r="D108" s="900">
        <v>-1966700.3381493497</v>
      </c>
      <c r="E108" s="900">
        <v>0</v>
      </c>
      <c r="F108" s="900">
        <v>0</v>
      </c>
      <c r="G108" s="903" t="s">
        <v>856</v>
      </c>
    </row>
    <row r="109" spans="1:192" ht="60">
      <c r="A109" s="899" t="s">
        <v>794</v>
      </c>
      <c r="B109" s="900">
        <f t="shared" si="4"/>
        <v>-4906201.2086516982</v>
      </c>
      <c r="C109" s="900">
        <v>-686868.16921123781</v>
      </c>
      <c r="D109" s="900">
        <v>-4219333.0394404605</v>
      </c>
      <c r="E109" s="900">
        <v>0</v>
      </c>
      <c r="F109" s="900">
        <v>0</v>
      </c>
      <c r="G109" s="903" t="s">
        <v>779</v>
      </c>
    </row>
    <row r="110" spans="1:192">
      <c r="A110" s="945" t="s">
        <v>526</v>
      </c>
      <c r="B110" s="917">
        <f t="shared" si="4"/>
        <v>-215769036.14362371</v>
      </c>
      <c r="C110" s="917">
        <f>SUM(C95:C109)</f>
        <v>-118693632.76897892</v>
      </c>
      <c r="D110" s="917">
        <f t="shared" ref="D110:F110" si="5">SUM(D95:D109)</f>
        <v>-10021884.605585257</v>
      </c>
      <c r="E110" s="917">
        <f t="shared" si="5"/>
        <v>-10759648.503484404</v>
      </c>
      <c r="F110" s="917">
        <f t="shared" si="5"/>
        <v>-76293870.265575111</v>
      </c>
      <c r="G110" s="921"/>
    </row>
    <row r="111" spans="1:192">
      <c r="A111" s="945" t="s">
        <v>515</v>
      </c>
      <c r="B111" s="917">
        <f t="shared" si="4"/>
        <v>-15585536.371267341</v>
      </c>
      <c r="C111" s="900">
        <f>C107+C108+C109</f>
        <v>-2181975.0919774277</v>
      </c>
      <c r="D111" s="900">
        <f>D107+D108+D109</f>
        <v>-6186033.3775898106</v>
      </c>
      <c r="E111" s="900">
        <f>E107+E108+E109</f>
        <v>-7217527.9017001027</v>
      </c>
      <c r="F111" s="900">
        <f>F107+F108+F109</f>
        <v>0</v>
      </c>
      <c r="G111" s="903"/>
    </row>
    <row r="112" spans="1:192">
      <c r="A112" s="945" t="s">
        <v>516</v>
      </c>
      <c r="B112" s="917">
        <f t="shared" si="4"/>
        <v>0</v>
      </c>
      <c r="C112" s="900"/>
      <c r="D112" s="900"/>
      <c r="E112" s="900"/>
      <c r="F112" s="900"/>
      <c r="G112" s="903"/>
    </row>
    <row r="113" spans="1:7">
      <c r="A113" s="945" t="s">
        <v>181</v>
      </c>
      <c r="B113" s="917">
        <f t="shared" si="4"/>
        <v>-200183499.77235633</v>
      </c>
      <c r="C113" s="917">
        <f>C110-C111-C112</f>
        <v>-116511657.67700149</v>
      </c>
      <c r="D113" s="917">
        <f>D110-D111-D112</f>
        <v>-3835851.227995446</v>
      </c>
      <c r="E113" s="917">
        <f>E110-E111-E112</f>
        <v>-3542120.601784301</v>
      </c>
      <c r="F113" s="917">
        <f>F110-F111-F112</f>
        <v>-76293870.265575111</v>
      </c>
      <c r="G113" s="921"/>
    </row>
    <row r="114" spans="1:7">
      <c r="A114" s="1056"/>
      <c r="E114" s="1090"/>
      <c r="F114" s="1091"/>
      <c r="G114" s="1062"/>
    </row>
    <row r="115" spans="1:7">
      <c r="A115" s="925" t="s">
        <v>251</v>
      </c>
      <c r="B115" s="926"/>
      <c r="C115" s="927"/>
      <c r="D115" s="927"/>
      <c r="E115" s="1039"/>
      <c r="F115" s="1092"/>
      <c r="G115" s="1088"/>
    </row>
    <row r="116" spans="1:7" ht="12.75" customHeight="1">
      <c r="A116" s="1028" t="s">
        <v>256</v>
      </c>
      <c r="B116" s="947"/>
      <c r="C116" s="939"/>
      <c r="D116" s="939"/>
      <c r="E116" s="1038"/>
      <c r="F116" s="1093"/>
      <c r="G116" s="1094"/>
    </row>
    <row r="117" spans="1:7">
      <c r="A117" s="931" t="s">
        <v>253</v>
      </c>
      <c r="B117" s="933"/>
      <c r="C117" s="912"/>
      <c r="D117" s="912"/>
      <c r="E117" s="1040"/>
      <c r="F117" s="1095"/>
      <c r="G117" s="1088"/>
    </row>
    <row r="118" spans="1:7">
      <c r="A118" s="931" t="s">
        <v>546</v>
      </c>
      <c r="B118" s="933"/>
      <c r="C118" s="912"/>
      <c r="D118" s="912"/>
      <c r="E118" s="1040"/>
      <c r="F118" s="1095"/>
      <c r="G118" s="1088"/>
    </row>
    <row r="119" spans="1:7">
      <c r="A119" s="931" t="s">
        <v>547</v>
      </c>
      <c r="B119" s="933"/>
      <c r="C119" s="912"/>
      <c r="D119" s="912"/>
      <c r="E119" s="1040"/>
      <c r="F119" s="1096"/>
    </row>
    <row r="120" spans="1:7" ht="12.75" customHeight="1">
      <c r="A120" s="1041" t="s">
        <v>450</v>
      </c>
      <c r="B120" s="950"/>
      <c r="C120" s="951"/>
      <c r="D120" s="951"/>
      <c r="E120" s="1042"/>
      <c r="F120" s="1097"/>
      <c r="G120" s="1053"/>
    </row>
    <row r="121" spans="1:7">
      <c r="A121" s="1098" t="s">
        <v>525</v>
      </c>
      <c r="B121" s="951"/>
      <c r="C121" s="951"/>
      <c r="D121" s="951"/>
      <c r="E121" s="1042"/>
      <c r="F121" s="1097"/>
      <c r="G121" s="1053"/>
    </row>
    <row r="122" spans="1:7">
      <c r="A122" s="1099"/>
      <c r="B122" s="1075"/>
      <c r="C122" s="1076"/>
      <c r="D122" s="1076"/>
      <c r="E122" s="1076"/>
      <c r="F122" s="1100"/>
      <c r="G122" s="1053"/>
    </row>
    <row r="123" spans="1:7">
      <c r="A123" s="1043"/>
      <c r="B123" s="1044"/>
      <c r="C123" s="1040"/>
      <c r="D123" s="1040"/>
      <c r="E123" s="1040"/>
      <c r="F123" s="1040"/>
      <c r="G123" s="1053"/>
    </row>
    <row r="124" spans="1:7">
      <c r="A124" s="952" t="s">
        <v>506</v>
      </c>
      <c r="B124" s="936"/>
      <c r="C124" s="1101"/>
      <c r="D124" s="1101"/>
      <c r="E124" s="952"/>
      <c r="F124" s="936"/>
      <c r="G124" s="1053"/>
    </row>
    <row r="125" spans="1:7">
      <c r="A125" s="937" t="s">
        <v>576</v>
      </c>
      <c r="B125" s="938"/>
      <c r="C125" s="1038"/>
      <c r="D125" s="1038"/>
      <c r="E125" s="937"/>
      <c r="F125" s="938"/>
      <c r="G125" s="1094"/>
    </row>
    <row r="126" spans="1:7">
      <c r="A126" s="1045"/>
      <c r="B126" s="1040"/>
      <c r="C126" s="1040"/>
      <c r="D126" s="1040"/>
      <c r="E126" s="1045"/>
      <c r="F126" s="1040"/>
    </row>
    <row r="127" spans="1:7">
      <c r="A127" s="1045"/>
      <c r="B127" s="1040"/>
      <c r="C127" s="1040"/>
      <c r="D127" s="1102"/>
      <c r="E127" s="1045"/>
      <c r="F127" s="1040"/>
    </row>
    <row r="128" spans="1:7">
      <c r="A128" s="1046" t="s">
        <v>577</v>
      </c>
      <c r="B128" s="1047"/>
      <c r="C128" s="1047"/>
      <c r="D128" s="1040"/>
      <c r="E128" s="1046"/>
      <c r="F128" s="1047"/>
    </row>
    <row r="129" spans="1:7">
      <c r="A129" s="1067"/>
      <c r="B129" s="1103"/>
      <c r="D129" s="1082"/>
      <c r="E129" s="1082"/>
      <c r="G129" s="1053"/>
    </row>
    <row r="130" spans="1:7">
      <c r="A130" s="1104"/>
      <c r="B130" s="1105" t="s">
        <v>578</v>
      </c>
      <c r="C130" s="1105"/>
      <c r="D130" s="1105" t="s">
        <v>378</v>
      </c>
      <c r="E130" s="1106" t="s">
        <v>579</v>
      </c>
      <c r="F130" s="1105"/>
      <c r="G130" s="1053"/>
    </row>
    <row r="131" spans="1:7">
      <c r="A131" s="1104"/>
      <c r="B131" s="1107"/>
      <c r="C131" s="1107"/>
      <c r="D131" s="1107"/>
      <c r="E131" s="1108"/>
      <c r="F131" s="1107"/>
      <c r="G131" s="1053"/>
    </row>
    <row r="132" spans="1:7">
      <c r="A132" s="1109" t="s">
        <v>580</v>
      </c>
      <c r="B132" s="1107"/>
      <c r="C132" s="1107"/>
      <c r="D132" s="1107"/>
      <c r="E132" s="1108"/>
      <c r="F132" s="1107"/>
      <c r="G132" s="1053"/>
    </row>
    <row r="133" spans="1:7">
      <c r="A133" s="1109" t="s">
        <v>581</v>
      </c>
      <c r="B133" s="1107" t="s">
        <v>181</v>
      </c>
      <c r="C133" s="1110"/>
      <c r="D133" s="1111">
        <v>3168120.62</v>
      </c>
      <c r="E133" s="1112">
        <v>420441</v>
      </c>
      <c r="F133" s="1107" t="s">
        <v>698</v>
      </c>
      <c r="G133" s="1113"/>
    </row>
    <row r="134" spans="1:7">
      <c r="A134" s="1109"/>
      <c r="B134" s="1107"/>
      <c r="C134" s="1107"/>
      <c r="D134" s="1107"/>
      <c r="E134" s="1108"/>
      <c r="F134" s="1107"/>
      <c r="G134" s="1113"/>
    </row>
    <row r="135" spans="1:7">
      <c r="A135" s="1109" t="s">
        <v>579</v>
      </c>
      <c r="B135" s="1107"/>
      <c r="C135" s="1107"/>
      <c r="D135" s="1107"/>
      <c r="E135" s="1108"/>
      <c r="F135" s="1107"/>
      <c r="G135" s="1113"/>
    </row>
    <row r="136" spans="1:7">
      <c r="A136" s="1109" t="s">
        <v>537</v>
      </c>
      <c r="B136" s="1107" t="s">
        <v>181</v>
      </c>
      <c r="C136" s="1110"/>
      <c r="D136" s="1111">
        <v>524785.56000000006</v>
      </c>
      <c r="E136" s="1112">
        <v>86997</v>
      </c>
      <c r="F136" s="1107" t="s">
        <v>699</v>
      </c>
      <c r="G136" s="1113"/>
    </row>
    <row r="137" spans="1:7">
      <c r="A137" s="1109"/>
      <c r="B137" s="1107"/>
      <c r="C137" s="1107"/>
      <c r="D137" s="1107"/>
      <c r="E137" s="1108"/>
      <c r="F137" s="1107"/>
    </row>
    <row r="138" spans="1:7">
      <c r="A138" s="1109" t="s">
        <v>181</v>
      </c>
      <c r="B138" s="1107"/>
      <c r="C138" s="1110"/>
      <c r="D138" s="1107">
        <f>D133+D136</f>
        <v>3692906.18</v>
      </c>
      <c r="E138" s="1107">
        <f>E133+E136</f>
        <v>507438</v>
      </c>
      <c r="F138" s="1107"/>
      <c r="G138" s="1114"/>
    </row>
    <row r="139" spans="1:7">
      <c r="A139" s="1109"/>
      <c r="B139" s="1107"/>
      <c r="C139" s="1107"/>
      <c r="D139" s="1107"/>
      <c r="E139" s="1108"/>
      <c r="F139" s="1107"/>
      <c r="G139" s="1060"/>
    </row>
    <row r="140" spans="1:7">
      <c r="A140" s="1048" t="s">
        <v>289</v>
      </c>
      <c r="B140" s="1049"/>
      <c r="C140" s="1033"/>
      <c r="D140" s="1050">
        <v>3692906</v>
      </c>
      <c r="E140" s="1051">
        <v>507438</v>
      </c>
      <c r="F140" s="1052"/>
    </row>
    <row r="141" spans="1:7">
      <c r="A141" s="1109"/>
      <c r="B141" s="1107"/>
      <c r="C141" s="1107"/>
      <c r="D141" s="1107"/>
      <c r="E141" s="1108"/>
      <c r="F141" s="1115"/>
    </row>
    <row r="142" spans="1:7">
      <c r="A142" s="1109" t="s">
        <v>582</v>
      </c>
      <c r="B142" s="1107"/>
      <c r="C142" s="1116" t="s">
        <v>725</v>
      </c>
      <c r="D142" s="1117">
        <f>D138-D140</f>
        <v>0.18000000016763806</v>
      </c>
      <c r="E142" s="1117">
        <f>E138-E140</f>
        <v>0</v>
      </c>
      <c r="F142" s="1107"/>
      <c r="G142" s="1057"/>
    </row>
    <row r="143" spans="1:7">
      <c r="E143" s="1118"/>
      <c r="G143" s="1057"/>
    </row>
    <row r="144" spans="1:7">
      <c r="A144" s="922" t="s">
        <v>583</v>
      </c>
    </row>
  </sheetData>
  <mergeCells count="15">
    <mergeCell ref="A2:G2"/>
    <mergeCell ref="FZ3:GG3"/>
    <mergeCell ref="A55:G56"/>
    <mergeCell ref="EL3:ES3"/>
    <mergeCell ref="ET3:FA3"/>
    <mergeCell ref="FB3:FI3"/>
    <mergeCell ref="FJ3:FQ3"/>
    <mergeCell ref="FR3:FY3"/>
    <mergeCell ref="A4:G4"/>
    <mergeCell ref="CP3:CW3"/>
    <mergeCell ref="CX3:DE3"/>
    <mergeCell ref="DF3:DM3"/>
    <mergeCell ref="DN3:DU3"/>
    <mergeCell ref="DV3:EC3"/>
    <mergeCell ref="ED3:EK3"/>
  </mergeCells>
  <pageMargins left="0.75" right="0.75" top="1" bottom="1" header="0.5" footer="0.5"/>
  <pageSetup scale="49" fitToWidth="3" fitToHeight="3" orientation="portrait" r:id="rId1"/>
  <headerFooter alignWithMargins="0">
    <oddFooter>&amp;L&amp;Z&amp;F</oddFooter>
  </headerFooter>
  <rowBreaks count="2" manualBreakCount="2">
    <brk id="58" max="6" man="1"/>
    <brk id="122" max="6" man="1"/>
  </rowBreaks>
  <colBreaks count="1" manualBreakCount="1">
    <brk id="6" max="14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8"/>
  <sheetViews>
    <sheetView zoomScaleNormal="50" workbookViewId="0">
      <selection sqref="A1:I1"/>
    </sheetView>
  </sheetViews>
  <sheetFormatPr defaultRowHeight="12.75"/>
  <cols>
    <col min="1" max="2" width="4.7109375" customWidth="1"/>
    <col min="3" max="3" width="46.85546875" customWidth="1"/>
    <col min="4" max="4" width="10.140625" customWidth="1"/>
    <col min="5" max="5" width="21.42578125" style="299" customWidth="1"/>
    <col min="6" max="6" width="15.28515625" customWidth="1"/>
    <col min="7" max="7" width="14.140625" customWidth="1"/>
    <col min="8" max="8" width="14" bestFit="1" customWidth="1"/>
  </cols>
  <sheetData>
    <row r="1" spans="1:9" ht="18">
      <c r="A1" s="1185" t="s">
        <v>506</v>
      </c>
      <c r="B1" s="1185"/>
      <c r="C1" s="1185"/>
      <c r="D1" s="1185"/>
      <c r="E1" s="1185"/>
      <c r="F1" s="1185"/>
      <c r="G1" s="1185"/>
      <c r="H1" s="1185"/>
      <c r="I1" s="1185"/>
    </row>
    <row r="2" spans="1:9">
      <c r="A2" s="305"/>
    </row>
    <row r="3" spans="1:9" ht="15">
      <c r="A3" s="1186" t="s">
        <v>490</v>
      </c>
      <c r="B3" s="1186"/>
      <c r="C3" s="1186"/>
      <c r="D3" s="1186"/>
      <c r="E3" s="1186"/>
      <c r="F3" s="1186"/>
      <c r="G3" s="1186"/>
      <c r="H3" s="1186"/>
    </row>
    <row r="5" spans="1:9">
      <c r="D5" s="308"/>
    </row>
    <row r="7" spans="1:9">
      <c r="D7" s="291"/>
      <c r="E7" s="291" t="s">
        <v>258</v>
      </c>
      <c r="F7" s="291"/>
      <c r="G7" s="291" t="s">
        <v>265</v>
      </c>
      <c r="H7" s="291"/>
    </row>
    <row r="8" spans="1:9">
      <c r="A8" s="283" t="s">
        <v>78</v>
      </c>
      <c r="B8" s="283"/>
      <c r="D8" s="291"/>
      <c r="E8" s="291" t="s">
        <v>259</v>
      </c>
      <c r="F8" s="291" t="s">
        <v>203</v>
      </c>
      <c r="G8" s="291" t="s">
        <v>266</v>
      </c>
      <c r="H8" s="291"/>
    </row>
    <row r="9" spans="1:9">
      <c r="A9" s="283"/>
      <c r="B9" s="283"/>
      <c r="D9" s="291"/>
      <c r="E9" s="345"/>
      <c r="F9" s="291"/>
      <c r="G9" s="291"/>
      <c r="H9" s="291"/>
    </row>
    <row r="10" spans="1:9">
      <c r="A10" s="283"/>
      <c r="B10" s="283"/>
      <c r="D10" s="291"/>
      <c r="E10" s="345"/>
      <c r="F10" s="291"/>
      <c r="G10" s="291"/>
      <c r="H10" s="291"/>
    </row>
    <row r="11" spans="1:9">
      <c r="D11" s="291"/>
      <c r="E11" s="345"/>
      <c r="G11" s="291"/>
      <c r="H11" s="298"/>
    </row>
    <row r="12" spans="1:9">
      <c r="B12" s="283" t="s">
        <v>257</v>
      </c>
      <c r="E12" s="300"/>
      <c r="F12" s="307" t="s">
        <v>48</v>
      </c>
      <c r="G12" s="291"/>
      <c r="H12" s="298"/>
    </row>
    <row r="13" spans="1:9">
      <c r="E13" s="300"/>
      <c r="F13" s="291"/>
      <c r="G13" s="291"/>
      <c r="H13" s="298"/>
    </row>
    <row r="14" spans="1:9" ht="12.75" customHeight="1">
      <c r="B14">
        <v>1</v>
      </c>
      <c r="C14" s="559" t="s">
        <v>399</v>
      </c>
      <c r="E14" s="1015">
        <v>21648240</v>
      </c>
      <c r="F14" s="285"/>
      <c r="G14" s="285"/>
    </row>
    <row r="15" spans="1:9" ht="12.75" customHeight="1">
      <c r="B15">
        <v>2</v>
      </c>
      <c r="C15" s="559" t="s">
        <v>238</v>
      </c>
      <c r="E15" s="1015"/>
      <c r="F15" s="285"/>
      <c r="G15" s="285"/>
      <c r="H15" s="285"/>
    </row>
    <row r="16" spans="1:9" ht="12.75" customHeight="1">
      <c r="B16">
        <v>3</v>
      </c>
      <c r="C16" s="560" t="s">
        <v>507</v>
      </c>
      <c r="E16" s="1015">
        <v>19273</v>
      </c>
      <c r="F16" s="285"/>
      <c r="G16" s="285"/>
      <c r="H16" s="285"/>
    </row>
    <row r="17" spans="2:8" ht="12.75" customHeight="1">
      <c r="B17">
        <v>4</v>
      </c>
      <c r="C17" s="304"/>
      <c r="E17" s="710"/>
      <c r="F17" s="285"/>
      <c r="G17" s="285"/>
      <c r="H17" s="285"/>
    </row>
    <row r="18" spans="2:8" ht="12.75" customHeight="1">
      <c r="B18">
        <v>5</v>
      </c>
      <c r="C18" s="282"/>
      <c r="E18" s="301"/>
      <c r="F18" s="285"/>
      <c r="G18" s="285"/>
      <c r="H18" s="285"/>
    </row>
    <row r="19" spans="2:8" ht="12.75" customHeight="1">
      <c r="B19">
        <v>6</v>
      </c>
      <c r="C19" s="282"/>
      <c r="E19" s="301"/>
      <c r="F19" s="285"/>
      <c r="G19" s="285"/>
      <c r="H19" s="285"/>
    </row>
    <row r="20" spans="2:8" ht="12.75" customHeight="1">
      <c r="B20" s="283" t="s">
        <v>262</v>
      </c>
      <c r="E20" s="503">
        <f>SUM(E14:E19)</f>
        <v>21667513</v>
      </c>
      <c r="F20" s="504">
        <f>'ATT H-3D'!H32</f>
        <v>0.34936689572563268</v>
      </c>
      <c r="G20" s="503">
        <f>+F20*E20</f>
        <v>7569911.7549047908</v>
      </c>
      <c r="H20" s="285"/>
    </row>
    <row r="21" spans="2:8" ht="12.75" customHeight="1">
      <c r="E21" s="302"/>
      <c r="F21" s="285"/>
      <c r="G21" s="285"/>
      <c r="H21" s="285"/>
    </row>
    <row r="22" spans="2:8" ht="12.75" customHeight="1">
      <c r="D22" s="285"/>
      <c r="E22" s="302"/>
      <c r="F22" s="285"/>
      <c r="G22" s="285"/>
      <c r="H22" s="285"/>
    </row>
    <row r="23" spans="2:8" ht="12.75" customHeight="1">
      <c r="B23" s="283" t="s">
        <v>260</v>
      </c>
      <c r="D23" s="285"/>
      <c r="E23" s="302"/>
      <c r="F23" s="306" t="s">
        <v>585</v>
      </c>
      <c r="G23" s="285"/>
      <c r="H23" s="285"/>
    </row>
    <row r="24" spans="2:8" ht="12.75" customHeight="1">
      <c r="B24" s="283"/>
      <c r="D24" s="285"/>
      <c r="G24" s="285"/>
      <c r="H24" s="285"/>
    </row>
    <row r="25" spans="2:8" ht="12.75" customHeight="1">
      <c r="D25" s="285"/>
      <c r="E25" s="302"/>
      <c r="F25" s="285"/>
      <c r="G25" s="285"/>
      <c r="H25" s="285"/>
    </row>
    <row r="26" spans="2:8" ht="12.75" customHeight="1">
      <c r="B26">
        <v>7</v>
      </c>
      <c r="C26" s="560" t="s">
        <v>240</v>
      </c>
      <c r="D26" s="561"/>
      <c r="E26" s="1016">
        <v>3028471</v>
      </c>
      <c r="F26" s="286"/>
      <c r="G26" s="286"/>
      <c r="H26" s="286"/>
    </row>
    <row r="27" spans="2:8">
      <c r="B27">
        <v>8</v>
      </c>
      <c r="C27" s="560" t="s">
        <v>241</v>
      </c>
      <c r="D27" s="502"/>
      <c r="E27" s="1017">
        <v>127015</v>
      </c>
    </row>
    <row r="28" spans="2:8">
      <c r="B28">
        <v>9</v>
      </c>
      <c r="C28" s="282"/>
      <c r="E28" s="303"/>
    </row>
    <row r="29" spans="2:8">
      <c r="B29">
        <v>10</v>
      </c>
      <c r="C29" s="282"/>
      <c r="E29" s="303"/>
    </row>
    <row r="30" spans="2:8">
      <c r="B30">
        <v>11</v>
      </c>
      <c r="C30" s="282"/>
      <c r="E30" s="303"/>
    </row>
    <row r="31" spans="2:8">
      <c r="B31" s="283" t="s">
        <v>263</v>
      </c>
      <c r="E31" s="503">
        <f>SUM(E26:E30)</f>
        <v>3155486</v>
      </c>
      <c r="F31" s="504">
        <f>'ATT H-3D'!H16</f>
        <v>8.0514508226294385E-2</v>
      </c>
      <c r="G31" s="503">
        <f>+F31*E31</f>
        <v>254062.40350495678</v>
      </c>
    </row>
    <row r="32" spans="2:8">
      <c r="B32" s="283"/>
      <c r="C32" s="302"/>
      <c r="F32" s="2"/>
    </row>
    <row r="34" spans="2:8">
      <c r="B34" s="283" t="s">
        <v>261</v>
      </c>
      <c r="F34" s="307" t="s">
        <v>48</v>
      </c>
    </row>
    <row r="36" spans="2:8">
      <c r="B36">
        <v>12</v>
      </c>
      <c r="C36" s="564" t="s">
        <v>239</v>
      </c>
      <c r="E36" s="563">
        <v>0</v>
      </c>
    </row>
    <row r="37" spans="2:8">
      <c r="B37">
        <v>13</v>
      </c>
      <c r="C37" s="564"/>
      <c r="E37" s="563"/>
    </row>
    <row r="38" spans="2:8">
      <c r="B38">
        <v>14</v>
      </c>
      <c r="C38" s="560"/>
    </row>
    <row r="39" spans="2:8">
      <c r="B39" s="283" t="s">
        <v>264</v>
      </c>
      <c r="E39" s="503">
        <f>SUM(E36:E38)</f>
        <v>0</v>
      </c>
      <c r="F39" s="504">
        <f>F20</f>
        <v>0.34936689572563268</v>
      </c>
      <c r="G39" s="503">
        <f>+F39*E39</f>
        <v>0</v>
      </c>
    </row>
    <row r="41" spans="2:8">
      <c r="B41" s="283" t="s">
        <v>269</v>
      </c>
      <c r="E41" s="503">
        <f>+E39+E31+E20</f>
        <v>24822999</v>
      </c>
      <c r="G41" s="503">
        <f>+G39+G31+G20</f>
        <v>7823974.1584097473</v>
      </c>
    </row>
    <row r="42" spans="2:8">
      <c r="C42" s="347"/>
    </row>
    <row r="43" spans="2:8">
      <c r="B43" s="539" t="s">
        <v>601</v>
      </c>
      <c r="C43" s="2"/>
      <c r="D43" s="2"/>
      <c r="E43" s="642"/>
      <c r="F43" s="618"/>
      <c r="G43" s="2"/>
      <c r="H43" s="2"/>
    </row>
    <row r="44" spans="2:8">
      <c r="B44" s="2">
        <f>+B38+1</f>
        <v>15</v>
      </c>
      <c r="C44" s="304" t="s">
        <v>529</v>
      </c>
      <c r="D44" s="282"/>
      <c r="E44" s="1018">
        <v>8347550</v>
      </c>
      <c r="F44" s="618"/>
      <c r="G44" s="996"/>
      <c r="H44" s="2"/>
    </row>
    <row r="45" spans="2:8">
      <c r="B45" s="2">
        <f>+B44+1</f>
        <v>16</v>
      </c>
      <c r="C45" s="304" t="s">
        <v>508</v>
      </c>
      <c r="D45" s="282"/>
      <c r="E45" s="1018">
        <v>198386</v>
      </c>
      <c r="F45" s="618"/>
      <c r="G45" s="996"/>
      <c r="H45" s="2"/>
    </row>
    <row r="46" spans="2:8">
      <c r="B46" s="2">
        <f>+B45+1</f>
        <v>17</v>
      </c>
      <c r="C46" s="674" t="s">
        <v>570</v>
      </c>
      <c r="D46" s="282"/>
      <c r="E46" s="1017">
        <v>1534826</v>
      </c>
      <c r="F46" s="618"/>
      <c r="G46" s="996"/>
      <c r="H46" s="2"/>
    </row>
    <row r="47" spans="2:8">
      <c r="B47" s="2">
        <f>B46+1</f>
        <v>18</v>
      </c>
      <c r="C47" s="674" t="s">
        <v>600</v>
      </c>
      <c r="D47" s="282"/>
      <c r="E47" s="1015">
        <v>7138680</v>
      </c>
      <c r="F47" s="618"/>
      <c r="G47" s="996"/>
      <c r="H47" s="996"/>
    </row>
    <row r="48" spans="2:8">
      <c r="B48" s="2">
        <f>+B47+1</f>
        <v>19</v>
      </c>
      <c r="C48" s="674" t="s">
        <v>35</v>
      </c>
      <c r="D48" s="282"/>
      <c r="E48" s="1015"/>
      <c r="F48" s="618"/>
      <c r="G48" s="996"/>
      <c r="H48" s="996"/>
    </row>
    <row r="49" spans="2:19">
      <c r="B49" s="2">
        <f>+B48+1</f>
        <v>20</v>
      </c>
      <c r="C49" s="674"/>
      <c r="D49" s="282"/>
      <c r="E49" s="1015"/>
      <c r="F49" s="618"/>
      <c r="G49" s="2"/>
      <c r="H49" s="996"/>
    </row>
    <row r="50" spans="2:19">
      <c r="B50" s="2"/>
      <c r="C50" s="347"/>
      <c r="D50" s="2"/>
      <c r="E50" s="642"/>
      <c r="F50" s="618"/>
      <c r="G50" s="2"/>
      <c r="H50" s="996"/>
    </row>
    <row r="51" spans="2:19">
      <c r="B51" s="2">
        <f>B49+1</f>
        <v>21</v>
      </c>
      <c r="C51" s="475" t="s">
        <v>36</v>
      </c>
      <c r="D51" s="502"/>
      <c r="E51" s="562">
        <f>SUM(E44:E49)+E39+E31+E20</f>
        <v>42042441</v>
      </c>
      <c r="F51" s="987"/>
      <c r="G51" s="562"/>
      <c r="H51" s="2"/>
    </row>
    <row r="52" spans="2:19">
      <c r="B52" s="2"/>
      <c r="C52" s="673"/>
      <c r="D52" s="502"/>
      <c r="E52" s="562"/>
      <c r="F52" s="620"/>
      <c r="G52" s="565"/>
      <c r="H52" s="2"/>
    </row>
    <row r="53" spans="2:19">
      <c r="B53" s="2">
        <f>+B51+1</f>
        <v>22</v>
      </c>
      <c r="C53" s="673" t="s">
        <v>37</v>
      </c>
      <c r="D53" s="643"/>
      <c r="E53" s="644">
        <v>42042441</v>
      </c>
      <c r="F53" s="620"/>
      <c r="G53" s="565"/>
      <c r="H53" s="2"/>
    </row>
    <row r="54" spans="2:19">
      <c r="B54" s="2"/>
      <c r="C54" s="502"/>
      <c r="D54" s="502"/>
      <c r="E54" s="562"/>
      <c r="F54" s="620"/>
      <c r="G54" s="565"/>
      <c r="H54" s="475"/>
      <c r="I54" s="475"/>
    </row>
    <row r="55" spans="2:19">
      <c r="B55" s="2">
        <f>+B53+1</f>
        <v>23</v>
      </c>
      <c r="C55" s="502" t="s">
        <v>509</v>
      </c>
      <c r="D55" s="645"/>
      <c r="E55" s="619">
        <f>+E51-E53</f>
        <v>0</v>
      </c>
      <c r="F55" s="620"/>
      <c r="G55" s="565"/>
      <c r="H55" s="566"/>
      <c r="I55" s="566"/>
      <c r="J55" s="506"/>
      <c r="K55" s="2"/>
      <c r="L55" s="2"/>
      <c r="M55" s="2"/>
      <c r="N55" s="2"/>
      <c r="O55" s="2"/>
      <c r="P55" s="2"/>
      <c r="Q55" s="2"/>
      <c r="R55" s="2"/>
      <c r="S55" s="2"/>
    </row>
    <row r="56" spans="2:19">
      <c r="B56" s="2"/>
      <c r="C56" s="502"/>
      <c r="D56" s="645"/>
      <c r="E56" s="619"/>
      <c r="F56" s="620"/>
      <c r="G56" s="565"/>
      <c r="H56" s="566"/>
      <c r="I56" s="566"/>
      <c r="J56" s="506"/>
      <c r="K56" s="2"/>
      <c r="L56" s="2"/>
      <c r="M56" s="2"/>
      <c r="N56" s="2"/>
      <c r="O56" s="2"/>
      <c r="P56" s="2"/>
      <c r="Q56" s="2"/>
      <c r="R56" s="2"/>
      <c r="S56" s="2"/>
    </row>
    <row r="57" spans="2:19">
      <c r="B57" s="2"/>
      <c r="C57" s="502"/>
      <c r="D57" s="645"/>
      <c r="E57" s="619"/>
      <c r="F57" s="620"/>
      <c r="G57" s="565"/>
      <c r="H57" s="566"/>
      <c r="I57" s="566"/>
      <c r="J57" s="506"/>
      <c r="K57" s="2"/>
      <c r="L57" s="2"/>
      <c r="M57" s="2"/>
      <c r="N57" s="2"/>
      <c r="O57" s="2"/>
      <c r="P57" s="2"/>
      <c r="Q57" s="2"/>
      <c r="R57" s="2"/>
      <c r="S57" s="2"/>
    </row>
    <row r="58" spans="2:19">
      <c r="B58" s="2" t="s">
        <v>584</v>
      </c>
      <c r="C58" s="287"/>
      <c r="D58" s="2"/>
      <c r="E58" s="505"/>
      <c r="F58" s="506"/>
      <c r="G58" s="506"/>
      <c r="H58" s="506"/>
      <c r="I58" s="506"/>
      <c r="J58" s="506"/>
      <c r="K58" s="2"/>
      <c r="L58" s="2"/>
      <c r="M58" s="2"/>
      <c r="N58" s="2"/>
      <c r="O58" s="2"/>
      <c r="P58" s="2"/>
      <c r="Q58" s="2"/>
      <c r="R58" s="2"/>
      <c r="S58" s="2"/>
    </row>
    <row r="59" spans="2:19">
      <c r="B59" s="2" t="s">
        <v>68</v>
      </c>
      <c r="C59" s="287" t="s">
        <v>568</v>
      </c>
      <c r="D59" s="2"/>
      <c r="E59" s="505"/>
      <c r="F59" s="506"/>
      <c r="G59" s="506"/>
      <c r="H59" s="506"/>
      <c r="I59" s="506"/>
      <c r="J59" s="506"/>
      <c r="K59" s="2"/>
      <c r="L59" s="2"/>
      <c r="M59" s="2"/>
      <c r="N59" s="2"/>
      <c r="O59" s="2"/>
      <c r="P59" s="2"/>
      <c r="Q59" s="2"/>
      <c r="R59" s="2"/>
      <c r="S59" s="2"/>
    </row>
    <row r="60" spans="2:19">
      <c r="B60" s="2"/>
      <c r="C60" s="610" t="s">
        <v>30</v>
      </c>
      <c r="D60" s="2"/>
      <c r="E60" s="505"/>
      <c r="F60" s="2"/>
      <c r="G60" s="506"/>
      <c r="H60" s="506"/>
      <c r="I60" s="506"/>
      <c r="J60" s="506"/>
      <c r="K60" s="2"/>
      <c r="L60" s="2"/>
      <c r="M60" s="2"/>
      <c r="N60" s="2"/>
      <c r="O60" s="2"/>
      <c r="P60" s="2"/>
      <c r="Q60" s="2"/>
      <c r="R60" s="2"/>
      <c r="S60" s="2"/>
    </row>
    <row r="61" spans="2:19">
      <c r="B61" s="2" t="s">
        <v>182</v>
      </c>
      <c r="C61" s="287" t="s">
        <v>567</v>
      </c>
      <c r="D61" s="2"/>
      <c r="E61" s="505"/>
      <c r="F61" s="2"/>
      <c r="G61" s="506"/>
      <c r="H61" s="506"/>
      <c r="I61" s="506"/>
      <c r="J61" s="506"/>
      <c r="K61" s="2"/>
      <c r="L61" s="2"/>
      <c r="M61" s="2"/>
      <c r="N61" s="2"/>
      <c r="O61" s="2"/>
      <c r="P61" s="2"/>
      <c r="Q61" s="2"/>
      <c r="R61" s="2"/>
      <c r="S61" s="2"/>
    </row>
    <row r="62" spans="2:19">
      <c r="B62" s="2"/>
      <c r="C62" s="610" t="s">
        <v>30</v>
      </c>
      <c r="D62" s="2"/>
      <c r="E62" s="505"/>
      <c r="F62" s="2"/>
      <c r="G62" s="506"/>
      <c r="H62" s="506"/>
      <c r="J62" s="506"/>
      <c r="K62" s="2"/>
      <c r="L62" s="2"/>
      <c r="M62" s="2"/>
      <c r="N62" s="2"/>
      <c r="O62" s="2"/>
      <c r="P62" s="2"/>
      <c r="Q62" s="2"/>
      <c r="R62" s="2"/>
      <c r="S62" s="2"/>
    </row>
    <row r="63" spans="2:19">
      <c r="B63" s="2" t="s">
        <v>46</v>
      </c>
      <c r="C63" s="287" t="s">
        <v>465</v>
      </c>
      <c r="D63" s="2"/>
      <c r="E63" s="505"/>
      <c r="F63" s="2"/>
      <c r="G63" s="506"/>
      <c r="H63" s="506"/>
      <c r="I63" s="506"/>
      <c r="J63" s="728"/>
      <c r="K63" s="2"/>
      <c r="L63" s="2"/>
      <c r="M63" s="2"/>
      <c r="N63" s="2"/>
      <c r="O63" s="2"/>
      <c r="P63" s="2"/>
      <c r="Q63" s="2"/>
      <c r="R63" s="2"/>
      <c r="S63" s="2"/>
    </row>
    <row r="64" spans="2:19">
      <c r="B64" s="2" t="s">
        <v>69</v>
      </c>
      <c r="C64" s="610" t="s">
        <v>452</v>
      </c>
      <c r="D64" s="2"/>
      <c r="E64" s="505"/>
      <c r="F64" s="2"/>
      <c r="G64" s="506"/>
      <c r="H64" s="506"/>
      <c r="I64" s="506"/>
      <c r="J64" s="506"/>
      <c r="K64" s="2"/>
      <c r="L64" s="2"/>
      <c r="M64" s="2"/>
      <c r="N64" s="2"/>
      <c r="O64" s="2"/>
      <c r="P64" s="2"/>
      <c r="Q64" s="2"/>
      <c r="R64" s="2"/>
      <c r="S64" s="2"/>
    </row>
    <row r="65" spans="1:19">
      <c r="B65" s="2"/>
      <c r="C65" s="287" t="s">
        <v>453</v>
      </c>
      <c r="D65" s="2"/>
      <c r="E65" s="505"/>
      <c r="F65" s="2"/>
      <c r="G65" s="2"/>
      <c r="H65" s="2"/>
      <c r="I65" s="2"/>
      <c r="J65" s="2"/>
      <c r="K65" s="2"/>
      <c r="L65" s="2"/>
      <c r="M65" s="2"/>
      <c r="N65" s="2"/>
      <c r="O65" s="2"/>
      <c r="P65" s="2"/>
      <c r="Q65" s="2"/>
      <c r="R65" s="2"/>
      <c r="S65" s="2"/>
    </row>
    <row r="66" spans="1:19">
      <c r="B66" s="2"/>
      <c r="C66" s="2" t="s">
        <v>454</v>
      </c>
      <c r="D66" s="2"/>
      <c r="E66" s="505"/>
      <c r="F66" s="2"/>
      <c r="G66" s="2"/>
      <c r="H66" s="2"/>
    </row>
    <row r="67" spans="1:19">
      <c r="B67" s="2" t="s">
        <v>67</v>
      </c>
      <c r="C67" s="287" t="s">
        <v>466</v>
      </c>
      <c r="E67" s="505"/>
    </row>
    <row r="68" spans="1:19">
      <c r="B68" s="2"/>
      <c r="C68" s="588"/>
      <c r="E68" s="505"/>
    </row>
    <row r="70" spans="1:19">
      <c r="A70" s="711"/>
      <c r="F70" s="505"/>
    </row>
    <row r="71" spans="1:19">
      <c r="C71" s="287"/>
    </row>
    <row r="72" spans="1:19">
      <c r="C72" s="287"/>
    </row>
    <row r="73" spans="1:19">
      <c r="C73" s="285"/>
    </row>
    <row r="74" spans="1:19">
      <c r="G74" s="299"/>
    </row>
    <row r="75" spans="1:19">
      <c r="G75" s="542"/>
    </row>
    <row r="76" spans="1:19">
      <c r="G76" s="542"/>
    </row>
    <row r="77" spans="1:19">
      <c r="G77" s="542"/>
    </row>
    <row r="78" spans="1:19">
      <c r="G78" s="299"/>
    </row>
  </sheetData>
  <customSheetViews>
    <customSheetView guid="{DD59B418-F201-4517-876C-F4216587CC56}" scale="75" showPageBreaks="1" fitToPage="1" printArea="1" showRuler="0" topLeftCell="A228">
      <pageMargins left="0.75" right="0.75" top="1" bottom="1" header="0.5" footer="0.5"/>
      <pageSetup scale="73" orientation="portrait" r:id="rId1"/>
      <headerFooter alignWithMargins="0"/>
    </customSheetView>
    <customSheetView guid="{6FDC2004-56D4-4E4C-BEEF-80DB64AD0DBB}" scale="60" showPageBreaks="1" fitToPage="1" printArea="1" view="pageBreakPreview" showRuler="0" topLeftCell="A34">
      <selection activeCell="D58" sqref="D58"/>
      <pageMargins left="0.75" right="0.75" top="1" bottom="1" header="0.5" footer="0.5"/>
      <pageSetup scale="72" orientation="portrait" r:id="rId2"/>
      <headerFooter alignWithMargins="0">
        <oddHeader>&amp;R&amp;12Page &amp;P of &amp;N</oddHeader>
      </headerFooter>
    </customSheetView>
    <customSheetView guid="{4F5BB44A-5460-4358-BCFE-B7FB945BAE1D}" scale="120" showPageBreaks="1" fitToPage="1" printArea="1" showRuler="0" topLeftCell="A52">
      <selection activeCell="D58" sqref="D58"/>
      <pageMargins left="0.75" right="0.75" top="1" bottom="1" header="0.5" footer="0.5"/>
      <pageSetup scale="74" orientation="portrait" r:id="rId3"/>
      <headerFooter alignWithMargins="0">
        <oddHeader>&amp;R&amp;12Page &amp;P of &amp;N</oddHeader>
      </headerFooter>
    </customSheetView>
    <customSheetView guid="{C0EA0F9F-7310-4201-82C9-7B8FC8DB9137}" scale="120" showPageBreaks="1" fitToPage="1" printArea="1" showRuler="0" topLeftCell="A28">
      <selection activeCell="C67" sqref="C67"/>
      <pageMargins left="0.75" right="0.75" top="1" bottom="1" header="0.5" footer="0.5"/>
      <pageSetup scale="74" orientation="portrait" r:id="rId4"/>
      <headerFooter alignWithMargins="0">
        <oddHeader>&amp;R&amp;14Page &amp;P of &amp;N</oddHeader>
      </headerFooter>
    </customSheetView>
    <customSheetView guid="{3BDD6235-B127-4929-8311-BDAF7BB89818}" scale="120" showPageBreaks="1" fitToPage="1" printArea="1" showRuler="0">
      <selection sqref="A1:G1"/>
      <pageMargins left="0.75" right="0.75" top="1" bottom="1" header="0.5" footer="0.5"/>
      <pageSetup scale="73" orientation="portrait" r:id="rId5"/>
      <headerFooter alignWithMargins="0">
        <oddHeader>&amp;R&amp;12Page &amp;P of &amp;N</oddHeader>
      </headerFooter>
    </customSheetView>
    <customSheetView guid="{4C8E812F-DAB5-4C49-9682-E5A34DC8C1B4}" scale="75" showPageBreaks="1" fitToPage="1" printArea="1" showRuler="0" topLeftCell="A49">
      <selection activeCell="C78" sqref="C78"/>
      <pageMargins left="0.75" right="0.75" top="1" bottom="1" header="0.5" footer="0.5"/>
      <pageSetup scale="74" orientation="portrait" r:id="rId6"/>
      <headerFooter alignWithMargins="0">
        <oddHeader>&amp;R&amp;12Page &amp;P of &amp;N</oddHeader>
      </headerFooter>
    </customSheetView>
  </customSheetViews>
  <mergeCells count="2">
    <mergeCell ref="A1:I1"/>
    <mergeCell ref="A3:H3"/>
  </mergeCells>
  <phoneticPr fontId="0" type="noConversion"/>
  <pageMargins left="0.75" right="0.75" top="1" bottom="1" header="0.5" footer="0.5"/>
  <pageSetup scale="74" orientation="portrait" r:id="rId7"/>
  <headerFooter alignWithMargins="0"/>
  <ignoredErrors>
    <ignoredError sqref="B4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68"/>
  <sheetViews>
    <sheetView zoomScaleNormal="100" workbookViewId="0">
      <selection sqref="A1:D1"/>
    </sheetView>
  </sheetViews>
  <sheetFormatPr defaultRowHeight="12.75"/>
  <cols>
    <col min="1" max="1" width="4.140625" customWidth="1"/>
    <col min="2" max="2" width="74.28515625" customWidth="1"/>
    <col min="3" max="3" width="25.85546875" customWidth="1"/>
    <col min="4" max="4" width="14" style="518" customWidth="1"/>
    <col min="5" max="5" width="12" customWidth="1"/>
    <col min="6" max="6" width="15" bestFit="1" customWidth="1"/>
  </cols>
  <sheetData>
    <row r="1" spans="1:8" ht="18">
      <c r="A1" s="1185" t="str">
        <f>+'ATT H-3D'!A4</f>
        <v>Delmarva Power &amp; Light Company</v>
      </c>
      <c r="B1" s="1185"/>
      <c r="C1" s="1185"/>
      <c r="D1" s="1185"/>
      <c r="E1" s="2"/>
      <c r="F1" s="2"/>
    </row>
    <row r="2" spans="1:8">
      <c r="A2" s="305"/>
      <c r="E2" s="2"/>
      <c r="F2" s="2"/>
    </row>
    <row r="3" spans="1:8" ht="15">
      <c r="A3" s="1186" t="s">
        <v>491</v>
      </c>
      <c r="B3" s="1187"/>
      <c r="C3" s="1187"/>
      <c r="D3" s="1187"/>
      <c r="E3" s="2"/>
      <c r="F3" s="2"/>
    </row>
    <row r="4" spans="1:8">
      <c r="B4" s="181"/>
      <c r="C4" s="284"/>
      <c r="E4" s="724"/>
      <c r="F4" s="2"/>
    </row>
    <row r="5" spans="1:8">
      <c r="B5" s="507"/>
      <c r="C5" s="284"/>
      <c r="E5" s="724"/>
      <c r="F5" s="2"/>
    </row>
    <row r="6" spans="1:8">
      <c r="B6" s="508" t="s">
        <v>484</v>
      </c>
      <c r="E6" s="2"/>
      <c r="F6" s="2"/>
    </row>
    <row r="7" spans="1:8">
      <c r="A7">
        <v>1</v>
      </c>
      <c r="B7" s="509" t="s">
        <v>428</v>
      </c>
      <c r="C7" s="514"/>
      <c r="D7" s="520">
        <v>1007245.38</v>
      </c>
      <c r="E7" s="668"/>
      <c r="F7" s="618"/>
      <c r="G7" s="285"/>
    </row>
    <row r="8" spans="1:8" s="510" customFormat="1">
      <c r="A8" s="515">
        <v>2</v>
      </c>
      <c r="B8" s="516" t="s">
        <v>485</v>
      </c>
      <c r="C8" s="515" t="s">
        <v>523</v>
      </c>
      <c r="D8" s="521">
        <f>SUM(D7:D7)</f>
        <v>1007245.38</v>
      </c>
      <c r="F8" s="582"/>
      <c r="G8" s="511"/>
    </row>
    <row r="9" spans="1:8">
      <c r="B9" s="289"/>
      <c r="C9" s="289"/>
      <c r="D9" s="522"/>
      <c r="E9" s="668"/>
      <c r="F9" s="2"/>
      <c r="G9" s="289"/>
    </row>
    <row r="10" spans="1:8">
      <c r="A10" s="2"/>
      <c r="B10" s="508" t="s">
        <v>429</v>
      </c>
      <c r="C10" s="289"/>
      <c r="E10" s="668"/>
      <c r="F10" s="2"/>
      <c r="G10" s="290"/>
    </row>
    <row r="11" spans="1:8">
      <c r="B11" s="512"/>
      <c r="C11" s="286"/>
      <c r="D11" s="523"/>
      <c r="E11" s="723"/>
      <c r="F11" s="287"/>
      <c r="G11" s="567"/>
      <c r="H11" s="515"/>
    </row>
    <row r="12" spans="1:8">
      <c r="A12">
        <f>+A8+1</f>
        <v>3</v>
      </c>
      <c r="B12" s="509" t="s">
        <v>77</v>
      </c>
      <c r="C12" s="285"/>
      <c r="D12" s="557">
        <v>1471091.46</v>
      </c>
      <c r="E12" s="723"/>
      <c r="F12" s="287"/>
      <c r="G12" s="568"/>
      <c r="H12" s="515"/>
    </row>
    <row r="13" spans="1:8" ht="38.25">
      <c r="A13" s="517">
        <f t="shared" ref="A13:A19" si="0">+A12+1</f>
        <v>4</v>
      </c>
      <c r="B13" s="285" t="s">
        <v>430</v>
      </c>
      <c r="C13" s="285"/>
      <c r="D13" s="525">
        <v>0</v>
      </c>
      <c r="E13" s="723"/>
      <c r="F13" s="287"/>
      <c r="G13" s="568"/>
      <c r="H13" s="515"/>
    </row>
    <row r="14" spans="1:8">
      <c r="A14" s="2">
        <f t="shared" si="0"/>
        <v>5</v>
      </c>
      <c r="B14" s="289" t="s">
        <v>446</v>
      </c>
      <c r="C14" s="285"/>
      <c r="D14" s="525">
        <v>1244036.97</v>
      </c>
      <c r="E14" s="668"/>
      <c r="F14" s="2"/>
      <c r="G14" s="588"/>
    </row>
    <row r="15" spans="1:8">
      <c r="A15">
        <f t="shared" si="0"/>
        <v>6</v>
      </c>
      <c r="B15" s="289" t="s">
        <v>431</v>
      </c>
      <c r="C15" s="714"/>
      <c r="D15" s="526"/>
      <c r="E15" s="668"/>
      <c r="F15" s="2"/>
      <c r="G15" s="589"/>
    </row>
    <row r="16" spans="1:8">
      <c r="A16">
        <f t="shared" si="0"/>
        <v>7</v>
      </c>
      <c r="B16" s="289" t="s">
        <v>432</v>
      </c>
      <c r="C16" s="285"/>
      <c r="D16" s="524">
        <v>0</v>
      </c>
      <c r="E16" s="668"/>
      <c r="F16" s="2"/>
      <c r="G16" s="588"/>
    </row>
    <row r="17" spans="1:8">
      <c r="A17">
        <f t="shared" si="0"/>
        <v>8</v>
      </c>
      <c r="B17" s="289" t="s">
        <v>433</v>
      </c>
      <c r="C17" s="514"/>
      <c r="D17" s="519">
        <v>0</v>
      </c>
      <c r="E17" s="668"/>
      <c r="F17" s="2"/>
      <c r="G17" s="590"/>
    </row>
    <row r="18" spans="1:8">
      <c r="A18">
        <f t="shared" si="0"/>
        <v>9</v>
      </c>
      <c r="B18" s="289" t="s">
        <v>434</v>
      </c>
      <c r="C18" s="287"/>
      <c r="D18" s="519">
        <v>4427009.45</v>
      </c>
      <c r="E18" s="668"/>
      <c r="F18" s="2"/>
    </row>
    <row r="19" spans="1:8">
      <c r="A19">
        <f t="shared" si="0"/>
        <v>10</v>
      </c>
      <c r="B19" s="289" t="s">
        <v>435</v>
      </c>
      <c r="C19" s="506"/>
      <c r="D19" s="519">
        <v>0</v>
      </c>
      <c r="E19" s="668"/>
      <c r="F19" s="2"/>
    </row>
    <row r="20" spans="1:8">
      <c r="B20" s="289"/>
      <c r="D20" s="529"/>
      <c r="E20" s="668"/>
      <c r="F20" s="2"/>
    </row>
    <row r="21" spans="1:8">
      <c r="A21">
        <f>+A19+1</f>
        <v>11</v>
      </c>
      <c r="B21" s="289" t="s">
        <v>566</v>
      </c>
      <c r="C21" s="515" t="s">
        <v>517</v>
      </c>
      <c r="D21" s="527">
        <f>SUM(D12:D20)+D8</f>
        <v>8149383.2599999998</v>
      </c>
      <c r="E21" s="528"/>
      <c r="F21" s="2"/>
    </row>
    <row r="22" spans="1:8">
      <c r="A22" s="2">
        <v>12</v>
      </c>
      <c r="B22" s="646" t="s">
        <v>610</v>
      </c>
      <c r="C22" s="287"/>
      <c r="D22" s="528">
        <f>+D39</f>
        <v>-707898.77642691147</v>
      </c>
      <c r="E22" s="528"/>
      <c r="F22" s="2"/>
    </row>
    <row r="23" spans="1:8">
      <c r="A23" s="2">
        <v>13</v>
      </c>
      <c r="B23" s="646" t="s">
        <v>522</v>
      </c>
      <c r="C23" s="287"/>
      <c r="D23" s="528">
        <f>+D21+D22</f>
        <v>7441484.4835730884</v>
      </c>
      <c r="E23" s="528"/>
      <c r="F23" s="2"/>
    </row>
    <row r="24" spans="1:8">
      <c r="A24" s="2"/>
      <c r="C24" s="2"/>
      <c r="D24" s="528"/>
      <c r="E24" s="528"/>
      <c r="F24" s="2"/>
    </row>
    <row r="25" spans="1:8">
      <c r="B25" s="289"/>
      <c r="D25" s="528"/>
      <c r="E25" s="528"/>
      <c r="F25" s="2"/>
    </row>
    <row r="26" spans="1:8">
      <c r="B26" s="289"/>
      <c r="D26" s="528"/>
      <c r="E26" s="528"/>
      <c r="F26" s="2"/>
    </row>
    <row r="27" spans="1:8">
      <c r="B27" s="513" t="s">
        <v>486</v>
      </c>
      <c r="D27" s="529"/>
      <c r="E27" s="529"/>
      <c r="F27" s="2"/>
    </row>
    <row r="28" spans="1:8" ht="67.5" customHeight="1">
      <c r="A28" s="687">
        <v>14</v>
      </c>
      <c r="B28" s="688" t="s">
        <v>464</v>
      </c>
      <c r="D28" s="528"/>
      <c r="E28" s="528"/>
      <c r="F28" s="2"/>
    </row>
    <row r="29" spans="1:8">
      <c r="A29" s="517"/>
      <c r="B29" s="289"/>
      <c r="E29" s="528"/>
      <c r="F29" s="2"/>
    </row>
    <row r="30" spans="1:8" ht="51">
      <c r="A30" s="517">
        <v>15</v>
      </c>
      <c r="B30" s="288" t="s">
        <v>470</v>
      </c>
      <c r="D30" s="290"/>
      <c r="E30" s="590"/>
      <c r="F30" s="2"/>
    </row>
    <row r="31" spans="1:8">
      <c r="A31" s="517"/>
      <c r="B31" s="289"/>
      <c r="E31" s="528"/>
      <c r="F31" s="2"/>
    </row>
    <row r="32" spans="1:8" ht="165.75">
      <c r="A32" s="669">
        <v>16</v>
      </c>
      <c r="B32" s="647" t="s">
        <v>467</v>
      </c>
      <c r="C32" s="648"/>
      <c r="D32" s="651"/>
      <c r="E32" s="651"/>
      <c r="F32" s="652"/>
      <c r="G32" s="652"/>
      <c r="H32" s="323"/>
    </row>
    <row r="33" spans="1:7" ht="15.75">
      <c r="A33" s="669" t="s">
        <v>594</v>
      </c>
      <c r="B33" s="647" t="s">
        <v>463</v>
      </c>
      <c r="C33" s="648"/>
      <c r="D33" s="659">
        <f>+D7+D17+D19</f>
        <v>1007245.38</v>
      </c>
      <c r="E33" s="649"/>
      <c r="F33" s="652"/>
      <c r="G33" s="652"/>
    </row>
    <row r="34" spans="1:7" ht="16.5">
      <c r="A34" s="669" t="s">
        <v>595</v>
      </c>
      <c r="B34" s="647" t="s">
        <v>607</v>
      </c>
      <c r="C34" s="1148" t="s">
        <v>586</v>
      </c>
      <c r="D34" s="839">
        <f>'5 - Cost Support 1'!E218</f>
        <v>408552.17285382294</v>
      </c>
      <c r="E34" s="837"/>
      <c r="F34" s="652"/>
      <c r="G34" s="652"/>
    </row>
    <row r="35" spans="1:7" ht="15.75">
      <c r="A35" s="669" t="s">
        <v>596</v>
      </c>
      <c r="B35" s="647" t="s">
        <v>559</v>
      </c>
      <c r="C35" s="648"/>
      <c r="D35" s="649">
        <f>+D33-D34</f>
        <v>598693.20714617707</v>
      </c>
      <c r="E35" s="649"/>
      <c r="F35" s="652"/>
      <c r="G35" s="652"/>
    </row>
    <row r="36" spans="1:7" ht="15.75">
      <c r="A36" s="669" t="s">
        <v>597</v>
      </c>
      <c r="B36" s="647" t="s">
        <v>560</v>
      </c>
      <c r="C36" s="648"/>
      <c r="D36" s="649">
        <f>+D35/2</f>
        <v>299346.60357308853</v>
      </c>
      <c r="E36" s="838"/>
      <c r="F36" s="652"/>
      <c r="G36" s="652"/>
    </row>
    <row r="37" spans="1:7" ht="38.25">
      <c r="A37" s="669" t="s">
        <v>598</v>
      </c>
      <c r="B37" s="647" t="s">
        <v>24</v>
      </c>
      <c r="C37" s="648"/>
      <c r="D37" s="659">
        <v>0</v>
      </c>
      <c r="E37" s="649"/>
      <c r="F37" s="652"/>
      <c r="G37" s="652"/>
    </row>
    <row r="38" spans="1:7" ht="15.75">
      <c r="A38" s="669" t="s">
        <v>599</v>
      </c>
      <c r="B38" s="658" t="s">
        <v>561</v>
      </c>
      <c r="C38" s="652"/>
      <c r="D38" s="650">
        <f>+D36+D37</f>
        <v>299346.60357308853</v>
      </c>
      <c r="E38" s="650"/>
      <c r="F38" s="652"/>
      <c r="G38" s="652"/>
    </row>
    <row r="39" spans="1:7" ht="15.75">
      <c r="A39" s="669" t="s">
        <v>609</v>
      </c>
      <c r="B39" s="658" t="s">
        <v>606</v>
      </c>
      <c r="C39" s="652"/>
      <c r="D39" s="650">
        <f>+D38-D33</f>
        <v>-707898.77642691147</v>
      </c>
      <c r="E39" s="650"/>
      <c r="F39" s="652"/>
      <c r="G39" s="652"/>
    </row>
    <row r="40" spans="1:7" ht="69.75" customHeight="1">
      <c r="A40" s="689">
        <v>18</v>
      </c>
      <c r="B40" s="501" t="s">
        <v>192</v>
      </c>
      <c r="D40" s="690">
        <f>138601113-D42-D21</f>
        <v>4551838.6399999913</v>
      </c>
      <c r="E40" s="725"/>
      <c r="F40" s="2"/>
    </row>
    <row r="41" spans="1:7">
      <c r="E41" s="528"/>
      <c r="F41" s="2"/>
    </row>
    <row r="42" spans="1:7">
      <c r="A42">
        <v>19</v>
      </c>
      <c r="B42" t="s">
        <v>38</v>
      </c>
      <c r="D42" s="527">
        <v>125899891.10000001</v>
      </c>
      <c r="E42" s="528"/>
      <c r="F42" s="2"/>
    </row>
    <row r="43" spans="1:7">
      <c r="D43" s="530"/>
      <c r="E43" s="529"/>
      <c r="F43" s="2"/>
    </row>
    <row r="44" spans="1:7" s="510" customFormat="1">
      <c r="A44">
        <v>20</v>
      </c>
      <c r="B44" s="287" t="s">
        <v>449</v>
      </c>
      <c r="C44" s="287"/>
      <c r="D44" s="558">
        <f>+D21+D28+D40+D42</f>
        <v>138601113</v>
      </c>
      <c r="F44" s="855"/>
    </row>
    <row r="45" spans="1:7">
      <c r="A45" s="284">
        <v>21</v>
      </c>
      <c r="B45" s="287" t="s">
        <v>642</v>
      </c>
      <c r="D45" s="530"/>
      <c r="E45" s="668"/>
      <c r="F45" s="2"/>
    </row>
    <row r="46" spans="1:7" s="510" customFormat="1">
      <c r="A46" s="582"/>
      <c r="B46" s="287"/>
      <c r="C46"/>
      <c r="D46" s="518"/>
      <c r="E46" s="722"/>
      <c r="F46" s="582"/>
    </row>
    <row r="47" spans="1:7">
      <c r="A47" s="2"/>
      <c r="B47" s="287"/>
      <c r="C47" s="2"/>
      <c r="D47" s="528"/>
      <c r="E47" s="668"/>
      <c r="F47" s="2"/>
    </row>
    <row r="48" spans="1:7">
      <c r="B48" s="713"/>
      <c r="D48" s="723"/>
      <c r="E48" s="712"/>
      <c r="F48" s="988"/>
    </row>
    <row r="49" spans="5:6">
      <c r="E49" s="667"/>
      <c r="F49" s="988"/>
    </row>
    <row r="50" spans="5:6">
      <c r="E50" s="712"/>
      <c r="F50" s="988"/>
    </row>
    <row r="51" spans="5:6">
      <c r="E51" s="667"/>
      <c r="F51" s="989"/>
    </row>
    <row r="52" spans="5:6">
      <c r="E52" s="667"/>
      <c r="F52" s="988"/>
    </row>
    <row r="53" spans="5:6">
      <c r="E53" s="667"/>
    </row>
    <row r="54" spans="5:6">
      <c r="E54" s="667"/>
    </row>
    <row r="55" spans="5:6">
      <c r="E55" s="667"/>
    </row>
    <row r="56" spans="5:6">
      <c r="E56" s="667"/>
    </row>
    <row r="57" spans="5:6">
      <c r="E57" s="667"/>
    </row>
    <row r="58" spans="5:6">
      <c r="E58" s="667"/>
    </row>
    <row r="59" spans="5:6">
      <c r="E59" s="667"/>
    </row>
    <row r="60" spans="5:6">
      <c r="E60" s="667"/>
    </row>
    <row r="61" spans="5:6">
      <c r="E61" s="667"/>
    </row>
    <row r="62" spans="5:6">
      <c r="E62" s="667"/>
    </row>
    <row r="63" spans="5:6">
      <c r="E63" s="667"/>
    </row>
    <row r="64" spans="5:6">
      <c r="E64" s="667"/>
    </row>
    <row r="65" spans="5:5">
      <c r="E65" s="667"/>
    </row>
    <row r="66" spans="5:5">
      <c r="E66" s="667"/>
    </row>
    <row r="67" spans="5:5">
      <c r="E67" s="667"/>
    </row>
    <row r="68" spans="5:5">
      <c r="E68" s="667"/>
    </row>
  </sheetData>
  <customSheetViews>
    <customSheetView guid="{DD59B418-F201-4517-876C-F4216587CC56}" showPageBreaks="1" fitToPage="1" printArea="1" showRuler="0">
      <selection activeCell="B31" sqref="B31"/>
      <pageMargins left="0.5" right="0.5" top="1" bottom="1" header="0.5" footer="0.5"/>
      <pageSetup scale="68" orientation="portrait" r:id="rId1"/>
      <headerFooter alignWithMargins="0"/>
    </customSheetView>
    <customSheetView guid="{6FDC2004-56D4-4E4C-BEEF-80DB64AD0DBB}" scale="60" showPageBreaks="1" fitToPage="1" printArea="1" view="pageBreakPreview" showRuler="0" topLeftCell="A46">
      <selection activeCell="B25" sqref="B25"/>
      <pageMargins left="0.5" right="0.5" top="1" bottom="1" header="0.5" footer="0.5"/>
      <pageSetup scale="68" orientation="portrait" r:id="rId2"/>
      <headerFooter alignWithMargins="0">
        <oddHeader>&amp;R&amp;12Page &amp;P of &amp;N</oddHeader>
      </headerFooter>
    </customSheetView>
    <customSheetView guid="{4F5BB44A-5460-4358-BCFE-B7FB945BAE1D}" showPageBreaks="1" fitToPage="1" printArea="1" showRuler="0" topLeftCell="A31">
      <selection activeCell="C33" sqref="C33"/>
      <pageMargins left="0.5" right="0.5" top="1" bottom="1" header="0.5" footer="0.5"/>
      <pageSetup scale="71" orientation="portrait" r:id="rId3"/>
      <headerFooter alignWithMargins="0">
        <oddHeader>&amp;R&amp;12Page &amp;P of &amp;N</oddHeader>
      </headerFooter>
    </customSheetView>
    <customSheetView guid="{C0EA0F9F-7310-4201-82C9-7B8FC8DB9137}" showPageBreaks="1" fitToPage="1" printArea="1" showRuler="0" topLeftCell="A26">
      <selection activeCell="C32" sqref="C32"/>
      <pageMargins left="0.5" right="0.5" top="1" bottom="1" header="0.5" footer="0.5"/>
      <pageSetup scale="71" orientation="portrait" r:id="rId4"/>
      <headerFooter alignWithMargins="0">
        <oddHeader>&amp;R&amp;14Page &amp;P of &amp;N</oddHeader>
      </headerFooter>
    </customSheetView>
    <customSheetView guid="{3BDD6235-B127-4929-8311-BDAF7BB89818}" showPageBreaks="1" fitToPage="1" printArea="1" showRuler="0">
      <selection sqref="A1:D1"/>
      <pageMargins left="0.5" right="0.5" top="1" bottom="1" header="0.5" footer="0.5"/>
      <pageSetup scale="68" orientation="portrait" r:id="rId5"/>
      <headerFooter alignWithMargins="0">
        <oddHeader>&amp;R&amp;12Page &amp;P of &amp;N</oddHeader>
      </headerFooter>
    </customSheetView>
    <customSheetView guid="{4C8E812F-DAB5-4C49-9682-E5A34DC8C1B4}" showPageBreaks="1" fitToPage="1" printArea="1" showRuler="0" topLeftCell="A12">
      <selection activeCell="B28" sqref="B28"/>
      <pageMargins left="0.5" right="0.5" top="1" bottom="1" header="0.5" footer="0.5"/>
      <pageSetup scale="71" orientation="portrait" r:id="rId6"/>
      <headerFooter alignWithMargins="0">
        <oddHeader>&amp;R&amp;12Page &amp;P of &amp;N</oddHeader>
      </headerFooter>
    </customSheetView>
  </customSheetViews>
  <mergeCells count="2">
    <mergeCell ref="A3:D3"/>
    <mergeCell ref="A1:D1"/>
  </mergeCells>
  <phoneticPr fontId="0" type="noConversion"/>
  <pageMargins left="0.5" right="0.5" top="1" bottom="1" header="0.5" footer="0.5"/>
  <pageSetup scale="67" orientation="portrait"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309"/>
  <sheetViews>
    <sheetView zoomScale="75" zoomScaleNormal="50" zoomScaleSheetLayoutView="66" workbookViewId="0">
      <selection sqref="A1:H1"/>
    </sheetView>
  </sheetViews>
  <sheetFormatPr defaultRowHeight="12.75"/>
  <cols>
    <col min="1" max="1" width="9.28515625" customWidth="1"/>
    <col min="2" max="2" width="3" customWidth="1"/>
    <col min="3" max="3" width="14" customWidth="1"/>
    <col min="4" max="4" width="2.42578125" customWidth="1"/>
    <col min="5" max="5" width="38.7109375" customWidth="1"/>
    <col min="6" max="6" width="28.42578125" customWidth="1"/>
    <col min="7" max="7" width="34.28515625" customWidth="1"/>
    <col min="8" max="8" width="3.85546875" customWidth="1"/>
    <col min="9" max="9" width="18" customWidth="1"/>
  </cols>
  <sheetData>
    <row r="1" spans="1:9" ht="18">
      <c r="A1" s="1185" t="str">
        <f>+'ATT H-3D'!A4</f>
        <v>Delmarva Power &amp; Light Company</v>
      </c>
      <c r="B1" s="1185"/>
      <c r="C1" s="1185"/>
      <c r="D1" s="1185"/>
      <c r="E1" s="1185"/>
      <c r="F1" s="1185"/>
      <c r="G1" s="1185"/>
      <c r="H1" s="1185"/>
    </row>
    <row r="2" spans="1:9" ht="18">
      <c r="A2" s="305"/>
      <c r="B2" s="494"/>
      <c r="C2" s="494"/>
      <c r="D2" s="494"/>
      <c r="E2" s="494"/>
      <c r="F2" s="494"/>
      <c r="G2" s="494"/>
      <c r="H2" s="494"/>
    </row>
    <row r="3" spans="1:9" ht="18">
      <c r="A3" s="1188" t="s">
        <v>471</v>
      </c>
      <c r="B3" s="1188"/>
      <c r="C3" s="1188"/>
      <c r="D3" s="1188"/>
      <c r="E3" s="1188"/>
      <c r="F3" s="1188"/>
      <c r="G3" s="1188"/>
      <c r="H3" s="1188"/>
      <c r="I3" s="319"/>
    </row>
    <row r="5" spans="1:9" s="58" customFormat="1" ht="15">
      <c r="B5" s="305"/>
    </row>
    <row r="6" spans="1:9" s="58" customFormat="1" ht="15"/>
    <row r="7" spans="1:9" s="58" customFormat="1" ht="15"/>
    <row r="8" spans="1:9" s="58" customFormat="1" ht="15">
      <c r="C8" s="58" t="s">
        <v>472</v>
      </c>
    </row>
    <row r="9" spans="1:9" s="58" customFormat="1" ht="15">
      <c r="A9" s="115" t="s">
        <v>68</v>
      </c>
      <c r="B9" s="115"/>
      <c r="E9" s="58" t="s">
        <v>473</v>
      </c>
      <c r="G9" s="64" t="s">
        <v>542</v>
      </c>
      <c r="I9" s="190">
        <f>+I55+I76</f>
        <v>76583858.397609949</v>
      </c>
    </row>
    <row r="10" spans="1:9" s="58" customFormat="1" ht="15">
      <c r="A10" s="115"/>
      <c r="B10" s="115"/>
    </row>
    <row r="11" spans="1:9" s="58" customFormat="1" ht="15">
      <c r="A11" s="115" t="s">
        <v>182</v>
      </c>
      <c r="B11" s="115"/>
      <c r="E11" s="58" t="str">
        <f>I11*10000&amp;" Basis Point increase in ROE"</f>
        <v>100 Basis Point increase in ROE</v>
      </c>
      <c r="I11" s="322">
        <v>0.01</v>
      </c>
    </row>
    <row r="12" spans="1:9" s="58" customFormat="1" ht="15">
      <c r="A12" s="115"/>
      <c r="B12" s="115"/>
      <c r="I12" s="322"/>
    </row>
    <row r="13" spans="1:9" s="64" customFormat="1" ht="15">
      <c r="A13" s="115"/>
      <c r="B13" s="115"/>
      <c r="C13" s="58"/>
      <c r="D13" s="58"/>
      <c r="E13" s="58"/>
      <c r="F13" s="58"/>
      <c r="G13" s="58"/>
      <c r="H13" s="58"/>
    </row>
    <row r="14" spans="1:9" s="64" customFormat="1" ht="15.75">
      <c r="A14" s="479" t="s">
        <v>396</v>
      </c>
      <c r="B14" s="157"/>
      <c r="C14" s="157"/>
      <c r="D14" s="157"/>
      <c r="E14" s="157"/>
      <c r="F14" s="157"/>
      <c r="G14" s="157"/>
      <c r="H14" s="157"/>
      <c r="I14" s="157"/>
    </row>
    <row r="15" spans="1:9" s="58" customFormat="1" ht="15">
      <c r="I15" s="319"/>
    </row>
    <row r="16" spans="1:9" s="58" customFormat="1" ht="15">
      <c r="A16" s="115">
        <f>+'ATT H-3D'!A109</f>
        <v>59</v>
      </c>
      <c r="C16" s="83" t="str">
        <f>+'ATT H-3D'!B109</f>
        <v>Rate Base</v>
      </c>
      <c r="D16" s="83"/>
      <c r="E16" s="83"/>
      <c r="G16" s="83" t="str">
        <f>+'ATT H-3D'!F109</f>
        <v>(Line 39 + 58)</v>
      </c>
      <c r="I16" s="190">
        <f>+'ATT H-3D'!H109</f>
        <v>662609382.83671069</v>
      </c>
    </row>
    <row r="17" spans="1:9" s="58" customFormat="1" ht="15">
      <c r="H17" s="83"/>
      <c r="I17" s="319"/>
    </row>
    <row r="18" spans="1:9" s="58" customFormat="1" ht="15.75">
      <c r="A18" s="31"/>
      <c r="B18" s="106" t="str">
        <f>+'ATT H-3D'!B178</f>
        <v>Long Term Interest</v>
      </c>
      <c r="C18" s="34"/>
      <c r="D18" s="34"/>
      <c r="E18" s="41"/>
      <c r="F18" s="22"/>
      <c r="H18" s="27"/>
    </row>
    <row r="19" spans="1:9" s="58" customFormat="1" ht="15.75">
      <c r="A19" s="31">
        <f>+'ATT H-3D'!A179</f>
        <v>100</v>
      </c>
      <c r="B19" s="106"/>
      <c r="C19" s="34" t="str">
        <f>+'ATT H-3D'!C179</f>
        <v>Long Term Interest</v>
      </c>
      <c r="D19" s="34"/>
      <c r="E19" s="41"/>
      <c r="F19" s="22"/>
      <c r="G19" s="27" t="str">
        <f>+'ATT H-3D'!F179</f>
        <v>p117.62c through 67c</v>
      </c>
      <c r="H19" s="27"/>
      <c r="I19" s="50">
        <f>+'ATT H-3D'!H179</f>
        <v>50839789</v>
      </c>
    </row>
    <row r="20" spans="1:9" s="58" customFormat="1" ht="15">
      <c r="A20" s="31">
        <f>+'ATT H-3D'!A180</f>
        <v>101</v>
      </c>
      <c r="B20" s="98"/>
      <c r="C20" s="495" t="str">
        <f>+'ATT H-3D'!C180</f>
        <v xml:space="preserve">    Less LTD Interest on Securitization Bonds</v>
      </c>
      <c r="D20" s="495"/>
      <c r="E20" s="496"/>
      <c r="F20" s="577"/>
      <c r="G20" s="142" t="str">
        <f>+'ATT H-3D'!F180</f>
        <v>Attachment 8</v>
      </c>
      <c r="H20" s="140"/>
      <c r="I20" s="276">
        <f>+'ATT H-3D'!H180</f>
        <v>0</v>
      </c>
    </row>
    <row r="21" spans="1:9" s="58" customFormat="1" ht="15.75">
      <c r="A21" s="6">
        <f>+'ATT H-3D'!A181</f>
        <v>102</v>
      </c>
      <c r="B21" s="33"/>
      <c r="C21" s="106" t="str">
        <f>+'ATT H-3D'!C181</f>
        <v>Long Term Interest</v>
      </c>
      <c r="D21" s="106"/>
      <c r="E21" s="41"/>
      <c r="F21" s="233"/>
      <c r="G21" s="27" t="str">
        <f>+'ATT H-3D'!F181</f>
        <v>"(Line 100 - line 101)"</v>
      </c>
      <c r="H21" s="27"/>
      <c r="I21" s="27">
        <f>+'ATT H-3D'!H181</f>
        <v>50839789</v>
      </c>
    </row>
    <row r="22" spans="1:9" s="58" customFormat="1" ht="15">
      <c r="A22" s="6"/>
      <c r="B22" s="33"/>
      <c r="C22" s="5"/>
      <c r="D22" s="5"/>
      <c r="E22" s="11"/>
      <c r="F22" s="116"/>
      <c r="G22" s="11"/>
      <c r="H22" s="5"/>
      <c r="I22" s="5"/>
    </row>
    <row r="23" spans="1:9" s="58" customFormat="1" ht="15.75">
      <c r="A23" s="33">
        <f>+'ATT H-3D'!A183</f>
        <v>103</v>
      </c>
      <c r="B23" s="14" t="str">
        <f>+'ATT H-3D'!B183</f>
        <v>Preferred Dividends</v>
      </c>
      <c r="C23" s="34"/>
      <c r="D23" s="34"/>
      <c r="E23" s="11"/>
      <c r="F23" s="21" t="str">
        <f>+'ATT H-3D'!E183</f>
        <v xml:space="preserve"> enter positive</v>
      </c>
      <c r="G23" s="5" t="str">
        <f>+'ATT H-3D'!F183</f>
        <v>p118.29c</v>
      </c>
      <c r="H23" s="5"/>
      <c r="I23" s="159">
        <f>+'ATT H-3D'!H183</f>
        <v>0</v>
      </c>
    </row>
    <row r="24" spans="1:9" s="58" customFormat="1" ht="15">
      <c r="A24" s="6"/>
      <c r="B24" s="33"/>
      <c r="C24" s="3"/>
      <c r="D24" s="3"/>
      <c r="E24" s="11"/>
      <c r="F24" s="21"/>
      <c r="G24" s="5"/>
      <c r="H24" s="5"/>
      <c r="I24" s="5"/>
    </row>
    <row r="25" spans="1:9" s="58" customFormat="1" ht="15.75">
      <c r="A25" s="6"/>
      <c r="B25" s="15" t="str">
        <f>+'ATT H-3D'!B185</f>
        <v>Common Stock</v>
      </c>
      <c r="C25" s="34"/>
      <c r="D25" s="34"/>
      <c r="E25" s="11"/>
      <c r="F25" s="21"/>
      <c r="G25" s="5"/>
      <c r="H25" s="5"/>
      <c r="I25" s="5"/>
    </row>
    <row r="26" spans="1:9" s="58" customFormat="1" ht="15">
      <c r="A26" s="6">
        <f>+'ATT H-3D'!A186</f>
        <v>104</v>
      </c>
      <c r="B26" s="33"/>
      <c r="C26" s="5" t="str">
        <f>+'ATT H-3D'!C186</f>
        <v>Proprietary Capital</v>
      </c>
      <c r="D26" s="5"/>
      <c r="E26" s="5"/>
      <c r="F26" s="21"/>
      <c r="G26" s="5" t="str">
        <f>+'ATT H-3D'!F186</f>
        <v>p112.16c</v>
      </c>
      <c r="H26" s="5"/>
      <c r="I26" s="10">
        <f>+'ATT H-3D'!H186</f>
        <v>1227904110</v>
      </c>
    </row>
    <row r="27" spans="1:9" s="58" customFormat="1" ht="15">
      <c r="A27" s="31">
        <f>+'ATT H-3D'!A187</f>
        <v>105</v>
      </c>
      <c r="B27" s="98"/>
      <c r="C27" s="12" t="str">
        <f>+'ATT H-3D'!C187</f>
        <v xml:space="preserve">    Less Preferred Stock</v>
      </c>
      <c r="D27" s="12"/>
      <c r="E27" s="12"/>
      <c r="F27" s="30" t="str">
        <f>+'ATT H-3D'!E187</f>
        <v>enter negative</v>
      </c>
      <c r="G27" s="77" t="str">
        <f>+'ATT H-3D'!F187</f>
        <v>(Line 114)</v>
      </c>
      <c r="H27" s="5"/>
      <c r="I27" s="12">
        <f>+'ATT H-3D'!H187</f>
        <v>0</v>
      </c>
    </row>
    <row r="28" spans="1:9" s="58" customFormat="1" ht="15">
      <c r="A28" s="6">
        <f>+'ATT H-3D'!A188</f>
        <v>106</v>
      </c>
      <c r="B28" s="98"/>
      <c r="C28" s="142" t="str">
        <f>+'ATT H-3D'!C188</f>
        <v xml:space="preserve">    Less Account 216.1</v>
      </c>
      <c r="D28" s="142"/>
      <c r="E28" s="142"/>
      <c r="F28" s="256" t="str">
        <f>+'ATT H-3D'!E188</f>
        <v>enter negative</v>
      </c>
      <c r="G28" s="142" t="str">
        <f>+'ATT H-3D'!F188</f>
        <v>p112.12c</v>
      </c>
      <c r="H28" s="140"/>
      <c r="I28" s="143">
        <f>+'ATT H-3D'!H188</f>
        <v>2177779</v>
      </c>
    </row>
    <row r="29" spans="1:9" s="58" customFormat="1" ht="15.75">
      <c r="A29" s="6">
        <f>+'ATT H-3D'!A189</f>
        <v>107</v>
      </c>
      <c r="B29" s="98"/>
      <c r="C29" s="165" t="str">
        <f>+'ATT H-3D'!C189</f>
        <v>Common Stock</v>
      </c>
      <c r="D29" s="165"/>
      <c r="E29" s="49"/>
      <c r="F29" s="215"/>
      <c r="G29" s="27" t="str">
        <f>+'ATT H-3D'!F189</f>
        <v>(Sum Lines 104 to 106)</v>
      </c>
      <c r="H29" s="160"/>
      <c r="I29" s="5">
        <f>+'ATT H-3D'!H189</f>
        <v>1230081889</v>
      </c>
    </row>
    <row r="30" spans="1:9" s="58" customFormat="1" ht="15">
      <c r="A30" s="6"/>
      <c r="B30" s="33"/>
      <c r="C30" s="3"/>
      <c r="D30" s="3"/>
      <c r="E30" s="11"/>
      <c r="F30" s="21"/>
      <c r="G30" s="5"/>
      <c r="H30" s="34"/>
      <c r="I30" s="5"/>
    </row>
    <row r="31" spans="1:9" s="58" customFormat="1" ht="15.75">
      <c r="A31" s="6"/>
      <c r="B31" s="15" t="str">
        <f>+'ATT H-3D'!B191</f>
        <v>Capitalization</v>
      </c>
      <c r="C31" s="34"/>
      <c r="D31" s="34"/>
      <c r="E31" s="11"/>
      <c r="F31" s="21"/>
      <c r="G31" s="5"/>
      <c r="H31" s="34"/>
      <c r="I31" s="5"/>
    </row>
    <row r="32" spans="1:9" s="58" customFormat="1" ht="15">
      <c r="A32" s="6">
        <f>+'ATT H-3D'!A192</f>
        <v>108</v>
      </c>
      <c r="B32" s="33"/>
      <c r="C32" s="3" t="str">
        <f>+'ATT H-3D'!C192</f>
        <v>Long Term Debt</v>
      </c>
      <c r="D32" s="3"/>
      <c r="E32" s="11"/>
      <c r="F32" s="6"/>
      <c r="G32" s="3" t="str">
        <f>+'ATT H-3D'!F192</f>
        <v>p112.17c through 21c</v>
      </c>
      <c r="H32" s="34"/>
      <c r="I32" s="10">
        <f>+'ATT H-3D'!H192</f>
        <v>1273230000</v>
      </c>
    </row>
    <row r="33" spans="1:9" s="58" customFormat="1" ht="15">
      <c r="A33" s="31">
        <f>+'ATT H-3D'!A193</f>
        <v>109</v>
      </c>
      <c r="B33" s="33"/>
      <c r="C33" s="3" t="str">
        <f>+'ATT H-3D'!C193</f>
        <v xml:space="preserve">      Less Loss on Reacquired Debt </v>
      </c>
      <c r="D33" s="3"/>
      <c r="E33" s="11"/>
      <c r="F33" s="21" t="str">
        <f>+'ATT H-3D'!E193</f>
        <v>enter negative</v>
      </c>
      <c r="G33" s="28" t="str">
        <f>+'ATT H-3D'!F193</f>
        <v>p111.81c</v>
      </c>
      <c r="H33" s="34"/>
      <c r="I33" s="10">
        <f>+'ATT H-3D'!H193</f>
        <v>-10083973</v>
      </c>
    </row>
    <row r="34" spans="1:9" s="58" customFormat="1" ht="15">
      <c r="A34" s="31">
        <f>+'ATT H-3D'!A194</f>
        <v>110</v>
      </c>
      <c r="B34" s="33"/>
      <c r="C34" s="3" t="str">
        <f>+'ATT H-3D'!C194</f>
        <v xml:space="preserve">      Plus Gain on Reacquired Debt</v>
      </c>
      <c r="D34" s="3"/>
      <c r="E34" s="11"/>
      <c r="F34" s="6" t="str">
        <f>+'ATT H-3D'!E194</f>
        <v>enter positive</v>
      </c>
      <c r="G34" s="54" t="str">
        <f>+'ATT H-3D'!F194</f>
        <v>p113.61c</v>
      </c>
      <c r="H34" s="34"/>
      <c r="I34" s="10">
        <f>+'ATT H-3D'!H194</f>
        <v>0</v>
      </c>
    </row>
    <row r="35" spans="1:9" s="58" customFormat="1" ht="15">
      <c r="A35" s="31">
        <f>+A34+1</f>
        <v>111</v>
      </c>
      <c r="B35" s="98"/>
      <c r="C35" s="28" t="s">
        <v>571</v>
      </c>
      <c r="D35" s="28"/>
      <c r="E35" s="29"/>
      <c r="F35" s="30" t="str">
        <f>+F33</f>
        <v>enter negative</v>
      </c>
      <c r="G35" s="54" t="s">
        <v>495</v>
      </c>
      <c r="H35" s="63"/>
      <c r="I35" s="10">
        <f>'ATT H-3D'!H195</f>
        <v>4090231.9629676146</v>
      </c>
    </row>
    <row r="36" spans="1:9" s="58" customFormat="1" ht="15">
      <c r="A36" s="31">
        <f>+A35+1</f>
        <v>112</v>
      </c>
      <c r="B36" s="98"/>
      <c r="C36" s="497" t="str">
        <f>+'ATT H-3D'!C196</f>
        <v xml:space="preserve">      Less LTD on Securitization Bonds</v>
      </c>
      <c r="D36" s="497"/>
      <c r="E36" s="577"/>
      <c r="F36" s="30" t="str">
        <f>+'ATT H-3D'!E196</f>
        <v>enter negative</v>
      </c>
      <c r="G36" s="142" t="str">
        <f>+'ATT H-3D'!F196</f>
        <v>Attachment 8</v>
      </c>
      <c r="H36" s="63"/>
      <c r="I36" s="10">
        <f>+'ATT H-3D'!H196</f>
        <v>0</v>
      </c>
    </row>
    <row r="37" spans="1:9" s="58" customFormat="1" ht="15">
      <c r="A37" s="31">
        <f>+'ATT H-3D'!A197</f>
        <v>113</v>
      </c>
      <c r="B37" s="98"/>
      <c r="C37" s="55" t="str">
        <f>+'ATT H-3D'!C197</f>
        <v>Total Long Term Debt</v>
      </c>
      <c r="D37" s="55"/>
      <c r="E37" s="640"/>
      <c r="F37" s="216"/>
      <c r="G37" s="49" t="str">
        <f>+'ATT H-3D'!F197</f>
        <v>(Sum Lines Lines 108 to 112)</v>
      </c>
      <c r="H37" s="67"/>
      <c r="I37" s="70">
        <f>+'ATT H-3D'!H197</f>
        <v>1267236258.9629676</v>
      </c>
    </row>
    <row r="38" spans="1:9" s="58" customFormat="1" ht="15">
      <c r="A38" s="6">
        <f>+'ATT H-3D'!A198</f>
        <v>114</v>
      </c>
      <c r="B38" s="33"/>
      <c r="C38" s="3" t="str">
        <f>+'ATT H-3D'!C198</f>
        <v>Preferred Stock</v>
      </c>
      <c r="D38" s="3"/>
      <c r="E38" s="11"/>
      <c r="F38" s="6"/>
      <c r="G38" s="3" t="str">
        <f>+'ATT H-3D'!F198</f>
        <v>p112.3c</v>
      </c>
      <c r="H38" s="34"/>
      <c r="I38" s="10">
        <f>+'ATT H-3D'!H198</f>
        <v>0</v>
      </c>
    </row>
    <row r="39" spans="1:9" s="58" customFormat="1" ht="15">
      <c r="A39" s="6">
        <f>+'ATT H-3D'!A199</f>
        <v>115</v>
      </c>
      <c r="B39" s="33"/>
      <c r="C39" s="3" t="str">
        <f>+'ATT H-3D'!C199</f>
        <v>Common Stock</v>
      </c>
      <c r="D39" s="3"/>
      <c r="E39" s="34"/>
      <c r="F39" s="115"/>
      <c r="G39" s="140" t="str">
        <f>+'ATT H-3D'!F199</f>
        <v>(Line 107)</v>
      </c>
      <c r="H39" s="34"/>
      <c r="I39" s="27">
        <f>+'ATT H-3D'!H199</f>
        <v>1230081889</v>
      </c>
    </row>
    <row r="40" spans="1:9" s="58" customFormat="1" ht="15.75">
      <c r="A40" s="6">
        <f>+'ATT H-3D'!A200</f>
        <v>116</v>
      </c>
      <c r="B40" s="33"/>
      <c r="C40" s="45" t="str">
        <f>+'ATT H-3D'!C200</f>
        <v>Total  Capitalization</v>
      </c>
      <c r="D40" s="45"/>
      <c r="E40" s="72"/>
      <c r="F40" s="217"/>
      <c r="G40" s="27" t="str">
        <f>+'ATT H-3D'!F200</f>
        <v>(Sum Lines 113 to 115)</v>
      </c>
      <c r="H40" s="37"/>
      <c r="I40" s="37">
        <f>+'ATT H-3D'!H200</f>
        <v>2497318147.9629679</v>
      </c>
    </row>
    <row r="41" spans="1:9" s="58" customFormat="1" ht="15">
      <c r="A41" s="6"/>
      <c r="B41" s="33"/>
      <c r="C41" s="3"/>
      <c r="D41" s="3"/>
      <c r="E41" s="34"/>
      <c r="F41" s="115"/>
      <c r="H41" s="5"/>
      <c r="I41" s="21"/>
    </row>
    <row r="42" spans="1:9" s="58" customFormat="1" ht="15">
      <c r="A42" s="98">
        <f>+'ATT H-3D'!A202</f>
        <v>117</v>
      </c>
      <c r="B42" s="33"/>
      <c r="C42" s="201" t="str">
        <f>+'ATT H-3D'!C202</f>
        <v>Debt %</v>
      </c>
      <c r="D42" s="201"/>
      <c r="E42" s="54" t="str">
        <f>+'ATT H-3D'!D202</f>
        <v>Total Long Term Debt</v>
      </c>
      <c r="F42" s="115"/>
      <c r="G42" s="27" t="str">
        <f>+'ATT H-3D'!F202</f>
        <v>(Line 113 / 116)</v>
      </c>
      <c r="H42" s="5"/>
      <c r="I42" s="727">
        <f>IF(I40&gt;0,I37/I40,0)</f>
        <v>0.50743885395484623</v>
      </c>
    </row>
    <row r="43" spans="1:9" s="58" customFormat="1" ht="15">
      <c r="A43" s="31">
        <f>+'ATT H-3D'!A203</f>
        <v>118</v>
      </c>
      <c r="B43" s="33"/>
      <c r="C43" s="201" t="str">
        <f>+'ATT H-3D'!C203</f>
        <v>Preferred %</v>
      </c>
      <c r="D43" s="201"/>
      <c r="E43" s="3" t="str">
        <f>+'ATT H-3D'!D203</f>
        <v>Preferred Stock</v>
      </c>
      <c r="F43" s="115"/>
      <c r="G43" s="27" t="str">
        <f>+'ATT H-3D'!F203</f>
        <v>(Line 114 / 116)</v>
      </c>
      <c r="H43" s="5"/>
      <c r="I43" s="727">
        <f>IF(I40&gt;0,I38/I40,0)</f>
        <v>0</v>
      </c>
    </row>
    <row r="44" spans="1:9" s="58" customFormat="1" ht="15">
      <c r="A44" s="31">
        <f>+'ATT H-3D'!A204</f>
        <v>119</v>
      </c>
      <c r="B44" s="33"/>
      <c r="C44" s="201" t="str">
        <f>+'ATT H-3D'!C204</f>
        <v>Common %</v>
      </c>
      <c r="D44" s="201"/>
      <c r="E44" s="3" t="str">
        <f>+'ATT H-3D'!D204</f>
        <v>Common Stock</v>
      </c>
      <c r="F44" s="115"/>
      <c r="G44" s="27" t="str">
        <f>+'ATT H-3D'!F204</f>
        <v>(Line 115 / 116)</v>
      </c>
      <c r="H44" s="5"/>
      <c r="I44" s="727">
        <f>IF(I40&gt;0,I39/I40,0)</f>
        <v>0.49256114604515361</v>
      </c>
    </row>
    <row r="45" spans="1:9" s="58" customFormat="1" ht="15">
      <c r="A45" s="31"/>
      <c r="B45" s="33"/>
      <c r="C45" s="202"/>
      <c r="D45" s="202"/>
      <c r="E45" s="34"/>
      <c r="F45" s="115"/>
      <c r="G45" s="5"/>
      <c r="H45" s="5"/>
      <c r="I45" s="21"/>
    </row>
    <row r="46" spans="1:9" s="58" customFormat="1" ht="15">
      <c r="A46" s="98">
        <f>+'ATT H-3D'!A206</f>
        <v>120</v>
      </c>
      <c r="B46" s="33"/>
      <c r="C46" s="202" t="str">
        <f>+'ATT H-3D'!C206</f>
        <v>Debt Cost</v>
      </c>
      <c r="D46" s="202"/>
      <c r="E46" s="54" t="str">
        <f>+'ATT H-3D'!D206</f>
        <v>Total Long Term Debt</v>
      </c>
      <c r="F46" s="115"/>
      <c r="G46" s="27" t="str">
        <f>+'ATT H-3D'!F206</f>
        <v>(Line 102 / 113)</v>
      </c>
      <c r="H46" s="5"/>
      <c r="I46" s="23">
        <f>IF(I37&gt;0,I21/I37,0)</f>
        <v>4.0118635053580556E-2</v>
      </c>
    </row>
    <row r="47" spans="1:9" s="58" customFormat="1" ht="15">
      <c r="A47" s="31">
        <f>+'ATT H-3D'!A207</f>
        <v>121</v>
      </c>
      <c r="B47" s="33"/>
      <c r="C47" s="202" t="str">
        <f>+'ATT H-3D'!C207</f>
        <v>Preferred Cost</v>
      </c>
      <c r="D47" s="202"/>
      <c r="E47" s="3" t="str">
        <f>+'ATT H-3D'!D207</f>
        <v>Preferred Stock</v>
      </c>
      <c r="F47" s="115"/>
      <c r="G47" s="27" t="str">
        <f>+'ATT H-3D'!F207</f>
        <v>(Line 103 / 114)</v>
      </c>
      <c r="H47" s="5"/>
      <c r="I47" s="23">
        <f>IF(I38&gt;0,I23/I38,0)</f>
        <v>0</v>
      </c>
    </row>
    <row r="48" spans="1:9" s="58" customFormat="1" ht="15">
      <c r="A48" s="31">
        <f>+'ATT H-3D'!A208</f>
        <v>122</v>
      </c>
      <c r="B48" s="33"/>
      <c r="C48" s="202" t="str">
        <f>+'ATT H-3D'!C208</f>
        <v>Common Cost</v>
      </c>
      <c r="D48" s="202"/>
      <c r="E48" s="3" t="str">
        <f>+'ATT H-3D'!D208</f>
        <v>Common Stock</v>
      </c>
      <c r="F48" s="671" t="s">
        <v>468</v>
      </c>
      <c r="G48" s="660" t="s">
        <v>474</v>
      </c>
      <c r="H48" s="5"/>
      <c r="I48" s="686">
        <f>+'ATT H-3D'!H208+0.01</f>
        <v>0.11499999999999999</v>
      </c>
    </row>
    <row r="49" spans="1:9" s="58" customFormat="1" ht="15">
      <c r="A49" s="31"/>
      <c r="B49" s="33"/>
      <c r="C49" s="202"/>
      <c r="D49" s="202"/>
      <c r="E49" s="34"/>
      <c r="F49" s="115"/>
      <c r="G49" s="5"/>
      <c r="H49" s="5"/>
      <c r="I49" s="34"/>
    </row>
    <row r="50" spans="1:9" s="58" customFormat="1" ht="15">
      <c r="A50" s="98">
        <f>+'ATT H-3D'!A210</f>
        <v>123</v>
      </c>
      <c r="B50" s="33"/>
      <c r="C50" s="201" t="str">
        <f>+'ATT H-3D'!C210</f>
        <v>Weighted Cost of Debt</v>
      </c>
      <c r="D50" s="201"/>
      <c r="E50" s="54" t="str">
        <f>+'ATT H-3D'!D210</f>
        <v>Total Long Term Debt (WCLTD)</v>
      </c>
      <c r="F50" s="115"/>
      <c r="G50" s="27" t="str">
        <f>+'ATT H-3D'!F210</f>
        <v>(Line 117 * 120)</v>
      </c>
      <c r="H50" s="32"/>
      <c r="I50" s="23">
        <f>I46*I42</f>
        <v>2.0357754193821638E-2</v>
      </c>
    </row>
    <row r="51" spans="1:9" s="58" customFormat="1" ht="15">
      <c r="A51" s="31">
        <f>+'ATT H-3D'!A211</f>
        <v>124</v>
      </c>
      <c r="B51" s="33"/>
      <c r="C51" s="201" t="str">
        <f>+'ATT H-3D'!C211</f>
        <v>Weighted Cost of Preferred</v>
      </c>
      <c r="D51" s="201"/>
      <c r="E51" s="3" t="str">
        <f>+'ATT H-3D'!D211</f>
        <v>Preferred Stock</v>
      </c>
      <c r="F51" s="115"/>
      <c r="G51" s="27" t="str">
        <f>+'ATT H-3D'!F211</f>
        <v>(Line 118 * 121)</v>
      </c>
      <c r="H51" s="93"/>
      <c r="I51" s="23">
        <f>I47*I43</f>
        <v>0</v>
      </c>
    </row>
    <row r="52" spans="1:9" s="58" customFormat="1" ht="15">
      <c r="A52" s="31">
        <f>+'ATT H-3D'!A212</f>
        <v>125</v>
      </c>
      <c r="B52" s="204"/>
      <c r="C52" s="205" t="str">
        <f>+'ATT H-3D'!C212</f>
        <v>Weighted Cost of Common</v>
      </c>
      <c r="D52" s="205"/>
      <c r="E52" s="206" t="str">
        <f>+'ATT H-3D'!D212</f>
        <v>Common Stock</v>
      </c>
      <c r="F52" s="230"/>
      <c r="G52" s="140" t="str">
        <f>+'ATT H-3D'!F212</f>
        <v>(Line 119 * 122)</v>
      </c>
      <c r="H52" s="141"/>
      <c r="I52" s="207">
        <f>I48*I44</f>
        <v>5.664453179519266E-2</v>
      </c>
    </row>
    <row r="53" spans="1:9" s="58" customFormat="1" ht="15.75">
      <c r="A53" s="6">
        <f>+'ATT H-3D'!A213</f>
        <v>126</v>
      </c>
      <c r="B53" s="105" t="str">
        <f>+'ATT H-3D'!B213</f>
        <v>Total Return ( R )</v>
      </c>
      <c r="C53" s="105"/>
      <c r="D53" s="105"/>
      <c r="E53" s="161"/>
      <c r="F53" s="234"/>
      <c r="G53" s="27" t="str">
        <f>+'ATT H-3D'!F213</f>
        <v>(Sum Lines 123 to 125)</v>
      </c>
      <c r="H53" s="107"/>
      <c r="I53" s="97">
        <f>SUM(I50:I52)</f>
        <v>7.7002285989014291E-2</v>
      </c>
    </row>
    <row r="54" spans="1:9" s="58" customFormat="1" ht="15.75">
      <c r="A54" s="13"/>
      <c r="B54" s="13"/>
      <c r="C54" s="105"/>
      <c r="D54" s="105"/>
      <c r="E54" s="161"/>
      <c r="F54" s="234"/>
      <c r="G54" s="106"/>
      <c r="H54" s="107"/>
      <c r="I54" s="97"/>
    </row>
    <row r="55" spans="1:9" s="58" customFormat="1" ht="16.5" thickBot="1">
      <c r="A55" s="33">
        <f>+'ATT H-3D'!A215</f>
        <v>127</v>
      </c>
      <c r="B55" s="144" t="str">
        <f>+'ATT H-3D'!B215</f>
        <v>Investment Return = Rate Base * Rate of Return</v>
      </c>
      <c r="C55" s="139"/>
      <c r="D55" s="139"/>
      <c r="E55" s="137"/>
      <c r="F55" s="235"/>
      <c r="G55" s="48" t="str">
        <f>+'ATT H-3D'!F215</f>
        <v>(Line 59 * 126)</v>
      </c>
      <c r="H55" s="145"/>
      <c r="I55" s="48">
        <f>+I53*I16</f>
        <v>51022437.196196653</v>
      </c>
    </row>
    <row r="56" spans="1:9" s="58" customFormat="1" ht="15.75" thickTop="1">
      <c r="A56" s="31"/>
      <c r="B56" s="33"/>
      <c r="C56" s="3"/>
      <c r="D56" s="3"/>
      <c r="E56" s="34"/>
      <c r="F56" s="115"/>
      <c r="G56" s="5"/>
      <c r="H56" s="5"/>
      <c r="I56" s="49"/>
    </row>
    <row r="57" spans="1:9" s="58" customFormat="1" ht="15.75">
      <c r="A57" s="178" t="str">
        <f>'ATT H-3D'!A217</f>
        <v xml:space="preserve">Composite Income Taxes                                                                                                       </v>
      </c>
      <c r="B57" s="154"/>
      <c r="C57" s="155"/>
      <c r="D57" s="155"/>
      <c r="E57" s="156"/>
      <c r="F57" s="429"/>
      <c r="G57" s="157"/>
      <c r="H57" s="157"/>
      <c r="I57" s="600"/>
    </row>
    <row r="58" spans="1:9" s="58" customFormat="1" ht="15.75">
      <c r="A58" s="31"/>
      <c r="B58" s="33"/>
      <c r="C58" s="26"/>
      <c r="D58" s="26"/>
      <c r="E58" s="63"/>
      <c r="F58" s="21"/>
      <c r="G58" s="34"/>
      <c r="H58" s="34"/>
      <c r="I58" s="49"/>
    </row>
    <row r="59" spans="1:9" s="58" customFormat="1" ht="15.75">
      <c r="A59" s="31"/>
      <c r="B59" s="167" t="str">
        <f>'ATT H-3D'!B219</f>
        <v>Income Tax Rates</v>
      </c>
      <c r="C59" s="34"/>
      <c r="D59" s="34"/>
      <c r="E59" s="34"/>
      <c r="F59" s="21"/>
      <c r="G59" s="5"/>
      <c r="H59" s="18"/>
      <c r="I59" s="49"/>
    </row>
    <row r="60" spans="1:9" s="58" customFormat="1" ht="15">
      <c r="A60" s="31">
        <f>'ATT H-3D'!A220</f>
        <v>128</v>
      </c>
      <c r="B60" s="33"/>
      <c r="C60" s="34" t="str">
        <f>'ATT H-3D'!C220</f>
        <v>FIT=Federal Income Tax Rate</v>
      </c>
      <c r="D60" s="34"/>
      <c r="E60" s="608"/>
      <c r="F60" s="115"/>
      <c r="G60" s="34"/>
      <c r="H60" s="35"/>
      <c r="I60" s="344">
        <f>+'ATT H-3D'!H220</f>
        <v>0.35</v>
      </c>
    </row>
    <row r="61" spans="1:9" s="58" customFormat="1" ht="15">
      <c r="A61" s="31">
        <f>'ATT H-3D'!A221</f>
        <v>129</v>
      </c>
      <c r="B61" s="33"/>
      <c r="C61" s="35" t="str">
        <f>'ATT H-3D'!C221</f>
        <v>SIT=State Income Tax Rate or Composite</v>
      </c>
      <c r="D61" s="35"/>
      <c r="E61" s="193"/>
      <c r="F61" s="244"/>
      <c r="G61" s="34"/>
      <c r="H61" s="35"/>
      <c r="I61" s="344">
        <f>+'ATT H-3D'!H221</f>
        <v>8.5558999999999996E-2</v>
      </c>
    </row>
    <row r="62" spans="1:9" s="58" customFormat="1" ht="15">
      <c r="A62" s="31">
        <f>'ATT H-3D'!A222</f>
        <v>130</v>
      </c>
      <c r="B62" s="33"/>
      <c r="C62" s="35" t="str">
        <f>'ATT H-3D'!C222</f>
        <v>p</v>
      </c>
      <c r="D62" s="35"/>
      <c r="E62" s="35" t="str">
        <f>'ATT H-3D'!D222</f>
        <v>(percent of federal income tax deductible for state purposes)</v>
      </c>
      <c r="F62" s="115"/>
      <c r="G62" s="34" t="str">
        <f>'ATT H-3D'!F222</f>
        <v>Per State Tax Code</v>
      </c>
      <c r="H62" s="35"/>
      <c r="I62" s="344">
        <f>+'ATT H-3D'!H222</f>
        <v>0</v>
      </c>
    </row>
    <row r="63" spans="1:9" s="58" customFormat="1" ht="15">
      <c r="A63" s="31">
        <f>'ATT H-3D'!A223</f>
        <v>131</v>
      </c>
      <c r="B63" s="33"/>
      <c r="C63" s="35" t="str">
        <f>'ATT H-3D'!C223</f>
        <v>T</v>
      </c>
      <c r="D63" s="35"/>
      <c r="E63" s="17" t="str">
        <f>'ATT H-3D'!D223</f>
        <v xml:space="preserve">     T=1 - {[(1 - SIT) * (1 - FIT)] / (1 - SIT * FIT * p)} =</v>
      </c>
      <c r="F63" s="115"/>
      <c r="G63" s="34"/>
      <c r="H63" s="35"/>
      <c r="I63" s="344">
        <f>+'ATT H-3D'!H223</f>
        <v>0.40561334999999998</v>
      </c>
    </row>
    <row r="64" spans="1:9" s="58" customFormat="1" ht="15">
      <c r="A64" s="31">
        <f>'ATT H-3D'!A224</f>
        <v>132</v>
      </c>
      <c r="B64" s="33"/>
      <c r="C64" s="35" t="str">
        <f>'ATT H-3D'!C224</f>
        <v>T/ (1-T)</v>
      </c>
      <c r="D64" s="35"/>
      <c r="E64" s="24"/>
      <c r="F64" s="115"/>
      <c r="G64" s="34"/>
      <c r="H64" s="35"/>
      <c r="I64" s="344">
        <f>+'ATT H-3D'!H224</f>
        <v>0.68240656145288592</v>
      </c>
    </row>
    <row r="65" spans="1:9" s="58" customFormat="1" ht="15">
      <c r="A65" s="31"/>
      <c r="B65" s="33"/>
      <c r="C65" s="34"/>
      <c r="D65" s="34"/>
      <c r="E65" s="34"/>
      <c r="F65" s="16"/>
      <c r="G65" s="17"/>
      <c r="H65" s="18"/>
      <c r="I65" s="19"/>
    </row>
    <row r="66" spans="1:9" s="58" customFormat="1" ht="15.75">
      <c r="A66" s="31"/>
      <c r="B66" s="167" t="str">
        <f>'ATT H-3D'!B226</f>
        <v>ITC Adjustment</v>
      </c>
      <c r="C66" s="3"/>
      <c r="D66" s="3"/>
      <c r="E66" s="34"/>
      <c r="F66" s="244"/>
      <c r="G66" s="5"/>
      <c r="H66" s="18"/>
      <c r="I66" s="275"/>
    </row>
    <row r="67" spans="1:9" s="58" customFormat="1" ht="15">
      <c r="A67" s="31">
        <f>'ATT H-3D'!A227</f>
        <v>133</v>
      </c>
      <c r="B67" s="33"/>
      <c r="C67" s="28" t="str">
        <f>'ATT H-3D'!C227</f>
        <v>Amortized Investment Tax Credit</v>
      </c>
      <c r="D67" s="28"/>
      <c r="E67" s="34"/>
      <c r="F67" s="30" t="str">
        <f>'ATT H-3D'!E227</f>
        <v>enter negative</v>
      </c>
      <c r="G67" s="4" t="str">
        <f>'ATT H-3D'!F227</f>
        <v>Attachment 1</v>
      </c>
      <c r="H67" s="18"/>
      <c r="I67" s="678">
        <f>+'ATT H-3D'!H227</f>
        <v>-86997</v>
      </c>
    </row>
    <row r="68" spans="1:9" s="58" customFormat="1" ht="15">
      <c r="A68" s="31">
        <f>'ATT H-3D'!A228</f>
        <v>134</v>
      </c>
      <c r="B68" s="33"/>
      <c r="C68" s="3" t="str">
        <f>'ATT H-3D'!C228</f>
        <v>T/(1-T)</v>
      </c>
      <c r="D68" s="3"/>
      <c r="E68" s="34"/>
      <c r="F68" s="6"/>
      <c r="G68" s="27" t="str">
        <f>'ATT H-3D'!F228</f>
        <v>(Line 132)</v>
      </c>
      <c r="H68" s="18"/>
      <c r="I68" s="679">
        <f>+'ATT H-3D'!H228</f>
        <v>0.68240656145288592</v>
      </c>
    </row>
    <row r="69" spans="1:9" s="58" customFormat="1" ht="15.75">
      <c r="A69" s="31">
        <f>'ATT H-3D'!A229</f>
        <v>135</v>
      </c>
      <c r="B69" s="99"/>
      <c r="C69" s="118" t="str">
        <f>'ATT H-3D'!C229</f>
        <v>Net Plant Allocation Factor</v>
      </c>
      <c r="D69" s="118"/>
      <c r="E69" s="119"/>
      <c r="F69" s="204"/>
      <c r="G69" s="140" t="str">
        <f>'ATT H-3D'!F229</f>
        <v>(Line 18)</v>
      </c>
      <c r="H69" s="102"/>
      <c r="I69" s="162">
        <f>+'ATT H-3D'!H35</f>
        <v>0.35172204588946998</v>
      </c>
    </row>
    <row r="70" spans="1:9" s="58" customFormat="1" ht="15.75">
      <c r="A70" s="31">
        <f>'ATT H-3D'!A230</f>
        <v>136</v>
      </c>
      <c r="B70" s="33"/>
      <c r="C70" s="172" t="str">
        <f>'ATT H-3D'!C230</f>
        <v>ITC Adjustment Allocated to Transmission</v>
      </c>
      <c r="D70" s="172"/>
      <c r="E70" s="67"/>
      <c r="F70" s="670" t="s">
        <v>469</v>
      </c>
      <c r="G70" s="27" t="str">
        <f>'ATT H-3D'!F230</f>
        <v>(Line 133 * (1 + 134) * 135)</v>
      </c>
      <c r="H70" s="104"/>
      <c r="I70" s="91">
        <f>+I67*(1+I68)*I69</f>
        <v>-51479.559351217293</v>
      </c>
    </row>
    <row r="71" spans="1:9" s="58" customFormat="1" ht="15.75">
      <c r="A71" s="31"/>
      <c r="B71" s="33"/>
      <c r="C71" s="198"/>
      <c r="D71" s="198"/>
      <c r="E71" s="101"/>
      <c r="F71" s="281"/>
      <c r="G71" s="278"/>
      <c r="H71" s="102"/>
      <c r="I71" s="279"/>
    </row>
    <row r="72" spans="1:9" s="58" customFormat="1" ht="15.75">
      <c r="A72" s="31"/>
      <c r="B72" s="33"/>
      <c r="C72" s="198"/>
      <c r="D72" s="198"/>
      <c r="E72" s="101"/>
      <c r="F72" s="281"/>
      <c r="G72" s="278"/>
      <c r="H72" s="102"/>
      <c r="I72" s="280"/>
    </row>
    <row r="73" spans="1:9" ht="15.75">
      <c r="A73" s="31"/>
      <c r="B73" s="33"/>
      <c r="C73" s="34"/>
      <c r="D73" s="34"/>
      <c r="E73" s="34"/>
      <c r="F73" s="16"/>
      <c r="G73" s="17"/>
      <c r="H73" s="18"/>
      <c r="I73" s="277"/>
    </row>
    <row r="74" spans="1:9" ht="15.75">
      <c r="A74" s="31">
        <f>'ATT H-3D'!A234</f>
        <v>137</v>
      </c>
      <c r="B74" s="1" t="str">
        <f>'ATT H-3D'!B234</f>
        <v xml:space="preserve">Income Tax Component = </v>
      </c>
      <c r="C74" s="58"/>
      <c r="D74" s="58"/>
      <c r="F74" s="11" t="str">
        <f>'ATT H-3D'!D234</f>
        <v xml:space="preserve">     CIT=(T/1-T) * Investment Return * (1-(WCLTD/R)) =</v>
      </c>
      <c r="G74" s="27"/>
      <c r="H74" s="34"/>
      <c r="I74" s="338">
        <f>+I64*I55*(1-(I50/I53))</f>
        <v>25612900.760764521</v>
      </c>
    </row>
    <row r="75" spans="1:9" ht="15.75">
      <c r="A75" s="31"/>
      <c r="B75" s="33"/>
      <c r="C75" s="100"/>
      <c r="D75" s="100"/>
      <c r="E75" s="101"/>
      <c r="F75" s="236"/>
      <c r="G75" s="102"/>
      <c r="H75" s="102"/>
      <c r="I75" s="80"/>
    </row>
    <row r="76" spans="1:9" ht="16.5" thickBot="1">
      <c r="A76" s="31">
        <f>'ATT H-3D'!A236</f>
        <v>138</v>
      </c>
      <c r="B76" s="144" t="str">
        <f>'ATT H-3D'!B236</f>
        <v>Total Income Taxes</v>
      </c>
      <c r="C76" s="144"/>
      <c r="D76" s="144"/>
      <c r="E76" s="137"/>
      <c r="F76" s="220"/>
      <c r="G76" s="48" t="str">
        <f>'ATT H-3D'!F236</f>
        <v>(Line 136 + 137)</v>
      </c>
      <c r="H76" s="166"/>
      <c r="I76" s="203">
        <f>+I74+I70</f>
        <v>25561421.201413304</v>
      </c>
    </row>
    <row r="77" spans="1:9" ht="15.75" thickTop="1">
      <c r="A77" s="31"/>
      <c r="B77" s="33"/>
      <c r="C77" s="17"/>
      <c r="D77" s="17"/>
      <c r="E77" s="34"/>
      <c r="F77" s="115"/>
      <c r="G77" s="20"/>
      <c r="H77" s="8"/>
    </row>
    <row r="78" spans="1:9" ht="15">
      <c r="A78" s="31"/>
    </row>
    <row r="79" spans="1:9" ht="15">
      <c r="A79" s="31"/>
    </row>
    <row r="80" spans="1:9" ht="15">
      <c r="A80" s="31"/>
    </row>
    <row r="81" spans="1:1" ht="15">
      <c r="A81" s="31"/>
    </row>
    <row r="82" spans="1:1" ht="15">
      <c r="A82" s="31"/>
    </row>
    <row r="83" spans="1:1" ht="15">
      <c r="A83" s="31"/>
    </row>
    <row r="84" spans="1:1" ht="15">
      <c r="A84" s="31"/>
    </row>
    <row r="85" spans="1:1" ht="15">
      <c r="A85" s="31"/>
    </row>
    <row r="86" spans="1:1" ht="15">
      <c r="A86" s="31"/>
    </row>
    <row r="87" spans="1:1" ht="15">
      <c r="A87" s="31"/>
    </row>
    <row r="88" spans="1:1" ht="15">
      <c r="A88" s="31"/>
    </row>
    <row r="89" spans="1:1" ht="15">
      <c r="A89" s="31"/>
    </row>
    <row r="90" spans="1:1" ht="15">
      <c r="A90" s="31"/>
    </row>
    <row r="91" spans="1:1" ht="15">
      <c r="A91" s="31"/>
    </row>
    <row r="92" spans="1:1" ht="15">
      <c r="A92" s="31"/>
    </row>
    <row r="93" spans="1:1" ht="15">
      <c r="A93" s="31"/>
    </row>
    <row r="94" spans="1:1" ht="15">
      <c r="A94" s="31"/>
    </row>
    <row r="95" spans="1:1" ht="15">
      <c r="A95" s="31"/>
    </row>
    <row r="301" spans="1:7">
      <c r="A301" s="475"/>
      <c r="B301" s="475"/>
      <c r="C301" s="475"/>
      <c r="D301" s="475"/>
      <c r="E301" s="475"/>
      <c r="F301" s="475"/>
      <c r="G301" s="475"/>
    </row>
    <row r="302" spans="1:7">
      <c r="A302" s="475"/>
      <c r="B302" s="475"/>
      <c r="C302" s="475"/>
      <c r="D302" s="475"/>
      <c r="E302" s="475"/>
      <c r="F302" s="475"/>
      <c r="G302" s="475"/>
    </row>
    <row r="303" spans="1:7">
      <c r="A303" s="475"/>
      <c r="B303" s="475"/>
      <c r="C303" s="475"/>
      <c r="D303" s="475"/>
      <c r="E303" s="475"/>
      <c r="F303" s="475"/>
      <c r="G303" s="475"/>
    </row>
    <row r="304" spans="1:7">
      <c r="A304" s="475"/>
      <c r="B304" s="475"/>
      <c r="C304" s="475"/>
      <c r="D304" s="475"/>
      <c r="E304" s="475"/>
      <c r="F304" s="475"/>
      <c r="G304" s="475"/>
    </row>
    <row r="305" spans="1:7">
      <c r="A305" s="475"/>
      <c r="B305" s="475"/>
      <c r="C305" s="475"/>
      <c r="D305" s="475"/>
      <c r="E305" s="475"/>
      <c r="F305" s="475"/>
      <c r="G305" s="475"/>
    </row>
    <row r="306" spans="1:7">
      <c r="A306" s="475"/>
      <c r="B306" s="475"/>
      <c r="C306" s="475"/>
      <c r="D306" s="475"/>
      <c r="E306" s="475"/>
      <c r="F306" s="475"/>
      <c r="G306" s="475"/>
    </row>
    <row r="307" spans="1:7">
      <c r="A307" s="475"/>
      <c r="B307" s="475"/>
      <c r="C307" s="475"/>
      <c r="D307" s="475"/>
      <c r="E307" s="475"/>
      <c r="F307" s="475"/>
      <c r="G307" s="475"/>
    </row>
    <row r="308" spans="1:7">
      <c r="A308" s="475"/>
      <c r="B308" s="475"/>
      <c r="C308" s="475"/>
      <c r="D308" s="475"/>
      <c r="E308" s="475"/>
      <c r="F308" s="475"/>
      <c r="G308" s="475"/>
    </row>
    <row r="309" spans="1:7">
      <c r="A309" s="475"/>
      <c r="B309" s="475"/>
      <c r="C309" s="475"/>
      <c r="D309" s="475"/>
      <c r="E309" s="475"/>
      <c r="F309" s="475"/>
      <c r="G309" s="475"/>
    </row>
  </sheetData>
  <customSheetViews>
    <customSheetView guid="{DD59B418-F201-4517-876C-F4216587CC56}" scale="75" showPageBreaks="1" fitToPage="1" printArea="1" showRuler="0" topLeftCell="A189">
      <pageMargins left="0.5" right="0.5" top="0.5" bottom="0.5" header="0.5" footer="0.5"/>
      <printOptions horizontalCentered="1"/>
      <pageSetup scale="60" orientation="portrait" r:id="rId1"/>
      <headerFooter alignWithMargins="0"/>
    </customSheetView>
    <customSheetView guid="{6FDC2004-56D4-4E4C-BEEF-80DB64AD0DBB}" scale="66" showPageBreaks="1" fitToPage="1" printArea="1" view="pageBreakPreview" showRuler="0">
      <selection sqref="A1:H1"/>
      <pageMargins left="0.5" right="0.5" top="0.5" bottom="0.5" header="0.5" footer="0.5"/>
      <printOptions horizontalCentered="1"/>
      <pageSetup scale="60" orientation="portrait" r:id="rId2"/>
      <headerFooter alignWithMargins="0">
        <oddHeader>&amp;R&amp;12Page &amp;P of &amp;N</oddHeader>
      </headerFooter>
    </customSheetView>
    <customSheetView guid="{4F5BB44A-5460-4358-BCFE-B7FB945BAE1D}" scale="75" showPageBreaks="1" fitToPage="1" printArea="1" showRuler="0">
      <selection sqref="A1:H1"/>
      <pageMargins left="0.5" right="0.5" top="0.5" bottom="0.5" header="0.5" footer="0.5"/>
      <printOptions horizontalCentered="1"/>
      <pageSetup scale="62" orientation="portrait" r:id="rId3"/>
      <headerFooter alignWithMargins="0">
        <oddHeader>&amp;R&amp;12Page &amp;P of &amp;N</oddHeader>
      </headerFooter>
    </customSheetView>
    <customSheetView guid="{C0EA0F9F-7310-4201-82C9-7B8FC8DB9137}" scale="75" showPageBreaks="1" fitToPage="1" printArea="1" showRuler="0">
      <selection activeCell="F36" sqref="F36"/>
      <pageMargins left="0.5" right="0.5" top="0.5" bottom="0.5" header="0.5" footer="0.5"/>
      <printOptions horizontalCentered="1"/>
      <pageSetup scale="62" orientation="portrait" r:id="rId4"/>
      <headerFooter alignWithMargins="0">
        <oddHeader>&amp;R&amp;14Page &amp;P of &amp;N</oddHeader>
      </headerFooter>
    </customSheetView>
    <customSheetView guid="{3BDD6235-B127-4929-8311-BDAF7BB89818}" scale="75" showPageBreaks="1" fitToPage="1" printArea="1" showRuler="0">
      <selection sqref="A1:H1"/>
      <pageMargins left="0.5" right="0.5" top="0.5" bottom="0.5" header="0.5" footer="0.5"/>
      <printOptions horizontalCentered="1"/>
      <pageSetup scale="60" orientation="portrait" r:id="rId5"/>
      <headerFooter alignWithMargins="0">
        <oddHeader>&amp;R&amp;12Page &amp;P of &amp;N</oddHeader>
      </headerFooter>
    </customSheetView>
    <customSheetView guid="{4C8E812F-DAB5-4C49-9682-E5A34DC8C1B4}" scale="75" showPageBreaks="1" fitToPage="1" printArea="1" showRuler="0">
      <selection activeCell="G9" sqref="G9"/>
      <pageMargins left="0.5" right="0.5" top="0.5" bottom="0.5" header="0.5" footer="0.5"/>
      <printOptions horizontalCentered="1"/>
      <pageSetup scale="62" orientation="portrait" r:id="rId6"/>
      <headerFooter alignWithMargins="0">
        <oddHeader>&amp;R&amp;12Page &amp;P of &amp;N</oddHeader>
      </headerFooter>
    </customSheetView>
  </customSheetViews>
  <mergeCells count="2">
    <mergeCell ref="A3:H3"/>
    <mergeCell ref="A1:H1"/>
  </mergeCells>
  <phoneticPr fontId="0" type="noConversion"/>
  <printOptions horizontalCentered="1"/>
  <pageMargins left="0.5" right="0.5" top="0.5" bottom="0.5" header="0.5" footer="0.5"/>
  <pageSetup scale="62" orientation="portrait"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64"/>
  <sheetViews>
    <sheetView zoomScaleNormal="100" zoomScaleSheetLayoutView="75" workbookViewId="0"/>
  </sheetViews>
  <sheetFormatPr defaultRowHeight="12.75"/>
  <cols>
    <col min="1" max="1" width="6.42578125" customWidth="1"/>
    <col min="2" max="2" width="4.28515625" customWidth="1"/>
    <col min="3" max="3" width="63.28515625" customWidth="1"/>
    <col min="4" max="4" width="22.5703125" customWidth="1"/>
    <col min="5" max="5" width="14.140625" customWidth="1"/>
    <col min="6" max="6" width="19.5703125" customWidth="1"/>
    <col min="7" max="7" width="15.140625" customWidth="1"/>
    <col min="8" max="8" width="15.28515625" customWidth="1"/>
    <col min="9" max="9" width="14.28515625" customWidth="1"/>
    <col min="10" max="10" width="18.7109375" customWidth="1"/>
    <col min="11" max="11" width="18.28515625" customWidth="1"/>
    <col min="12" max="12" width="15.42578125" customWidth="1"/>
    <col min="13" max="16" width="9.7109375" customWidth="1"/>
    <col min="17" max="17" width="13.42578125" customWidth="1"/>
  </cols>
  <sheetData>
    <row r="1" spans="1:17" ht="21" customHeight="1">
      <c r="A1" s="367"/>
      <c r="B1" s="361"/>
      <c r="D1" s="245"/>
      <c r="E1" s="246"/>
      <c r="F1" s="247"/>
      <c r="G1" s="482" t="str">
        <f>+'ATT H-3D'!A4</f>
        <v>Delmarva Power &amp; Light Company</v>
      </c>
      <c r="H1" s="294"/>
      <c r="I1" s="294"/>
      <c r="J1" s="294"/>
      <c r="K1" s="294"/>
      <c r="L1" s="294"/>
      <c r="M1" s="294"/>
      <c r="N1" s="294"/>
      <c r="O1" s="294"/>
      <c r="P1" s="294"/>
      <c r="Q1" s="294"/>
    </row>
    <row r="2" spans="1:17" ht="21" customHeight="1">
      <c r="A2" s="449"/>
      <c r="B2" s="361"/>
      <c r="D2" s="245"/>
      <c r="E2" s="246"/>
      <c r="F2" s="247"/>
      <c r="H2" s="294"/>
      <c r="I2" s="294"/>
      <c r="J2" s="294"/>
      <c r="K2" s="294"/>
      <c r="L2" s="294"/>
      <c r="M2" s="294"/>
      <c r="N2" s="294"/>
      <c r="O2" s="294"/>
      <c r="P2" s="294"/>
      <c r="Q2" s="483"/>
    </row>
    <row r="3" spans="1:17" ht="21" customHeight="1">
      <c r="A3" s="449"/>
      <c r="B3" s="361"/>
      <c r="D3" s="245"/>
      <c r="E3" s="246"/>
      <c r="F3" s="247"/>
      <c r="G3" s="611" t="s">
        <v>586</v>
      </c>
      <c r="H3" s="294"/>
      <c r="I3" s="294"/>
      <c r="J3" s="294"/>
      <c r="K3" s="294"/>
      <c r="L3" s="294"/>
      <c r="M3" s="294"/>
      <c r="N3" s="294"/>
      <c r="O3" s="294"/>
      <c r="P3" s="294"/>
      <c r="Q3" s="483"/>
    </row>
    <row r="4" spans="1:17" ht="21" thickBot="1">
      <c r="A4" s="404" t="s">
        <v>385</v>
      </c>
      <c r="B4" s="364"/>
      <c r="D4" s="245"/>
      <c r="E4" s="246"/>
      <c r="F4" s="247"/>
      <c r="G4" s="294"/>
      <c r="H4" s="294"/>
      <c r="I4" s="294"/>
      <c r="J4" s="294"/>
      <c r="K4" s="294"/>
      <c r="L4" s="294"/>
      <c r="M4" s="294"/>
      <c r="N4" s="294"/>
      <c r="O4" s="294"/>
      <c r="P4" s="294"/>
      <c r="Q4" s="294"/>
    </row>
    <row r="5" spans="1:17" ht="26.25">
      <c r="A5" s="1200" t="s">
        <v>611</v>
      </c>
      <c r="B5" s="1201"/>
      <c r="C5" s="1201"/>
      <c r="D5" s="1201"/>
      <c r="E5" s="1201"/>
      <c r="F5" s="1202"/>
      <c r="G5" s="578" t="s">
        <v>319</v>
      </c>
      <c r="H5" s="425" t="s">
        <v>316</v>
      </c>
      <c r="I5" s="425" t="s">
        <v>320</v>
      </c>
      <c r="J5" s="1189" t="s">
        <v>279</v>
      </c>
      <c r="K5" s="1224"/>
      <c r="L5" s="1224"/>
      <c r="M5" s="1224"/>
      <c r="N5" s="1224"/>
      <c r="O5" s="1224"/>
      <c r="P5" s="1224"/>
      <c r="Q5" s="1225"/>
    </row>
    <row r="6" spans="1:17" ht="15.75">
      <c r="A6" s="377"/>
      <c r="B6" s="373" t="s">
        <v>167</v>
      </c>
      <c r="C6" s="245"/>
      <c r="D6" s="366"/>
      <c r="E6" s="351"/>
      <c r="F6" s="378"/>
      <c r="G6" s="419"/>
      <c r="H6" s="295"/>
      <c r="I6" s="295"/>
      <c r="J6" s="1243"/>
      <c r="K6" s="1217"/>
      <c r="L6" s="1217"/>
      <c r="M6" s="1217"/>
      <c r="N6" s="1217"/>
      <c r="O6" s="1217"/>
      <c r="P6" s="1217"/>
      <c r="Q6" s="1218"/>
    </row>
    <row r="7" spans="1:17" ht="15.75" customHeight="1">
      <c r="A7" s="381">
        <f>+'ATT H-3D'!A24</f>
        <v>10</v>
      </c>
      <c r="B7" s="366"/>
      <c r="C7" s="363" t="str">
        <f>+'ATT H-3D'!C24</f>
        <v>Accumulated Intangible Amortization</v>
      </c>
      <c r="D7" s="245"/>
      <c r="E7" s="393" t="str">
        <f>+'ATT H-3D'!E24</f>
        <v>(Note A)</v>
      </c>
      <c r="F7" s="391" t="str">
        <f>+'ATT H-3D'!F24</f>
        <v>p200.21c</v>
      </c>
      <c r="G7" s="579">
        <v>28654568</v>
      </c>
      <c r="H7" s="531">
        <v>9955634</v>
      </c>
      <c r="I7" s="531">
        <f>G7-H7</f>
        <v>18698934</v>
      </c>
      <c r="J7" s="1233" t="s">
        <v>487</v>
      </c>
      <c r="K7" s="1234"/>
      <c r="L7" s="1234"/>
      <c r="M7" s="1234"/>
      <c r="N7" s="1234"/>
      <c r="O7" s="1234"/>
      <c r="P7" s="1234"/>
      <c r="Q7" s="1193"/>
    </row>
    <row r="8" spans="1:17" ht="15.75">
      <c r="A8" s="381">
        <f>+'ATT H-3D'!A25</f>
        <v>11</v>
      </c>
      <c r="B8" s="366"/>
      <c r="C8" s="363" t="str">
        <f>+'ATT H-3D'!C25</f>
        <v>Accumulated Common Amortization - Electric</v>
      </c>
      <c r="D8" s="245"/>
      <c r="E8" s="393" t="str">
        <f>+'ATT H-3D'!E25</f>
        <v>(Note A)</v>
      </c>
      <c r="F8" s="391" t="str">
        <f>+'ATT H-3D'!F25</f>
        <v>p356</v>
      </c>
      <c r="G8" s="720">
        <v>17457635</v>
      </c>
      <c r="H8" s="575">
        <v>14161633</v>
      </c>
      <c r="I8" s="575">
        <f>G8-H8</f>
        <v>3296002</v>
      </c>
      <c r="J8" s="1233" t="s">
        <v>487</v>
      </c>
      <c r="K8" s="1234"/>
      <c r="L8" s="1234"/>
      <c r="M8" s="1234"/>
      <c r="N8" s="1234"/>
      <c r="O8" s="1234"/>
      <c r="P8" s="1234"/>
      <c r="Q8" s="1193"/>
    </row>
    <row r="9" spans="1:17" ht="15.75">
      <c r="A9" s="381">
        <f>+'ATT H-3D'!A26</f>
        <v>12</v>
      </c>
      <c r="B9" s="245"/>
      <c r="C9" s="363" t="str">
        <f>+'ATT H-3D'!C26</f>
        <v>Accumulated Common Plant Depreciation - Electric</v>
      </c>
      <c r="D9" s="245"/>
      <c r="E9" s="393" t="str">
        <f>+'ATT H-3D'!E26</f>
        <v>(Note A)</v>
      </c>
      <c r="F9" s="391" t="str">
        <f>+'ATT H-3D'!F26</f>
        <v>p356</v>
      </c>
      <c r="G9" s="579">
        <v>63363565</v>
      </c>
      <c r="H9" s="531">
        <v>51400525</v>
      </c>
      <c r="I9" s="531">
        <f>G9-H9</f>
        <v>11963040</v>
      </c>
      <c r="J9" s="1233" t="s">
        <v>487</v>
      </c>
      <c r="K9" s="1234"/>
      <c r="L9" s="1234"/>
      <c r="M9" s="1234"/>
      <c r="N9" s="1234"/>
      <c r="O9" s="1234"/>
      <c r="P9" s="1234"/>
      <c r="Q9" s="1193"/>
    </row>
    <row r="10" spans="1:17" ht="15.75">
      <c r="A10" s="377"/>
      <c r="B10" s="373" t="s">
        <v>116</v>
      </c>
      <c r="C10" s="245"/>
      <c r="D10" s="245"/>
      <c r="E10" s="359"/>
      <c r="F10" s="382"/>
      <c r="G10" s="419"/>
      <c r="H10" s="295"/>
      <c r="I10" s="295"/>
      <c r="J10" s="543"/>
      <c r="K10" s="544"/>
      <c r="L10" s="544"/>
      <c r="M10" s="544"/>
      <c r="N10" s="544"/>
      <c r="O10" s="544"/>
      <c r="P10" s="544"/>
      <c r="Q10" s="580"/>
    </row>
    <row r="11" spans="1:17" ht="15.75">
      <c r="A11" s="381">
        <f>+'ATT H-3D'!A46</f>
        <v>24</v>
      </c>
      <c r="B11" s="361"/>
      <c r="C11" s="363" t="str">
        <f>+'ATT H-3D'!C46</f>
        <v>Common Plant (Electric Only)</v>
      </c>
      <c r="D11" s="245"/>
      <c r="E11" s="393" t="str">
        <f>+'ATT H-3D'!E46</f>
        <v>(Notes A &amp; B)</v>
      </c>
      <c r="F11" s="391" t="str">
        <f>+'ATT H-3D'!F46</f>
        <v>p356</v>
      </c>
      <c r="G11" s="579">
        <v>108569975</v>
      </c>
      <c r="H11" s="531">
        <v>88071964</v>
      </c>
      <c r="I11" s="531">
        <f>G11-H11</f>
        <v>20498011</v>
      </c>
      <c r="J11" s="1233" t="s">
        <v>487</v>
      </c>
      <c r="K11" s="1234"/>
      <c r="L11" s="1234"/>
      <c r="M11" s="1234"/>
      <c r="N11" s="1234"/>
      <c r="O11" s="1234"/>
      <c r="P11" s="1234"/>
      <c r="Q11" s="1193"/>
    </row>
    <row r="12" spans="1:17" ht="15.75">
      <c r="A12" s="383"/>
      <c r="B12" s="355" t="s">
        <v>242</v>
      </c>
      <c r="C12" s="386"/>
      <c r="D12" s="350"/>
      <c r="E12" s="549"/>
      <c r="F12" s="379"/>
      <c r="G12" s="419"/>
      <c r="H12" s="295"/>
      <c r="I12" s="295"/>
      <c r="J12" s="543"/>
      <c r="K12" s="544"/>
      <c r="L12" s="544"/>
      <c r="M12" s="544"/>
      <c r="N12" s="544"/>
      <c r="O12" s="544"/>
      <c r="P12" s="544"/>
      <c r="Q12" s="580"/>
    </row>
    <row r="13" spans="1:17" ht="15.75" customHeight="1">
      <c r="A13" s="381">
        <f>+'ATT H-3D'!A75</f>
        <v>41</v>
      </c>
      <c r="B13" s="350"/>
      <c r="C13" s="363" t="str">
        <f>+'ATT H-3D'!C75</f>
        <v>Accumulated Investment Tax Credit Account No. 255</v>
      </c>
      <c r="D13" s="358"/>
      <c r="E13" s="393" t="str">
        <f>+'ATT H-3D'!E75</f>
        <v>(Notes A &amp; I)</v>
      </c>
      <c r="F13" s="391" t="str">
        <f>+'ATT H-3D'!F75</f>
        <v>p266.h</v>
      </c>
      <c r="G13" s="579">
        <v>3692906</v>
      </c>
      <c r="H13" s="531">
        <v>3340468</v>
      </c>
      <c r="I13" s="531">
        <f>G13-H13</f>
        <v>352438</v>
      </c>
      <c r="J13" s="1233" t="s">
        <v>487</v>
      </c>
      <c r="K13" s="1234"/>
      <c r="L13" s="1234"/>
      <c r="M13" s="1234"/>
      <c r="N13" s="1234"/>
      <c r="O13" s="1234"/>
      <c r="P13" s="1234"/>
      <c r="Q13" s="1193"/>
    </row>
    <row r="14" spans="1:17" ht="15.75">
      <c r="A14" s="381"/>
      <c r="B14" s="355" t="s">
        <v>98</v>
      </c>
      <c r="C14" s="360"/>
      <c r="D14" s="350"/>
      <c r="E14" s="352"/>
      <c r="F14" s="548"/>
      <c r="G14" s="419"/>
      <c r="H14" s="295"/>
      <c r="I14" s="295"/>
      <c r="J14" s="543"/>
      <c r="K14" s="544"/>
      <c r="L14" s="544"/>
      <c r="M14" s="544"/>
      <c r="N14" s="544"/>
      <c r="O14" s="544"/>
      <c r="P14" s="544"/>
      <c r="Q14" s="580"/>
    </row>
    <row r="15" spans="1:17" ht="15.75" customHeight="1">
      <c r="A15" s="383">
        <f>+'ATT H-3D'!A91</f>
        <v>47</v>
      </c>
      <c r="B15" s="350"/>
      <c r="C15" s="360" t="str">
        <f>+'ATT H-3D'!C91</f>
        <v>Undistributed Stores Exp</v>
      </c>
      <c r="D15" s="353"/>
      <c r="E15" s="352" t="str">
        <f>+'ATT H-3D'!E91</f>
        <v>(Note A)</v>
      </c>
      <c r="F15" s="390" t="str">
        <f>+'ATT H-3D'!F91</f>
        <v>p227.6c &amp; 16.c</v>
      </c>
      <c r="G15" s="579">
        <v>1309738</v>
      </c>
      <c r="H15" s="575">
        <f>G15*0.96973</f>
        <v>1270092.23074</v>
      </c>
      <c r="I15" s="575">
        <f>G15-H15</f>
        <v>39645.769259999972</v>
      </c>
      <c r="J15" s="1240" t="s">
        <v>777</v>
      </c>
      <c r="K15" s="1241"/>
      <c r="L15" s="1241"/>
      <c r="M15" s="1241"/>
      <c r="N15" s="1241"/>
      <c r="O15" s="1241"/>
      <c r="P15" s="1241"/>
      <c r="Q15" s="1242"/>
    </row>
    <row r="16" spans="1:17" ht="15.75">
      <c r="A16" s="381"/>
      <c r="B16" s="373" t="s">
        <v>88</v>
      </c>
      <c r="C16" s="360"/>
      <c r="D16" s="353"/>
      <c r="E16" s="359"/>
      <c r="F16" s="390"/>
      <c r="G16" s="419"/>
      <c r="H16" s="295"/>
      <c r="I16" s="295"/>
      <c r="J16" s="543"/>
      <c r="K16" s="544"/>
      <c r="L16" s="544"/>
      <c r="M16" s="544"/>
      <c r="N16" s="544"/>
      <c r="O16" s="544"/>
      <c r="P16" s="544"/>
      <c r="Q16" s="580"/>
    </row>
    <row r="17" spans="1:17" ht="15.75">
      <c r="A17" s="381">
        <f>+'ATT H-3D'!A119</f>
        <v>65</v>
      </c>
      <c r="B17" s="373"/>
      <c r="C17" s="363" t="str">
        <f>+'ATT H-3D'!C119</f>
        <v xml:space="preserve">     Plus Transmission Lease Payments</v>
      </c>
      <c r="D17" s="353"/>
      <c r="E17" s="393" t="str">
        <f>+'ATT H-3D'!E119</f>
        <v>(Note A)</v>
      </c>
      <c r="F17" s="391" t="str">
        <f>+'ATT H-3D'!F119</f>
        <v>p200.3.c</v>
      </c>
      <c r="G17" s="419"/>
      <c r="H17" s="295"/>
      <c r="I17" s="295"/>
      <c r="J17" s="543"/>
      <c r="K17" s="544"/>
      <c r="L17" s="544"/>
      <c r="M17" s="544"/>
      <c r="N17" s="544"/>
      <c r="O17" s="544"/>
      <c r="P17" s="544"/>
      <c r="Q17" s="580"/>
    </row>
    <row r="18" spans="1:17" ht="15.75">
      <c r="A18" s="381">
        <f>+'ATT H-3D'!A123</f>
        <v>67</v>
      </c>
      <c r="B18" s="372"/>
      <c r="C18" s="363" t="str">
        <f>+'ATT H-3D'!C123</f>
        <v>Common Plant O&amp;M</v>
      </c>
      <c r="D18" s="353"/>
      <c r="E18" s="393" t="str">
        <f>+'ATT H-3D'!E123</f>
        <v>(Note A)</v>
      </c>
      <c r="F18" s="391" t="str">
        <f>+'ATT H-3D'!F123</f>
        <v>p356</v>
      </c>
      <c r="G18" s="579">
        <v>0</v>
      </c>
      <c r="H18" s="531">
        <v>0</v>
      </c>
      <c r="I18" s="531">
        <v>0</v>
      </c>
      <c r="J18" s="1233"/>
      <c r="K18" s="1234"/>
      <c r="L18" s="1234"/>
      <c r="M18" s="1234"/>
      <c r="N18" s="1234"/>
      <c r="O18" s="1234"/>
      <c r="P18" s="1234"/>
      <c r="Q18" s="1193"/>
    </row>
    <row r="19" spans="1:17" ht="15.75">
      <c r="A19" s="377"/>
      <c r="B19" s="368" t="s">
        <v>60</v>
      </c>
      <c r="C19" s="386"/>
      <c r="D19" s="245"/>
      <c r="E19" s="374"/>
      <c r="F19" s="379"/>
      <c r="G19" s="419"/>
      <c r="H19" s="295"/>
      <c r="I19" s="295"/>
      <c r="J19" s="1216"/>
      <c r="K19" s="1216"/>
      <c r="L19" s="1216"/>
      <c r="M19" s="1216"/>
      <c r="N19" s="1216"/>
      <c r="O19" s="1216"/>
      <c r="P19" s="1216"/>
      <c r="Q19" s="1239"/>
    </row>
    <row r="20" spans="1:17" ht="15.75" customHeight="1">
      <c r="A20" s="376">
        <f>+'ATT H-3D'!A156</f>
        <v>88</v>
      </c>
      <c r="B20" s="392"/>
      <c r="C20" s="364" t="str">
        <f>+'ATT H-3D'!C156</f>
        <v>Intangible Amortization</v>
      </c>
      <c r="D20" s="353"/>
      <c r="E20" s="398" t="str">
        <f>+'ATT H-3D'!E156</f>
        <v>(Note A)</v>
      </c>
      <c r="F20" s="394" t="str">
        <f>+'ATT H-3D'!F156</f>
        <v>p336.1d&amp;e</v>
      </c>
      <c r="G20" s="579">
        <v>136005</v>
      </c>
      <c r="H20" s="575">
        <v>136005</v>
      </c>
      <c r="I20" s="575">
        <f>G20-H20</f>
        <v>0</v>
      </c>
      <c r="J20" s="1233" t="s">
        <v>528</v>
      </c>
      <c r="K20" s="1234"/>
      <c r="L20" s="1234"/>
      <c r="M20" s="1234"/>
      <c r="N20" s="1234"/>
      <c r="O20" s="1234"/>
      <c r="P20" s="1234"/>
      <c r="Q20" s="1193"/>
    </row>
    <row r="21" spans="1:17" ht="15.75">
      <c r="A21" s="376">
        <f>+'ATT H-3D'!A161</f>
        <v>92</v>
      </c>
      <c r="B21" s="384"/>
      <c r="C21" s="364" t="str">
        <f>+'ATT H-3D'!C161</f>
        <v>Common Depreciation - Electric Only</v>
      </c>
      <c r="D21" s="353"/>
      <c r="E21" s="398" t="str">
        <f>+'ATT H-3D'!E161</f>
        <v>(Note A)</v>
      </c>
      <c r="F21" s="394" t="str">
        <f>+'ATT H-3D'!F161</f>
        <v>p336.11.b</v>
      </c>
      <c r="G21" s="720">
        <v>3738403</v>
      </c>
      <c r="H21" s="575">
        <v>3738403</v>
      </c>
      <c r="I21" s="531">
        <f>G21-H21</f>
        <v>0</v>
      </c>
      <c r="J21" s="1237" t="s">
        <v>527</v>
      </c>
      <c r="K21" s="1237"/>
      <c r="L21" s="1237"/>
      <c r="M21" s="1237"/>
      <c r="N21" s="1237"/>
      <c r="O21" s="1237"/>
      <c r="P21" s="1237"/>
      <c r="Q21" s="1238"/>
    </row>
    <row r="22" spans="1:17" ht="16.5" thickBot="1">
      <c r="A22" s="399">
        <f>+'ATT H-3D'!A162</f>
        <v>93</v>
      </c>
      <c r="B22" s="405"/>
      <c r="C22" s="406" t="str">
        <f>+'ATT H-3D'!C162</f>
        <v>Common Amortization - Electric Only</v>
      </c>
      <c r="D22" s="403"/>
      <c r="E22" s="407" t="str">
        <f>+'ATT H-3D'!E162</f>
        <v>(Note A)</v>
      </c>
      <c r="F22" s="411" t="str">
        <f>+'ATT H-3D'!F162</f>
        <v>p356 or p336.11d</v>
      </c>
      <c r="G22" s="581">
        <v>0</v>
      </c>
      <c r="H22" s="576">
        <f>G22</f>
        <v>0</v>
      </c>
      <c r="I22" s="532">
        <v>0</v>
      </c>
      <c r="J22" s="1235" t="s">
        <v>527</v>
      </c>
      <c r="K22" s="1235"/>
      <c r="L22" s="1235"/>
      <c r="M22" s="1235"/>
      <c r="N22" s="1235"/>
      <c r="O22" s="1235"/>
      <c r="P22" s="1235"/>
      <c r="Q22" s="1236"/>
    </row>
    <row r="23" spans="1:17">
      <c r="G23" s="834"/>
      <c r="H23" s="294"/>
      <c r="I23" s="294"/>
      <c r="J23" s="294"/>
      <c r="K23" s="294"/>
      <c r="L23" s="294"/>
      <c r="M23" s="294"/>
      <c r="N23" s="294"/>
      <c r="O23" s="294"/>
      <c r="P23" s="294"/>
      <c r="Q23" s="294"/>
    </row>
    <row r="24" spans="1:17">
      <c r="G24" s="294"/>
      <c r="H24" s="294"/>
      <c r="I24" s="294"/>
      <c r="J24" s="294"/>
      <c r="K24" s="294"/>
      <c r="L24" s="294"/>
      <c r="M24" s="294"/>
      <c r="N24" s="294"/>
      <c r="O24" s="294"/>
      <c r="P24" s="294"/>
      <c r="Q24" s="294"/>
    </row>
    <row r="25" spans="1:17" ht="21" thickBot="1">
      <c r="A25" s="404" t="s">
        <v>386</v>
      </c>
      <c r="G25" s="294"/>
      <c r="H25" s="294"/>
      <c r="I25" s="294"/>
      <c r="J25" s="294"/>
      <c r="K25" s="294"/>
      <c r="L25" s="294"/>
      <c r="M25" s="294"/>
      <c r="N25" s="294"/>
      <c r="O25" s="294"/>
      <c r="P25" s="294"/>
      <c r="Q25" s="294"/>
    </row>
    <row r="26" spans="1:17" ht="50.25" customHeight="1">
      <c r="A26" s="1200" t="s">
        <v>611</v>
      </c>
      <c r="B26" s="1201"/>
      <c r="C26" s="1201"/>
      <c r="D26" s="1201"/>
      <c r="E26" s="1201"/>
      <c r="F26" s="1202"/>
      <c r="G26" s="425" t="s">
        <v>319</v>
      </c>
      <c r="H26" s="425" t="s">
        <v>321</v>
      </c>
      <c r="I26" s="425" t="s">
        <v>382</v>
      </c>
      <c r="J26" s="1189" t="s">
        <v>279</v>
      </c>
      <c r="K26" s="1224"/>
      <c r="L26" s="1224"/>
      <c r="M26" s="1224"/>
      <c r="N26" s="1224"/>
      <c r="O26" s="1224"/>
      <c r="P26" s="1224"/>
      <c r="Q26" s="1225"/>
    </row>
    <row r="27" spans="1:17" ht="33.75" customHeight="1">
      <c r="A27" s="381">
        <f>+'ATT H-3D'!A51</f>
        <v>28</v>
      </c>
      <c r="B27" s="372"/>
      <c r="C27" s="355" t="str">
        <f>+'ATT H-3D'!C51</f>
        <v>Plant Held for Future Use (Including Land)</v>
      </c>
      <c r="D27" s="397"/>
      <c r="E27" s="393" t="str">
        <f>+'ATT H-3D'!E51</f>
        <v>(Note C)</v>
      </c>
      <c r="F27" s="385" t="str">
        <f>+'ATT H-3D'!F51</f>
        <v>p214</v>
      </c>
      <c r="G27" s="531">
        <v>3240849</v>
      </c>
      <c r="H27" s="531">
        <v>0</v>
      </c>
      <c r="I27" s="531">
        <f>G27-H27</f>
        <v>3240849</v>
      </c>
      <c r="J27" s="1217" t="s">
        <v>518</v>
      </c>
      <c r="K27" s="1217"/>
      <c r="L27" s="1217"/>
      <c r="M27" s="1217"/>
      <c r="N27" s="1217"/>
      <c r="O27" s="1217"/>
      <c r="P27" s="1217"/>
      <c r="Q27" s="1218"/>
    </row>
    <row r="28" spans="1:17" ht="15.75" hidden="1" customHeight="1">
      <c r="A28" s="381"/>
      <c r="B28" s="373" t="s">
        <v>86</v>
      </c>
      <c r="C28" s="350"/>
      <c r="D28" s="353"/>
      <c r="E28" s="354"/>
      <c r="F28" s="379"/>
      <c r="G28" s="295"/>
      <c r="H28" s="295"/>
      <c r="I28" s="295"/>
      <c r="J28" s="1216"/>
      <c r="K28" s="1217"/>
      <c r="L28" s="1217"/>
      <c r="M28" s="1217"/>
      <c r="N28" s="1217"/>
      <c r="O28" s="1217"/>
      <c r="P28" s="1217"/>
      <c r="Q28" s="1218"/>
    </row>
    <row r="29" spans="1:17" ht="16.5" hidden="1" customHeight="1">
      <c r="A29" s="381">
        <v>73</v>
      </c>
      <c r="B29" s="384"/>
      <c r="C29" s="363" t="s">
        <v>219</v>
      </c>
      <c r="D29" s="352"/>
      <c r="E29" s="374" t="s">
        <v>185</v>
      </c>
      <c r="F29" s="385" t="s">
        <v>59</v>
      </c>
      <c r="G29" s="531" t="s">
        <v>774</v>
      </c>
      <c r="H29" s="531" t="s">
        <v>774</v>
      </c>
      <c r="I29" s="531" t="s">
        <v>774</v>
      </c>
      <c r="J29" s="1217" t="s">
        <v>775</v>
      </c>
      <c r="K29" s="1217"/>
      <c r="L29" s="1217"/>
      <c r="M29" s="1217"/>
      <c r="N29" s="1217"/>
      <c r="O29" s="1217"/>
      <c r="P29" s="1217"/>
      <c r="Q29" s="1218"/>
    </row>
    <row r="30" spans="1:17" ht="15.75">
      <c r="A30" s="381"/>
      <c r="B30" s="384"/>
      <c r="C30" s="363"/>
      <c r="D30" s="353"/>
      <c r="E30" s="393"/>
      <c r="F30" s="385"/>
      <c r="G30" s="295"/>
      <c r="H30" s="348"/>
      <c r="I30" s="295"/>
      <c r="J30" s="295">
        <v>1</v>
      </c>
      <c r="K30" s="295"/>
      <c r="L30" s="295"/>
      <c r="M30" s="295"/>
      <c r="N30" s="295"/>
      <c r="O30" s="295"/>
      <c r="P30" s="295"/>
      <c r="Q30" s="417"/>
    </row>
    <row r="31" spans="1:17" ht="15.75">
      <c r="A31" s="381"/>
      <c r="B31" s="384"/>
      <c r="C31" s="363"/>
      <c r="D31" s="353"/>
      <c r="E31" s="393"/>
      <c r="F31" s="385"/>
      <c r="G31" s="295"/>
      <c r="H31" s="537"/>
      <c r="I31" s="295"/>
      <c r="J31" s="295">
        <v>2</v>
      </c>
      <c r="K31" s="295"/>
      <c r="L31" s="295"/>
      <c r="M31" s="295"/>
      <c r="N31" s="295"/>
      <c r="O31" s="295"/>
      <c r="P31" s="295"/>
      <c r="Q31" s="417"/>
    </row>
    <row r="32" spans="1:17" ht="15.75">
      <c r="A32" s="381"/>
      <c r="B32" s="384"/>
      <c r="C32" s="363"/>
      <c r="D32" s="353"/>
      <c r="E32" s="393"/>
      <c r="F32" s="385"/>
      <c r="G32" s="295"/>
      <c r="H32" s="537"/>
      <c r="I32" s="295"/>
      <c r="J32" s="295">
        <v>3</v>
      </c>
      <c r="K32" s="295"/>
      <c r="L32" s="295"/>
      <c r="M32" s="295"/>
      <c r="N32" s="295"/>
      <c r="O32" s="295"/>
      <c r="P32" s="295"/>
      <c r="Q32" s="417"/>
    </row>
    <row r="33" spans="1:17" ht="15.75">
      <c r="A33" s="381"/>
      <c r="B33" s="384"/>
      <c r="C33" s="363"/>
      <c r="D33" s="353"/>
      <c r="E33" s="393"/>
      <c r="F33" s="385"/>
      <c r="G33" s="295"/>
      <c r="H33" s="537"/>
      <c r="I33" s="295"/>
      <c r="J33" s="295">
        <v>4</v>
      </c>
      <c r="K33" s="295"/>
      <c r="L33" s="295"/>
      <c r="M33" s="295"/>
      <c r="N33" s="295"/>
      <c r="O33" s="295"/>
      <c r="P33" s="295"/>
      <c r="Q33" s="417"/>
    </row>
    <row r="34" spans="1:17" ht="13.5" thickBot="1">
      <c r="A34" s="326"/>
      <c r="B34" s="327"/>
      <c r="C34" s="327"/>
      <c r="D34" s="536"/>
      <c r="E34" s="327"/>
      <c r="F34" s="328"/>
      <c r="G34" s="418"/>
      <c r="H34" s="538"/>
      <c r="I34" s="418"/>
      <c r="J34" s="418">
        <v>5</v>
      </c>
      <c r="K34" s="418"/>
      <c r="L34" s="418"/>
      <c r="M34" s="418"/>
      <c r="N34" s="418"/>
      <c r="O34" s="418"/>
      <c r="P34" s="418"/>
      <c r="Q34" s="423"/>
    </row>
    <row r="35" spans="1:17" ht="21" thickBot="1">
      <c r="A35" s="404" t="s">
        <v>395</v>
      </c>
      <c r="G35" s="294"/>
      <c r="H35" s="294"/>
      <c r="I35" s="294"/>
      <c r="J35" s="294"/>
      <c r="K35" s="294"/>
      <c r="L35" s="294"/>
      <c r="M35" s="294"/>
      <c r="N35" s="294"/>
      <c r="O35" s="294"/>
      <c r="P35" s="294"/>
      <c r="Q35" s="294"/>
    </row>
    <row r="36" spans="1:17" ht="61.5" customHeight="1">
      <c r="A36" s="1200" t="s">
        <v>611</v>
      </c>
      <c r="B36" s="1201"/>
      <c r="C36" s="1201"/>
      <c r="D36" s="1201"/>
      <c r="E36" s="1201"/>
      <c r="F36" s="1202"/>
      <c r="G36" s="425" t="str">
        <f>+G26</f>
        <v>Form 1 Amount</v>
      </c>
      <c r="H36" s="425" t="s">
        <v>383</v>
      </c>
      <c r="I36" s="425" t="s">
        <v>322</v>
      </c>
      <c r="J36" s="1189" t="s">
        <v>279</v>
      </c>
      <c r="K36" s="1224"/>
      <c r="L36" s="1224"/>
      <c r="M36" s="1224"/>
      <c r="N36" s="1224"/>
      <c r="O36" s="1224"/>
      <c r="P36" s="1224"/>
      <c r="Q36" s="1225"/>
    </row>
    <row r="37" spans="1:17" ht="15.75">
      <c r="A37" s="377"/>
      <c r="B37" s="373" t="s">
        <v>167</v>
      </c>
      <c r="C37" s="386"/>
      <c r="D37" s="366"/>
      <c r="E37" s="351"/>
      <c r="F37" s="378"/>
      <c r="G37" s="295"/>
      <c r="H37" s="295"/>
      <c r="I37" s="295"/>
      <c r="J37" s="1216"/>
      <c r="K37" s="1217"/>
      <c r="L37" s="1217"/>
      <c r="M37" s="1217"/>
      <c r="N37" s="1217"/>
      <c r="O37" s="1217"/>
      <c r="P37" s="1217"/>
      <c r="Q37" s="1218"/>
    </row>
    <row r="38" spans="1:17" ht="15.75">
      <c r="A38" s="381">
        <f>+'ATT H-3D'!A19</f>
        <v>6</v>
      </c>
      <c r="B38" s="366"/>
      <c r="C38" s="363" t="str">
        <f>+'ATT H-3D'!C19</f>
        <v>Electric Plant in Service</v>
      </c>
      <c r="D38" s="245"/>
      <c r="E38" s="393" t="str">
        <f>+'ATT H-3D'!E19</f>
        <v>(Note B)</v>
      </c>
      <c r="F38" s="385" t="s">
        <v>7</v>
      </c>
      <c r="G38" s="569">
        <v>3431003839</v>
      </c>
      <c r="H38" s="454">
        <v>0</v>
      </c>
      <c r="I38" s="531">
        <v>0</v>
      </c>
      <c r="J38" s="1217" t="s">
        <v>770</v>
      </c>
      <c r="K38" s="1217"/>
      <c r="L38" s="1217"/>
      <c r="M38" s="1217"/>
      <c r="N38" s="1217"/>
      <c r="O38" s="1217"/>
      <c r="P38" s="1217"/>
      <c r="Q38" s="1218"/>
    </row>
    <row r="39" spans="1:17" ht="15.75">
      <c r="A39" s="377"/>
      <c r="B39" s="373" t="s">
        <v>116</v>
      </c>
      <c r="C39" s="386"/>
      <c r="D39" s="245"/>
      <c r="E39" s="359"/>
      <c r="F39" s="550"/>
      <c r="G39" s="569"/>
      <c r="H39" s="295"/>
      <c r="I39" s="295"/>
      <c r="J39" s="1217"/>
      <c r="K39" s="1217"/>
      <c r="L39" s="1217"/>
      <c r="M39" s="1217"/>
      <c r="N39" s="1217"/>
      <c r="O39" s="1217"/>
      <c r="P39" s="1217"/>
      <c r="Q39" s="1218"/>
    </row>
    <row r="40" spans="1:17" ht="15.75">
      <c r="A40" s="381">
        <f>+'ATT H-3D'!A40</f>
        <v>19</v>
      </c>
      <c r="B40" s="361"/>
      <c r="C40" s="363" t="str">
        <f>+'ATT H-3D'!C40</f>
        <v>Transmission Plant In Service</v>
      </c>
      <c r="D40" s="245"/>
      <c r="E40" s="393" t="str">
        <f>+'ATT H-3D'!E40</f>
        <v>(Note B)</v>
      </c>
      <c r="F40" s="385" t="str">
        <f>+'ATT H-3D'!F40</f>
        <v>p207.58.g</v>
      </c>
      <c r="G40" s="569">
        <v>1207860962</v>
      </c>
      <c r="H40" s="454">
        <v>0</v>
      </c>
      <c r="I40" s="454">
        <v>0</v>
      </c>
      <c r="J40" s="1217" t="s">
        <v>487</v>
      </c>
      <c r="K40" s="1217"/>
      <c r="L40" s="1217"/>
      <c r="M40" s="1217"/>
      <c r="N40" s="1217"/>
      <c r="O40" s="1217"/>
      <c r="P40" s="1217"/>
      <c r="Q40" s="1218"/>
    </row>
    <row r="41" spans="1:17" ht="15.75">
      <c r="A41" s="377">
        <f>+'ATT H-3D'!A46</f>
        <v>24</v>
      </c>
      <c r="B41" s="366"/>
      <c r="C41" s="386" t="str">
        <f>+'ATT H-3D'!C46</f>
        <v>Common Plant (Electric Only)</v>
      </c>
      <c r="D41" s="366"/>
      <c r="E41" s="374" t="str">
        <f>+'ATT H-3D'!E46</f>
        <v>(Notes A &amp; B)</v>
      </c>
      <c r="F41" s="551" t="str">
        <f>+'ATT H-3D'!F46</f>
        <v>p356</v>
      </c>
      <c r="G41" s="569">
        <v>88071964</v>
      </c>
      <c r="H41" s="454">
        <v>0</v>
      </c>
      <c r="I41" s="454">
        <v>0</v>
      </c>
      <c r="J41" s="1217"/>
      <c r="K41" s="1217"/>
      <c r="L41" s="1217"/>
      <c r="M41" s="1217"/>
      <c r="N41" s="1217"/>
      <c r="O41" s="1217"/>
      <c r="P41" s="1217"/>
      <c r="Q41" s="1218"/>
    </row>
    <row r="42" spans="1:17" ht="15.75">
      <c r="A42" s="381"/>
      <c r="B42" s="373" t="s">
        <v>100</v>
      </c>
      <c r="C42" s="355"/>
      <c r="D42" s="356"/>
      <c r="E42" s="389"/>
      <c r="F42" s="552"/>
      <c r="G42" s="295"/>
      <c r="H42" s="295"/>
      <c r="I42" s="295"/>
      <c r="J42" s="295"/>
      <c r="K42" s="295"/>
      <c r="L42" s="295"/>
      <c r="M42" s="295"/>
      <c r="N42" s="295"/>
      <c r="O42" s="295"/>
      <c r="P42" s="295"/>
      <c r="Q42" s="417"/>
    </row>
    <row r="43" spans="1:17" ht="16.5" thickBot="1">
      <c r="A43" s="399">
        <f>+'ATT H-3D'!A57</f>
        <v>30</v>
      </c>
      <c r="B43" s="400"/>
      <c r="C43" s="406" t="str">
        <f>+'ATT H-3D'!C57</f>
        <v>Transmission Accumulated Depreciation</v>
      </c>
      <c r="D43" s="401"/>
      <c r="E43" s="407" t="str">
        <f>+'ATT H-3D'!E57</f>
        <v>(Note B)</v>
      </c>
      <c r="F43" s="408" t="str">
        <f>+'ATT H-3D'!F57</f>
        <v>p219.25.c</v>
      </c>
      <c r="G43" s="570">
        <v>322619784</v>
      </c>
      <c r="H43" s="456">
        <v>0</v>
      </c>
      <c r="I43" s="456">
        <v>0</v>
      </c>
      <c r="J43" s="1222" t="s">
        <v>487</v>
      </c>
      <c r="K43" s="1222"/>
      <c r="L43" s="1222"/>
      <c r="M43" s="1222"/>
      <c r="N43" s="1222"/>
      <c r="O43" s="1222"/>
      <c r="P43" s="1222"/>
      <c r="Q43" s="1223"/>
    </row>
    <row r="44" spans="1:17">
      <c r="G44" s="294"/>
      <c r="H44" s="294"/>
      <c r="I44" s="294"/>
      <c r="J44" s="294"/>
      <c r="K44" s="294"/>
      <c r="L44" s="294"/>
      <c r="M44" s="294"/>
      <c r="N44" s="294"/>
      <c r="O44" s="294"/>
      <c r="P44" s="294"/>
      <c r="Q44" s="294"/>
    </row>
    <row r="45" spans="1:17">
      <c r="G45" s="294"/>
      <c r="H45" s="294"/>
      <c r="I45" s="294"/>
      <c r="J45" s="294"/>
      <c r="K45" s="294"/>
      <c r="L45" s="294"/>
      <c r="M45" s="294"/>
      <c r="N45" s="294"/>
      <c r="O45" s="294"/>
      <c r="P45" s="294"/>
      <c r="Q45" s="294"/>
    </row>
    <row r="46" spans="1:17" ht="21" thickBot="1">
      <c r="A46" s="404" t="s">
        <v>387</v>
      </c>
      <c r="G46" s="294"/>
      <c r="H46" s="294"/>
      <c r="I46" s="294"/>
      <c r="J46" s="294"/>
      <c r="K46" s="294"/>
      <c r="L46" s="294"/>
      <c r="M46" s="294"/>
      <c r="N46" s="294"/>
      <c r="O46" s="294"/>
      <c r="P46" s="294"/>
      <c r="Q46" s="294"/>
    </row>
    <row r="47" spans="1:17" ht="18">
      <c r="A47" s="1200" t="s">
        <v>611</v>
      </c>
      <c r="B47" s="1201"/>
      <c r="C47" s="1201"/>
      <c r="D47" s="1201"/>
      <c r="E47" s="1201"/>
      <c r="F47" s="1202"/>
      <c r="G47" s="425" t="str">
        <f>+G36</f>
        <v>Form 1 Amount</v>
      </c>
      <c r="H47" s="425" t="s">
        <v>317</v>
      </c>
      <c r="I47" s="425"/>
      <c r="J47" s="1189" t="s">
        <v>279</v>
      </c>
      <c r="K47" s="1224"/>
      <c r="L47" s="1224"/>
      <c r="M47" s="1224"/>
      <c r="N47" s="1224"/>
      <c r="O47" s="1224"/>
      <c r="P47" s="1224"/>
      <c r="Q47" s="1225"/>
    </row>
    <row r="48" spans="1:17" ht="15.75">
      <c r="A48" s="381"/>
      <c r="B48" s="373" t="s">
        <v>88</v>
      </c>
      <c r="C48" s="353"/>
      <c r="D48" s="353"/>
      <c r="E48" s="380"/>
      <c r="F48" s="390"/>
      <c r="G48" s="295"/>
      <c r="H48" s="295"/>
      <c r="I48" s="295"/>
      <c r="J48" s="1216"/>
      <c r="K48" s="1217"/>
      <c r="L48" s="1217"/>
      <c r="M48" s="1217"/>
      <c r="N48" s="1217"/>
      <c r="O48" s="1217"/>
      <c r="P48" s="1217"/>
      <c r="Q48" s="1218"/>
    </row>
    <row r="49" spans="1:17" ht="16.5" thickBot="1">
      <c r="A49" s="399">
        <f>+'ATT H-3D'!A130</f>
        <v>73</v>
      </c>
      <c r="B49" s="402"/>
      <c r="C49" s="406" t="str">
        <f>+'ATT H-3D'!C130</f>
        <v xml:space="preserve">    Less EPRI Dues</v>
      </c>
      <c r="D49" s="410"/>
      <c r="E49" s="407" t="str">
        <f>+'ATT H-3D'!E130</f>
        <v>(Note D)</v>
      </c>
      <c r="F49" s="408" t="str">
        <f>+'ATT H-3D'!F130</f>
        <v>p352-353</v>
      </c>
      <c r="G49" s="848">
        <v>136301</v>
      </c>
      <c r="H49" s="848">
        <f>G49</f>
        <v>136301</v>
      </c>
      <c r="I49" s="456"/>
      <c r="J49" s="1222" t="s">
        <v>487</v>
      </c>
      <c r="K49" s="1222"/>
      <c r="L49" s="1222"/>
      <c r="M49" s="1222"/>
      <c r="N49" s="1222"/>
      <c r="O49" s="1222"/>
      <c r="P49" s="1222"/>
      <c r="Q49" s="1223"/>
    </row>
    <row r="50" spans="1:17">
      <c r="G50" s="294"/>
      <c r="H50" s="294"/>
      <c r="I50" s="294"/>
      <c r="J50" s="294"/>
      <c r="K50" s="294"/>
      <c r="L50" s="294"/>
      <c r="M50" s="294"/>
      <c r="N50" s="294"/>
      <c r="O50" s="294"/>
      <c r="P50" s="294"/>
      <c r="Q50" s="294"/>
    </row>
    <row r="51" spans="1:17">
      <c r="G51" s="294"/>
      <c r="H51" s="294"/>
      <c r="I51" s="294"/>
      <c r="J51" s="294"/>
      <c r="K51" s="294"/>
      <c r="L51" s="294"/>
      <c r="M51" s="294"/>
      <c r="N51" s="294"/>
      <c r="O51" s="294"/>
      <c r="P51" s="294"/>
      <c r="Q51" s="294"/>
    </row>
    <row r="52" spans="1:17" ht="21" thickBot="1">
      <c r="A52" s="404" t="s">
        <v>388</v>
      </c>
      <c r="G52" s="294"/>
      <c r="H52" s="294"/>
      <c r="I52" s="294"/>
      <c r="J52" s="294"/>
      <c r="K52" s="294"/>
      <c r="L52" s="294"/>
      <c r="M52" s="294"/>
      <c r="N52" s="294"/>
      <c r="O52" s="294"/>
      <c r="P52" s="294"/>
      <c r="Q52" s="294"/>
    </row>
    <row r="53" spans="1:17" ht="39">
      <c r="A53" s="1200" t="s">
        <v>611</v>
      </c>
      <c r="B53" s="1201"/>
      <c r="C53" s="1201"/>
      <c r="D53" s="1201"/>
      <c r="E53" s="1201"/>
      <c r="F53" s="1202"/>
      <c r="G53" s="425" t="s">
        <v>319</v>
      </c>
      <c r="H53" s="425" t="s">
        <v>321</v>
      </c>
      <c r="I53" s="425" t="s">
        <v>382</v>
      </c>
      <c r="J53" s="1189" t="s">
        <v>279</v>
      </c>
      <c r="K53" s="1224"/>
      <c r="L53" s="1224"/>
      <c r="M53" s="1224"/>
      <c r="N53" s="1224"/>
      <c r="O53" s="1224"/>
      <c r="P53" s="1224"/>
      <c r="Q53" s="1225"/>
    </row>
    <row r="54" spans="1:17" ht="15.75">
      <c r="A54" s="381"/>
      <c r="B54" s="373" t="s">
        <v>88</v>
      </c>
      <c r="C54" s="353"/>
      <c r="D54" s="353"/>
      <c r="E54" s="380"/>
      <c r="F54" s="390"/>
      <c r="G54" s="295"/>
      <c r="H54" s="295"/>
      <c r="I54" s="295"/>
      <c r="J54" s="295"/>
      <c r="K54" s="295"/>
      <c r="L54" s="295"/>
      <c r="M54" s="295"/>
      <c r="N54" s="295"/>
      <c r="O54" s="295"/>
      <c r="P54" s="295"/>
      <c r="Q54" s="417"/>
    </row>
    <row r="55" spans="1:17" ht="15.75">
      <c r="A55" s="381">
        <f>+'ATT H-3D'!A127</f>
        <v>70</v>
      </c>
      <c r="B55" s="372"/>
      <c r="C55" s="363" t="str">
        <f>+'ATT H-3D'!C127</f>
        <v xml:space="preserve">    Less Regulatory Commission Exp Account 928</v>
      </c>
      <c r="D55" s="356"/>
      <c r="E55" s="393" t="str">
        <f>+'ATT H-3D'!E127</f>
        <v>(Note E)</v>
      </c>
      <c r="F55" s="385" t="str">
        <f>+'ATT H-3D'!F127</f>
        <v>p323.189b</v>
      </c>
      <c r="G55" s="579">
        <v>3651224</v>
      </c>
      <c r="H55" s="575">
        <f>190738+132102+7805+488+6354+3200</f>
        <v>340687</v>
      </c>
      <c r="I55" s="575">
        <f>G55-H55</f>
        <v>3310537</v>
      </c>
      <c r="J55" s="675" t="s">
        <v>773</v>
      </c>
      <c r="K55" s="675"/>
      <c r="L55" s="675"/>
      <c r="M55" s="675"/>
      <c r="N55" s="675"/>
      <c r="O55" s="675"/>
      <c r="P55" s="675"/>
      <c r="Q55" s="676"/>
    </row>
    <row r="56" spans="1:17" ht="15.75">
      <c r="A56" s="381"/>
      <c r="B56" s="373" t="s">
        <v>86</v>
      </c>
      <c r="C56" s="360"/>
      <c r="D56" s="353"/>
      <c r="E56" s="389"/>
      <c r="F56" s="551"/>
      <c r="G56" s="348"/>
      <c r="H56" s="585"/>
      <c r="I56" s="348"/>
      <c r="J56" s="295"/>
      <c r="K56" s="295"/>
      <c r="L56" s="295"/>
      <c r="M56" s="295"/>
      <c r="N56" s="295"/>
      <c r="O56" s="295"/>
      <c r="P56" s="295"/>
      <c r="Q56" s="417"/>
    </row>
    <row r="57" spans="1:17" ht="16.5" thickBot="1">
      <c r="A57" s="399">
        <f>+'ATT H-3D'!A136</f>
        <v>77</v>
      </c>
      <c r="B57" s="405"/>
      <c r="C57" s="406" t="str">
        <f>+'ATT H-3D'!C136</f>
        <v>Regulatory Commission Exp Account 928</v>
      </c>
      <c r="D57" s="409"/>
      <c r="E57" s="407" t="str">
        <f>+'ATT H-3D'!E136</f>
        <v>(Note G)</v>
      </c>
      <c r="F57" s="408" t="str">
        <f>+'ATT H-3D'!F136</f>
        <v>p323.189b</v>
      </c>
      <c r="G57" s="532">
        <f>G55</f>
        <v>3651224</v>
      </c>
      <c r="H57" s="532">
        <f>H55</f>
        <v>340687</v>
      </c>
      <c r="I57" s="532">
        <f>G57-H57</f>
        <v>3310537</v>
      </c>
      <c r="J57" s="1222" t="s">
        <v>773</v>
      </c>
      <c r="K57" s="1222"/>
      <c r="L57" s="1222"/>
      <c r="M57" s="1222"/>
      <c r="N57" s="1222"/>
      <c r="O57" s="1222"/>
      <c r="P57" s="1222"/>
      <c r="Q57" s="1223"/>
    </row>
    <row r="58" spans="1:17">
      <c r="G58" s="569"/>
      <c r="H58" s="294"/>
      <c r="I58" s="294"/>
      <c r="J58" s="294"/>
      <c r="K58" s="294"/>
      <c r="L58" s="294"/>
      <c r="M58" s="294"/>
      <c r="N58" s="294"/>
      <c r="O58" s="294"/>
      <c r="P58" s="294"/>
      <c r="Q58" s="294"/>
    </row>
    <row r="59" spans="1:17">
      <c r="G59" s="294"/>
      <c r="H59" s="294"/>
      <c r="I59" s="294"/>
      <c r="J59" s="294"/>
      <c r="K59" s="294"/>
      <c r="L59" s="294"/>
      <c r="M59" s="294"/>
      <c r="N59" s="294"/>
      <c r="O59" s="294"/>
      <c r="P59" s="294"/>
      <c r="Q59" s="294"/>
    </row>
    <row r="60" spans="1:17" ht="21" thickBot="1">
      <c r="A60" s="404" t="s">
        <v>389</v>
      </c>
      <c r="G60" s="294"/>
      <c r="H60" s="294"/>
      <c r="I60" s="294"/>
      <c r="J60" s="294"/>
      <c r="K60" s="294"/>
      <c r="L60" s="294"/>
      <c r="M60" s="294"/>
      <c r="N60" s="294"/>
      <c r="O60" s="294"/>
      <c r="P60" s="294"/>
      <c r="Q60" s="294"/>
    </row>
    <row r="61" spans="1:17" ht="26.25">
      <c r="A61" s="1200" t="s">
        <v>611</v>
      </c>
      <c r="B61" s="1201"/>
      <c r="C61" s="1201"/>
      <c r="D61" s="1201"/>
      <c r="E61" s="1201"/>
      <c r="F61" s="1202"/>
      <c r="G61" s="425" t="s">
        <v>319</v>
      </c>
      <c r="H61" s="425" t="s">
        <v>323</v>
      </c>
      <c r="I61" s="425" t="s">
        <v>384</v>
      </c>
      <c r="J61" s="1189" t="s">
        <v>279</v>
      </c>
      <c r="K61" s="1224"/>
      <c r="L61" s="1224"/>
      <c r="M61" s="1224"/>
      <c r="N61" s="1224"/>
      <c r="O61" s="1224"/>
      <c r="P61" s="1224"/>
      <c r="Q61" s="1225"/>
    </row>
    <row r="62" spans="1:17" ht="15.75">
      <c r="A62" s="381"/>
      <c r="B62" s="373" t="s">
        <v>86</v>
      </c>
      <c r="C62" s="350"/>
      <c r="D62" s="353"/>
      <c r="E62" s="354"/>
      <c r="F62" s="379"/>
      <c r="G62" s="295"/>
      <c r="H62" s="295"/>
      <c r="I62" s="295"/>
      <c r="J62" s="295"/>
      <c r="K62" s="295"/>
      <c r="L62" s="295"/>
      <c r="M62" s="295"/>
      <c r="N62" s="295"/>
      <c r="O62" s="295"/>
      <c r="P62" s="295"/>
      <c r="Q62" s="417"/>
    </row>
    <row r="63" spans="1:17" ht="16.5" thickBot="1">
      <c r="A63" s="412">
        <f>+'ATT H-3D'!A141</f>
        <v>81</v>
      </c>
      <c r="B63" s="405"/>
      <c r="C63" s="553" t="str">
        <f>+'ATT H-3D'!C141</f>
        <v>General Advertising Exp Account 930.1</v>
      </c>
      <c r="D63" s="403"/>
      <c r="E63" s="555" t="str">
        <f>+'ATT H-3D'!E141</f>
        <v>(Note F)</v>
      </c>
      <c r="F63" s="554" t="str">
        <f>+'ATT H-3D'!F141</f>
        <v>p323.191b</v>
      </c>
      <c r="G63" s="586">
        <v>161759</v>
      </c>
      <c r="H63" s="587">
        <v>0</v>
      </c>
      <c r="I63" s="587">
        <f>G63</f>
        <v>161759</v>
      </c>
      <c r="J63" s="1229" t="s">
        <v>488</v>
      </c>
      <c r="K63" s="1229"/>
      <c r="L63" s="1229"/>
      <c r="M63" s="1229"/>
      <c r="N63" s="1229"/>
      <c r="O63" s="1229"/>
      <c r="P63" s="1229"/>
      <c r="Q63" s="1230"/>
    </row>
    <row r="64" spans="1:17" ht="15.75">
      <c r="A64" s="361"/>
      <c r="B64" s="384"/>
      <c r="C64" s="363"/>
      <c r="D64" s="353"/>
      <c r="E64" s="352"/>
      <c r="F64" s="363"/>
      <c r="G64" s="348"/>
      <c r="H64" s="348"/>
      <c r="I64" s="348"/>
      <c r="J64" s="421"/>
      <c r="K64" s="420"/>
      <c r="L64" s="420"/>
      <c r="M64" s="420"/>
      <c r="N64" s="420"/>
      <c r="O64" s="420"/>
      <c r="P64" s="420"/>
      <c r="Q64" s="420"/>
    </row>
    <row r="65" spans="1:21">
      <c r="G65" s="294"/>
      <c r="H65" s="294"/>
      <c r="I65" s="294"/>
      <c r="J65" s="294"/>
      <c r="K65" s="294"/>
      <c r="L65" s="294"/>
      <c r="M65" s="294"/>
      <c r="N65" s="294"/>
      <c r="O65" s="294"/>
      <c r="P65" s="294"/>
      <c r="Q65" s="294"/>
    </row>
    <row r="66" spans="1:21" ht="21" thickBot="1">
      <c r="A66" s="404" t="s">
        <v>318</v>
      </c>
      <c r="G66" s="294"/>
      <c r="H66" s="294"/>
      <c r="I66" s="294"/>
      <c r="J66" s="294"/>
      <c r="K66" s="294"/>
      <c r="L66" s="294"/>
      <c r="M66" s="294"/>
      <c r="N66" s="294"/>
      <c r="O66" s="294"/>
      <c r="P66" s="294"/>
      <c r="Q66" s="294"/>
    </row>
    <row r="67" spans="1:21" ht="18">
      <c r="A67" s="1200" t="s">
        <v>611</v>
      </c>
      <c r="B67" s="1201"/>
      <c r="C67" s="1201"/>
      <c r="D67" s="1201"/>
      <c r="E67" s="1201"/>
      <c r="F67" s="1202"/>
      <c r="G67" s="425" t="s">
        <v>325</v>
      </c>
      <c r="H67" s="425" t="s">
        <v>326</v>
      </c>
      <c r="I67" s="425" t="s">
        <v>327</v>
      </c>
      <c r="J67" s="425" t="s">
        <v>328</v>
      </c>
      <c r="K67" s="425" t="s">
        <v>329</v>
      </c>
      <c r="L67" s="1189" t="s">
        <v>279</v>
      </c>
      <c r="M67" s="1224"/>
      <c r="N67" s="1224"/>
      <c r="O67" s="1224"/>
      <c r="P67" s="1224"/>
      <c r="Q67" s="1225"/>
    </row>
    <row r="68" spans="1:21" ht="15.75">
      <c r="A68" s="376" t="s">
        <v>66</v>
      </c>
      <c r="B68" s="365" t="s">
        <v>132</v>
      </c>
      <c r="C68" s="245"/>
      <c r="D68" s="245"/>
      <c r="E68" s="354"/>
      <c r="F68" s="375"/>
      <c r="G68" s="295"/>
      <c r="H68" s="295"/>
      <c r="I68" s="295"/>
      <c r="J68" s="295"/>
      <c r="K68" s="295"/>
      <c r="L68" s="295"/>
      <c r="M68" s="295"/>
      <c r="N68" s="295"/>
      <c r="O68" s="295"/>
      <c r="P68" s="295"/>
      <c r="Q68" s="417"/>
      <c r="U68" s="584"/>
    </row>
    <row r="69" spans="1:21" ht="15.75">
      <c r="A69" s="376"/>
      <c r="B69" s="365"/>
      <c r="C69" s="245"/>
      <c r="D69" s="245"/>
      <c r="E69" s="354"/>
      <c r="F69" s="375"/>
      <c r="G69" s="571" t="s">
        <v>510</v>
      </c>
      <c r="H69" s="348" t="s">
        <v>511</v>
      </c>
      <c r="I69" s="348" t="s">
        <v>512</v>
      </c>
      <c r="J69" s="348" t="s">
        <v>513</v>
      </c>
      <c r="K69" s="348" t="s">
        <v>808</v>
      </c>
      <c r="L69" s="1216" t="s">
        <v>324</v>
      </c>
      <c r="M69" s="1231"/>
      <c r="N69" s="1231"/>
      <c r="O69" s="1231"/>
      <c r="P69" s="1231"/>
      <c r="Q69" s="1232"/>
    </row>
    <row r="70" spans="1:21" ht="16.5" thickBot="1">
      <c r="A70" s="412">
        <f>+'ATT H-3D'!A221</f>
        <v>129</v>
      </c>
      <c r="B70" s="400"/>
      <c r="C70" s="553" t="str">
        <f>+'ATT H-3D'!C221</f>
        <v>SIT=State Income Tax Rate or Composite</v>
      </c>
      <c r="D70" s="413"/>
      <c r="E70" s="555" t="str">
        <f>+'ATT H-3D'!E221</f>
        <v>(Note I)</v>
      </c>
      <c r="F70" s="721">
        <v>8.5558999999999996E-2</v>
      </c>
      <c r="G70" s="704">
        <v>8.2500000000000004E-2</v>
      </c>
      <c r="H70" s="705">
        <v>9.9900000000000003E-2</v>
      </c>
      <c r="I70" s="706">
        <v>0.06</v>
      </c>
      <c r="J70" s="707">
        <v>8.6999999999999994E-2</v>
      </c>
      <c r="K70" s="708">
        <v>6.5000000000000002E-2</v>
      </c>
      <c r="L70" s="1227" t="s">
        <v>857</v>
      </c>
      <c r="M70" s="1227"/>
      <c r="N70" s="1227"/>
      <c r="O70" s="1227"/>
      <c r="P70" s="1227"/>
      <c r="Q70" s="1228"/>
    </row>
    <row r="71" spans="1:21">
      <c r="G71" s="294"/>
      <c r="H71" s="294"/>
      <c r="I71" s="294"/>
      <c r="J71" s="294"/>
      <c r="K71" s="294"/>
      <c r="L71" s="294"/>
      <c r="M71" s="294"/>
      <c r="N71" s="294"/>
      <c r="O71" s="294"/>
      <c r="P71" s="294"/>
      <c r="Q71" s="294"/>
    </row>
    <row r="72" spans="1:21">
      <c r="G72" s="294"/>
      <c r="H72" s="294"/>
      <c r="I72" s="294"/>
      <c r="J72" s="294"/>
      <c r="K72" s="294"/>
      <c r="L72" s="294"/>
      <c r="M72" s="294"/>
      <c r="N72" s="294"/>
      <c r="O72" s="294"/>
      <c r="P72" s="294"/>
      <c r="Q72" s="294"/>
    </row>
    <row r="73" spans="1:21" ht="21" thickBot="1">
      <c r="A73" s="404" t="s">
        <v>390</v>
      </c>
      <c r="G73" s="294"/>
      <c r="H73" s="294"/>
      <c r="I73" s="294"/>
      <c r="J73" s="294"/>
      <c r="K73" s="294"/>
      <c r="L73" s="294"/>
      <c r="M73" s="294"/>
      <c r="N73" s="294"/>
      <c r="O73" s="294"/>
      <c r="P73" s="294"/>
      <c r="Q73" s="294"/>
    </row>
    <row r="74" spans="1:21" ht="26.25">
      <c r="A74" s="1200" t="s">
        <v>611</v>
      </c>
      <c r="B74" s="1201"/>
      <c r="C74" s="1201"/>
      <c r="D74" s="1201"/>
      <c r="E74" s="1201"/>
      <c r="F74" s="1202"/>
      <c r="G74" s="425" t="s">
        <v>319</v>
      </c>
      <c r="H74" s="425" t="s">
        <v>330</v>
      </c>
      <c r="I74" s="425" t="s">
        <v>331</v>
      </c>
      <c r="J74" s="1189" t="s">
        <v>279</v>
      </c>
      <c r="K74" s="1224"/>
      <c r="L74" s="1224"/>
      <c r="M74" s="1224"/>
      <c r="N74" s="1224"/>
      <c r="O74" s="1224"/>
      <c r="P74" s="1224"/>
      <c r="Q74" s="1225"/>
    </row>
    <row r="75" spans="1:21" ht="15.75">
      <c r="A75" s="381"/>
      <c r="B75" s="373" t="s">
        <v>86</v>
      </c>
      <c r="C75" s="350"/>
      <c r="D75" s="353"/>
      <c r="E75" s="354"/>
      <c r="F75" s="379"/>
      <c r="G75" s="295"/>
      <c r="H75" s="295"/>
      <c r="I75" s="295"/>
      <c r="J75" s="295"/>
      <c r="K75" s="295"/>
      <c r="L75" s="295"/>
      <c r="M75" s="295"/>
      <c r="N75" s="295"/>
      <c r="O75" s="295"/>
      <c r="P75" s="295"/>
      <c r="Q75" s="417"/>
    </row>
    <row r="76" spans="1:21" ht="16.5" thickBot="1">
      <c r="A76" s="412">
        <f>+'ATT H-3D'!A137</f>
        <v>78</v>
      </c>
      <c r="B76" s="405"/>
      <c r="C76" s="553" t="str">
        <f>+'ATT H-3D'!C137</f>
        <v>General Advertising Exp Account 930.1</v>
      </c>
      <c r="D76" s="414"/>
      <c r="E76" s="555" t="str">
        <f>+'ATT H-3D'!E137</f>
        <v>(Note K)</v>
      </c>
      <c r="F76" s="554" t="str">
        <f>+'ATT H-3D'!F137</f>
        <v>p323.191b</v>
      </c>
      <c r="G76" s="572">
        <f>+G63</f>
        <v>161759</v>
      </c>
      <c r="H76" s="456">
        <v>0</v>
      </c>
      <c r="I76" s="556">
        <f>G76-H76</f>
        <v>161759</v>
      </c>
      <c r="J76" s="1226" t="str">
        <f>+J63</f>
        <v>None</v>
      </c>
      <c r="K76" s="1222"/>
      <c r="L76" s="1222"/>
      <c r="M76" s="1222"/>
      <c r="N76" s="1222"/>
      <c r="O76" s="1222"/>
      <c r="P76" s="1222"/>
      <c r="Q76" s="1223"/>
    </row>
    <row r="77" spans="1:21">
      <c r="G77" s="294"/>
      <c r="H77" s="294"/>
      <c r="I77" s="294"/>
      <c r="J77" s="294"/>
      <c r="K77" s="294"/>
      <c r="L77" s="294"/>
      <c r="M77" s="294"/>
      <c r="N77" s="294"/>
      <c r="O77" s="294"/>
      <c r="P77" s="294"/>
      <c r="Q77" s="294"/>
    </row>
    <row r="78" spans="1:21">
      <c r="G78" s="294"/>
      <c r="H78" s="294"/>
      <c r="I78" s="294"/>
      <c r="J78" s="294"/>
      <c r="K78" s="294"/>
      <c r="L78" s="294"/>
      <c r="M78" s="294"/>
      <c r="N78" s="294"/>
      <c r="O78" s="294"/>
      <c r="P78" s="294"/>
      <c r="Q78" s="294"/>
    </row>
    <row r="79" spans="1:21" ht="21" thickBot="1">
      <c r="A79" s="404" t="s">
        <v>392</v>
      </c>
      <c r="G79" s="294"/>
      <c r="H79" s="294"/>
      <c r="I79" s="294"/>
      <c r="J79" s="294"/>
      <c r="K79" s="294"/>
      <c r="L79" s="294"/>
      <c r="M79" s="294"/>
      <c r="N79" s="294"/>
      <c r="O79" s="294"/>
      <c r="P79" s="294"/>
      <c r="Q79" s="294"/>
    </row>
    <row r="80" spans="1:21" ht="39">
      <c r="A80" s="1200" t="s">
        <v>611</v>
      </c>
      <c r="B80" s="1201"/>
      <c r="C80" s="1201"/>
      <c r="D80" s="1201"/>
      <c r="E80" s="1201"/>
      <c r="F80" s="1202"/>
      <c r="G80" s="425" t="str">
        <f>+C82</f>
        <v>Excluded Transmission Facilities</v>
      </c>
      <c r="H80" s="1189" t="s">
        <v>333</v>
      </c>
      <c r="I80" s="1214"/>
      <c r="J80" s="1214"/>
      <c r="K80" s="1214"/>
      <c r="L80" s="1214"/>
      <c r="M80" s="1214"/>
      <c r="N80" s="1214"/>
      <c r="O80" s="1214"/>
      <c r="P80" s="1214"/>
      <c r="Q80" s="1215"/>
    </row>
    <row r="81" spans="1:17" ht="18">
      <c r="A81" s="395"/>
      <c r="B81" s="349" t="s">
        <v>90</v>
      </c>
      <c r="C81" s="369"/>
      <c r="D81" s="370"/>
      <c r="E81" s="371"/>
      <c r="F81" s="396"/>
      <c r="G81" s="295"/>
      <c r="H81" s="295"/>
      <c r="I81" s="295"/>
      <c r="J81" s="295"/>
      <c r="K81" s="295"/>
      <c r="L81" s="295"/>
      <c r="M81" s="295"/>
      <c r="N81" s="295"/>
      <c r="O81" s="295"/>
      <c r="P81" s="295"/>
      <c r="Q81" s="417"/>
    </row>
    <row r="82" spans="1:17" ht="18">
      <c r="A82" s="381">
        <f>+'ATT H-3D'!A255</f>
        <v>149</v>
      </c>
      <c r="B82" s="372"/>
      <c r="C82" s="363" t="str">
        <f>+'ATT H-3D'!C255</f>
        <v>Excluded Transmission Facilities</v>
      </c>
      <c r="D82" s="370"/>
      <c r="E82" s="393" t="str">
        <f>+'ATT H-3D'!E255</f>
        <v>(Note M)</v>
      </c>
      <c r="F82" s="385" t="str">
        <f>+'ATT H-3D'!F255</f>
        <v>Attachment 5</v>
      </c>
      <c r="G82" s="442">
        <v>0</v>
      </c>
      <c r="H82" s="1216" t="s">
        <v>335</v>
      </c>
      <c r="I82" s="1217"/>
      <c r="J82" s="1217"/>
      <c r="K82" s="1217"/>
      <c r="L82" s="1217"/>
      <c r="M82" s="1217"/>
      <c r="N82" s="1217"/>
      <c r="O82" s="1217"/>
      <c r="P82" s="1217"/>
      <c r="Q82" s="1218"/>
    </row>
    <row r="83" spans="1:17" ht="18">
      <c r="A83" s="381"/>
      <c r="B83" s="372"/>
      <c r="C83" s="357"/>
      <c r="D83" s="370"/>
      <c r="E83" s="359"/>
      <c r="F83" s="382"/>
      <c r="G83" s="295"/>
      <c r="H83" s="295"/>
      <c r="I83" s="295"/>
      <c r="J83" s="295"/>
      <c r="K83" s="295"/>
      <c r="L83" s="295"/>
      <c r="M83" s="295"/>
      <c r="N83" s="295"/>
      <c r="O83" s="348"/>
      <c r="P83" s="295"/>
      <c r="Q83" s="417"/>
    </row>
    <row r="84" spans="1:17" ht="18">
      <c r="A84" s="381"/>
      <c r="B84" s="372"/>
      <c r="C84" s="357" t="s">
        <v>531</v>
      </c>
      <c r="D84" s="370"/>
      <c r="E84" s="359"/>
      <c r="F84" s="382"/>
      <c r="G84" s="348" t="s">
        <v>332</v>
      </c>
      <c r="H84" s="1216" t="s">
        <v>488</v>
      </c>
      <c r="I84" s="1217"/>
      <c r="J84" s="1217"/>
      <c r="K84" s="1217"/>
      <c r="L84" s="1217"/>
      <c r="M84" s="1217"/>
      <c r="N84" s="1217"/>
      <c r="O84" s="1217"/>
      <c r="P84" s="1217"/>
      <c r="Q84" s="1218"/>
    </row>
    <row r="85" spans="1:17" ht="18">
      <c r="A85" s="381"/>
      <c r="B85" s="372">
        <v>1</v>
      </c>
      <c r="C85" s="357" t="s">
        <v>455</v>
      </c>
      <c r="D85" s="370"/>
      <c r="E85" s="359"/>
      <c r="F85" s="382"/>
      <c r="G85" s="599"/>
      <c r="H85" s="1216"/>
      <c r="I85" s="1217"/>
      <c r="J85" s="1217"/>
      <c r="K85" s="1217"/>
      <c r="L85" s="1217"/>
      <c r="M85" s="1217"/>
      <c r="N85" s="1217"/>
      <c r="O85" s="1217"/>
      <c r="P85" s="1217"/>
      <c r="Q85" s="1218"/>
    </row>
    <row r="86" spans="1:17" ht="18">
      <c r="A86" s="381"/>
      <c r="B86" s="372"/>
      <c r="C86" s="357" t="s">
        <v>456</v>
      </c>
      <c r="D86" s="370"/>
      <c r="E86" s="359"/>
      <c r="F86" s="382"/>
      <c r="G86" s="599"/>
      <c r="H86" s="421"/>
      <c r="I86" s="420"/>
      <c r="J86" s="420"/>
      <c r="K86" s="420"/>
      <c r="L86" s="420"/>
      <c r="M86" s="420"/>
      <c r="N86" s="420"/>
      <c r="O86" s="420"/>
      <c r="P86" s="420"/>
      <c r="Q86" s="592"/>
    </row>
    <row r="87" spans="1:17" ht="18">
      <c r="A87" s="381"/>
      <c r="B87" s="372">
        <v>2</v>
      </c>
      <c r="C87" s="357" t="s">
        <v>532</v>
      </c>
      <c r="D87" s="370"/>
      <c r="E87" s="359"/>
      <c r="F87" s="382"/>
      <c r="G87" s="348" t="s">
        <v>593</v>
      </c>
      <c r="H87" s="1216"/>
      <c r="I87" s="1217"/>
      <c r="J87" s="1217"/>
      <c r="K87" s="1217"/>
      <c r="L87" s="1217"/>
      <c r="M87" s="1217"/>
      <c r="N87" s="1217"/>
      <c r="O87" s="1217"/>
      <c r="P87" s="1217"/>
      <c r="Q87" s="1218"/>
    </row>
    <row r="88" spans="1:17" ht="18">
      <c r="A88" s="381"/>
      <c r="B88" s="372"/>
      <c r="C88" s="357" t="s">
        <v>533</v>
      </c>
      <c r="D88" s="663" t="s">
        <v>536</v>
      </c>
      <c r="E88" s="359"/>
      <c r="F88" s="382"/>
      <c r="G88" s="348" t="str">
        <f>+G84</f>
        <v>Enter $</v>
      </c>
      <c r="H88" s="1216"/>
      <c r="I88" s="1217"/>
      <c r="J88" s="1217"/>
      <c r="K88" s="1217"/>
      <c r="L88" s="1217"/>
      <c r="M88" s="1217"/>
      <c r="N88" s="1217"/>
      <c r="O88" s="1217"/>
      <c r="P88" s="1217"/>
      <c r="Q88" s="1218"/>
    </row>
    <row r="89" spans="1:17" ht="15.75">
      <c r="A89" s="682"/>
      <c r="B89" s="664" t="s">
        <v>68</v>
      </c>
      <c r="C89" s="357" t="s">
        <v>534</v>
      </c>
      <c r="D89" s="665">
        <v>1000000</v>
      </c>
      <c r="E89" s="475"/>
      <c r="F89" s="666"/>
      <c r="G89" s="599"/>
      <c r="H89" s="1216"/>
      <c r="I89" s="1217"/>
      <c r="J89" s="1217"/>
      <c r="K89" s="1217"/>
      <c r="L89" s="1217"/>
      <c r="M89" s="1217"/>
      <c r="N89" s="1217"/>
      <c r="O89" s="1217"/>
      <c r="P89" s="1217"/>
      <c r="Q89" s="1218"/>
    </row>
    <row r="90" spans="1:17" ht="15.75">
      <c r="A90" s="682"/>
      <c r="B90" s="664" t="s">
        <v>182</v>
      </c>
      <c r="C90" s="357" t="s">
        <v>591</v>
      </c>
      <c r="D90" s="665">
        <v>500000</v>
      </c>
      <c r="E90" s="475"/>
      <c r="F90" s="666"/>
      <c r="G90" s="599"/>
      <c r="H90" s="1216"/>
      <c r="I90" s="1217"/>
      <c r="J90" s="1217"/>
      <c r="K90" s="1217"/>
      <c r="L90" s="1217"/>
      <c r="M90" s="1217"/>
      <c r="N90" s="1217"/>
      <c r="O90" s="1217"/>
      <c r="P90" s="1217"/>
      <c r="Q90" s="1218"/>
    </row>
    <row r="91" spans="1:17" ht="15.75">
      <c r="A91" s="682"/>
      <c r="B91" s="664" t="s">
        <v>46</v>
      </c>
      <c r="C91" s="357" t="s">
        <v>592</v>
      </c>
      <c r="D91" s="665">
        <v>400000</v>
      </c>
      <c r="E91" s="475"/>
      <c r="F91" s="666"/>
      <c r="G91" s="599"/>
      <c r="H91" s="1216"/>
      <c r="I91" s="1217"/>
      <c r="J91" s="1217"/>
      <c r="K91" s="1217"/>
      <c r="L91" s="1217"/>
      <c r="M91" s="1217"/>
      <c r="N91" s="1217"/>
      <c r="O91" s="1217"/>
      <c r="P91" s="1217"/>
      <c r="Q91" s="1218"/>
    </row>
    <row r="92" spans="1:17" ht="15.75">
      <c r="A92" s="682"/>
      <c r="B92" s="664" t="s">
        <v>69</v>
      </c>
      <c r="C92" s="357" t="s">
        <v>535</v>
      </c>
      <c r="D92" s="665">
        <f>+D89*(D91/(D90+D91))</f>
        <v>444444.44444444444</v>
      </c>
      <c r="E92" s="475"/>
      <c r="F92" s="666"/>
      <c r="G92" s="599"/>
      <c r="H92" s="1216"/>
      <c r="I92" s="1217"/>
      <c r="J92" s="1217"/>
      <c r="K92" s="1217"/>
      <c r="L92" s="1217"/>
      <c r="M92" s="1217"/>
      <c r="N92" s="1217"/>
      <c r="O92" s="1217"/>
      <c r="P92" s="1217"/>
      <c r="Q92" s="1218"/>
    </row>
    <row r="93" spans="1:17" ht="13.5" thickBot="1">
      <c r="A93" s="683"/>
      <c r="B93" s="536"/>
      <c r="C93" s="536"/>
      <c r="D93" s="327"/>
      <c r="E93" s="327"/>
      <c r="F93" s="328"/>
      <c r="G93" s="418"/>
      <c r="H93" s="418"/>
      <c r="I93" s="418"/>
      <c r="J93" s="418"/>
      <c r="K93" s="426" t="s">
        <v>334</v>
      </c>
      <c r="L93" s="418"/>
      <c r="M93" s="418"/>
      <c r="N93" s="418"/>
      <c r="O93" s="418"/>
      <c r="P93" s="418"/>
      <c r="Q93" s="423"/>
    </row>
    <row r="94" spans="1:17">
      <c r="A94" s="325"/>
      <c r="B94" s="325"/>
      <c r="C94" s="325"/>
      <c r="D94" s="325"/>
      <c r="E94" s="325"/>
      <c r="F94" s="325"/>
      <c r="G94" s="295"/>
      <c r="H94" s="295"/>
      <c r="I94" s="295"/>
      <c r="J94" s="295"/>
      <c r="K94" s="297"/>
      <c r="L94" s="295"/>
      <c r="M94" s="295"/>
      <c r="N94" s="295"/>
      <c r="O94" s="295"/>
      <c r="P94" s="295"/>
      <c r="Q94" s="295"/>
    </row>
    <row r="95" spans="1:17">
      <c r="A95" s="325"/>
      <c r="B95" s="325"/>
      <c r="C95" s="325"/>
      <c r="D95" s="325"/>
      <c r="E95" s="325"/>
      <c r="F95" s="325"/>
      <c r="G95" s="295"/>
      <c r="H95" s="295"/>
      <c r="I95" s="295"/>
      <c r="J95" s="295"/>
      <c r="K95" s="297"/>
      <c r="L95" s="295"/>
      <c r="M95" s="295"/>
      <c r="N95" s="295"/>
      <c r="O95" s="295"/>
      <c r="P95" s="295"/>
      <c r="Q95" s="295"/>
    </row>
    <row r="96" spans="1:17" ht="21" thickBot="1">
      <c r="A96" s="404" t="s">
        <v>393</v>
      </c>
      <c r="G96" s="294"/>
      <c r="H96" s="294"/>
      <c r="I96" s="294"/>
      <c r="J96" s="294"/>
      <c r="K96" s="294"/>
      <c r="L96" s="294"/>
      <c r="M96" s="294"/>
      <c r="N96" s="294"/>
      <c r="O96" s="294"/>
      <c r="P96" s="294"/>
      <c r="Q96" s="294"/>
    </row>
    <row r="97" spans="1:17" ht="26.25">
      <c r="A97" s="1200" t="s">
        <v>611</v>
      </c>
      <c r="B97" s="1201"/>
      <c r="C97" s="1201"/>
      <c r="D97" s="1201"/>
      <c r="E97" s="1201"/>
      <c r="F97" s="1202"/>
      <c r="G97" s="425" t="str">
        <f>+C99</f>
        <v>Outstanding Network Credits</v>
      </c>
      <c r="H97" s="1189" t="s">
        <v>337</v>
      </c>
      <c r="I97" s="1214"/>
      <c r="J97" s="1214"/>
      <c r="K97" s="1214"/>
      <c r="L97" s="1214"/>
      <c r="M97" s="1214"/>
      <c r="N97" s="1214"/>
      <c r="O97" s="1214"/>
      <c r="P97" s="1214"/>
      <c r="Q97" s="1215"/>
    </row>
    <row r="98" spans="1:17" ht="15.75">
      <c r="A98" s="387"/>
      <c r="B98" s="355" t="s">
        <v>304</v>
      </c>
      <c r="C98" s="388"/>
      <c r="D98" s="362"/>
      <c r="E98" s="389"/>
      <c r="F98" s="375"/>
      <c r="G98" s="348" t="s">
        <v>332</v>
      </c>
      <c r="H98" s="295"/>
      <c r="I98" s="295"/>
      <c r="J98" s="295"/>
      <c r="K98" s="295"/>
      <c r="L98" s="295"/>
      <c r="M98" s="295"/>
      <c r="N98" s="295"/>
      <c r="O98" s="295"/>
      <c r="P98" s="295"/>
      <c r="Q98" s="417"/>
    </row>
    <row r="99" spans="1:17" ht="15.75">
      <c r="A99" s="381">
        <f>+'ATT H-3D'!A103</f>
        <v>55</v>
      </c>
      <c r="B99" s="372"/>
      <c r="C99" s="363" t="str">
        <f>+'ATT H-3D'!C103</f>
        <v>Outstanding Network Credits</v>
      </c>
      <c r="D99" s="372"/>
      <c r="E99" s="393" t="str">
        <f>+'ATT H-3D'!E103</f>
        <v>(Note N)</v>
      </c>
      <c r="F99" s="385" t="str">
        <f>+'ATT H-3D'!F103</f>
        <v>From PJM</v>
      </c>
      <c r="G99" s="442">
        <v>0</v>
      </c>
      <c r="H99" s="1216" t="s">
        <v>336</v>
      </c>
      <c r="I99" s="1217"/>
      <c r="J99" s="1217"/>
      <c r="K99" s="1217"/>
      <c r="L99" s="1217"/>
      <c r="M99" s="1217"/>
      <c r="N99" s="1217"/>
      <c r="O99" s="1217"/>
      <c r="P99" s="1217"/>
      <c r="Q99" s="1218"/>
    </row>
    <row r="100" spans="1:17" ht="15.75">
      <c r="A100" s="381"/>
      <c r="B100" s="372"/>
      <c r="C100" s="363"/>
      <c r="D100" s="372"/>
      <c r="E100" s="393"/>
      <c r="F100" s="385"/>
      <c r="G100" s="295"/>
      <c r="H100" s="295"/>
      <c r="I100" s="295"/>
      <c r="J100" s="295"/>
      <c r="K100" s="295"/>
      <c r="L100" s="295"/>
      <c r="M100" s="295"/>
      <c r="N100" s="295"/>
      <c r="O100" s="348"/>
      <c r="P100" s="295"/>
      <c r="Q100" s="417"/>
    </row>
    <row r="101" spans="1:17" ht="15.75">
      <c r="A101" s="381"/>
      <c r="B101" s="372"/>
      <c r="C101" s="363"/>
      <c r="D101" s="372"/>
      <c r="E101" s="393"/>
      <c r="F101" s="385"/>
      <c r="H101" s="1216" t="s">
        <v>488</v>
      </c>
      <c r="I101" s="1217"/>
      <c r="J101" s="1217"/>
      <c r="K101" s="1217"/>
      <c r="L101" s="1217"/>
      <c r="M101" s="1217"/>
      <c r="N101" s="1217"/>
      <c r="O101" s="1217"/>
      <c r="P101" s="1217"/>
      <c r="Q101" s="1218"/>
    </row>
    <row r="102" spans="1:17" ht="15.75">
      <c r="A102" s="381"/>
      <c r="B102" s="372"/>
      <c r="C102" s="363"/>
      <c r="D102" s="372"/>
      <c r="E102" s="393"/>
      <c r="F102" s="385"/>
      <c r="G102" s="348"/>
      <c r="H102" s="1216"/>
      <c r="I102" s="1217"/>
      <c r="J102" s="1217"/>
      <c r="K102" s="1217"/>
      <c r="L102" s="1217"/>
      <c r="M102" s="1217"/>
      <c r="N102" s="1217"/>
      <c r="O102" s="1217"/>
      <c r="P102" s="1217"/>
      <c r="Q102" s="1218"/>
    </row>
    <row r="103" spans="1:17" ht="15.75">
      <c r="A103" s="381"/>
      <c r="B103" s="372"/>
      <c r="C103" s="363"/>
      <c r="D103" s="372"/>
      <c r="E103" s="393"/>
      <c r="F103" s="385"/>
      <c r="G103" s="348"/>
      <c r="H103" s="1216"/>
      <c r="I103" s="1217"/>
      <c r="J103" s="1217"/>
      <c r="K103" s="1217"/>
      <c r="L103" s="1217"/>
      <c r="M103" s="1217"/>
      <c r="N103" s="1217"/>
      <c r="O103" s="1217"/>
      <c r="P103" s="1217"/>
      <c r="Q103" s="1218"/>
    </row>
    <row r="104" spans="1:17" ht="15.75">
      <c r="A104" s="381">
        <f>+'ATT H-3D'!A104</f>
        <v>56</v>
      </c>
      <c r="B104" s="372"/>
      <c r="C104" s="363" t="str">
        <f>+'ATT H-3D'!C104</f>
        <v xml:space="preserve">    Less Accumulated Depreciation Associated with Facilities with Outstanding Network Credits</v>
      </c>
      <c r="D104" s="372"/>
      <c r="E104" s="393" t="str">
        <f>+'ATT H-3D'!E104</f>
        <v>(Note N)</v>
      </c>
      <c r="F104" s="385" t="str">
        <f>+'ATT H-3D'!F104</f>
        <v>From PJM</v>
      </c>
      <c r="G104" s="348">
        <v>0</v>
      </c>
      <c r="H104" s="1216"/>
      <c r="I104" s="1217"/>
      <c r="J104" s="1217"/>
      <c r="K104" s="1217"/>
      <c r="L104" s="1217"/>
      <c r="M104" s="1217"/>
      <c r="N104" s="1217"/>
      <c r="O104" s="1217"/>
      <c r="P104" s="1217"/>
      <c r="Q104" s="1218"/>
    </row>
    <row r="105" spans="1:17" ht="15.75">
      <c r="A105" s="381"/>
      <c r="B105" s="372"/>
      <c r="C105" s="372"/>
      <c r="D105" s="372"/>
      <c r="E105" s="393"/>
      <c r="F105" s="415"/>
      <c r="G105" s="348"/>
      <c r="H105" s="1216"/>
      <c r="I105" s="1217"/>
      <c r="J105" s="1217"/>
      <c r="K105" s="1217"/>
      <c r="L105" s="1217"/>
      <c r="M105" s="1217"/>
      <c r="N105" s="1217"/>
      <c r="O105" s="1217"/>
      <c r="P105" s="1217"/>
      <c r="Q105" s="1218"/>
    </row>
    <row r="106" spans="1:17" ht="15.75">
      <c r="A106" s="381"/>
      <c r="B106" s="372"/>
      <c r="C106" s="372"/>
      <c r="D106" s="372"/>
      <c r="E106" s="393"/>
      <c r="F106" s="415"/>
      <c r="G106" s="348"/>
      <c r="H106" s="1216" t="s">
        <v>488</v>
      </c>
      <c r="I106" s="1217"/>
      <c r="J106" s="1217"/>
      <c r="K106" s="1217"/>
      <c r="L106" s="1217"/>
      <c r="M106" s="1217"/>
      <c r="N106" s="1217"/>
      <c r="O106" s="1217"/>
      <c r="P106" s="1217"/>
      <c r="Q106" s="1218"/>
    </row>
    <row r="107" spans="1:17" ht="15.75">
      <c r="A107" s="381"/>
      <c r="B107" s="372"/>
      <c r="C107" s="372"/>
      <c r="D107" s="372"/>
      <c r="E107" s="393"/>
      <c r="F107" s="415"/>
      <c r="G107" s="348"/>
      <c r="H107" s="1216"/>
      <c r="I107" s="1217"/>
      <c r="J107" s="1217"/>
      <c r="K107" s="1217"/>
      <c r="L107" s="1217"/>
      <c r="M107" s="1217"/>
      <c r="N107" s="1217"/>
      <c r="O107" s="1217"/>
      <c r="P107" s="1217"/>
      <c r="Q107" s="1218"/>
    </row>
    <row r="108" spans="1:17" ht="16.5" thickBot="1">
      <c r="A108" s="399"/>
      <c r="B108" s="402"/>
      <c r="C108" s="402"/>
      <c r="D108" s="402"/>
      <c r="E108" s="407"/>
      <c r="F108" s="416"/>
      <c r="G108" s="418"/>
      <c r="H108" s="418"/>
      <c r="I108" s="418"/>
      <c r="J108" s="418"/>
      <c r="K108" s="426" t="s">
        <v>334</v>
      </c>
      <c r="L108" s="418"/>
      <c r="M108" s="418"/>
      <c r="N108" s="418"/>
      <c r="O108" s="418"/>
      <c r="P108" s="418"/>
      <c r="Q108" s="423"/>
    </row>
    <row r="109" spans="1:17" ht="15.75">
      <c r="A109" s="372"/>
      <c r="B109" s="372"/>
      <c r="C109" s="372"/>
      <c r="D109" s="372"/>
      <c r="E109" s="393"/>
      <c r="F109" s="372"/>
      <c r="G109" s="295"/>
      <c r="H109" s="295"/>
      <c r="I109" s="295"/>
      <c r="J109" s="295"/>
      <c r="K109" s="297"/>
      <c r="L109" s="295"/>
      <c r="M109" s="295"/>
      <c r="N109" s="295"/>
      <c r="O109" s="295"/>
      <c r="P109" s="295"/>
      <c r="Q109" s="295"/>
    </row>
    <row r="110" spans="1:17" ht="15.75">
      <c r="A110" s="372"/>
      <c r="B110" s="372"/>
      <c r="C110" s="372"/>
      <c r="D110" s="372"/>
      <c r="E110" s="393"/>
      <c r="F110" s="372"/>
      <c r="G110" s="295"/>
      <c r="H110" s="295"/>
      <c r="I110" s="295"/>
      <c r="J110" s="295"/>
      <c r="K110" s="297"/>
      <c r="L110" s="295"/>
      <c r="M110" s="295"/>
      <c r="N110" s="295"/>
      <c r="O110" s="295"/>
      <c r="P110" s="295"/>
      <c r="Q110" s="295"/>
    </row>
    <row r="111" spans="1:17" ht="21" thickBot="1">
      <c r="A111" s="404" t="s">
        <v>587</v>
      </c>
      <c r="G111" s="294"/>
      <c r="H111" s="294"/>
      <c r="I111" s="294"/>
      <c r="J111" s="294"/>
      <c r="K111" s="294"/>
      <c r="L111" s="294"/>
      <c r="M111" s="294"/>
      <c r="N111" s="294"/>
      <c r="O111" s="294"/>
      <c r="P111" s="294"/>
      <c r="Q111" s="294"/>
    </row>
    <row r="112" spans="1:17" ht="26.25">
      <c r="A112" s="1200" t="s">
        <v>611</v>
      </c>
      <c r="B112" s="1201"/>
      <c r="C112" s="1201"/>
      <c r="D112" s="1201"/>
      <c r="E112" s="1201"/>
      <c r="F112" s="1202"/>
      <c r="G112" s="425" t="s">
        <v>181</v>
      </c>
      <c r="H112" s="425" t="s">
        <v>588</v>
      </c>
      <c r="I112" s="425" t="s">
        <v>321</v>
      </c>
      <c r="J112" s="1189" t="s">
        <v>279</v>
      </c>
      <c r="K112" s="1224"/>
      <c r="L112" s="1224"/>
      <c r="M112" s="1224"/>
      <c r="N112" s="1224"/>
      <c r="O112" s="1224"/>
      <c r="P112" s="1224"/>
      <c r="Q112" s="1225"/>
    </row>
    <row r="113" spans="1:17" ht="15.75">
      <c r="A113" s="684">
        <f>+'ATT H-3D'!A84</f>
        <v>44</v>
      </c>
      <c r="B113" s="373" t="s">
        <v>75</v>
      </c>
      <c r="C113" s="350"/>
      <c r="D113" s="353"/>
      <c r="E113" s="380"/>
      <c r="F113" s="379"/>
      <c r="G113" s="598" t="s">
        <v>332</v>
      </c>
      <c r="H113" s="606"/>
      <c r="I113" s="606" t="s">
        <v>266</v>
      </c>
      <c r="J113" s="295"/>
      <c r="K113" s="295"/>
      <c r="L113" s="295"/>
      <c r="M113" s="295"/>
      <c r="N113" s="295"/>
      <c r="O113" s="295"/>
      <c r="P113" s="295"/>
      <c r="Q113" s="417"/>
    </row>
    <row r="114" spans="1:17" ht="15.75">
      <c r="A114" s="381"/>
      <c r="B114" s="373"/>
      <c r="C114" s="350" t="s">
        <v>589</v>
      </c>
      <c r="D114" s="353"/>
      <c r="E114" s="380"/>
      <c r="F114" s="379"/>
      <c r="G114" s="615">
        <v>0</v>
      </c>
      <c r="H114" s="612">
        <v>1</v>
      </c>
      <c r="I114" s="606">
        <f>+G114*H114</f>
        <v>0</v>
      </c>
      <c r="J114" s="295"/>
      <c r="K114" s="295"/>
      <c r="L114" s="295"/>
      <c r="M114" s="295"/>
      <c r="N114" s="295"/>
      <c r="O114" s="295"/>
      <c r="P114" s="295"/>
      <c r="Q114" s="417"/>
    </row>
    <row r="115" spans="1:17" ht="15.75">
      <c r="A115" s="381"/>
      <c r="B115" s="373"/>
      <c r="C115" s="350" t="s">
        <v>590</v>
      </c>
      <c r="D115" s="353"/>
      <c r="E115" s="380"/>
      <c r="F115" s="379"/>
      <c r="G115" s="615">
        <v>33460936.329999998</v>
      </c>
      <c r="H115" s="835">
        <f>+'ATT H-3D'!H16</f>
        <v>8.0514508226294385E-2</v>
      </c>
      <c r="I115" s="606">
        <f>+G115*H115</f>
        <v>2694090.8334012977</v>
      </c>
      <c r="J115" s="295"/>
      <c r="K115" s="295"/>
      <c r="L115" s="295"/>
      <c r="M115" s="295"/>
      <c r="N115" s="295"/>
      <c r="O115" s="295"/>
      <c r="P115" s="295"/>
      <c r="Q115" s="417"/>
    </row>
    <row r="116" spans="1:17" ht="15.75">
      <c r="A116" s="381"/>
      <c r="B116" s="373"/>
      <c r="C116" s="350" t="s">
        <v>257</v>
      </c>
      <c r="D116" s="353"/>
      <c r="E116" s="380"/>
      <c r="F116" s="379"/>
      <c r="G116" s="615">
        <v>2224249</v>
      </c>
      <c r="H116" s="835">
        <f>+'ATT H-3D'!H32</f>
        <v>0.34936689572563268</v>
      </c>
      <c r="I116" s="606">
        <f>+G116*H116</f>
        <v>777078.96845084277</v>
      </c>
      <c r="J116" s="295"/>
      <c r="K116" s="295"/>
      <c r="L116" s="295"/>
      <c r="M116" s="295"/>
      <c r="N116" s="295"/>
      <c r="O116" s="295"/>
      <c r="P116" s="295"/>
      <c r="Q116" s="417"/>
    </row>
    <row r="117" spans="1:17" ht="16.5" thickBot="1">
      <c r="A117" s="381"/>
      <c r="B117" s="373"/>
      <c r="C117" s="350" t="s">
        <v>331</v>
      </c>
      <c r="D117" s="353"/>
      <c r="E117" s="380"/>
      <c r="F117" s="379"/>
      <c r="G117" s="616"/>
      <c r="H117" s="613">
        <v>0</v>
      </c>
      <c r="I117" s="606">
        <f>+G117*H117</f>
        <v>0</v>
      </c>
      <c r="J117" s="295"/>
      <c r="K117" s="295"/>
      <c r="L117" s="295"/>
      <c r="M117" s="295"/>
      <c r="N117" s="295"/>
      <c r="O117" s="295"/>
      <c r="P117" s="295"/>
      <c r="Q117" s="417"/>
    </row>
    <row r="118" spans="1:17" ht="16.5" thickBot="1">
      <c r="A118" s="683"/>
      <c r="B118" s="405"/>
      <c r="C118" s="406" t="s">
        <v>604</v>
      </c>
      <c r="D118" s="414"/>
      <c r="E118" s="407"/>
      <c r="F118" s="554"/>
      <c r="G118" s="614">
        <f>SUM(G114:G117)</f>
        <v>35685185.329999998</v>
      </c>
      <c r="H118" s="545"/>
      <c r="I118" s="556">
        <f>SUM(I114:I117)</f>
        <v>3471169.8018521406</v>
      </c>
      <c r="J118" s="1226"/>
      <c r="K118" s="1222"/>
      <c r="L118" s="1222"/>
      <c r="M118" s="1222"/>
      <c r="N118" s="1222"/>
      <c r="O118" s="1222"/>
      <c r="P118" s="1222"/>
      <c r="Q118" s="1223"/>
    </row>
    <row r="119" spans="1:17" ht="15.75">
      <c r="A119" s="372"/>
      <c r="B119" s="372"/>
      <c r="C119" s="372"/>
      <c r="D119" s="372"/>
      <c r="E119" s="393"/>
      <c r="F119" s="372"/>
      <c r="G119" s="295"/>
      <c r="H119" s="295"/>
      <c r="I119" s="295"/>
      <c r="J119" s="295"/>
      <c r="K119" s="297"/>
      <c r="L119" s="295"/>
      <c r="M119" s="295"/>
      <c r="N119" s="295"/>
      <c r="O119" s="295"/>
      <c r="P119" s="295"/>
      <c r="Q119" s="295"/>
    </row>
    <row r="120" spans="1:17" ht="15.75">
      <c r="A120" s="372"/>
      <c r="B120" s="372"/>
      <c r="C120" s="372"/>
      <c r="D120" s="372"/>
      <c r="E120" s="393"/>
      <c r="F120" s="372"/>
      <c r="G120" s="295"/>
      <c r="H120" s="295"/>
      <c r="I120" s="295"/>
      <c r="J120" s="295"/>
      <c r="K120" s="297"/>
      <c r="L120" s="295"/>
      <c r="M120" s="295"/>
      <c r="N120" s="295"/>
      <c r="O120" s="295"/>
      <c r="P120" s="295"/>
      <c r="Q120" s="295"/>
    </row>
    <row r="121" spans="1:17" ht="21" thickBot="1">
      <c r="A121" s="404" t="s">
        <v>101</v>
      </c>
      <c r="G121" s="294"/>
      <c r="H121" s="294"/>
      <c r="I121" s="294"/>
      <c r="J121" s="294"/>
      <c r="K121" s="294"/>
      <c r="L121" s="294"/>
      <c r="M121" s="294"/>
      <c r="N121" s="294"/>
      <c r="O121" s="294"/>
      <c r="P121" s="294"/>
      <c r="Q121" s="294"/>
    </row>
    <row r="122" spans="1:17" ht="18">
      <c r="A122" s="1200" t="s">
        <v>611</v>
      </c>
      <c r="B122" s="1201"/>
      <c r="C122" s="1201"/>
      <c r="D122" s="1201"/>
      <c r="E122" s="1201"/>
      <c r="F122" s="1202"/>
      <c r="G122" s="425"/>
      <c r="H122" s="1189" t="s">
        <v>569</v>
      </c>
      <c r="I122" s="1214"/>
      <c r="J122" s="1214"/>
      <c r="K122" s="1214"/>
      <c r="L122" s="1214"/>
      <c r="M122" s="1214"/>
      <c r="N122" s="1214"/>
      <c r="O122" s="1214"/>
      <c r="P122" s="1214"/>
      <c r="Q122" s="1215"/>
    </row>
    <row r="123" spans="1:17" ht="15.75">
      <c r="A123" s="685">
        <f>+'ATT H-3D'!A87</f>
        <v>45</v>
      </c>
      <c r="B123" s="355" t="s">
        <v>101</v>
      </c>
      <c r="C123" s="388"/>
      <c r="D123" s="362"/>
      <c r="E123" s="389"/>
      <c r="F123" s="375"/>
      <c r="G123" s="295"/>
      <c r="H123" s="295"/>
      <c r="I123" s="295"/>
      <c r="J123" s="295"/>
      <c r="K123" s="295"/>
      <c r="L123" s="295"/>
      <c r="M123" s="295"/>
      <c r="N123" s="295"/>
      <c r="O123" s="295"/>
      <c r="P123" s="295"/>
      <c r="Q123" s="417"/>
    </row>
    <row r="124" spans="1:17" ht="15.75">
      <c r="A124" s="381"/>
      <c r="B124" s="372"/>
      <c r="C124" s="325"/>
      <c r="D124" s="366"/>
      <c r="E124" s="366" t="s">
        <v>203</v>
      </c>
      <c r="F124" s="672" t="s">
        <v>286</v>
      </c>
      <c r="G124" s="442"/>
      <c r="H124" s="1216"/>
      <c r="I124" s="1217"/>
      <c r="J124" s="1217"/>
      <c r="K124" s="1217"/>
      <c r="L124" s="1217"/>
      <c r="M124" s="1217"/>
      <c r="N124" s="1217"/>
      <c r="O124" s="1217"/>
      <c r="P124" s="1217"/>
      <c r="Q124" s="1218"/>
    </row>
    <row r="125" spans="1:17" ht="15.75">
      <c r="A125" s="381"/>
      <c r="B125" s="372"/>
      <c r="C125" s="325" t="s">
        <v>475</v>
      </c>
      <c r="D125" s="622">
        <f>G125*H125</f>
        <v>0</v>
      </c>
      <c r="E125" s="623">
        <f>+D134</f>
        <v>6.8461486344818107E-2</v>
      </c>
      <c r="F125" s="596">
        <f>D125*E125</f>
        <v>0</v>
      </c>
      <c r="G125" s="624"/>
      <c r="H125" s="625"/>
      <c r="I125" s="420"/>
      <c r="J125" s="420"/>
      <c r="K125" s="420"/>
      <c r="L125" s="420"/>
      <c r="M125" s="420"/>
      <c r="N125" s="420"/>
      <c r="O125" s="420"/>
      <c r="P125" s="420"/>
      <c r="Q125" s="592"/>
    </row>
    <row r="126" spans="1:17" ht="15.75">
      <c r="A126" s="381"/>
      <c r="B126" s="372"/>
      <c r="C126" s="325"/>
      <c r="D126" s="715"/>
      <c r="E126" s="366"/>
      <c r="F126" s="385"/>
      <c r="G126" s="442"/>
      <c r="H126" s="421"/>
      <c r="I126" s="420"/>
      <c r="J126" s="420"/>
      <c r="K126" s="420"/>
      <c r="L126" s="420"/>
      <c r="M126" s="420"/>
      <c r="N126" s="420"/>
      <c r="O126" s="420"/>
      <c r="P126" s="420"/>
      <c r="Q126" s="592"/>
    </row>
    <row r="127" spans="1:17" ht="15.75">
      <c r="A127" s="381"/>
      <c r="B127" s="372"/>
      <c r="C127" s="325" t="s">
        <v>602</v>
      </c>
      <c r="D127" s="719">
        <v>10086110</v>
      </c>
      <c r="E127" s="605">
        <f>+E125</f>
        <v>6.8461486344818107E-2</v>
      </c>
      <c r="F127" s="596">
        <f>+E127*D127</f>
        <v>690510.0820373334</v>
      </c>
      <c r="G127" s="295"/>
      <c r="H127" s="1216"/>
      <c r="I127" s="1217"/>
      <c r="J127" s="1217"/>
      <c r="K127" s="1217"/>
      <c r="L127" s="1217"/>
      <c r="M127" s="1217"/>
      <c r="N127" s="1217"/>
      <c r="O127" s="1217"/>
      <c r="P127" s="1217"/>
      <c r="Q127" s="1218"/>
    </row>
    <row r="128" spans="1:17" ht="15.75">
      <c r="A128" s="381"/>
      <c r="B128" s="372"/>
      <c r="C128" s="604" t="s">
        <v>562</v>
      </c>
      <c r="D128" s="719">
        <v>205058619</v>
      </c>
      <c r="E128" s="605">
        <f>+E127</f>
        <v>6.8461486344818107E-2</v>
      </c>
      <c r="F128" s="596">
        <f>+E128*D128</f>
        <v>14038617.844555758</v>
      </c>
      <c r="G128" s="1022" t="s">
        <v>776</v>
      </c>
      <c r="H128" s="621"/>
      <c r="I128" s="662"/>
      <c r="J128" s="420"/>
      <c r="K128" s="420"/>
      <c r="L128" s="420"/>
      <c r="M128" s="420"/>
      <c r="N128" s="420"/>
      <c r="O128" s="420"/>
      <c r="P128" s="420"/>
      <c r="Q128" s="592"/>
    </row>
    <row r="129" spans="1:17" ht="15.75">
      <c r="A129" s="381"/>
      <c r="B129" s="372"/>
      <c r="C129" s="601"/>
      <c r="D129" s="602">
        <f>SUM(D127:D128)</f>
        <v>215144729</v>
      </c>
      <c r="E129" s="702">
        <f>E128</f>
        <v>6.8461486344818107E-2</v>
      </c>
      <c r="F129" s="603">
        <f>D129*E129</f>
        <v>14729127.926593091</v>
      </c>
      <c r="G129" s="348"/>
      <c r="H129" s="609"/>
      <c r="I129" s="420"/>
      <c r="J129" s="420"/>
      <c r="K129" s="420"/>
      <c r="L129" s="420"/>
      <c r="M129" s="420"/>
      <c r="N129" s="420"/>
      <c r="O129" s="420"/>
      <c r="P129" s="420"/>
      <c r="Q129" s="592"/>
    </row>
    <row r="130" spans="1:17" ht="15.75">
      <c r="A130" s="381"/>
      <c r="B130" s="372"/>
      <c r="C130" s="372"/>
      <c r="D130" s="372"/>
      <c r="E130" s="372"/>
      <c r="F130" s="415"/>
      <c r="G130" s="348"/>
      <c r="H130" s="1216"/>
      <c r="I130" s="1217"/>
      <c r="J130" s="1217"/>
      <c r="K130" s="1217"/>
      <c r="L130" s="1217"/>
      <c r="M130" s="1217"/>
      <c r="N130" s="1217"/>
      <c r="O130" s="1217"/>
      <c r="P130" s="1217"/>
      <c r="Q130" s="1218"/>
    </row>
    <row r="131" spans="1:17" ht="15.75">
      <c r="A131" s="381"/>
      <c r="B131" s="372"/>
      <c r="C131" s="363"/>
      <c r="D131" s="372"/>
      <c r="E131" s="595"/>
      <c r="F131" s="415"/>
      <c r="G131" s="348"/>
      <c r="H131" s="421"/>
      <c r="I131" s="420"/>
      <c r="J131" s="420"/>
      <c r="K131" s="420"/>
      <c r="L131" s="420"/>
      <c r="M131" s="420"/>
      <c r="N131" s="420"/>
      <c r="O131" s="420"/>
      <c r="P131" s="420"/>
      <c r="Q131" s="592"/>
    </row>
    <row r="132" spans="1:17" ht="15.75">
      <c r="A132" s="381"/>
      <c r="B132" s="372">
        <f>+'ATT H-3D'!A16</f>
        <v>5</v>
      </c>
      <c r="C132" s="363" t="str">
        <f>+'ATT H-3D'!B16</f>
        <v>Wages &amp; Salary Allocator</v>
      </c>
      <c r="D132" s="607">
        <f>+'ATT H-3D'!H16</f>
        <v>8.0514508226294385E-2</v>
      </c>
      <c r="E132" s="594"/>
      <c r="F132" s="593"/>
      <c r="G132" s="348"/>
      <c r="H132" s="421"/>
      <c r="I132" s="420"/>
      <c r="J132" s="420"/>
      <c r="K132" s="420"/>
      <c r="L132" s="420"/>
      <c r="M132" s="420"/>
      <c r="N132" s="420"/>
      <c r="O132" s="420"/>
      <c r="P132" s="420"/>
      <c r="Q132" s="592"/>
    </row>
    <row r="133" spans="1:17" ht="15.75">
      <c r="A133" s="381"/>
      <c r="B133" s="372"/>
      <c r="C133" s="363" t="s">
        <v>34</v>
      </c>
      <c r="D133" s="709">
        <v>0.85029999999999994</v>
      </c>
      <c r="E133" s="677" t="s">
        <v>25</v>
      </c>
      <c r="F133" s="415"/>
      <c r="G133" s="348"/>
      <c r="H133" s="1216"/>
      <c r="I133" s="1217"/>
      <c r="J133" s="1217"/>
      <c r="K133" s="1217"/>
      <c r="L133" s="1217"/>
      <c r="M133" s="1217"/>
      <c r="N133" s="1217"/>
      <c r="O133" s="1217"/>
      <c r="P133" s="1217"/>
      <c r="Q133" s="1218"/>
    </row>
    <row r="134" spans="1:17" ht="16.5" thickBot="1">
      <c r="A134" s="399"/>
      <c r="B134" s="402"/>
      <c r="C134" s="406" t="s">
        <v>563</v>
      </c>
      <c r="D134" s="661">
        <f>+D132*D133</f>
        <v>6.8461486344818107E-2</v>
      </c>
      <c r="E134" s="407"/>
      <c r="F134" s="416"/>
      <c r="G134" s="418"/>
      <c r="H134" s="418"/>
      <c r="I134" s="418"/>
      <c r="J134" s="418"/>
      <c r="K134" s="426" t="s">
        <v>334</v>
      </c>
      <c r="L134" s="418"/>
      <c r="M134" s="418"/>
      <c r="N134" s="418"/>
      <c r="O134" s="418"/>
      <c r="P134" s="418"/>
      <c r="Q134" s="423"/>
    </row>
    <row r="135" spans="1:17" ht="16.5" thickBot="1">
      <c r="A135" s="372"/>
      <c r="B135" s="372"/>
      <c r="C135" s="372"/>
      <c r="D135" s="372"/>
      <c r="E135" s="393"/>
      <c r="F135" s="372"/>
      <c r="G135" s="295"/>
      <c r="H135" s="295"/>
      <c r="I135" s="295"/>
      <c r="J135" s="295"/>
      <c r="K135" s="297"/>
      <c r="L135" s="295"/>
      <c r="M135" s="295"/>
      <c r="N135" s="295"/>
      <c r="O135" s="295"/>
      <c r="P135" s="295"/>
      <c r="Q135" s="295"/>
    </row>
    <row r="136" spans="1:17" ht="20.25">
      <c r="A136" s="626" t="s">
        <v>616</v>
      </c>
      <c r="B136" s="627"/>
      <c r="C136" s="627"/>
      <c r="D136" s="627"/>
      <c r="E136" s="628"/>
      <c r="F136" s="629"/>
      <c r="G136" s="450"/>
      <c r="H136" s="630"/>
      <c r="I136" s="630"/>
      <c r="J136" s="630"/>
      <c r="K136" s="631"/>
      <c r="L136" s="630"/>
      <c r="M136" s="630"/>
      <c r="N136" s="630"/>
      <c r="O136" s="630"/>
      <c r="P136" s="630"/>
      <c r="Q136" s="476"/>
    </row>
    <row r="137" spans="1:17" ht="18">
      <c r="A137" s="1245" t="s">
        <v>611</v>
      </c>
      <c r="B137" s="1246"/>
      <c r="C137" s="1246"/>
      <c r="D137" s="1246"/>
      <c r="E137" s="1246"/>
      <c r="F137" s="1247"/>
      <c r="G137" s="324" t="s">
        <v>608</v>
      </c>
      <c r="H137" s="295" t="s">
        <v>618</v>
      </c>
      <c r="I137" s="295" t="s">
        <v>579</v>
      </c>
      <c r="J137" s="295" t="s">
        <v>627</v>
      </c>
      <c r="K137" s="297"/>
      <c r="L137" s="295"/>
      <c r="M137" s="295"/>
      <c r="N137" s="295"/>
      <c r="O137" s="295"/>
      <c r="P137" s="295"/>
      <c r="Q137" s="417"/>
    </row>
    <row r="138" spans="1:17" ht="15.75">
      <c r="A138" s="381">
        <f>'ATT H-3D'!A115</f>
        <v>61</v>
      </c>
      <c r="B138" s="372"/>
      <c r="C138" s="372" t="str">
        <f>'ATT H-3D'!C115</f>
        <v>Less extraordinary property loss</v>
      </c>
      <c r="D138" s="372"/>
      <c r="E138" s="372"/>
      <c r="F138" s="415" t="str">
        <f>'ATT H-3D'!F115</f>
        <v>Attachment 5</v>
      </c>
      <c r="G138" s="632">
        <v>0</v>
      </c>
      <c r="H138" s="295"/>
      <c r="I138" s="295"/>
      <c r="J138" s="295"/>
      <c r="K138" s="297"/>
      <c r="L138" s="295"/>
      <c r="M138" s="295"/>
      <c r="N138" s="295"/>
      <c r="O138" s="295"/>
      <c r="P138" s="295"/>
      <c r="Q138" s="417"/>
    </row>
    <row r="139" spans="1:17" ht="16.5" thickBot="1">
      <c r="A139" s="399">
        <f>'ATT H-3D'!A116</f>
        <v>62</v>
      </c>
      <c r="B139" s="402"/>
      <c r="C139" s="402" t="str">
        <f>'ATT H-3D'!C116</f>
        <v>Plus amortized extraordinary property loss</v>
      </c>
      <c r="D139" s="402"/>
      <c r="E139" s="402"/>
      <c r="F139" s="416" t="str">
        <f>'ATT H-3D'!F116</f>
        <v>Attachment 5</v>
      </c>
      <c r="G139" s="422"/>
      <c r="H139" s="418">
        <v>5</v>
      </c>
      <c r="I139" s="633">
        <f>G138*1/H139</f>
        <v>0</v>
      </c>
      <c r="J139" s="633">
        <f>I139-ISPMT('ATT H-3D'!H213,1,'5 - Cost Support 1'!H139,'5 - Cost Support 1'!G138)</f>
        <v>0</v>
      </c>
      <c r="K139" s="426"/>
      <c r="L139" s="418"/>
      <c r="M139" s="418"/>
      <c r="N139" s="418"/>
      <c r="O139" s="418"/>
      <c r="P139" s="418"/>
      <c r="Q139" s="423"/>
    </row>
    <row r="140" spans="1:17" ht="15.75">
      <c r="A140" s="372"/>
      <c r="B140" s="372"/>
      <c r="C140" s="372"/>
      <c r="D140" s="372"/>
      <c r="E140" s="393"/>
      <c r="F140" s="372"/>
      <c r="G140" s="295"/>
      <c r="H140" s="295"/>
      <c r="I140" s="295"/>
      <c r="J140" s="295"/>
      <c r="K140" s="297"/>
      <c r="L140" s="295"/>
      <c r="M140" s="295"/>
      <c r="N140" s="295"/>
      <c r="O140" s="295"/>
      <c r="P140" s="295"/>
      <c r="Q140" s="295"/>
    </row>
    <row r="141" spans="1:17" ht="15.75">
      <c r="A141" s="372"/>
      <c r="B141" s="372"/>
      <c r="C141" s="372"/>
      <c r="D141" s="372"/>
      <c r="E141" s="393"/>
      <c r="F141" s="372"/>
      <c r="G141" s="295"/>
      <c r="H141" s="295"/>
      <c r="I141" s="295"/>
      <c r="J141" s="295"/>
      <c r="K141" s="297"/>
      <c r="L141" s="295"/>
      <c r="M141" s="295"/>
      <c r="N141" s="295"/>
      <c r="O141" s="295"/>
      <c r="P141" s="295"/>
      <c r="Q141" s="295"/>
    </row>
    <row r="142" spans="1:17" ht="21" thickBot="1">
      <c r="A142" s="404" t="s">
        <v>394</v>
      </c>
      <c r="G142" s="294"/>
      <c r="H142" s="294"/>
      <c r="I142" s="294"/>
      <c r="J142" s="294"/>
      <c r="K142" s="294"/>
      <c r="L142" s="294"/>
      <c r="M142" s="294"/>
      <c r="N142" s="294"/>
      <c r="O142" s="294"/>
      <c r="P142" s="294"/>
      <c r="Q142" s="294"/>
    </row>
    <row r="143" spans="1:17" ht="26.25">
      <c r="A143" s="1200" t="s">
        <v>611</v>
      </c>
      <c r="B143" s="1201"/>
      <c r="C143" s="1201"/>
      <c r="D143" s="1201"/>
      <c r="E143" s="1201"/>
      <c r="F143" s="1202"/>
      <c r="G143" s="425" t="str">
        <f>+C145</f>
        <v>Interest on Network Credits</v>
      </c>
      <c r="H143" s="1189" t="s">
        <v>339</v>
      </c>
      <c r="I143" s="1214"/>
      <c r="J143" s="1214"/>
      <c r="K143" s="1214"/>
      <c r="L143" s="1214"/>
      <c r="M143" s="1214"/>
      <c r="N143" s="1214"/>
      <c r="O143" s="1214"/>
      <c r="P143" s="1214"/>
      <c r="Q143" s="1215"/>
    </row>
    <row r="144" spans="1:17" ht="15.75">
      <c r="A144" s="381"/>
      <c r="B144" s="355" t="str">
        <f>+'ATT H-3D'!B261</f>
        <v>Revenue Credits &amp; Interest on Network Credits</v>
      </c>
      <c r="C144" s="372"/>
      <c r="D144" s="372"/>
      <c r="E144" s="372"/>
      <c r="F144" s="415"/>
      <c r="G144" s="295"/>
      <c r="H144" s="295"/>
      <c r="I144" s="295"/>
      <c r="J144" s="295"/>
      <c r="K144" s="295"/>
      <c r="L144" s="295"/>
      <c r="M144" s="295"/>
      <c r="N144" s="295"/>
      <c r="O144" s="295"/>
      <c r="P144" s="295"/>
      <c r="Q144" s="417"/>
    </row>
    <row r="145" spans="1:17" ht="15.75">
      <c r="A145" s="381">
        <f>+'ATT H-3D'!A263</f>
        <v>155</v>
      </c>
      <c r="B145" s="372"/>
      <c r="C145" s="363" t="str">
        <f>+'ATT H-3D'!C263</f>
        <v>Interest on Network Credits</v>
      </c>
      <c r="D145" s="372"/>
      <c r="E145" s="393" t="str">
        <f>+'ATT H-3D'!E263</f>
        <v>(Note N)</v>
      </c>
      <c r="F145" s="385" t="str">
        <f>+'ATT H-3D'!F263</f>
        <v>PJM Data</v>
      </c>
      <c r="G145" s="442">
        <v>0</v>
      </c>
      <c r="H145" s="1216" t="s">
        <v>336</v>
      </c>
      <c r="I145" s="1217"/>
      <c r="J145" s="1217"/>
      <c r="K145" s="1217"/>
      <c r="L145" s="1217"/>
      <c r="M145" s="1217"/>
      <c r="N145" s="1217"/>
      <c r="O145" s="1217"/>
      <c r="P145" s="1217"/>
      <c r="Q145" s="1218"/>
    </row>
    <row r="146" spans="1:17" ht="15.75">
      <c r="A146" s="381"/>
      <c r="B146" s="372"/>
      <c r="C146" s="372"/>
      <c r="D146" s="372"/>
      <c r="E146" s="393"/>
      <c r="F146" s="415"/>
      <c r="G146" s="295"/>
      <c r="H146" s="295"/>
      <c r="I146" s="295"/>
      <c r="J146" s="295"/>
      <c r="K146" s="295"/>
      <c r="L146" s="295"/>
      <c r="M146" s="295"/>
      <c r="N146" s="295"/>
      <c r="O146" s="348"/>
      <c r="P146" s="295"/>
      <c r="Q146" s="417"/>
    </row>
    <row r="147" spans="1:17" ht="15.75">
      <c r="A147" s="381"/>
      <c r="B147" s="372"/>
      <c r="C147" s="372"/>
      <c r="D147" s="372"/>
      <c r="E147" s="393"/>
      <c r="F147" s="415"/>
      <c r="G147" s="348" t="s">
        <v>332</v>
      </c>
      <c r="H147" s="1216" t="s">
        <v>488</v>
      </c>
      <c r="I147" s="1217"/>
      <c r="J147" s="1217"/>
      <c r="K147" s="1217"/>
      <c r="L147" s="1217"/>
      <c r="M147" s="1217"/>
      <c r="N147" s="1217"/>
      <c r="O147" s="1217"/>
      <c r="P147" s="1217"/>
      <c r="Q147" s="1218"/>
    </row>
    <row r="148" spans="1:17" ht="15.75">
      <c r="A148" s="381"/>
      <c r="B148" s="372"/>
      <c r="C148" s="372"/>
      <c r="D148" s="372"/>
      <c r="E148" s="393"/>
      <c r="F148" s="415"/>
      <c r="G148" s="348"/>
      <c r="H148" s="1216"/>
      <c r="I148" s="1217"/>
      <c r="J148" s="1217"/>
      <c r="K148" s="1217"/>
      <c r="L148" s="1217"/>
      <c r="M148" s="1217"/>
      <c r="N148" s="1217"/>
      <c r="O148" s="1217"/>
      <c r="P148" s="1217"/>
      <c r="Q148" s="1218"/>
    </row>
    <row r="149" spans="1:17" ht="15.75">
      <c r="A149" s="381"/>
      <c r="B149" s="372"/>
      <c r="C149" s="372"/>
      <c r="D149" s="372"/>
      <c r="E149" s="393"/>
      <c r="F149" s="415"/>
      <c r="G149" s="348"/>
      <c r="H149" s="1216"/>
      <c r="I149" s="1217"/>
      <c r="J149" s="1217"/>
      <c r="K149" s="1217"/>
      <c r="L149" s="1217"/>
      <c r="M149" s="1217"/>
      <c r="N149" s="1217"/>
      <c r="O149" s="1217"/>
      <c r="P149" s="1217"/>
      <c r="Q149" s="1218"/>
    </row>
    <row r="150" spans="1:17" ht="16.5" thickBot="1">
      <c r="A150" s="399"/>
      <c r="B150" s="402"/>
      <c r="C150" s="402"/>
      <c r="D150" s="402"/>
      <c r="E150" s="407"/>
      <c r="F150" s="416"/>
      <c r="G150" s="418"/>
      <c r="H150" s="418"/>
      <c r="I150" s="418"/>
      <c r="J150" s="418"/>
      <c r="K150" s="426" t="s">
        <v>334</v>
      </c>
      <c r="L150" s="418"/>
      <c r="M150" s="418"/>
      <c r="N150" s="418"/>
      <c r="O150" s="418"/>
      <c r="P150" s="418"/>
      <c r="Q150" s="423"/>
    </row>
    <row r="151" spans="1:17" ht="15.75">
      <c r="A151" s="372"/>
      <c r="B151" s="372"/>
      <c r="C151" s="372"/>
      <c r="D151" s="372"/>
      <c r="E151" s="393"/>
      <c r="F151" s="372"/>
      <c r="G151" s="295"/>
      <c r="H151" s="295"/>
      <c r="I151" s="295"/>
      <c r="J151" s="295"/>
      <c r="K151" s="297"/>
      <c r="L151" s="295"/>
      <c r="M151" s="295"/>
      <c r="N151" s="295"/>
      <c r="O151" s="295"/>
      <c r="P151" s="295"/>
      <c r="Q151" s="295"/>
    </row>
    <row r="152" spans="1:17" ht="21" thickBot="1">
      <c r="A152" s="404" t="str">
        <f>+'ATT H-3D'!C286</f>
        <v>Facility Credits under Section 30.9 of the PJM OATT and Facility Credits to Vineland per settlement in ER05-515</v>
      </c>
      <c r="G152" s="294"/>
      <c r="H152" s="294"/>
      <c r="I152" s="294"/>
      <c r="J152" s="294"/>
      <c r="K152" s="294"/>
      <c r="L152" s="294"/>
      <c r="M152" s="294"/>
      <c r="N152" s="294"/>
      <c r="O152" s="294"/>
      <c r="P152" s="294"/>
      <c r="Q152" s="294"/>
    </row>
    <row r="153" spans="1:17" ht="18">
      <c r="A153" s="1200" t="s">
        <v>611</v>
      </c>
      <c r="B153" s="1201"/>
      <c r="C153" s="1201"/>
      <c r="D153" s="1201"/>
      <c r="E153" s="1201"/>
      <c r="F153" s="1202"/>
      <c r="G153" s="425" t="s">
        <v>266</v>
      </c>
      <c r="H153" s="1189" t="s">
        <v>338</v>
      </c>
      <c r="I153" s="1214"/>
      <c r="J153" s="1214"/>
      <c r="K153" s="1214"/>
      <c r="L153" s="1214"/>
      <c r="M153" s="1214"/>
      <c r="N153" s="1214"/>
      <c r="O153" s="1214"/>
      <c r="P153" s="1214"/>
      <c r="Q153" s="1215"/>
    </row>
    <row r="154" spans="1:17" ht="15.75">
      <c r="A154" s="381"/>
      <c r="B154" s="368" t="str">
        <f>+'ATT H-3D'!C283</f>
        <v>Net Revenue Requirement</v>
      </c>
      <c r="C154" s="350"/>
      <c r="D154" s="350"/>
      <c r="E154" s="351"/>
      <c r="F154" s="379"/>
      <c r="G154" s="295"/>
      <c r="H154" s="295"/>
      <c r="I154" s="295"/>
      <c r="J154" s="295"/>
      <c r="K154" s="295"/>
      <c r="L154" s="295"/>
      <c r="M154" s="295"/>
      <c r="N154" s="295"/>
      <c r="O154" s="295"/>
      <c r="P154" s="295"/>
      <c r="Q154" s="417"/>
    </row>
    <row r="155" spans="1:17" ht="16.5" thickBot="1">
      <c r="A155" s="399">
        <f>+'ATT H-3D'!A286</f>
        <v>171</v>
      </c>
      <c r="B155" s="400"/>
      <c r="C155" s="406" t="str">
        <f>+'ATT H-3D'!C286</f>
        <v>Facility Credits under Section 30.9 of the PJM OATT and Facility Credits to Vineland per settlement in ER05-515</v>
      </c>
      <c r="D155" s="403"/>
      <c r="E155" s="402"/>
      <c r="F155" s="402" t="str">
        <f>+'ATT H-3D'!F286</f>
        <v xml:space="preserve">Attachment 5 </v>
      </c>
      <c r="G155" s="574">
        <v>0</v>
      </c>
      <c r="H155" s="1221"/>
      <c r="I155" s="1222"/>
      <c r="J155" s="1222"/>
      <c r="K155" s="1222"/>
      <c r="L155" s="1222"/>
      <c r="M155" s="1222"/>
      <c r="N155" s="1222"/>
      <c r="O155" s="1222"/>
      <c r="P155" s="1222"/>
      <c r="Q155" s="1223"/>
    </row>
    <row r="156" spans="1:17" ht="15.75">
      <c r="A156" s="372"/>
      <c r="B156" s="372"/>
      <c r="C156" s="372"/>
      <c r="D156" s="372"/>
      <c r="E156" s="393"/>
      <c r="F156" s="372"/>
      <c r="G156" s="295"/>
      <c r="H156" s="295"/>
      <c r="I156" s="295"/>
      <c r="J156" s="295"/>
      <c r="K156" s="297"/>
      <c r="L156" s="295"/>
      <c r="M156" s="295"/>
      <c r="N156" s="295"/>
      <c r="O156" s="295"/>
      <c r="P156" s="295"/>
      <c r="Q156" s="295"/>
    </row>
    <row r="157" spans="1:17">
      <c r="G157" s="294"/>
      <c r="H157" s="294"/>
      <c r="I157" s="294"/>
      <c r="J157" s="294"/>
      <c r="K157" s="294"/>
      <c r="L157" s="294"/>
      <c r="M157" s="294"/>
      <c r="N157" s="294"/>
      <c r="O157" s="294"/>
      <c r="P157" s="294"/>
      <c r="Q157" s="294"/>
    </row>
    <row r="158" spans="1:17" ht="21" thickBot="1">
      <c r="A158" s="404" t="s">
        <v>391</v>
      </c>
      <c r="G158" s="294"/>
      <c r="H158" s="294"/>
      <c r="I158" s="294"/>
      <c r="J158" s="294"/>
      <c r="K158" s="294"/>
      <c r="L158" s="294"/>
      <c r="M158" s="294"/>
      <c r="N158" s="294"/>
      <c r="O158" s="294"/>
      <c r="P158" s="294"/>
      <c r="Q158" s="294"/>
    </row>
    <row r="159" spans="1:17" ht="18">
      <c r="A159" s="1200" t="s">
        <v>611</v>
      </c>
      <c r="B159" s="1201"/>
      <c r="C159" s="1201"/>
      <c r="D159" s="1201"/>
      <c r="E159" s="1201"/>
      <c r="F159" s="1202"/>
      <c r="G159" s="425" t="str">
        <f>+C161</f>
        <v>1 CP Peak</v>
      </c>
      <c r="H159" s="1189" t="s">
        <v>338</v>
      </c>
      <c r="I159" s="1214"/>
      <c r="J159" s="1214"/>
      <c r="K159" s="1214"/>
      <c r="L159" s="1214"/>
      <c r="M159" s="1214"/>
      <c r="N159" s="1214"/>
      <c r="O159" s="1214"/>
      <c r="P159" s="1214"/>
      <c r="Q159" s="1215"/>
    </row>
    <row r="160" spans="1:17" ht="15.75">
      <c r="A160" s="381"/>
      <c r="B160" s="368" t="s">
        <v>313</v>
      </c>
      <c r="C160" s="350"/>
      <c r="D160" s="350"/>
      <c r="E160" s="351"/>
      <c r="F160" s="379"/>
      <c r="G160" s="295"/>
      <c r="H160" s="295"/>
      <c r="I160" s="295"/>
      <c r="J160" s="295"/>
      <c r="K160" s="295"/>
      <c r="L160" s="295"/>
      <c r="M160" s="295"/>
      <c r="N160" s="295"/>
      <c r="O160" s="295"/>
      <c r="P160" s="295"/>
      <c r="Q160" s="417"/>
    </row>
    <row r="161" spans="1:17" ht="16.5" thickBot="1">
      <c r="A161" s="399">
        <f>+'ATT H-3D'!A291</f>
        <v>173</v>
      </c>
      <c r="B161" s="400"/>
      <c r="C161" s="406" t="str">
        <f>+'ATT H-3D'!C291</f>
        <v>1 CP Peak</v>
      </c>
      <c r="D161" s="403"/>
      <c r="E161" s="407" t="str">
        <f>+'ATT H-3D'!E291</f>
        <v>(Note L)</v>
      </c>
      <c r="F161" s="408" t="str">
        <f>+'ATT H-3D'!F291</f>
        <v>PJM Data</v>
      </c>
      <c r="G161" s="836">
        <v>4114</v>
      </c>
      <c r="H161" s="1221" t="s">
        <v>487</v>
      </c>
      <c r="I161" s="1222"/>
      <c r="J161" s="1222"/>
      <c r="K161" s="1222"/>
      <c r="L161" s="1222"/>
      <c r="M161" s="1222"/>
      <c r="N161" s="1222"/>
      <c r="O161" s="1222"/>
      <c r="P161" s="1222"/>
      <c r="Q161" s="1223"/>
    </row>
    <row r="162" spans="1:17">
      <c r="G162" s="294"/>
      <c r="H162" s="294"/>
      <c r="I162" s="294"/>
      <c r="J162" s="294"/>
      <c r="K162" s="294"/>
      <c r="L162" s="294"/>
      <c r="M162" s="294"/>
      <c r="N162" s="294"/>
      <c r="O162" s="294"/>
      <c r="P162" s="294"/>
      <c r="Q162" s="294"/>
    </row>
    <row r="163" spans="1:17">
      <c r="G163" s="294"/>
      <c r="H163" s="294"/>
      <c r="I163" s="294"/>
      <c r="J163" s="294"/>
      <c r="K163" s="294"/>
      <c r="L163" s="294"/>
      <c r="M163" s="294"/>
      <c r="N163" s="294"/>
      <c r="O163" s="294"/>
      <c r="P163" s="294"/>
      <c r="Q163" s="294"/>
    </row>
    <row r="164" spans="1:17" ht="21" thickBot="1">
      <c r="A164" s="404" t="s">
        <v>342</v>
      </c>
      <c r="G164" s="294"/>
      <c r="H164" s="294"/>
      <c r="I164" s="294"/>
      <c r="J164" s="294"/>
      <c r="K164" s="294"/>
      <c r="L164" s="294"/>
      <c r="M164" s="294"/>
      <c r="N164" s="294"/>
      <c r="O164" s="294"/>
      <c r="P164" s="294"/>
      <c r="Q164" s="294"/>
    </row>
    <row r="165" spans="1:17" ht="18">
      <c r="A165" s="427"/>
      <c r="B165" s="428"/>
      <c r="C165" s="438" t="s">
        <v>343</v>
      </c>
      <c r="D165" s="438" t="s">
        <v>344</v>
      </c>
      <c r="E165" s="438" t="s">
        <v>345</v>
      </c>
      <c r="F165" s="438" t="s">
        <v>346</v>
      </c>
      <c r="G165" s="1197" t="s">
        <v>347</v>
      </c>
      <c r="H165" s="1198"/>
      <c r="I165" s="1199" t="s">
        <v>348</v>
      </c>
      <c r="J165" s="1198"/>
      <c r="K165" s="1199" t="s">
        <v>349</v>
      </c>
      <c r="L165" s="1198"/>
      <c r="M165" s="430"/>
      <c r="N165" s="430"/>
      <c r="O165" s="430"/>
      <c r="P165" s="430"/>
      <c r="Q165" s="431"/>
    </row>
    <row r="166" spans="1:17" ht="15.75">
      <c r="A166" s="381"/>
      <c r="B166" s="355"/>
      <c r="C166" s="372" t="s">
        <v>514</v>
      </c>
      <c r="D166" s="573"/>
      <c r="E166" s="439"/>
      <c r="F166" s="439"/>
      <c r="G166" s="1209"/>
      <c r="H166" s="1210"/>
      <c r="I166" s="1211"/>
      <c r="J166" s="1210"/>
      <c r="K166" s="1211"/>
      <c r="L166" s="1210"/>
      <c r="M166" s="432"/>
      <c r="N166" s="432"/>
      <c r="O166" s="432"/>
      <c r="P166" s="432"/>
      <c r="Q166" s="433"/>
    </row>
    <row r="167" spans="1:17" ht="15.75">
      <c r="A167" s="381"/>
      <c r="B167" s="372"/>
      <c r="C167" s="372"/>
      <c r="D167" s="372"/>
      <c r="E167" s="439"/>
      <c r="F167" s="439"/>
      <c r="G167" s="1212"/>
      <c r="H167" s="1213"/>
      <c r="I167" s="1219"/>
      <c r="J167" s="1213"/>
      <c r="K167" s="1219"/>
      <c r="L167" s="1220"/>
      <c r="M167" s="434"/>
      <c r="N167" s="434"/>
      <c r="O167" s="434"/>
      <c r="P167" s="434"/>
      <c r="Q167" s="435"/>
    </row>
    <row r="168" spans="1:17" ht="15.75">
      <c r="A168" s="381"/>
      <c r="B168" s="372"/>
      <c r="C168" s="372"/>
      <c r="D168" s="372"/>
      <c r="E168" s="439"/>
      <c r="F168" s="439"/>
      <c r="G168" s="441"/>
      <c r="H168" s="546"/>
      <c r="I168" s="440"/>
      <c r="J168" s="547"/>
      <c r="K168" s="440"/>
      <c r="L168" s="547"/>
      <c r="M168" s="434"/>
      <c r="N168" s="434"/>
      <c r="O168" s="434"/>
      <c r="P168" s="434"/>
      <c r="Q168" s="435"/>
    </row>
    <row r="169" spans="1:17" ht="16.5" thickBot="1">
      <c r="A169" s="399"/>
      <c r="B169" s="402"/>
      <c r="C169" s="402" t="s">
        <v>181</v>
      </c>
      <c r="D169" s="402"/>
      <c r="E169" s="407"/>
      <c r="F169" s="402"/>
      <c r="G169" s="1206"/>
      <c r="H169" s="1207"/>
      <c r="I169" s="1208"/>
      <c r="J169" s="1207"/>
      <c r="K169" s="1208"/>
      <c r="L169" s="1207"/>
      <c r="M169" s="436"/>
      <c r="N169" s="436"/>
      <c r="O169" s="436"/>
      <c r="P169" s="436"/>
      <c r="Q169" s="437"/>
    </row>
    <row r="170" spans="1:17">
      <c r="G170" s="294"/>
      <c r="H170" s="294"/>
      <c r="I170" s="294"/>
      <c r="J170" s="294"/>
      <c r="K170" s="294"/>
      <c r="L170" s="294"/>
      <c r="M170" s="294"/>
      <c r="N170" s="294"/>
      <c r="O170" s="294"/>
      <c r="P170" s="294"/>
      <c r="Q170" s="294"/>
    </row>
    <row r="171" spans="1:17" s="876" customFormat="1" ht="15">
      <c r="C171" s="878"/>
      <c r="G171" s="294"/>
      <c r="H171" s="294"/>
      <c r="I171" s="294"/>
      <c r="J171" s="294"/>
      <c r="K171" s="294"/>
      <c r="L171" s="294"/>
      <c r="M171" s="294"/>
      <c r="N171" s="294"/>
      <c r="O171" s="294"/>
      <c r="P171" s="294"/>
      <c r="Q171" s="294"/>
    </row>
    <row r="172" spans="1:17" s="908" customFormat="1" ht="21" thickBot="1">
      <c r="A172" s="956" t="s">
        <v>728</v>
      </c>
      <c r="B172" s="957"/>
      <c r="C172" s="957"/>
      <c r="G172" s="294"/>
      <c r="H172" s="294"/>
      <c r="I172" s="294"/>
      <c r="J172" s="294"/>
      <c r="K172" s="294"/>
      <c r="L172" s="294"/>
      <c r="M172" s="294"/>
      <c r="N172" s="294"/>
      <c r="O172" s="294"/>
      <c r="P172" s="294"/>
      <c r="Q172" s="294"/>
    </row>
    <row r="173" spans="1:17" s="908" customFormat="1" ht="18">
      <c r="A173" s="1200" t="s">
        <v>611</v>
      </c>
      <c r="B173" s="1201"/>
      <c r="C173" s="1201"/>
      <c r="D173" s="1201"/>
      <c r="E173" s="1201"/>
      <c r="F173" s="1202"/>
      <c r="G173" s="294"/>
      <c r="H173" s="294"/>
      <c r="I173" s="294"/>
      <c r="J173" s="294"/>
      <c r="K173" s="294"/>
      <c r="L173" s="294"/>
      <c r="M173" s="294"/>
      <c r="N173" s="294"/>
      <c r="O173" s="294"/>
      <c r="P173" s="294"/>
      <c r="Q173" s="294"/>
    </row>
    <row r="174" spans="1:17" s="908" customFormat="1">
      <c r="A174" s="958" t="s">
        <v>68</v>
      </c>
      <c r="B174" s="959" t="s">
        <v>729</v>
      </c>
      <c r="C174" s="959"/>
      <c r="D174" s="959" t="s">
        <v>716</v>
      </c>
      <c r="E174" s="960"/>
      <c r="F174" s="961"/>
      <c r="G174" s="294"/>
      <c r="H174" s="294"/>
      <c r="I174" s="294"/>
      <c r="J174" s="294"/>
      <c r="K174" s="294"/>
      <c r="L174" s="294"/>
      <c r="M174" s="294"/>
      <c r="N174" s="294"/>
      <c r="O174" s="294"/>
      <c r="P174" s="294"/>
      <c r="Q174" s="294"/>
    </row>
    <row r="175" spans="1:17" s="908" customFormat="1">
      <c r="A175" s="958" t="s">
        <v>182</v>
      </c>
      <c r="B175" s="959" t="s">
        <v>717</v>
      </c>
      <c r="C175" s="959"/>
      <c r="D175" s="959" t="s">
        <v>716</v>
      </c>
      <c r="E175" s="959"/>
      <c r="F175" s="961"/>
      <c r="G175" s="294"/>
      <c r="H175" s="294"/>
      <c r="I175" s="294"/>
      <c r="J175" s="294"/>
      <c r="K175" s="294"/>
      <c r="L175" s="294"/>
      <c r="M175" s="294"/>
      <c r="N175" s="294"/>
      <c r="O175" s="294"/>
      <c r="P175" s="294"/>
      <c r="Q175" s="294"/>
    </row>
    <row r="176" spans="1:17" s="908" customFormat="1">
      <c r="A176" s="958" t="s">
        <v>46</v>
      </c>
      <c r="B176" s="959" t="s">
        <v>730</v>
      </c>
      <c r="C176" s="959"/>
      <c r="D176" s="959" t="s">
        <v>731</v>
      </c>
      <c r="E176" s="960"/>
      <c r="F176" s="961"/>
      <c r="G176" s="294"/>
      <c r="H176" s="294"/>
      <c r="I176" s="294"/>
      <c r="J176" s="294"/>
      <c r="K176" s="294"/>
      <c r="L176" s="294"/>
      <c r="M176" s="294"/>
      <c r="N176" s="294"/>
      <c r="O176" s="294"/>
      <c r="P176" s="294"/>
      <c r="Q176" s="294"/>
    </row>
    <row r="177" spans="1:17" s="908" customFormat="1">
      <c r="A177" s="958" t="s">
        <v>69</v>
      </c>
      <c r="B177" s="959" t="s">
        <v>718</v>
      </c>
      <c r="C177" s="959"/>
      <c r="D177" s="959"/>
      <c r="E177" s="959"/>
      <c r="F177" s="961"/>
      <c r="G177" s="294"/>
      <c r="H177" s="294"/>
      <c r="I177" s="294"/>
      <c r="J177" s="294"/>
      <c r="K177" s="294"/>
      <c r="L177" s="294"/>
      <c r="M177" s="294"/>
      <c r="N177" s="294"/>
      <c r="O177" s="294"/>
      <c r="P177" s="294"/>
      <c r="Q177" s="294"/>
    </row>
    <row r="178" spans="1:17" s="908" customFormat="1">
      <c r="A178" s="958" t="s">
        <v>67</v>
      </c>
      <c r="B178" s="959" t="s">
        <v>732</v>
      </c>
      <c r="C178" s="959"/>
      <c r="D178" s="959" t="s">
        <v>733</v>
      </c>
      <c r="E178" s="960"/>
      <c r="F178" s="962" t="s">
        <v>734</v>
      </c>
      <c r="G178" s="294"/>
      <c r="H178" s="294"/>
      <c r="I178" s="294"/>
      <c r="J178" s="294"/>
      <c r="K178" s="294"/>
      <c r="L178" s="294"/>
      <c r="M178" s="294"/>
      <c r="N178" s="294"/>
      <c r="O178" s="294"/>
      <c r="P178" s="294"/>
      <c r="Q178" s="294"/>
    </row>
    <row r="179" spans="1:17" s="908" customFormat="1">
      <c r="A179" s="958" t="s">
        <v>340</v>
      </c>
      <c r="B179" s="959" t="s">
        <v>735</v>
      </c>
      <c r="C179" s="959"/>
      <c r="D179" s="959"/>
      <c r="E179" s="960"/>
      <c r="F179" s="962"/>
      <c r="G179" s="294"/>
      <c r="H179" s="294"/>
      <c r="I179" s="294"/>
      <c r="J179" s="294"/>
      <c r="K179" s="294"/>
      <c r="L179" s="294"/>
      <c r="M179" s="294"/>
      <c r="N179" s="294"/>
      <c r="O179" s="294"/>
      <c r="P179" s="294"/>
      <c r="Q179" s="294"/>
    </row>
    <row r="180" spans="1:17" s="908" customFormat="1" ht="13.5" thickBot="1">
      <c r="A180" s="963" t="s">
        <v>70</v>
      </c>
      <c r="B180" s="964" t="s">
        <v>736</v>
      </c>
      <c r="C180" s="965"/>
      <c r="D180" s="964" t="s">
        <v>737</v>
      </c>
      <c r="E180" s="966"/>
      <c r="F180" s="967" t="s">
        <v>738</v>
      </c>
      <c r="G180" s="294"/>
      <c r="H180" s="294"/>
      <c r="I180" s="294"/>
      <c r="J180" s="294"/>
      <c r="K180" s="294"/>
      <c r="L180" s="294"/>
      <c r="M180" s="294"/>
      <c r="N180" s="294"/>
      <c r="O180" s="294"/>
      <c r="P180" s="294"/>
      <c r="Q180" s="294"/>
    </row>
    <row r="181" spans="1:17" s="908" customFormat="1">
      <c r="G181" s="294"/>
      <c r="H181" s="294"/>
      <c r="I181" s="294"/>
      <c r="J181" s="294"/>
      <c r="K181" s="294"/>
      <c r="L181" s="294"/>
      <c r="M181" s="294"/>
      <c r="N181" s="294"/>
      <c r="O181" s="294"/>
      <c r="P181" s="294"/>
      <c r="Q181" s="294"/>
    </row>
    <row r="182" spans="1:17" s="908" customFormat="1" ht="21" thickBot="1">
      <c r="A182" s="956" t="s">
        <v>727</v>
      </c>
      <c r="B182" s="957"/>
      <c r="C182" s="957"/>
      <c r="G182" s="294"/>
      <c r="H182" s="294"/>
      <c r="I182" s="294"/>
      <c r="J182" s="294"/>
      <c r="K182" s="294"/>
      <c r="L182" s="294"/>
      <c r="M182" s="294"/>
      <c r="N182" s="294"/>
      <c r="O182" s="294"/>
      <c r="P182" s="294"/>
      <c r="Q182" s="294"/>
    </row>
    <row r="183" spans="1:17" s="908" customFormat="1" ht="18">
      <c r="A183" s="1200" t="s">
        <v>611</v>
      </c>
      <c r="B183" s="1201"/>
      <c r="C183" s="1201"/>
      <c r="D183" s="1201"/>
      <c r="E183" s="1201"/>
      <c r="F183" s="1202"/>
      <c r="G183" s="294"/>
      <c r="H183" s="294"/>
      <c r="I183" s="294"/>
      <c r="J183" s="294"/>
      <c r="K183" s="294"/>
      <c r="L183" s="294"/>
      <c r="M183" s="294"/>
      <c r="N183" s="294"/>
      <c r="O183" s="294"/>
      <c r="P183" s="294"/>
      <c r="Q183" s="294"/>
    </row>
    <row r="184" spans="1:17" s="908" customFormat="1">
      <c r="A184" s="968"/>
      <c r="B184" s="969"/>
      <c r="C184" s="969"/>
      <c r="D184" s="970" t="s">
        <v>739</v>
      </c>
      <c r="E184" s="971" t="s">
        <v>413</v>
      </c>
      <c r="F184" s="972" t="s">
        <v>181</v>
      </c>
      <c r="G184" s="294"/>
      <c r="H184" s="294"/>
      <c r="I184" s="294"/>
      <c r="J184" s="294"/>
      <c r="K184" s="294"/>
      <c r="L184" s="294"/>
      <c r="M184" s="294"/>
      <c r="N184" s="294"/>
      <c r="O184" s="294"/>
      <c r="P184" s="294"/>
      <c r="Q184" s="294"/>
    </row>
    <row r="185" spans="1:17" s="908" customFormat="1">
      <c r="A185" s="968" t="s">
        <v>726</v>
      </c>
      <c r="B185" s="969"/>
      <c r="C185" s="969" t="s">
        <v>740</v>
      </c>
      <c r="D185" s="973">
        <v>9750649</v>
      </c>
      <c r="E185" s="973">
        <v>12725412</v>
      </c>
      <c r="F185" s="974">
        <f>D185+E185</f>
        <v>22476061</v>
      </c>
      <c r="G185" s="294"/>
      <c r="H185" s="294"/>
      <c r="I185" s="294"/>
      <c r="J185" s="294"/>
      <c r="K185" s="294"/>
      <c r="L185" s="294"/>
      <c r="M185" s="294"/>
      <c r="N185" s="294"/>
      <c r="O185" s="294"/>
      <c r="P185" s="294"/>
      <c r="Q185" s="294"/>
    </row>
    <row r="186" spans="1:17" s="908" customFormat="1">
      <c r="A186" s="968" t="s">
        <v>726</v>
      </c>
      <c r="B186" s="969"/>
      <c r="C186" s="969" t="s">
        <v>742</v>
      </c>
      <c r="D186" s="975">
        <v>14666395</v>
      </c>
      <c r="E186" s="976">
        <v>16524210</v>
      </c>
      <c r="F186" s="974">
        <f>D186+E186</f>
        <v>31190605</v>
      </c>
      <c r="G186" s="294"/>
      <c r="H186" s="294"/>
      <c r="I186" s="294"/>
      <c r="J186" s="294"/>
      <c r="K186" s="294"/>
      <c r="L186" s="294"/>
      <c r="M186" s="294"/>
      <c r="N186" s="294"/>
      <c r="O186" s="294"/>
      <c r="P186" s="294"/>
      <c r="Q186" s="294"/>
    </row>
    <row r="187" spans="1:17" s="908" customFormat="1">
      <c r="A187" s="968" t="s">
        <v>726</v>
      </c>
      <c r="B187" s="969"/>
      <c r="C187" s="977" t="s">
        <v>741</v>
      </c>
      <c r="D187" s="978">
        <v>12208522</v>
      </c>
      <c r="E187" s="979">
        <v>14624812</v>
      </c>
      <c r="F187" s="980">
        <f>D187+E187</f>
        <v>26833334</v>
      </c>
      <c r="G187" s="294"/>
      <c r="H187" s="294"/>
      <c r="I187" s="294"/>
      <c r="J187" s="294"/>
      <c r="K187" s="294"/>
      <c r="L187" s="294"/>
      <c r="M187" s="294"/>
      <c r="N187" s="294"/>
      <c r="O187" s="294"/>
      <c r="P187" s="294"/>
      <c r="Q187" s="294"/>
    </row>
    <row r="188" spans="1:17" s="908" customFormat="1" ht="17.25" thickBot="1">
      <c r="A188" s="981"/>
      <c r="B188" s="982"/>
      <c r="C188" s="983" t="s">
        <v>181</v>
      </c>
      <c r="D188" s="984">
        <f>SUM(D185:D187)</f>
        <v>36625566</v>
      </c>
      <c r="E188" s="985">
        <f>SUM(E185:E187)</f>
        <v>43874434</v>
      </c>
      <c r="F188" s="986">
        <f>SUM(F185:F187)</f>
        <v>80500000</v>
      </c>
      <c r="G188" s="424"/>
      <c r="H188" s="424"/>
      <c r="I188" s="424"/>
      <c r="J188" s="424"/>
      <c r="K188" s="424"/>
      <c r="L188" s="424"/>
      <c r="M188" s="424"/>
      <c r="N188" s="424"/>
      <c r="O188" s="424"/>
      <c r="P188" s="424"/>
      <c r="Q188" s="424"/>
    </row>
    <row r="189" spans="1:17" ht="16.5">
      <c r="G189" s="424"/>
      <c r="H189" s="424"/>
      <c r="I189" s="424"/>
      <c r="J189" s="424"/>
      <c r="K189" s="424"/>
      <c r="L189" s="424"/>
      <c r="M189" s="424"/>
      <c r="N189" s="424"/>
      <c r="O189" s="424"/>
      <c r="P189" s="424"/>
      <c r="Q189" s="424"/>
    </row>
    <row r="190" spans="1:17" ht="16.5">
      <c r="G190" s="424"/>
      <c r="H190" s="424"/>
      <c r="I190" s="424"/>
      <c r="J190" s="424"/>
      <c r="K190" s="424"/>
      <c r="L190" s="424"/>
      <c r="M190" s="424"/>
      <c r="N190" s="424"/>
      <c r="O190" s="424"/>
      <c r="P190" s="424"/>
      <c r="Q190" s="424"/>
    </row>
    <row r="191" spans="1:17" s="1020" customFormat="1" ht="20.25">
      <c r="A191" s="1021" t="s">
        <v>772</v>
      </c>
      <c r="G191" s="424"/>
      <c r="H191" s="424"/>
      <c r="I191" s="424"/>
      <c r="J191" s="424"/>
      <c r="K191" s="424"/>
      <c r="L191" s="424"/>
      <c r="M191" s="424"/>
      <c r="N191" s="424"/>
      <c r="O191" s="424"/>
      <c r="P191" s="424"/>
      <c r="Q191" s="424"/>
    </row>
    <row r="192" spans="1:17" ht="6.75" customHeight="1" thickBot="1">
      <c r="G192" s="424"/>
      <c r="H192" s="424"/>
      <c r="I192" s="424"/>
      <c r="J192" s="424"/>
      <c r="K192" s="424"/>
      <c r="L192" s="424"/>
      <c r="M192" s="424"/>
      <c r="N192" s="424"/>
      <c r="O192" s="424"/>
      <c r="P192" s="424"/>
      <c r="Q192" s="424"/>
    </row>
    <row r="193" spans="1:17" s="1000" customFormat="1" ht="18.75" thickBot="1">
      <c r="A193" s="1194" t="s">
        <v>759</v>
      </c>
      <c r="B193" s="1195"/>
      <c r="C193" s="1195"/>
      <c r="D193" s="1195"/>
      <c r="E193" s="1195"/>
      <c r="F193" s="1196"/>
      <c r="G193" s="1197"/>
      <c r="H193" s="1198"/>
      <c r="I193" s="1199"/>
      <c r="J193" s="1198"/>
      <c r="K193" s="1199"/>
      <c r="L193" s="1198"/>
      <c r="M193" s="430"/>
      <c r="N193" s="430"/>
      <c r="O193" s="430"/>
      <c r="P193" s="430"/>
      <c r="Q193" s="431"/>
    </row>
    <row r="194" spans="1:17" s="1000" customFormat="1" ht="26.25">
      <c r="A194" s="1200" t="s">
        <v>611</v>
      </c>
      <c r="B194" s="1201"/>
      <c r="C194" s="1201"/>
      <c r="D194" s="1201"/>
      <c r="E194" s="1201"/>
      <c r="F194" s="1202"/>
      <c r="G194" s="1023" t="s">
        <v>319</v>
      </c>
      <c r="H194" s="1023" t="s">
        <v>502</v>
      </c>
      <c r="I194" s="1023" t="s">
        <v>760</v>
      </c>
      <c r="J194" s="1006"/>
      <c r="K194" s="1006"/>
      <c r="L194" s="1006"/>
      <c r="M194" s="1006"/>
      <c r="N194" s="1006"/>
      <c r="O194" s="1006"/>
      <c r="P194" s="1006"/>
      <c r="Q194" s="1007"/>
    </row>
    <row r="195" spans="1:17" s="2" customFormat="1" ht="18">
      <c r="A195" s="1008"/>
      <c r="B195" s="1009"/>
      <c r="C195" s="1009"/>
      <c r="D195" s="1009"/>
      <c r="E195" s="1009"/>
      <c r="F195" s="1010"/>
      <c r="G195" s="1024"/>
      <c r="H195" s="1024"/>
      <c r="I195" s="1024"/>
      <c r="J195" s="1011"/>
      <c r="K195" s="1011"/>
      <c r="L195" s="1011"/>
      <c r="M195" s="1011"/>
      <c r="N195" s="1011"/>
      <c r="O195" s="1011"/>
      <c r="P195" s="1011"/>
      <c r="Q195" s="1012"/>
    </row>
    <row r="196" spans="1:17" s="1000" customFormat="1" ht="15.75">
      <c r="A196" s="381">
        <v>60</v>
      </c>
      <c r="B196" s="372"/>
      <c r="C196" s="363" t="s">
        <v>144</v>
      </c>
      <c r="D196" s="362"/>
      <c r="E196" s="389"/>
      <c r="F196" s="385" t="s">
        <v>11</v>
      </c>
      <c r="G196" s="1013">
        <v>18074774</v>
      </c>
      <c r="H196" s="1013">
        <v>10620.16</v>
      </c>
      <c r="I196" s="459">
        <f>G196-H196</f>
        <v>18064153.84</v>
      </c>
      <c r="J196" s="295"/>
      <c r="K196" s="295"/>
      <c r="L196" s="295"/>
      <c r="M196" s="295"/>
      <c r="N196" s="295"/>
      <c r="O196" s="295"/>
      <c r="P196" s="295"/>
      <c r="Q196" s="417"/>
    </row>
    <row r="197" spans="1:17" s="1000" customFormat="1" ht="16.5" thickBot="1">
      <c r="A197" s="399">
        <v>68</v>
      </c>
      <c r="B197" s="402"/>
      <c r="C197" s="406" t="s">
        <v>150</v>
      </c>
      <c r="D197" s="327"/>
      <c r="E197" s="327"/>
      <c r="F197" s="408" t="s">
        <v>13</v>
      </c>
      <c r="G197" s="1025">
        <v>69386052</v>
      </c>
      <c r="H197" s="1025">
        <v>3027421.79</v>
      </c>
      <c r="I197" s="1026">
        <f>G197-H197</f>
        <v>66358630.210000001</v>
      </c>
      <c r="J197" s="418"/>
      <c r="K197" s="418"/>
      <c r="L197" s="418"/>
      <c r="M197" s="418"/>
      <c r="N197" s="418"/>
      <c r="O197" s="418"/>
      <c r="P197" s="418"/>
      <c r="Q197" s="423"/>
    </row>
    <row r="198" spans="1:17" s="1000" customFormat="1" ht="16.5">
      <c r="G198" s="424"/>
      <c r="H198" s="424"/>
      <c r="I198" s="424"/>
      <c r="J198" s="424"/>
      <c r="K198" s="424"/>
      <c r="L198" s="424"/>
      <c r="M198" s="424"/>
      <c r="N198" s="424"/>
      <c r="O198" s="424"/>
      <c r="P198" s="424"/>
      <c r="Q198" s="424"/>
    </row>
    <row r="199" spans="1:17" s="1000" customFormat="1" ht="17.25" thickBot="1">
      <c r="G199" s="424"/>
      <c r="H199" s="424"/>
      <c r="I199" s="424"/>
      <c r="J199" s="424"/>
      <c r="K199" s="424"/>
      <c r="L199" s="424"/>
      <c r="M199" s="424"/>
      <c r="N199" s="424"/>
      <c r="O199" s="424"/>
      <c r="P199" s="424"/>
      <c r="Q199" s="424"/>
    </row>
    <row r="200" spans="1:17" s="1000" customFormat="1" ht="18.75" thickBot="1">
      <c r="A200" s="1203" t="s">
        <v>761</v>
      </c>
      <c r="B200" s="1204"/>
      <c r="C200" s="1204"/>
      <c r="D200" s="1204"/>
      <c r="E200" s="1204"/>
      <c r="F200" s="1205"/>
      <c r="G200" s="1023" t="s">
        <v>319</v>
      </c>
      <c r="H200" s="1023" t="s">
        <v>762</v>
      </c>
      <c r="I200" s="1023" t="s">
        <v>763</v>
      </c>
      <c r="J200" s="1006"/>
      <c r="K200" s="1006"/>
      <c r="L200" s="1006"/>
      <c r="M200" s="1006"/>
      <c r="N200" s="1006"/>
      <c r="O200" s="1006"/>
      <c r="P200" s="1006"/>
      <c r="Q200" s="1007"/>
    </row>
    <row r="201" spans="1:17" s="1000" customFormat="1" ht="18">
      <c r="A201" s="1200" t="s">
        <v>611</v>
      </c>
      <c r="B201" s="1201"/>
      <c r="C201" s="1201"/>
      <c r="D201" s="1201"/>
      <c r="E201" s="1201"/>
      <c r="F201" s="1202"/>
      <c r="G201" s="1023" t="s">
        <v>319</v>
      </c>
      <c r="H201" s="1023" t="s">
        <v>762</v>
      </c>
      <c r="I201" s="1023" t="s">
        <v>763</v>
      </c>
      <c r="J201" s="1006"/>
      <c r="K201" s="1006"/>
      <c r="L201" s="1006"/>
      <c r="M201" s="1006"/>
      <c r="N201" s="1006"/>
      <c r="O201" s="1006"/>
      <c r="P201" s="1006"/>
      <c r="Q201" s="1007"/>
    </row>
    <row r="202" spans="1:17" s="2" customFormat="1" ht="18">
      <c r="A202" s="1008"/>
      <c r="B202" s="1009"/>
      <c r="C202" s="1009"/>
      <c r="D202" s="1009"/>
      <c r="E202" s="1009"/>
      <c r="F202" s="1010"/>
      <c r="G202" s="1024"/>
      <c r="H202" s="1024"/>
      <c r="I202" s="1024"/>
      <c r="J202" s="1011"/>
      <c r="K202" s="1011"/>
      <c r="L202" s="1011"/>
      <c r="M202" s="1011"/>
      <c r="N202" s="1011"/>
      <c r="O202" s="1011"/>
      <c r="P202" s="1011"/>
      <c r="Q202" s="1012"/>
    </row>
    <row r="203" spans="1:17" s="1000" customFormat="1" ht="15.75">
      <c r="A203" s="381">
        <v>6</v>
      </c>
      <c r="B203" s="372"/>
      <c r="C203" s="363" t="s">
        <v>189</v>
      </c>
      <c r="D203" s="362"/>
      <c r="E203" s="389"/>
      <c r="F203" s="385" t="s">
        <v>7</v>
      </c>
      <c r="G203" s="1013">
        <v>3431003839</v>
      </c>
      <c r="H203" s="1013">
        <v>147988</v>
      </c>
      <c r="I203" s="459">
        <f>G203-H203</f>
        <v>3430855851</v>
      </c>
      <c r="J203" s="295"/>
      <c r="K203" s="295"/>
      <c r="L203" s="295"/>
      <c r="M203" s="295"/>
      <c r="N203" s="295"/>
      <c r="O203" s="295"/>
      <c r="P203" s="295"/>
      <c r="Q203" s="417"/>
    </row>
    <row r="204" spans="1:17" s="1000" customFormat="1" ht="15.75">
      <c r="A204" s="381">
        <v>9</v>
      </c>
      <c r="B204" s="372"/>
      <c r="C204" s="363" t="s">
        <v>61</v>
      </c>
      <c r="D204" s="325"/>
      <c r="E204" s="325"/>
      <c r="F204" s="385" t="s">
        <v>8</v>
      </c>
      <c r="G204" s="1013">
        <v>892324561</v>
      </c>
      <c r="H204" s="1013">
        <v>86325</v>
      </c>
      <c r="I204" s="459">
        <f>G204-H204</f>
        <v>892238236</v>
      </c>
      <c r="J204" s="295"/>
      <c r="K204" s="295"/>
      <c r="L204" s="295"/>
      <c r="M204" s="295"/>
      <c r="N204" s="295"/>
      <c r="O204" s="295"/>
      <c r="P204" s="295"/>
      <c r="Q204" s="417"/>
    </row>
    <row r="205" spans="1:17" s="1000" customFormat="1" ht="15.75">
      <c r="A205" s="381">
        <v>23</v>
      </c>
      <c r="B205" s="372"/>
      <c r="C205" s="363" t="s">
        <v>151</v>
      </c>
      <c r="D205" s="325"/>
      <c r="E205" s="325"/>
      <c r="F205" s="385" t="s">
        <v>9</v>
      </c>
      <c r="G205" s="1013">
        <f>4070155+175484681</f>
        <v>179554836</v>
      </c>
      <c r="H205" s="1013">
        <f>H203</f>
        <v>147988</v>
      </c>
      <c r="I205" s="459">
        <f t="shared" ref="I205:I206" si="0">G205-H205</f>
        <v>179406848</v>
      </c>
      <c r="J205" s="295"/>
      <c r="K205" s="295"/>
      <c r="L205" s="295"/>
      <c r="M205" s="295"/>
      <c r="N205" s="295"/>
      <c r="O205" s="295"/>
      <c r="P205" s="295"/>
      <c r="Q205" s="417"/>
    </row>
    <row r="206" spans="1:17" s="1000" customFormat="1" ht="16.5" thickBot="1">
      <c r="A206" s="399">
        <v>31</v>
      </c>
      <c r="B206" s="402"/>
      <c r="C206" s="406" t="s">
        <v>230</v>
      </c>
      <c r="D206" s="327"/>
      <c r="E206" s="327"/>
      <c r="F206" s="408" t="s">
        <v>10</v>
      </c>
      <c r="G206" s="1025">
        <v>42233571</v>
      </c>
      <c r="H206" s="1025">
        <f>H204</f>
        <v>86325</v>
      </c>
      <c r="I206" s="1026">
        <f t="shared" si="0"/>
        <v>42147246</v>
      </c>
      <c r="J206" s="418"/>
      <c r="K206" s="418"/>
      <c r="L206" s="418"/>
      <c r="M206" s="418"/>
      <c r="N206" s="418"/>
      <c r="O206" s="418"/>
      <c r="P206" s="418"/>
      <c r="Q206" s="423"/>
    </row>
    <row r="207" spans="1:17" s="1000" customFormat="1" ht="16.5">
      <c r="G207" s="424"/>
      <c r="H207" s="1027"/>
      <c r="I207" s="424"/>
      <c r="J207" s="424"/>
      <c r="K207" s="424"/>
      <c r="L207" s="424"/>
      <c r="M207" s="424"/>
      <c r="N207" s="424"/>
      <c r="O207" s="424"/>
      <c r="P207" s="424"/>
      <c r="Q207" s="424"/>
    </row>
    <row r="208" spans="1:17" ht="17.25" thickBot="1">
      <c r="G208" s="424"/>
      <c r="H208" s="424"/>
      <c r="I208" s="424"/>
      <c r="J208" s="424"/>
      <c r="K208" s="424"/>
      <c r="L208" s="424"/>
      <c r="M208" s="424"/>
      <c r="N208" s="424"/>
      <c r="O208" s="424"/>
      <c r="P208" s="424"/>
      <c r="Q208" s="424"/>
    </row>
    <row r="209" spans="1:17" s="1120" customFormat="1" ht="18.75" thickBot="1">
      <c r="A209" s="1194" t="s">
        <v>795</v>
      </c>
      <c r="B209" s="1195"/>
      <c r="C209" s="1195"/>
      <c r="D209" s="1195"/>
      <c r="E209" s="1195"/>
      <c r="F209" s="1196"/>
      <c r="G209" s="1197"/>
      <c r="H209" s="1198"/>
      <c r="I209" s="1199"/>
      <c r="J209" s="1198"/>
      <c r="K209" s="1199"/>
      <c r="L209" s="1198"/>
      <c r="M209" s="430"/>
      <c r="N209" s="430"/>
      <c r="O209" s="430"/>
      <c r="P209" s="430"/>
      <c r="Q209" s="431"/>
    </row>
    <row r="210" spans="1:17" s="1120" customFormat="1" ht="39">
      <c r="A210" s="1200" t="s">
        <v>611</v>
      </c>
      <c r="B210" s="1201"/>
      <c r="C210" s="1201"/>
      <c r="D210" s="1201"/>
      <c r="E210" s="1201"/>
      <c r="F210" s="1202"/>
      <c r="G210" s="1121" t="s">
        <v>796</v>
      </c>
      <c r="H210" s="1121" t="s">
        <v>797</v>
      </c>
      <c r="I210" s="1121" t="s">
        <v>798</v>
      </c>
      <c r="J210" s="1121" t="s">
        <v>799</v>
      </c>
      <c r="K210" s="1189" t="s">
        <v>800</v>
      </c>
      <c r="L210" s="1190"/>
      <c r="M210" s="1190"/>
      <c r="N210" s="1190"/>
      <c r="O210" s="1190"/>
      <c r="P210" s="1190"/>
      <c r="Q210" s="1191"/>
    </row>
    <row r="211" spans="1:17" s="2" customFormat="1" ht="18">
      <c r="A211" s="1008"/>
      <c r="B211" s="1009"/>
      <c r="C211" s="1009"/>
      <c r="D211" s="1009"/>
      <c r="E211" s="1009"/>
      <c r="F211" s="1010"/>
      <c r="G211" s="1122"/>
      <c r="H211" s="1122"/>
      <c r="I211" s="1122"/>
      <c r="J211" s="1011"/>
      <c r="K211" s="1011"/>
      <c r="L211" s="1011"/>
      <c r="M211" s="1011"/>
      <c r="N211" s="1011"/>
      <c r="O211" s="1011"/>
      <c r="P211" s="1011"/>
      <c r="Q211" s="1012"/>
    </row>
    <row r="212" spans="1:17" s="1120" customFormat="1" ht="53.25" customHeight="1">
      <c r="A212" s="381">
        <v>68</v>
      </c>
      <c r="B212" s="372"/>
      <c r="C212" s="363" t="s">
        <v>150</v>
      </c>
      <c r="D212" s="362"/>
      <c r="E212" s="389"/>
      <c r="F212" s="1123" t="s">
        <v>801</v>
      </c>
      <c r="G212" s="1013">
        <v>69386052</v>
      </c>
      <c r="H212" s="1013">
        <v>12445382</v>
      </c>
      <c r="I212" s="459">
        <v>-648857.56106267578</v>
      </c>
      <c r="J212" s="459">
        <v>-704728</v>
      </c>
      <c r="K212" s="1192" t="s">
        <v>817</v>
      </c>
      <c r="L212" s="1179"/>
      <c r="M212" s="1179"/>
      <c r="N212" s="1179"/>
      <c r="O212" s="1179"/>
      <c r="P212" s="1179"/>
      <c r="Q212" s="1193"/>
    </row>
    <row r="213" spans="1:17" s="1120" customFormat="1" ht="16.5" thickBot="1">
      <c r="A213" s="399"/>
      <c r="B213" s="402"/>
      <c r="C213" s="406"/>
      <c r="D213" s="327"/>
      <c r="E213" s="327"/>
      <c r="F213" s="408"/>
      <c r="G213" s="1025"/>
      <c r="H213" s="1025"/>
      <c r="I213" s="1026"/>
      <c r="J213" s="418"/>
      <c r="K213" s="418"/>
      <c r="L213" s="418"/>
      <c r="M213" s="418"/>
      <c r="N213" s="418"/>
      <c r="O213" s="418"/>
      <c r="P213" s="418"/>
      <c r="Q213" s="423"/>
    </row>
    <row r="214" spans="1:17" ht="16.5">
      <c r="G214" s="424"/>
      <c r="H214" s="424"/>
      <c r="I214" s="424"/>
      <c r="J214" s="424"/>
      <c r="K214" s="424"/>
      <c r="L214" s="424"/>
      <c r="M214" s="424"/>
      <c r="N214" s="424"/>
      <c r="O214" s="424"/>
      <c r="P214" s="424"/>
      <c r="Q214" s="424"/>
    </row>
    <row r="215" spans="1:17" ht="17.25" thickBot="1">
      <c r="G215" s="424"/>
      <c r="H215" s="424"/>
      <c r="I215" s="424"/>
      <c r="J215" s="424"/>
      <c r="K215" s="424"/>
      <c r="L215" s="424"/>
      <c r="M215" s="424"/>
      <c r="N215" s="424"/>
      <c r="O215" s="424"/>
      <c r="P215" s="424"/>
      <c r="Q215" s="424"/>
    </row>
    <row r="216" spans="1:17" s="1140" customFormat="1" ht="19.5" thickBot="1">
      <c r="A216" s="1194" t="s">
        <v>491</v>
      </c>
      <c r="B216" s="1195"/>
      <c r="C216" s="1195"/>
      <c r="D216" s="1195"/>
      <c r="E216" s="1195"/>
      <c r="F216" s="1196"/>
      <c r="G216" s="424"/>
      <c r="H216" s="424"/>
      <c r="I216" s="424"/>
      <c r="J216" s="424"/>
      <c r="K216" s="424"/>
      <c r="L216" s="424"/>
      <c r="M216" s="424"/>
      <c r="N216" s="424"/>
      <c r="O216" s="424"/>
      <c r="P216" s="424"/>
      <c r="Q216" s="424"/>
    </row>
    <row r="217" spans="1:17" s="1140" customFormat="1" ht="16.5">
      <c r="G217" s="424"/>
      <c r="H217" s="424"/>
      <c r="I217" s="424"/>
      <c r="J217" s="424"/>
      <c r="K217" s="424"/>
      <c r="L217" s="424"/>
      <c r="M217" s="424"/>
      <c r="N217" s="424"/>
      <c r="O217" s="424"/>
      <c r="P217" s="424"/>
      <c r="Q217" s="424"/>
    </row>
    <row r="218" spans="1:17" s="1140" customFormat="1" ht="16.5">
      <c r="A218" s="1140" t="s">
        <v>595</v>
      </c>
      <c r="C218" s="1141" t="s">
        <v>809</v>
      </c>
      <c r="E218" s="852">
        <f>E226</f>
        <v>408552.17285382294</v>
      </c>
      <c r="G218" s="424"/>
      <c r="H218" s="424"/>
      <c r="I218" s="424"/>
      <c r="J218" s="424"/>
      <c r="K218" s="424"/>
      <c r="L218" s="424"/>
      <c r="M218" s="424"/>
      <c r="N218" s="424"/>
      <c r="O218" s="424"/>
      <c r="P218" s="424"/>
      <c r="Q218" s="424"/>
    </row>
    <row r="219" spans="1:17" s="1140" customFormat="1" ht="16.5">
      <c r="G219" s="424"/>
      <c r="H219" s="424"/>
      <c r="I219" s="424"/>
      <c r="J219" s="424"/>
      <c r="K219" s="424"/>
      <c r="L219" s="424"/>
      <c r="M219" s="424"/>
      <c r="N219" s="424"/>
      <c r="O219" s="424"/>
      <c r="P219" s="424"/>
      <c r="Q219" s="424"/>
    </row>
    <row r="220" spans="1:17" s="1140" customFormat="1" ht="16.5">
      <c r="D220" s="299" t="s">
        <v>810</v>
      </c>
      <c r="E220" s="1142">
        <f>'3 - Revenue Credits'!D33</f>
        <v>1007245.38</v>
      </c>
      <c r="G220" s="424"/>
      <c r="H220" s="424"/>
      <c r="I220" s="424"/>
      <c r="J220" s="424"/>
      <c r="K220" s="424"/>
      <c r="L220" s="424"/>
      <c r="M220" s="424"/>
      <c r="N220" s="424"/>
      <c r="O220" s="424"/>
      <c r="P220" s="424"/>
      <c r="Q220" s="424"/>
    </row>
    <row r="221" spans="1:17" s="1140" customFormat="1" ht="16.5">
      <c r="D221" s="865" t="s">
        <v>811</v>
      </c>
      <c r="E221" s="1143">
        <f>'ATT H-3D'!H220</f>
        <v>0.35</v>
      </c>
      <c r="G221" s="424"/>
      <c r="H221" s="424"/>
      <c r="I221" s="424"/>
      <c r="J221" s="424"/>
      <c r="K221" s="424"/>
      <c r="L221" s="424"/>
      <c r="M221" s="424"/>
      <c r="N221" s="424"/>
      <c r="O221" s="424"/>
      <c r="P221" s="424"/>
      <c r="Q221" s="424"/>
    </row>
    <row r="222" spans="1:17" s="1140" customFormat="1" ht="16.5">
      <c r="D222" s="1144" t="s">
        <v>814</v>
      </c>
      <c r="E222" s="1145">
        <f>E220*E221</f>
        <v>352535.88299999997</v>
      </c>
      <c r="G222" s="424"/>
      <c r="H222" s="424"/>
      <c r="I222" s="424"/>
      <c r="J222" s="424"/>
      <c r="K222" s="424"/>
      <c r="L222" s="424"/>
      <c r="M222" s="424"/>
      <c r="N222" s="424"/>
      <c r="O222" s="424"/>
      <c r="P222" s="424"/>
      <c r="Q222" s="424"/>
    </row>
    <row r="223" spans="1:17" s="1140" customFormat="1" ht="16.5">
      <c r="D223" s="1144" t="s">
        <v>812</v>
      </c>
      <c r="E223" s="1145">
        <f>E220-E222</f>
        <v>654709.49699999997</v>
      </c>
      <c r="G223" s="424"/>
      <c r="H223" s="424"/>
      <c r="I223" s="424"/>
      <c r="J223" s="424"/>
      <c r="K223" s="424"/>
      <c r="L223" s="424"/>
      <c r="M223" s="424"/>
      <c r="N223" s="424"/>
      <c r="O223" s="424"/>
      <c r="P223" s="424"/>
      <c r="Q223" s="424"/>
    </row>
    <row r="224" spans="1:17" s="1140" customFormat="1" ht="16.5">
      <c r="D224" s="1144" t="s">
        <v>813</v>
      </c>
      <c r="E224" s="1146">
        <f>'ATT H-3D'!H221</f>
        <v>8.5558999999999996E-2</v>
      </c>
      <c r="G224" s="424"/>
      <c r="H224" s="424"/>
      <c r="I224" s="424"/>
      <c r="J224" s="424"/>
      <c r="K224" s="424"/>
      <c r="L224" s="424"/>
      <c r="M224" s="424"/>
      <c r="N224" s="424"/>
      <c r="O224" s="424"/>
      <c r="P224" s="424"/>
      <c r="Q224" s="424"/>
    </row>
    <row r="225" spans="1:17" s="1140" customFormat="1" ht="16.5">
      <c r="D225" s="1144" t="s">
        <v>815</v>
      </c>
      <c r="E225" s="1145">
        <f>E223*E224</f>
        <v>56016.289853822993</v>
      </c>
      <c r="G225" s="424"/>
      <c r="H225" s="424"/>
      <c r="I225" s="424"/>
      <c r="J225" s="424"/>
      <c r="K225" s="424"/>
      <c r="L225" s="424"/>
      <c r="M225" s="424"/>
      <c r="N225" s="424"/>
      <c r="O225" s="424"/>
      <c r="P225" s="424"/>
      <c r="Q225" s="424"/>
    </row>
    <row r="226" spans="1:17" s="1140" customFormat="1" ht="17.25" thickBot="1">
      <c r="D226" s="1144" t="s">
        <v>816</v>
      </c>
      <c r="E226" s="1147">
        <f>E225+E222</f>
        <v>408552.17285382294</v>
      </c>
      <c r="G226" s="424"/>
      <c r="H226" s="424"/>
      <c r="I226" s="424"/>
      <c r="J226" s="424"/>
      <c r="K226" s="424"/>
      <c r="L226" s="424"/>
      <c r="M226" s="424"/>
      <c r="N226" s="424"/>
      <c r="O226" s="424"/>
      <c r="P226" s="424"/>
      <c r="Q226" s="424"/>
    </row>
    <row r="227" spans="1:17" ht="17.25" thickTop="1">
      <c r="G227" s="424"/>
      <c r="H227" s="424"/>
      <c r="I227" s="424"/>
      <c r="J227" s="424"/>
      <c r="K227" s="424"/>
      <c r="L227" s="424"/>
      <c r="M227" s="424"/>
      <c r="N227" s="424"/>
      <c r="O227" s="424"/>
      <c r="P227" s="424"/>
      <c r="Q227" s="424"/>
    </row>
    <row r="228" spans="1:17" ht="17.25" thickBot="1">
      <c r="G228" s="424"/>
      <c r="H228" s="424"/>
      <c r="I228" s="424"/>
      <c r="J228" s="424"/>
      <c r="K228" s="424"/>
      <c r="L228" s="424"/>
      <c r="M228" s="424"/>
      <c r="N228" s="424"/>
      <c r="O228" s="424"/>
      <c r="P228" s="424"/>
      <c r="Q228" s="424"/>
    </row>
    <row r="229" spans="1:17" s="1150" customFormat="1" ht="19.5" thickBot="1">
      <c r="A229" s="1194" t="s">
        <v>626</v>
      </c>
      <c r="B229" s="1195"/>
      <c r="C229" s="1195"/>
      <c r="D229" s="1195"/>
      <c r="E229" s="1195"/>
      <c r="F229" s="1196"/>
      <c r="G229" s="424"/>
      <c r="H229" s="424"/>
      <c r="I229" s="424"/>
      <c r="J229" s="424"/>
      <c r="K229" s="424"/>
      <c r="L229" s="424"/>
      <c r="M229" s="424"/>
      <c r="N229" s="424"/>
      <c r="O229" s="424"/>
      <c r="P229" s="424"/>
      <c r="Q229" s="424"/>
    </row>
    <row r="230" spans="1:17" s="1150" customFormat="1" ht="16.5">
      <c r="A230" s="1244" t="s">
        <v>824</v>
      </c>
      <c r="B230" s="1244"/>
      <c r="C230" s="1244"/>
      <c r="D230" s="1244"/>
      <c r="E230" s="1244"/>
      <c r="F230" s="1244"/>
      <c r="G230" s="424"/>
      <c r="H230" s="424"/>
      <c r="I230" s="424"/>
      <c r="J230" s="424"/>
      <c r="K230" s="424"/>
      <c r="L230" s="424"/>
      <c r="M230" s="424"/>
      <c r="N230" s="424"/>
      <c r="O230" s="424"/>
      <c r="P230" s="424"/>
      <c r="Q230" s="424"/>
    </row>
    <row r="231" spans="1:17" ht="16.5">
      <c r="G231" s="424"/>
      <c r="H231" s="424"/>
      <c r="I231" s="424"/>
      <c r="J231" s="424"/>
      <c r="K231" s="424"/>
      <c r="L231" s="424"/>
      <c r="M231" s="424"/>
      <c r="N231" s="424"/>
      <c r="O231" s="424"/>
      <c r="P231" s="424"/>
      <c r="Q231" s="424"/>
    </row>
    <row r="232" spans="1:17" ht="18">
      <c r="C232" s="1151" t="s">
        <v>825</v>
      </c>
      <c r="D232" s="988">
        <f>'6- Est &amp; Reconcile WS'!H158</f>
        <v>5783309.1541213645</v>
      </c>
      <c r="E232" s="713" t="s">
        <v>818</v>
      </c>
      <c r="F232" s="1152"/>
      <c r="G232" s="424"/>
      <c r="H232" s="424"/>
      <c r="I232" s="424"/>
      <c r="J232" s="424"/>
      <c r="K232" s="424"/>
      <c r="L232" s="424"/>
      <c r="M232" s="424"/>
      <c r="N232" s="424"/>
      <c r="O232" s="424"/>
      <c r="P232" s="424"/>
      <c r="Q232" s="424"/>
    </row>
    <row r="233" spans="1:17" ht="16.5">
      <c r="C233" s="1151" t="s">
        <v>826</v>
      </c>
      <c r="D233" s="988">
        <v>1610297.4223280409</v>
      </c>
      <c r="E233" s="713" t="s">
        <v>819</v>
      </c>
      <c r="F233" s="1153"/>
      <c r="G233" s="424"/>
      <c r="H233" s="424"/>
      <c r="I233" s="424"/>
      <c r="J233" s="424"/>
      <c r="K233" s="424"/>
      <c r="L233" s="424"/>
      <c r="M233" s="424"/>
      <c r="N233" s="424"/>
      <c r="O233" s="424"/>
      <c r="P233" s="424"/>
      <c r="Q233" s="424"/>
    </row>
    <row r="234" spans="1:17" ht="16.5">
      <c r="C234" s="1151"/>
      <c r="D234" s="1151"/>
      <c r="E234" s="1151"/>
      <c r="F234" s="1154"/>
      <c r="G234" s="424"/>
      <c r="H234" s="424"/>
      <c r="I234" s="424"/>
      <c r="J234" s="424"/>
      <c r="K234" s="424"/>
      <c r="L234" s="424"/>
      <c r="M234" s="424"/>
      <c r="N234" s="424"/>
      <c r="O234" s="424"/>
      <c r="P234" s="424"/>
      <c r="Q234" s="424"/>
    </row>
    <row r="235" spans="1:17" ht="16.5">
      <c r="C235" s="1151" t="s">
        <v>827</v>
      </c>
      <c r="D235" s="1151">
        <v>281</v>
      </c>
      <c r="E235" s="713" t="s">
        <v>828</v>
      </c>
      <c r="F235" s="1128"/>
      <c r="G235" s="424"/>
      <c r="H235" s="424"/>
      <c r="I235" s="424"/>
      <c r="J235" s="424"/>
      <c r="K235" s="424"/>
      <c r="L235" s="424"/>
      <c r="M235" s="424"/>
      <c r="N235" s="424"/>
      <c r="O235" s="424"/>
      <c r="P235" s="424"/>
      <c r="Q235" s="424"/>
    </row>
    <row r="236" spans="1:17" ht="16.5">
      <c r="C236" s="1151" t="s">
        <v>829</v>
      </c>
      <c r="D236" s="1155">
        <v>85</v>
      </c>
      <c r="E236" s="713" t="s">
        <v>820</v>
      </c>
      <c r="F236" s="1133"/>
      <c r="G236" s="424"/>
      <c r="H236" s="424"/>
      <c r="I236" s="424"/>
      <c r="J236" s="424"/>
      <c r="K236" s="424"/>
      <c r="L236" s="424"/>
      <c r="M236" s="424"/>
      <c r="N236" s="424"/>
      <c r="O236" s="424"/>
      <c r="P236" s="424"/>
      <c r="Q236" s="424"/>
    </row>
    <row r="237" spans="1:17" ht="16.5">
      <c r="C237" s="1151"/>
      <c r="D237" s="1151">
        <f>SUM(D235:D236)</f>
        <v>366</v>
      </c>
      <c r="E237" s="713" t="s">
        <v>830</v>
      </c>
      <c r="F237" s="1133"/>
      <c r="G237" s="424"/>
      <c r="H237" s="424"/>
      <c r="I237" s="424"/>
      <c r="J237" s="424"/>
      <c r="K237" s="424"/>
      <c r="L237" s="424"/>
      <c r="M237" s="424"/>
      <c r="N237" s="424"/>
      <c r="O237" s="424"/>
      <c r="P237" s="424"/>
      <c r="Q237" s="424"/>
    </row>
    <row r="238" spans="1:17" ht="16.5">
      <c r="C238" s="1151"/>
      <c r="D238" s="1151"/>
      <c r="E238" s="1151"/>
      <c r="F238" s="1128"/>
      <c r="G238" s="424"/>
      <c r="H238" s="424"/>
      <c r="I238" s="424"/>
      <c r="J238" s="424"/>
      <c r="K238" s="424"/>
      <c r="L238" s="424"/>
      <c r="M238" s="424"/>
      <c r="N238" s="424"/>
      <c r="O238" s="424"/>
      <c r="P238" s="424"/>
      <c r="Q238" s="424"/>
    </row>
    <row r="239" spans="1:17" ht="16.5">
      <c r="C239" s="1151" t="s">
        <v>831</v>
      </c>
      <c r="D239" s="1156">
        <f>D235/D237</f>
        <v>0.76775956284153002</v>
      </c>
      <c r="E239" s="713" t="s">
        <v>832</v>
      </c>
      <c r="F239" s="1133"/>
      <c r="G239" s="424"/>
      <c r="H239" s="424"/>
      <c r="I239" s="424"/>
      <c r="J239" s="424"/>
      <c r="K239" s="424"/>
      <c r="L239" s="424"/>
      <c r="M239" s="424"/>
      <c r="N239" s="424"/>
      <c r="O239" s="424"/>
      <c r="P239" s="424"/>
      <c r="Q239" s="424"/>
    </row>
    <row r="240" spans="1:17" ht="16.5">
      <c r="C240" s="1151" t="s">
        <v>833</v>
      </c>
      <c r="D240" s="1156">
        <f>D236/D237</f>
        <v>0.23224043715846995</v>
      </c>
      <c r="E240" s="713" t="s">
        <v>834</v>
      </c>
      <c r="F240" s="1133"/>
      <c r="G240" s="424"/>
      <c r="H240" s="424"/>
      <c r="I240" s="424"/>
      <c r="J240" s="424"/>
      <c r="K240" s="424"/>
      <c r="L240" s="424"/>
      <c r="M240" s="424"/>
      <c r="N240" s="424"/>
      <c r="O240" s="424"/>
      <c r="P240" s="424"/>
      <c r="Q240" s="424"/>
    </row>
    <row r="241" spans="3:17" ht="16.5">
      <c r="C241" s="1151"/>
      <c r="D241" s="1151"/>
      <c r="E241" s="1151"/>
      <c r="F241" s="1133"/>
      <c r="G241" s="424"/>
      <c r="H241" s="424"/>
      <c r="I241" s="424"/>
      <c r="J241" s="424"/>
      <c r="K241" s="424"/>
      <c r="L241" s="424"/>
      <c r="M241" s="424"/>
      <c r="N241" s="424"/>
      <c r="O241" s="424"/>
      <c r="P241" s="424"/>
      <c r="Q241" s="424"/>
    </row>
    <row r="242" spans="3:17" ht="16.5">
      <c r="C242" s="1151" t="s">
        <v>835</v>
      </c>
      <c r="D242" s="667">
        <f>D232*D239</f>
        <v>4440190.9079456376</v>
      </c>
      <c r="E242" s="713" t="s">
        <v>836</v>
      </c>
      <c r="F242" s="1128"/>
      <c r="G242" s="424"/>
      <c r="H242" s="424"/>
      <c r="I242" s="424"/>
      <c r="J242" s="424"/>
      <c r="K242" s="424"/>
      <c r="L242" s="424"/>
      <c r="M242" s="424"/>
      <c r="N242" s="424"/>
      <c r="O242" s="424"/>
      <c r="P242" s="424"/>
      <c r="Q242" s="424"/>
    </row>
    <row r="243" spans="3:17" ht="16.5">
      <c r="C243" s="1151" t="s">
        <v>837</v>
      </c>
      <c r="D243" s="1157">
        <f>D233*D240</f>
        <v>373976.17731662153</v>
      </c>
      <c r="E243" s="713" t="s">
        <v>838</v>
      </c>
      <c r="F243" s="1133"/>
      <c r="G243" s="424"/>
      <c r="H243" s="424"/>
      <c r="I243" s="424"/>
      <c r="J243" s="424"/>
      <c r="K243" s="424"/>
      <c r="L243" s="424"/>
      <c r="M243" s="424"/>
      <c r="N243" s="424"/>
      <c r="O243" s="424"/>
      <c r="P243" s="424"/>
      <c r="Q243" s="424"/>
    </row>
    <row r="244" spans="3:17" ht="16.5">
      <c r="C244" s="1158" t="s">
        <v>839</v>
      </c>
      <c r="D244" s="1159">
        <f>SUM(D242:D243)</f>
        <v>4814167.0852622595</v>
      </c>
      <c r="E244" s="1160" t="s">
        <v>821</v>
      </c>
      <c r="F244" s="1132"/>
      <c r="G244" s="424"/>
      <c r="H244" s="424"/>
      <c r="I244" s="424"/>
      <c r="J244" s="424"/>
      <c r="K244" s="424"/>
      <c r="L244" s="424"/>
      <c r="M244" s="424"/>
      <c r="N244" s="424"/>
      <c r="O244" s="424"/>
      <c r="P244" s="424"/>
      <c r="Q244" s="424"/>
    </row>
    <row r="245" spans="3:17" ht="16.5">
      <c r="C245" s="1151"/>
      <c r="D245" s="667"/>
      <c r="E245" s="1151"/>
      <c r="F245" s="1133"/>
      <c r="G245" s="424"/>
      <c r="H245" s="424"/>
      <c r="I245" s="424"/>
      <c r="J245" s="424"/>
      <c r="K245" s="424"/>
      <c r="L245" s="424"/>
      <c r="M245" s="424"/>
      <c r="N245" s="424"/>
      <c r="O245" s="424"/>
      <c r="P245" s="424"/>
      <c r="Q245" s="424"/>
    </row>
    <row r="246" spans="3:17" ht="16.5">
      <c r="C246" s="1151" t="s">
        <v>840</v>
      </c>
      <c r="D246" s="988">
        <v>-11902175</v>
      </c>
      <c r="E246" s="713" t="s">
        <v>841</v>
      </c>
      <c r="F246" s="1132"/>
      <c r="G246" s="424"/>
      <c r="H246" s="424"/>
      <c r="I246" s="424"/>
      <c r="J246" s="424"/>
      <c r="K246" s="424"/>
      <c r="L246" s="424"/>
      <c r="M246" s="424"/>
      <c r="N246" s="424"/>
      <c r="O246" s="424"/>
      <c r="P246" s="424"/>
      <c r="Q246" s="424"/>
    </row>
    <row r="247" spans="3:17" ht="16.5">
      <c r="C247" s="1151" t="s">
        <v>842</v>
      </c>
      <c r="D247" s="1157">
        <v>-217729.99068390601</v>
      </c>
      <c r="E247" s="713" t="s">
        <v>843</v>
      </c>
      <c r="F247" s="1132"/>
      <c r="G247" s="424"/>
      <c r="H247" s="424"/>
      <c r="I247" s="424"/>
      <c r="J247" s="424"/>
      <c r="K247" s="424"/>
      <c r="L247" s="424"/>
      <c r="M247" s="424"/>
      <c r="N247" s="424"/>
      <c r="O247" s="424"/>
      <c r="P247" s="424"/>
      <c r="Q247" s="424"/>
    </row>
    <row r="248" spans="3:17" ht="16.5">
      <c r="C248" s="1161" t="s">
        <v>844</v>
      </c>
      <c r="D248" s="1159">
        <f>SUM(D246:D247)</f>
        <v>-12119904.990683906</v>
      </c>
      <c r="E248" s="1160" t="s">
        <v>822</v>
      </c>
      <c r="F248" s="1132"/>
      <c r="G248" s="424"/>
      <c r="H248" s="424"/>
      <c r="I248" s="424"/>
      <c r="J248" s="424"/>
      <c r="K248" s="424"/>
      <c r="L248" s="424"/>
      <c r="M248" s="424"/>
      <c r="N248" s="424"/>
      <c r="O248" s="424"/>
      <c r="P248" s="424"/>
      <c r="Q248" s="424"/>
    </row>
    <row r="249" spans="3:17" ht="18">
      <c r="C249" s="1151"/>
      <c r="D249" s="1151"/>
      <c r="E249" s="1151"/>
      <c r="F249" s="1149"/>
      <c r="G249" s="424"/>
      <c r="H249" s="424"/>
      <c r="I249" s="424"/>
      <c r="J249" s="424"/>
      <c r="K249" s="424"/>
      <c r="L249" s="424"/>
      <c r="M249" s="424"/>
      <c r="N249" s="424"/>
      <c r="O249" s="424"/>
      <c r="P249" s="424"/>
      <c r="Q249" s="424"/>
    </row>
    <row r="250" spans="3:17" ht="17.25" thickBot="1">
      <c r="C250" s="1158" t="s">
        <v>845</v>
      </c>
      <c r="D250" s="1162">
        <f>D244+D248</f>
        <v>-7305737.9054216463</v>
      </c>
      <c r="E250" s="1160" t="s">
        <v>823</v>
      </c>
      <c r="F250" s="1139"/>
      <c r="G250" s="424"/>
      <c r="H250" s="424"/>
      <c r="I250" s="424"/>
      <c r="J250" s="424"/>
      <c r="K250" s="424"/>
      <c r="L250" s="424"/>
      <c r="M250" s="424"/>
      <c r="N250" s="424"/>
      <c r="O250" s="424"/>
      <c r="P250" s="424"/>
      <c r="Q250" s="424"/>
    </row>
    <row r="251" spans="3:17" ht="17.25" thickTop="1">
      <c r="C251" s="1151"/>
      <c r="D251" s="1151"/>
      <c r="E251" s="1151"/>
      <c r="F251" s="1139"/>
      <c r="G251" s="424"/>
      <c r="H251" s="424"/>
      <c r="I251" s="424"/>
      <c r="J251" s="424"/>
      <c r="K251" s="424"/>
      <c r="L251" s="424"/>
      <c r="M251" s="424"/>
      <c r="N251" s="424"/>
      <c r="O251" s="424"/>
      <c r="P251" s="424"/>
      <c r="Q251" s="424"/>
    </row>
    <row r="252" spans="3:17" ht="16.5">
      <c r="C252" s="1151" t="s">
        <v>846</v>
      </c>
      <c r="D252" s="989">
        <f>'6- Est &amp; Reconcile WS'!H158</f>
        <v>5783309.1541213645</v>
      </c>
      <c r="E252" s="1151" t="s">
        <v>494</v>
      </c>
      <c r="F252" s="1139"/>
      <c r="G252" s="424"/>
      <c r="H252" s="424"/>
      <c r="I252" s="424"/>
      <c r="J252" s="424"/>
      <c r="K252" s="424"/>
      <c r="L252" s="424"/>
      <c r="M252" s="424"/>
      <c r="N252" s="424"/>
      <c r="O252" s="424"/>
      <c r="P252" s="424"/>
      <c r="Q252" s="424"/>
    </row>
    <row r="253" spans="3:17" ht="16.5">
      <c r="C253" s="1151" t="s">
        <v>847</v>
      </c>
      <c r="D253" s="1163">
        <f>D250-D252</f>
        <v>-13089047.05954301</v>
      </c>
      <c r="E253" s="1151" t="s">
        <v>494</v>
      </c>
      <c r="F253" s="1139"/>
      <c r="G253" s="424"/>
      <c r="H253" s="424"/>
      <c r="I253" s="424"/>
      <c r="J253" s="424"/>
      <c r="K253" s="424"/>
      <c r="L253" s="424"/>
      <c r="M253" s="424"/>
      <c r="N253" s="424"/>
      <c r="O253" s="424"/>
      <c r="P253" s="424"/>
      <c r="Q253" s="424"/>
    </row>
    <row r="254" spans="3:17" ht="16.5">
      <c r="C254" s="1151"/>
      <c r="D254" s="1151"/>
      <c r="E254" s="1151"/>
      <c r="F254" s="1139"/>
      <c r="G254" s="424"/>
      <c r="H254" s="424"/>
      <c r="I254" s="424"/>
      <c r="J254" s="424"/>
      <c r="K254" s="424"/>
      <c r="L254" s="424"/>
      <c r="M254" s="424"/>
      <c r="N254" s="424"/>
      <c r="O254" s="424"/>
      <c r="P254" s="424"/>
      <c r="Q254" s="424"/>
    </row>
    <row r="255" spans="3:17" ht="16.5">
      <c r="C255" s="1164" t="s">
        <v>848</v>
      </c>
      <c r="D255" s="1151"/>
      <c r="E255" s="1151"/>
      <c r="F255" s="1139"/>
      <c r="G255" s="424"/>
      <c r="H255" s="424"/>
      <c r="I255" s="424"/>
      <c r="J255" s="424"/>
      <c r="K255" s="424"/>
      <c r="L255" s="424"/>
      <c r="M255" s="424"/>
      <c r="N255" s="424"/>
      <c r="O255" s="424"/>
      <c r="P255" s="424"/>
      <c r="Q255" s="424"/>
    </row>
    <row r="256" spans="3:17" ht="16.5">
      <c r="C256" s="1151"/>
      <c r="D256" s="1139"/>
      <c r="E256" s="1139"/>
      <c r="F256" s="1139"/>
      <c r="G256" s="424"/>
      <c r="H256" s="424"/>
      <c r="I256" s="424"/>
      <c r="J256" s="424"/>
      <c r="K256" s="424"/>
      <c r="L256" s="424"/>
      <c r="M256" s="424"/>
      <c r="N256" s="424"/>
      <c r="O256" s="424"/>
      <c r="P256" s="424"/>
      <c r="Q256" s="424"/>
    </row>
    <row r="257" spans="3:17" ht="16.5">
      <c r="C257" s="1151" t="s">
        <v>835</v>
      </c>
      <c r="D257" s="1165">
        <f>D242</f>
        <v>4440190.9079456376</v>
      </c>
      <c r="E257" s="1139"/>
      <c r="F257" s="1139"/>
      <c r="G257" s="424"/>
      <c r="H257" s="424"/>
      <c r="I257" s="424"/>
      <c r="J257" s="424"/>
      <c r="K257" s="424"/>
      <c r="L257" s="424"/>
      <c r="M257" s="424"/>
      <c r="N257" s="424"/>
      <c r="O257" s="424"/>
      <c r="P257" s="424"/>
      <c r="Q257" s="424"/>
    </row>
    <row r="258" spans="3:17" ht="16.5">
      <c r="C258" s="1151" t="s">
        <v>837</v>
      </c>
      <c r="D258" s="1165">
        <f>D243</f>
        <v>373976.17731662153</v>
      </c>
      <c r="E258" s="1139"/>
      <c r="F258" s="1139"/>
      <c r="G258" s="424"/>
      <c r="H258" s="424"/>
      <c r="I258" s="424"/>
      <c r="J258" s="424"/>
      <c r="K258" s="424"/>
      <c r="L258" s="424"/>
      <c r="M258" s="424"/>
      <c r="N258" s="424"/>
      <c r="O258" s="424"/>
      <c r="P258" s="424"/>
      <c r="Q258" s="424"/>
    </row>
    <row r="259" spans="3:17" ht="16.5">
      <c r="C259" s="1151" t="s">
        <v>849</v>
      </c>
      <c r="D259" s="1166">
        <f>D248</f>
        <v>-12119904.990683906</v>
      </c>
      <c r="E259" s="1151"/>
      <c r="F259" s="1151"/>
      <c r="G259" s="424"/>
      <c r="H259" s="424"/>
      <c r="I259" s="424"/>
      <c r="J259" s="424"/>
      <c r="K259" s="424"/>
      <c r="L259" s="424"/>
      <c r="M259" s="424"/>
      <c r="N259" s="424"/>
      <c r="O259" s="424"/>
      <c r="P259" s="424"/>
      <c r="Q259" s="424"/>
    </row>
    <row r="260" spans="3:17">
      <c r="C260" s="1151" t="s">
        <v>850</v>
      </c>
      <c r="D260" s="667">
        <f>SUM(D257:D259)</f>
        <v>-7305737.9054216463</v>
      </c>
      <c r="E260" s="1151"/>
      <c r="F260" s="1151"/>
    </row>
    <row r="261" spans="3:17">
      <c r="C261" s="1151"/>
      <c r="D261" s="1151"/>
      <c r="E261" s="1151"/>
      <c r="F261" s="1151"/>
    </row>
    <row r="262" spans="3:17">
      <c r="C262" s="1151"/>
      <c r="D262" s="1151"/>
      <c r="E262" s="1151"/>
      <c r="F262" s="1151"/>
    </row>
    <row r="263" spans="3:17">
      <c r="C263" s="1151"/>
      <c r="D263" s="1151"/>
      <c r="E263" s="1151"/>
      <c r="F263" s="1151"/>
    </row>
    <row r="264" spans="3:17">
      <c r="C264" s="1151"/>
      <c r="D264" s="1151"/>
      <c r="E264" s="1151"/>
      <c r="F264" s="1151"/>
    </row>
  </sheetData>
  <customSheetViews>
    <customSheetView guid="{DD59B418-F201-4517-876C-F4216587CC56}" scale="75" showPageBreaks="1" printArea="1" showRuler="0">
      <rowBreaks count="3" manualBreakCount="3">
        <brk id="49" max="16" man="1"/>
        <brk id="94" max="16" man="1"/>
        <brk id="141" max="16" man="1"/>
      </rowBreaks>
      <pageMargins left="0.25" right="0.25" top="0.75" bottom="0.75" header="0.5" footer="0.5"/>
      <printOptions horizontalCentered="1"/>
      <pageSetup scale="51" fitToHeight="4" orientation="landscape" r:id="rId1"/>
      <headerFooter alignWithMargins="0"/>
    </customSheetView>
    <customSheetView guid="{6FDC2004-56D4-4E4C-BEEF-80DB64AD0DBB}" scale="50" showPageBreaks="1" printArea="1" hiddenRows="1" view="pageBreakPreview" showRuler="0" topLeftCell="A129">
      <rowBreaks count="3" manualBreakCount="3">
        <brk id="49" max="16" man="1"/>
        <brk id="93" max="16" man="1"/>
        <brk id="140" max="16" man="1"/>
      </rowBreaks>
      <pageMargins left="0.25" right="0.25" top="0.75" bottom="0.75" header="0.5" footer="0.5"/>
      <printOptions horizontalCentered="1"/>
      <pageSetup scale="51" fitToHeight="4" orientation="landscape" r:id="rId2"/>
      <headerFooter alignWithMargins="0">
        <oddHeader>&amp;R&amp;12Page &amp;P of &amp;N</oddHeader>
      </headerFooter>
    </customSheetView>
    <customSheetView guid="{4F5BB44A-5460-4358-BCFE-B7FB945BAE1D}" scale="75" showPageBreaks="1" printArea="1" hiddenRows="1" view="pageBreakPreview" showRuler="0">
      <rowBreaks count="3" manualBreakCount="3">
        <brk id="49" max="16" man="1"/>
        <brk id="93" max="16" man="1"/>
        <brk id="140" max="16" man="1"/>
      </rowBreaks>
      <pageMargins left="0.25" right="0.25" top="0.75" bottom="0.75" header="0.5" footer="0.5"/>
      <printOptions horizontalCentered="1"/>
      <pageSetup scale="51" fitToHeight="4" orientation="landscape" r:id="rId3"/>
      <headerFooter alignWithMargins="0">
        <oddHeader>&amp;R&amp;12Page &amp;P of &amp;N</oddHeader>
      </headerFooter>
    </customSheetView>
    <customSheetView guid="{C0EA0F9F-7310-4201-82C9-7B8FC8DB9137}" scale="75" showPageBreaks="1" printArea="1" hiddenRows="1" view="pageBreakPreview" showRuler="0">
      <selection activeCell="A86" sqref="A86"/>
      <rowBreaks count="3" manualBreakCount="3">
        <brk id="49" max="16" man="1"/>
        <brk id="93" max="16" man="1"/>
        <brk id="140" max="16" man="1"/>
      </rowBreaks>
      <pageMargins left="0.25" right="0.25" top="0.75" bottom="0.75" header="0.5" footer="0.5"/>
      <printOptions horizontalCentered="1"/>
      <pageSetup scale="51" fitToHeight="4" orientation="landscape" r:id="rId4"/>
      <headerFooter alignWithMargins="0">
        <oddHeader>&amp;R&amp;14Page &amp;P of &amp;N</oddHeader>
      </headerFooter>
    </customSheetView>
    <customSheetView guid="{3BDD6235-B127-4929-8311-BDAF7BB89818}" scale="75" showPageBreaks="1" printArea="1" hiddenRows="1" view="pageBreakPreview" showRuler="0">
      <rowBreaks count="3" manualBreakCount="3">
        <brk id="49" max="16" man="1"/>
        <brk id="93" max="16" man="1"/>
        <brk id="140" max="16" man="1"/>
      </rowBreaks>
      <pageMargins left="0.25" right="0.25" top="0.75" bottom="0.75" header="0.5" footer="0.5"/>
      <printOptions horizontalCentered="1"/>
      <pageSetup scale="51" fitToHeight="4" orientation="landscape" r:id="rId5"/>
      <headerFooter alignWithMargins="0">
        <oddHeader>&amp;R&amp;12Page &amp;P of &amp;N</oddHeader>
      </headerFooter>
    </customSheetView>
    <customSheetView guid="{4C8E812F-DAB5-4C49-9682-E5A34DC8C1B4}" scale="75" showPageBreaks="1" printArea="1" hiddenRows="1" view="pageBreakPreview" showRuler="0" topLeftCell="A114">
      <selection activeCell="C85" sqref="C85:C86"/>
      <rowBreaks count="3" manualBreakCount="3">
        <brk id="49" max="16" man="1"/>
        <brk id="94" max="16" man="1"/>
        <brk id="141" max="16" man="1"/>
      </rowBreaks>
      <pageMargins left="0.25" right="0.25" top="0.75" bottom="0.75" header="0.5" footer="0.5"/>
      <printOptions horizontalCentered="1"/>
      <pageSetup scale="51" fitToHeight="4" orientation="landscape" r:id="rId6"/>
      <headerFooter alignWithMargins="0">
        <oddHeader>&amp;R&amp;12Page &amp;P of &amp;N</oddHeader>
      </headerFooter>
    </customSheetView>
  </customSheetViews>
  <mergeCells count="118">
    <mergeCell ref="A229:F229"/>
    <mergeCell ref="A230:F230"/>
    <mergeCell ref="A216:F216"/>
    <mergeCell ref="A97:F97"/>
    <mergeCell ref="A159:F159"/>
    <mergeCell ref="A47:F47"/>
    <mergeCell ref="A53:F53"/>
    <mergeCell ref="A61:F61"/>
    <mergeCell ref="A67:F67"/>
    <mergeCell ref="A122:F122"/>
    <mergeCell ref="A153:F153"/>
    <mergeCell ref="A137:F137"/>
    <mergeCell ref="A112:F112"/>
    <mergeCell ref="A74:F74"/>
    <mergeCell ref="A80:F80"/>
    <mergeCell ref="A143:F143"/>
    <mergeCell ref="A173:F173"/>
    <mergeCell ref="A183:F183"/>
    <mergeCell ref="A210:F210"/>
    <mergeCell ref="J13:Q13"/>
    <mergeCell ref="J22:Q22"/>
    <mergeCell ref="J26:Q26"/>
    <mergeCell ref="J20:Q20"/>
    <mergeCell ref="J21:Q21"/>
    <mergeCell ref="A5:F5"/>
    <mergeCell ref="A26:F26"/>
    <mergeCell ref="A36:F36"/>
    <mergeCell ref="J19:Q19"/>
    <mergeCell ref="J15:Q15"/>
    <mergeCell ref="J18:Q18"/>
    <mergeCell ref="J7:Q7"/>
    <mergeCell ref="J8:Q8"/>
    <mergeCell ref="J9:Q9"/>
    <mergeCell ref="J11:Q11"/>
    <mergeCell ref="J5:Q5"/>
    <mergeCell ref="J6:Q6"/>
    <mergeCell ref="J27:Q27"/>
    <mergeCell ref="J28:Q28"/>
    <mergeCell ref="J29:Q29"/>
    <mergeCell ref="J36:Q36"/>
    <mergeCell ref="L70:Q70"/>
    <mergeCell ref="J74:Q74"/>
    <mergeCell ref="J63:Q63"/>
    <mergeCell ref="J49:Q49"/>
    <mergeCell ref="J53:Q53"/>
    <mergeCell ref="J57:Q57"/>
    <mergeCell ref="J61:Q61"/>
    <mergeCell ref="J37:Q37"/>
    <mergeCell ref="J38:Q38"/>
    <mergeCell ref="J39:Q39"/>
    <mergeCell ref="L67:Q67"/>
    <mergeCell ref="L69:Q69"/>
    <mergeCell ref="J40:Q40"/>
    <mergeCell ref="J47:Q47"/>
    <mergeCell ref="J48:Q48"/>
    <mergeCell ref="J41:Q41"/>
    <mergeCell ref="J43:Q43"/>
    <mergeCell ref="J76:Q76"/>
    <mergeCell ref="H82:Q82"/>
    <mergeCell ref="H80:Q80"/>
    <mergeCell ref="H84:Q84"/>
    <mergeCell ref="H103:Q103"/>
    <mergeCell ref="H91:Q91"/>
    <mergeCell ref="H92:Q92"/>
    <mergeCell ref="H97:Q97"/>
    <mergeCell ref="H85:Q85"/>
    <mergeCell ref="H87:Q87"/>
    <mergeCell ref="H88:Q88"/>
    <mergeCell ref="H89:Q89"/>
    <mergeCell ref="H102:Q102"/>
    <mergeCell ref="H99:Q99"/>
    <mergeCell ref="H101:Q101"/>
    <mergeCell ref="H90:Q90"/>
    <mergeCell ref="H104:Q104"/>
    <mergeCell ref="H105:Q105"/>
    <mergeCell ref="H106:Q106"/>
    <mergeCell ref="H143:Q143"/>
    <mergeCell ref="H145:Q145"/>
    <mergeCell ref="H107:Q107"/>
    <mergeCell ref="J112:Q112"/>
    <mergeCell ref="H130:Q130"/>
    <mergeCell ref="H122:Q122"/>
    <mergeCell ref="H124:Q124"/>
    <mergeCell ref="H127:Q127"/>
    <mergeCell ref="J118:Q118"/>
    <mergeCell ref="H159:Q159"/>
    <mergeCell ref="H133:Q133"/>
    <mergeCell ref="I167:J167"/>
    <mergeCell ref="K167:L167"/>
    <mergeCell ref="G165:H165"/>
    <mergeCell ref="I165:J165"/>
    <mergeCell ref="K165:L165"/>
    <mergeCell ref="H161:Q161"/>
    <mergeCell ref="H149:Q149"/>
    <mergeCell ref="H153:Q153"/>
    <mergeCell ref="H155:Q155"/>
    <mergeCell ref="H147:Q147"/>
    <mergeCell ref="H148:Q148"/>
    <mergeCell ref="G169:H169"/>
    <mergeCell ref="I169:J169"/>
    <mergeCell ref="K169:L169"/>
    <mergeCell ref="G166:H166"/>
    <mergeCell ref="I166:J166"/>
    <mergeCell ref="K166:L166"/>
    <mergeCell ref="G167:H167"/>
    <mergeCell ref="A209:F209"/>
    <mergeCell ref="G209:H209"/>
    <mergeCell ref="I209:J209"/>
    <mergeCell ref="K209:L209"/>
    <mergeCell ref="K210:Q210"/>
    <mergeCell ref="K212:Q212"/>
    <mergeCell ref="A193:F193"/>
    <mergeCell ref="G193:H193"/>
    <mergeCell ref="I193:J193"/>
    <mergeCell ref="K193:L193"/>
    <mergeCell ref="A194:F194"/>
    <mergeCell ref="A200:F200"/>
    <mergeCell ref="A201:F201"/>
  </mergeCells>
  <phoneticPr fontId="0" type="noConversion"/>
  <printOptions horizontalCentered="1"/>
  <pageMargins left="0.25" right="0.25" top="0.75" bottom="0.75" header="0.5" footer="0.5"/>
  <pageSetup scale="47" fitToWidth="5" fitToHeight="5" orientation="landscape" r:id="rId7"/>
  <headerFooter alignWithMargins="0"/>
  <rowBreaks count="4" manualBreakCount="4">
    <brk id="50" max="16" man="1"/>
    <brk id="108" max="16" man="1"/>
    <brk id="169" max="16" man="1"/>
    <brk id="227" max="16" man="1"/>
  </rowBreaks>
  <ignoredErrors>
    <ignoredError sqref="E244 E2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showGridLines="0" zoomScaleNormal="100" workbookViewId="0">
      <selection sqref="A1:G1"/>
    </sheetView>
  </sheetViews>
  <sheetFormatPr defaultRowHeight="12.75"/>
  <cols>
    <col min="1" max="1" width="36.42578125" customWidth="1"/>
    <col min="2" max="2" width="16" bestFit="1" customWidth="1"/>
    <col min="3" max="3" width="8.7109375" customWidth="1"/>
    <col min="4" max="4" width="16" bestFit="1" customWidth="1"/>
    <col min="5" max="5" width="8.140625" customWidth="1"/>
    <col min="6" max="6" width="16" bestFit="1" customWidth="1"/>
    <col min="7" max="7" width="8.140625" customWidth="1"/>
    <col min="8" max="8" width="15" bestFit="1" customWidth="1"/>
    <col min="9" max="9" width="8.42578125" customWidth="1"/>
    <col min="10" max="10" width="16" bestFit="1" customWidth="1"/>
  </cols>
  <sheetData>
    <row r="1" spans="1:10" ht="18">
      <c r="A1" s="1248" t="s">
        <v>506</v>
      </c>
      <c r="B1" s="1249"/>
      <c r="C1" s="1249"/>
      <c r="D1" s="1249"/>
      <c r="E1" s="1249"/>
      <c r="F1" s="1249"/>
      <c r="G1" s="1249"/>
      <c r="H1" s="861"/>
      <c r="I1" s="861"/>
      <c r="J1" s="861"/>
    </row>
    <row r="2" spans="1:10">
      <c r="A2" s="861"/>
      <c r="B2" s="861"/>
      <c r="C2" s="861"/>
      <c r="D2" s="861"/>
      <c r="E2" s="861"/>
      <c r="F2" s="1119"/>
      <c r="G2" s="861"/>
      <c r="H2" s="864"/>
      <c r="I2" s="864"/>
      <c r="J2" s="865"/>
    </row>
    <row r="3" spans="1:10">
      <c r="A3" s="329" t="s">
        <v>408</v>
      </c>
      <c r="B3" s="861"/>
      <c r="C3" s="861"/>
      <c r="D3" s="861"/>
      <c r="E3" s="861"/>
      <c r="F3" s="861"/>
      <c r="G3" s="861"/>
      <c r="H3" s="864"/>
      <c r="I3" s="864"/>
      <c r="J3" s="865"/>
    </row>
    <row r="4" spans="1:10">
      <c r="A4" s="864"/>
      <c r="B4" s="864"/>
      <c r="C4" s="864"/>
      <c r="D4" s="864"/>
      <c r="E4" s="864"/>
      <c r="F4" s="864"/>
      <c r="G4" s="864"/>
      <c r="H4" s="864"/>
      <c r="I4" s="864"/>
      <c r="J4" s="865"/>
    </row>
    <row r="5" spans="1:10">
      <c r="A5" s="861"/>
      <c r="B5" s="861"/>
      <c r="C5" s="861"/>
      <c r="D5" s="861"/>
      <c r="E5" s="861"/>
      <c r="F5" s="861"/>
      <c r="G5" s="861"/>
      <c r="H5" s="861"/>
      <c r="I5" s="861"/>
      <c r="J5" s="861"/>
    </row>
    <row r="6" spans="1:10">
      <c r="A6" s="865"/>
      <c r="B6" s="904" t="s">
        <v>409</v>
      </c>
      <c r="C6" s="904"/>
      <c r="D6" s="905" t="s">
        <v>410</v>
      </c>
      <c r="E6" s="905"/>
      <c r="F6" s="905"/>
      <c r="G6" s="905"/>
      <c r="H6" s="905"/>
      <c r="I6" s="905"/>
      <c r="J6" s="904"/>
    </row>
    <row r="7" spans="1:10">
      <c r="A7" s="865"/>
      <c r="B7" s="904" t="s">
        <v>411</v>
      </c>
      <c r="C7" s="904"/>
      <c r="D7" s="905" t="s">
        <v>412</v>
      </c>
      <c r="E7" s="905"/>
      <c r="F7" s="905" t="s">
        <v>413</v>
      </c>
      <c r="G7" s="905"/>
      <c r="H7" s="905" t="s">
        <v>414</v>
      </c>
      <c r="I7" s="905"/>
      <c r="J7" s="906" t="s">
        <v>181</v>
      </c>
    </row>
    <row r="8" spans="1:10">
      <c r="A8" s="865"/>
      <c r="B8" s="866"/>
      <c r="C8" s="866"/>
      <c r="D8" s="867"/>
      <c r="E8" s="867"/>
      <c r="F8" s="867"/>
      <c r="G8" s="867"/>
      <c r="H8" s="867"/>
      <c r="I8" s="867"/>
      <c r="J8" s="868"/>
    </row>
    <row r="9" spans="1:10">
      <c r="A9" s="869" t="s">
        <v>415</v>
      </c>
      <c r="B9" s="870">
        <v>11622846.380000001</v>
      </c>
      <c r="C9" s="870"/>
      <c r="D9" s="870">
        <v>9931814.1600000001</v>
      </c>
      <c r="E9" s="870"/>
      <c r="F9" s="870">
        <v>19914848.719999999</v>
      </c>
      <c r="G9" s="870"/>
      <c r="H9" s="871">
        <v>5363747.6499999966</v>
      </c>
      <c r="I9" s="871"/>
      <c r="J9" s="870">
        <f>SUM(B9:H9)</f>
        <v>46833256.909999996</v>
      </c>
    </row>
    <row r="10" spans="1:10">
      <c r="A10" s="869"/>
      <c r="B10" s="872"/>
      <c r="C10" s="872"/>
      <c r="D10" s="872"/>
      <c r="E10" s="872"/>
      <c r="F10" s="872"/>
      <c r="G10" s="872"/>
      <c r="H10" s="873"/>
      <c r="I10" s="873"/>
      <c r="J10" s="872"/>
    </row>
    <row r="11" spans="1:10">
      <c r="A11" s="874" t="s">
        <v>704</v>
      </c>
      <c r="B11" s="872">
        <v>6803278.6600000001</v>
      </c>
      <c r="C11" s="872"/>
      <c r="D11" s="872">
        <v>4747614.59</v>
      </c>
      <c r="E11" s="872"/>
      <c r="F11" s="872">
        <v>9948927.0399999991</v>
      </c>
      <c r="G11" s="872"/>
      <c r="H11" s="873">
        <v>397984.69999999925</v>
      </c>
      <c r="I11" s="873"/>
      <c r="J11" s="872">
        <f>SUM(B11:H11)</f>
        <v>21897804.989999998</v>
      </c>
    </row>
    <row r="12" spans="1:10">
      <c r="A12" s="869"/>
      <c r="B12" s="872"/>
      <c r="C12" s="872"/>
      <c r="D12" s="872"/>
      <c r="E12" s="872"/>
      <c r="F12" s="872"/>
      <c r="G12" s="872"/>
      <c r="H12" s="873"/>
      <c r="I12" s="873"/>
      <c r="J12" s="872"/>
    </row>
    <row r="13" spans="1:10">
      <c r="A13" s="874" t="s">
        <v>705</v>
      </c>
      <c r="B13" s="872">
        <v>14392550.09</v>
      </c>
      <c r="C13" s="872"/>
      <c r="D13" s="872">
        <v>11405597.190000001</v>
      </c>
      <c r="E13" s="872"/>
      <c r="F13" s="872">
        <v>20949762.559999999</v>
      </c>
      <c r="G13" s="872"/>
      <c r="H13" s="873">
        <v>2548058.3300000019</v>
      </c>
      <c r="I13" s="873"/>
      <c r="J13" s="872">
        <f>SUM(B13:H13)</f>
        <v>49295968.170000002</v>
      </c>
    </row>
    <row r="14" spans="1:10">
      <c r="A14" s="869"/>
      <c r="B14" s="872"/>
      <c r="C14" s="872"/>
      <c r="D14" s="872"/>
      <c r="E14" s="872"/>
      <c r="F14" s="872"/>
      <c r="G14" s="872"/>
      <c r="H14" s="873"/>
      <c r="I14" s="873"/>
      <c r="J14" s="872"/>
    </row>
    <row r="15" spans="1:10">
      <c r="A15" s="869" t="s">
        <v>706</v>
      </c>
      <c r="B15" s="872">
        <v>2936212.72</v>
      </c>
      <c r="C15" s="872"/>
      <c r="D15" s="872">
        <v>2443681.13</v>
      </c>
      <c r="E15" s="872"/>
      <c r="F15" s="872">
        <v>3976914.71</v>
      </c>
      <c r="G15" s="872"/>
      <c r="H15" s="873">
        <v>972086.46999999927</v>
      </c>
      <c r="I15" s="873"/>
      <c r="J15" s="872">
        <f>SUM(B15:H15)</f>
        <v>10328895.029999997</v>
      </c>
    </row>
    <row r="16" spans="1:10">
      <c r="A16" s="869"/>
      <c r="B16" s="872"/>
      <c r="C16" s="872"/>
      <c r="D16" s="872"/>
      <c r="E16" s="872"/>
      <c r="F16" s="872"/>
      <c r="G16" s="872"/>
      <c r="H16" s="873"/>
      <c r="I16" s="873"/>
      <c r="J16" s="872"/>
    </row>
    <row r="17" spans="1:10">
      <c r="A17" s="869" t="s">
        <v>707</v>
      </c>
      <c r="B17" s="872">
        <v>4702235.45</v>
      </c>
      <c r="C17" s="872"/>
      <c r="D17" s="872">
        <v>3243502.1399999997</v>
      </c>
      <c r="E17" s="872"/>
      <c r="F17" s="872">
        <v>7277657.5</v>
      </c>
      <c r="G17" s="872"/>
      <c r="H17" s="873">
        <v>960296.8599999994</v>
      </c>
      <c r="I17" s="873"/>
      <c r="J17" s="872">
        <f>SUM(B17:H17)</f>
        <v>16183691.949999999</v>
      </c>
    </row>
    <row r="18" spans="1:10">
      <c r="A18" s="869"/>
      <c r="B18" s="872"/>
      <c r="C18" s="872"/>
      <c r="D18" s="872"/>
      <c r="E18" s="872"/>
      <c r="F18" s="872"/>
      <c r="G18" s="872"/>
      <c r="H18" s="873"/>
      <c r="I18" s="873"/>
      <c r="J18" s="872"/>
    </row>
    <row r="19" spans="1:10">
      <c r="A19" s="869" t="s">
        <v>418</v>
      </c>
      <c r="B19" s="872">
        <v>2445274.4</v>
      </c>
      <c r="C19" s="872"/>
      <c r="D19" s="872">
        <v>2313475.31</v>
      </c>
      <c r="E19" s="872"/>
      <c r="F19" s="872">
        <v>6008550.0800000001</v>
      </c>
      <c r="G19" s="872"/>
      <c r="H19" s="873">
        <v>2088341.2600000002</v>
      </c>
      <c r="I19" s="873"/>
      <c r="J19" s="872">
        <f>SUM(B19:H19)</f>
        <v>12855641.049999999</v>
      </c>
    </row>
    <row r="20" spans="1:10">
      <c r="A20" s="869"/>
      <c r="B20" s="872"/>
      <c r="C20" s="872"/>
      <c r="D20" s="872"/>
      <c r="E20" s="872"/>
      <c r="F20" s="872"/>
      <c r="G20" s="872"/>
      <c r="H20" s="873"/>
      <c r="I20" s="873"/>
      <c r="J20" s="872"/>
    </row>
    <row r="21" spans="1:10">
      <c r="A21" s="869" t="s">
        <v>419</v>
      </c>
      <c r="B21" s="872">
        <v>950754.47</v>
      </c>
      <c r="C21" s="872"/>
      <c r="D21" s="872">
        <v>845149.88</v>
      </c>
      <c r="E21" s="872"/>
      <c r="F21" s="872">
        <v>1487114.73</v>
      </c>
      <c r="G21" s="872"/>
      <c r="H21" s="873">
        <v>241905.88000000012</v>
      </c>
      <c r="I21" s="873"/>
      <c r="J21" s="872">
        <f>SUM(B21:H21)</f>
        <v>3524924.96</v>
      </c>
    </row>
    <row r="22" spans="1:10">
      <c r="A22" s="869"/>
      <c r="B22" s="872"/>
      <c r="C22" s="872"/>
      <c r="D22" s="872"/>
      <c r="E22" s="872"/>
      <c r="F22" s="872"/>
      <c r="G22" s="872"/>
      <c r="H22" s="873"/>
      <c r="I22" s="873"/>
      <c r="J22" s="872"/>
    </row>
    <row r="23" spans="1:10">
      <c r="A23" s="869" t="s">
        <v>708</v>
      </c>
      <c r="B23" s="872">
        <v>61881891.009999998</v>
      </c>
      <c r="C23" s="872"/>
      <c r="D23" s="872">
        <v>53570456.090000004</v>
      </c>
      <c r="E23" s="872"/>
      <c r="F23" s="872">
        <v>52835175.009999998</v>
      </c>
      <c r="G23" s="872"/>
      <c r="H23" s="873">
        <v>7687.7100000008941</v>
      </c>
      <c r="I23" s="873"/>
      <c r="J23" s="872">
        <f>SUM(B23:H23)</f>
        <v>168295209.81999999</v>
      </c>
    </row>
    <row r="24" spans="1:10">
      <c r="A24" s="869"/>
      <c r="B24" s="872"/>
      <c r="C24" s="872"/>
      <c r="D24" s="872"/>
      <c r="E24" s="872"/>
      <c r="F24" s="872"/>
      <c r="G24" s="872"/>
      <c r="H24" s="873"/>
      <c r="I24" s="873"/>
      <c r="J24" s="872"/>
    </row>
    <row r="25" spans="1:10">
      <c r="A25" s="869" t="s">
        <v>743</v>
      </c>
      <c r="B25" s="872">
        <v>266488.08</v>
      </c>
      <c r="C25" s="872"/>
      <c r="D25" s="872">
        <v>200496.54</v>
      </c>
      <c r="E25" s="872"/>
      <c r="F25" s="872">
        <v>415547.39</v>
      </c>
      <c r="G25" s="872"/>
      <c r="H25" s="873">
        <v>0</v>
      </c>
      <c r="I25" s="873"/>
      <c r="J25" s="872">
        <f>SUM(B25:H25)</f>
        <v>882532.01</v>
      </c>
    </row>
    <row r="26" spans="1:10">
      <c r="A26" s="869"/>
      <c r="B26" s="872"/>
      <c r="C26" s="872"/>
      <c r="D26" s="872"/>
      <c r="E26" s="872"/>
      <c r="F26" s="872"/>
      <c r="G26" s="872"/>
      <c r="H26" s="873"/>
      <c r="I26" s="873"/>
      <c r="J26" s="872"/>
    </row>
    <row r="27" spans="1:10">
      <c r="A27" s="869" t="s">
        <v>420</v>
      </c>
      <c r="B27" s="872">
        <v>16532766.48</v>
      </c>
      <c r="C27" s="872"/>
      <c r="D27" s="872">
        <v>12290844.52</v>
      </c>
      <c r="E27" s="872"/>
      <c r="F27" s="872">
        <v>32565022.100000001</v>
      </c>
      <c r="G27" s="872"/>
      <c r="H27" s="873">
        <v>400519.4299999997</v>
      </c>
      <c r="I27" s="873"/>
      <c r="J27" s="872">
        <f>SUM(B27:H27)</f>
        <v>61789152.530000001</v>
      </c>
    </row>
    <row r="28" spans="1:10">
      <c r="A28" s="869"/>
      <c r="B28" s="872"/>
      <c r="C28" s="872"/>
      <c r="D28" s="872"/>
      <c r="E28" s="872"/>
      <c r="F28" s="872"/>
      <c r="G28" s="872"/>
      <c r="H28" s="873"/>
      <c r="I28" s="873"/>
      <c r="J28" s="872"/>
    </row>
    <row r="29" spans="1:10">
      <c r="A29" s="869" t="s">
        <v>709</v>
      </c>
      <c r="B29" s="872">
        <v>3064378.87</v>
      </c>
      <c r="C29" s="872"/>
      <c r="D29" s="872">
        <v>2353070.94</v>
      </c>
      <c r="E29" s="872"/>
      <c r="F29" s="872">
        <v>4767843.12</v>
      </c>
      <c r="G29" s="872"/>
      <c r="H29" s="873">
        <v>916269.14000000013</v>
      </c>
      <c r="I29" s="873"/>
      <c r="J29" s="872">
        <f>SUM(B29:H29)</f>
        <v>11101562.07</v>
      </c>
    </row>
    <row r="30" spans="1:10">
      <c r="A30" s="869"/>
      <c r="B30" s="872"/>
      <c r="C30" s="872"/>
      <c r="D30" s="872"/>
      <c r="E30" s="872"/>
      <c r="F30" s="872"/>
      <c r="G30" s="872"/>
      <c r="H30" s="873"/>
      <c r="I30" s="873"/>
      <c r="J30" s="872"/>
    </row>
    <row r="31" spans="1:10">
      <c r="A31" s="869" t="s">
        <v>710</v>
      </c>
      <c r="B31" s="872">
        <v>2147138.84</v>
      </c>
      <c r="C31" s="872"/>
      <c r="D31" s="872">
        <v>1834467.17</v>
      </c>
      <c r="E31" s="872"/>
      <c r="F31" s="872">
        <v>1986565.88</v>
      </c>
      <c r="G31" s="872"/>
      <c r="H31" s="873">
        <v>111504.37000000011</v>
      </c>
      <c r="I31" s="873"/>
      <c r="J31" s="872">
        <f>SUM(B31:H31)</f>
        <v>6079676.2599999998</v>
      </c>
    </row>
    <row r="32" spans="1:10">
      <c r="A32" s="869"/>
      <c r="B32" s="872"/>
      <c r="C32" s="872"/>
      <c r="D32" s="872"/>
      <c r="E32" s="872"/>
      <c r="F32" s="872"/>
      <c r="G32" s="872"/>
      <c r="H32" s="873"/>
      <c r="I32" s="873"/>
      <c r="J32" s="872"/>
    </row>
    <row r="33" spans="1:10">
      <c r="A33" s="869" t="s">
        <v>711</v>
      </c>
      <c r="B33" s="872">
        <v>367768.56</v>
      </c>
      <c r="C33" s="872"/>
      <c r="D33" s="872">
        <v>465172.05</v>
      </c>
      <c r="E33" s="872"/>
      <c r="F33" s="872">
        <v>587282.89</v>
      </c>
      <c r="G33" s="872"/>
      <c r="H33" s="873">
        <v>0</v>
      </c>
      <c r="I33" s="873"/>
      <c r="J33" s="872">
        <f>SUM(B33:H33)</f>
        <v>1420223.5</v>
      </c>
    </row>
    <row r="34" spans="1:10">
      <c r="A34" s="869"/>
      <c r="B34" s="872"/>
      <c r="C34" s="872"/>
      <c r="D34" s="872"/>
      <c r="E34" s="872"/>
      <c r="F34" s="872"/>
      <c r="G34" s="872"/>
      <c r="H34" s="873"/>
      <c r="I34" s="873"/>
      <c r="J34" s="872"/>
    </row>
    <row r="35" spans="1:10">
      <c r="A35" s="869" t="s">
        <v>744</v>
      </c>
      <c r="B35" s="872">
        <v>36940868.079999998</v>
      </c>
      <c r="C35" s="872"/>
      <c r="D35" s="872">
        <v>28738421.100000001</v>
      </c>
      <c r="E35" s="872"/>
      <c r="F35" s="872">
        <v>49154897.460000001</v>
      </c>
      <c r="G35" s="872"/>
      <c r="H35" s="873">
        <v>402956.48999999464</v>
      </c>
      <c r="I35" s="873"/>
      <c r="J35" s="872">
        <f>SUM(B35:H35)</f>
        <v>115237143.13</v>
      </c>
    </row>
    <row r="36" spans="1:10">
      <c r="A36" s="869"/>
      <c r="B36" s="872"/>
      <c r="C36" s="872"/>
      <c r="D36" s="872"/>
      <c r="E36" s="872"/>
      <c r="F36" s="872"/>
      <c r="G36" s="872"/>
      <c r="H36" s="873"/>
      <c r="I36" s="873"/>
      <c r="J36" s="872"/>
    </row>
    <row r="37" spans="1:10">
      <c r="A37" s="869" t="s">
        <v>421</v>
      </c>
      <c r="B37" s="872">
        <v>553737.03</v>
      </c>
      <c r="C37" s="872"/>
      <c r="D37" s="872">
        <v>364355.31</v>
      </c>
      <c r="E37" s="872"/>
      <c r="F37" s="872">
        <v>854552.22</v>
      </c>
      <c r="G37" s="872"/>
      <c r="H37" s="873">
        <v>0</v>
      </c>
      <c r="I37" s="873"/>
      <c r="J37" s="872">
        <f>SUM(B37:H37)</f>
        <v>1772644.56</v>
      </c>
    </row>
    <row r="38" spans="1:10">
      <c r="A38" s="869"/>
      <c r="B38" s="872"/>
      <c r="C38" s="872"/>
      <c r="D38" s="872"/>
      <c r="E38" s="872"/>
      <c r="F38" s="872"/>
      <c r="G38" s="872"/>
      <c r="H38" s="873"/>
      <c r="I38" s="873"/>
      <c r="J38" s="872"/>
    </row>
    <row r="39" spans="1:10">
      <c r="A39" s="869" t="s">
        <v>422</v>
      </c>
      <c r="B39" s="872">
        <v>239605.5</v>
      </c>
      <c r="C39" s="872"/>
      <c r="D39" s="872">
        <v>108950</v>
      </c>
      <c r="E39" s="872"/>
      <c r="F39" s="872">
        <v>125236</v>
      </c>
      <c r="G39" s="872"/>
      <c r="H39" s="873">
        <v>0</v>
      </c>
      <c r="I39" s="873"/>
      <c r="J39" s="872">
        <f>SUM(B39:H39)</f>
        <v>473791.5</v>
      </c>
    </row>
    <row r="40" spans="1:10">
      <c r="A40" s="869"/>
      <c r="B40" s="872"/>
      <c r="C40" s="872"/>
      <c r="D40" s="872"/>
      <c r="E40" s="872"/>
      <c r="F40" s="872"/>
      <c r="G40" s="872"/>
      <c r="H40" s="873"/>
      <c r="I40" s="873"/>
      <c r="J40" s="872"/>
    </row>
    <row r="41" spans="1:10">
      <c r="A41" s="869" t="s">
        <v>417</v>
      </c>
      <c r="B41" s="872">
        <v>13366739.76</v>
      </c>
      <c r="C41" s="872"/>
      <c r="D41" s="872">
        <v>8288720.46</v>
      </c>
      <c r="E41" s="872"/>
      <c r="F41" s="872">
        <v>22656507.699999999</v>
      </c>
      <c r="G41" s="872"/>
      <c r="H41" s="873">
        <v>1048368.7500000019</v>
      </c>
      <c r="I41" s="873"/>
      <c r="J41" s="872">
        <f>SUM(B41:H41)</f>
        <v>45360336.670000002</v>
      </c>
    </row>
    <row r="42" spans="1:10">
      <c r="A42" s="869"/>
      <c r="B42" s="872"/>
      <c r="C42" s="872"/>
      <c r="D42" s="872"/>
      <c r="E42" s="872"/>
      <c r="F42" s="872"/>
      <c r="G42" s="872"/>
      <c r="H42" s="873"/>
      <c r="I42" s="873"/>
      <c r="J42" s="872"/>
    </row>
    <row r="43" spans="1:10">
      <c r="A43" s="869" t="s">
        <v>416</v>
      </c>
      <c r="B43" s="872">
        <v>0</v>
      </c>
      <c r="C43" s="872"/>
      <c r="D43" s="872">
        <v>117184.12</v>
      </c>
      <c r="E43" s="872"/>
      <c r="F43" s="872">
        <v>4297943.63</v>
      </c>
      <c r="G43" s="872"/>
      <c r="H43" s="873">
        <v>0</v>
      </c>
      <c r="I43" s="873"/>
      <c r="J43" s="872">
        <f>SUM(B43:H43)</f>
        <v>4415127.75</v>
      </c>
    </row>
    <row r="44" spans="1:10">
      <c r="A44" s="869"/>
      <c r="B44" s="872"/>
      <c r="C44" s="872"/>
      <c r="D44" s="872"/>
      <c r="E44" s="872"/>
      <c r="F44" s="872"/>
      <c r="G44" s="872"/>
      <c r="H44" s="873"/>
      <c r="I44" s="873"/>
      <c r="J44" s="872"/>
    </row>
    <row r="45" spans="1:10" ht="13.5" thickBot="1">
      <c r="A45" s="874" t="s">
        <v>181</v>
      </c>
      <c r="B45" s="1014">
        <f>SUM(B9:B43)</f>
        <v>179214534.38000003</v>
      </c>
      <c r="C45" s="1014"/>
      <c r="D45" s="1014">
        <f t="shared" ref="D45:J45" si="0">SUM(D9:D43)</f>
        <v>143262972.70000002</v>
      </c>
      <c r="E45" s="1014"/>
      <c r="F45" s="1014">
        <f t="shared" si="0"/>
        <v>239810348.73999998</v>
      </c>
      <c r="G45" s="1014"/>
      <c r="H45" s="1014">
        <f t="shared" si="0"/>
        <v>15459727.039999994</v>
      </c>
      <c r="I45" s="1014"/>
      <c r="J45" s="1014">
        <f t="shared" si="0"/>
        <v>577747582.8599999</v>
      </c>
    </row>
    <row r="46" spans="1:10" ht="13.5" thickTop="1">
      <c r="A46" s="869"/>
      <c r="B46" s="872"/>
      <c r="C46" s="872"/>
      <c r="D46" s="872"/>
      <c r="E46" s="872"/>
      <c r="F46" s="872"/>
      <c r="G46" s="872"/>
      <c r="H46" s="873" t="s">
        <v>66</v>
      </c>
      <c r="I46" s="873"/>
      <c r="J46" s="872"/>
    </row>
    <row r="47" spans="1:10" s="997" customFormat="1">
      <c r="A47" s="869"/>
      <c r="B47" s="872"/>
      <c r="C47" s="872"/>
      <c r="D47" s="872"/>
      <c r="E47" s="872"/>
      <c r="F47" s="872"/>
      <c r="G47" s="872"/>
      <c r="H47" s="873"/>
      <c r="I47" s="873"/>
      <c r="J47" s="872"/>
    </row>
    <row r="48" spans="1:10" s="997" customFormat="1">
      <c r="A48" s="869"/>
      <c r="B48" s="872"/>
      <c r="C48" s="872"/>
      <c r="D48" s="872"/>
      <c r="E48" s="872"/>
      <c r="F48" s="872"/>
      <c r="G48" s="872"/>
      <c r="H48" s="873"/>
      <c r="I48" s="873"/>
      <c r="J48" s="872"/>
    </row>
    <row r="49" spans="1:10" s="997" customFormat="1">
      <c r="A49" s="869"/>
      <c r="B49" s="872"/>
      <c r="C49" s="872"/>
      <c r="D49" s="872"/>
      <c r="E49" s="872"/>
      <c r="F49" s="872"/>
      <c r="G49" s="872"/>
      <c r="H49" s="873"/>
      <c r="I49" s="873"/>
      <c r="J49" s="872"/>
    </row>
    <row r="50" spans="1:10" s="997" customFormat="1">
      <c r="A50" s="869"/>
      <c r="B50" s="872"/>
      <c r="C50" s="872"/>
      <c r="D50" s="872"/>
      <c r="E50" s="872"/>
      <c r="F50" s="872"/>
      <c r="G50" s="872"/>
      <c r="H50" s="873"/>
      <c r="I50" s="873"/>
      <c r="J50" s="872"/>
    </row>
    <row r="51" spans="1:10" s="997" customFormat="1">
      <c r="A51" s="869"/>
      <c r="B51" s="872"/>
      <c r="C51" s="872"/>
      <c r="D51" s="872"/>
      <c r="E51" s="872"/>
      <c r="F51" s="872"/>
      <c r="G51" s="872"/>
      <c r="H51" s="873"/>
      <c r="I51" s="873"/>
      <c r="J51" s="872"/>
    </row>
    <row r="52" spans="1:10" s="997" customFormat="1">
      <c r="A52" s="869"/>
      <c r="B52" s="872"/>
      <c r="C52" s="872"/>
      <c r="D52" s="872"/>
      <c r="E52" s="872"/>
      <c r="F52" s="872"/>
      <c r="G52" s="872"/>
      <c r="H52" s="873"/>
      <c r="I52" s="873"/>
      <c r="J52" s="872"/>
    </row>
    <row r="53" spans="1:10" s="997" customFormat="1">
      <c r="A53" s="869"/>
      <c r="B53" s="872"/>
      <c r="C53" s="872"/>
      <c r="D53" s="872"/>
      <c r="E53" s="872"/>
      <c r="F53" s="872"/>
      <c r="G53" s="872"/>
      <c r="H53" s="873"/>
      <c r="I53" s="873"/>
      <c r="J53" s="872"/>
    </row>
    <row r="54" spans="1:10" s="997" customFormat="1">
      <c r="A54" s="869"/>
      <c r="B54" s="872"/>
      <c r="C54" s="872"/>
      <c r="D54" s="872"/>
      <c r="E54" s="872"/>
      <c r="F54" s="872"/>
      <c r="G54" s="872"/>
      <c r="H54" s="873"/>
      <c r="I54" s="873"/>
      <c r="J54" s="872"/>
    </row>
    <row r="55" spans="1:10" s="997" customFormat="1">
      <c r="A55" s="869"/>
      <c r="B55" s="872"/>
      <c r="C55" s="872"/>
      <c r="D55" s="872"/>
      <c r="E55" s="872"/>
      <c r="F55" s="872"/>
      <c r="G55" s="872"/>
      <c r="H55" s="873"/>
      <c r="I55" s="873"/>
      <c r="J55" s="872"/>
    </row>
    <row r="56" spans="1:10" s="997" customFormat="1">
      <c r="A56" s="869"/>
      <c r="B56" s="872"/>
      <c r="C56" s="872"/>
      <c r="D56" s="872"/>
      <c r="E56" s="872"/>
      <c r="F56" s="872"/>
      <c r="G56" s="872"/>
      <c r="H56" s="873"/>
      <c r="I56" s="873"/>
      <c r="J56" s="872"/>
    </row>
    <row r="57" spans="1:10" s="997" customFormat="1">
      <c r="A57" s="869"/>
      <c r="B57" s="872"/>
      <c r="C57" s="872"/>
      <c r="D57" s="872"/>
      <c r="E57" s="872"/>
      <c r="F57" s="872"/>
      <c r="G57" s="872"/>
      <c r="H57" s="873"/>
      <c r="I57" s="873"/>
      <c r="J57" s="872"/>
    </row>
    <row r="58" spans="1:10" s="997" customFormat="1">
      <c r="A58" s="869"/>
      <c r="B58" s="872"/>
      <c r="C58" s="872"/>
      <c r="D58" s="872"/>
      <c r="E58" s="872"/>
      <c r="F58" s="872"/>
      <c r="G58" s="872"/>
      <c r="H58" s="873"/>
      <c r="I58" s="873"/>
      <c r="J58" s="872"/>
    </row>
    <row r="59" spans="1:10" s="997" customFormat="1">
      <c r="A59" s="869"/>
      <c r="B59" s="872"/>
      <c r="C59" s="872"/>
      <c r="D59" s="872"/>
      <c r="E59" s="872"/>
      <c r="F59" s="872"/>
      <c r="G59" s="872"/>
      <c r="H59" s="873"/>
      <c r="I59" s="873"/>
      <c r="J59" s="872"/>
    </row>
    <row r="60" spans="1:10" s="997" customFormat="1">
      <c r="A60" s="869"/>
      <c r="B60" s="872"/>
      <c r="C60" s="872"/>
      <c r="D60" s="872"/>
      <c r="E60" s="872"/>
      <c r="F60" s="872"/>
      <c r="G60" s="872"/>
      <c r="H60" s="873"/>
      <c r="I60" s="873"/>
      <c r="J60" s="872"/>
    </row>
    <row r="61" spans="1:10" s="997" customFormat="1">
      <c r="A61" s="869"/>
      <c r="B61" s="872"/>
      <c r="C61" s="872"/>
      <c r="D61" s="872"/>
      <c r="E61" s="872"/>
      <c r="F61" s="872"/>
      <c r="G61" s="872"/>
      <c r="H61" s="873"/>
      <c r="I61" s="873"/>
      <c r="J61" s="872"/>
    </row>
    <row r="62" spans="1:10" s="997" customFormat="1">
      <c r="A62" s="869"/>
      <c r="B62" s="872"/>
      <c r="C62" s="872"/>
      <c r="D62" s="872"/>
      <c r="E62" s="872"/>
      <c r="F62" s="872"/>
      <c r="G62" s="872"/>
      <c r="H62" s="873"/>
      <c r="I62" s="873"/>
      <c r="J62" s="872"/>
    </row>
    <row r="63" spans="1:10" s="997" customFormat="1">
      <c r="A63" s="869"/>
      <c r="B63" s="872"/>
      <c r="C63" s="872"/>
      <c r="D63" s="872"/>
      <c r="E63" s="872"/>
      <c r="F63" s="872"/>
      <c r="G63" s="872"/>
      <c r="H63" s="873"/>
      <c r="I63" s="873"/>
      <c r="J63" s="872"/>
    </row>
    <row r="64" spans="1:10" s="997" customFormat="1">
      <c r="A64" s="869"/>
      <c r="B64" s="872"/>
      <c r="C64" s="872"/>
      <c r="D64" s="872"/>
      <c r="E64" s="872"/>
      <c r="F64" s="872"/>
      <c r="G64" s="872"/>
      <c r="H64" s="873"/>
      <c r="I64" s="873"/>
      <c r="J64" s="872"/>
    </row>
    <row r="65" spans="1:10" s="997" customFormat="1">
      <c r="A65" s="869"/>
      <c r="B65" s="872"/>
      <c r="C65" s="872"/>
      <c r="D65" s="872"/>
      <c r="E65" s="872"/>
      <c r="F65" s="872"/>
      <c r="G65" s="872"/>
      <c r="H65" s="873"/>
      <c r="I65" s="873"/>
      <c r="J65" s="872"/>
    </row>
    <row r="66" spans="1:10" s="997" customFormat="1">
      <c r="A66" s="869"/>
      <c r="B66" s="872"/>
      <c r="C66" s="872"/>
      <c r="D66" s="872"/>
      <c r="E66" s="872"/>
      <c r="F66" s="872"/>
      <c r="G66" s="872"/>
      <c r="H66" s="873"/>
      <c r="I66" s="873"/>
      <c r="J66" s="872"/>
    </row>
    <row r="67" spans="1:10" s="997" customFormat="1">
      <c r="A67" s="869"/>
      <c r="B67" s="872"/>
      <c r="C67" s="872"/>
      <c r="D67" s="872"/>
      <c r="E67" s="872"/>
      <c r="F67" s="872"/>
      <c r="G67" s="872"/>
      <c r="H67" s="873"/>
      <c r="I67" s="873"/>
      <c r="J67" s="872"/>
    </row>
    <row r="68" spans="1:10" s="997" customFormat="1">
      <c r="A68" s="869"/>
      <c r="B68" s="872"/>
      <c r="C68" s="872"/>
      <c r="D68" s="872"/>
      <c r="E68" s="872"/>
      <c r="F68" s="872"/>
      <c r="G68" s="872"/>
      <c r="H68" s="873"/>
      <c r="I68" s="873"/>
      <c r="J68" s="872"/>
    </row>
    <row r="69" spans="1:10" s="997" customFormat="1">
      <c r="A69" s="869"/>
      <c r="B69" s="872"/>
      <c r="C69" s="872"/>
      <c r="D69" s="872"/>
      <c r="E69" s="872"/>
      <c r="F69" s="872"/>
      <c r="G69" s="872"/>
      <c r="H69" s="873"/>
      <c r="I69" s="873"/>
      <c r="J69" s="872"/>
    </row>
    <row r="70" spans="1:10" s="997" customFormat="1">
      <c r="A70" s="869"/>
      <c r="B70" s="872"/>
      <c r="C70" s="872"/>
      <c r="D70" s="872"/>
      <c r="E70" s="872"/>
      <c r="F70" s="872"/>
      <c r="G70" s="872"/>
      <c r="H70" s="873"/>
      <c r="I70" s="873"/>
      <c r="J70" s="872"/>
    </row>
    <row r="71" spans="1:10" s="997" customFormat="1">
      <c r="A71" s="869"/>
      <c r="B71" s="872"/>
      <c r="C71" s="872"/>
      <c r="D71" s="872"/>
      <c r="E71" s="872"/>
      <c r="F71" s="872"/>
      <c r="G71" s="872"/>
      <c r="H71" s="873"/>
      <c r="I71" s="873"/>
      <c r="J71" s="872"/>
    </row>
    <row r="72" spans="1:10" s="997" customFormat="1">
      <c r="A72" s="869"/>
      <c r="B72" s="872"/>
      <c r="C72" s="872"/>
      <c r="D72" s="872"/>
      <c r="E72" s="872"/>
      <c r="F72" s="872"/>
      <c r="G72" s="872"/>
      <c r="H72" s="873"/>
      <c r="I72" s="873"/>
      <c r="J72" s="872"/>
    </row>
    <row r="73" spans="1:10" s="997" customFormat="1">
      <c r="A73" s="869"/>
      <c r="B73" s="872"/>
      <c r="C73" s="872"/>
      <c r="D73" s="872"/>
      <c r="E73" s="872"/>
      <c r="F73" s="872"/>
      <c r="G73" s="872"/>
      <c r="H73" s="873"/>
      <c r="I73" s="873"/>
      <c r="J73" s="872"/>
    </row>
    <row r="74" spans="1:10" s="997" customFormat="1">
      <c r="A74" s="869"/>
      <c r="B74" s="872"/>
      <c r="C74" s="872"/>
      <c r="D74" s="872"/>
      <c r="E74" s="872"/>
      <c r="F74" s="872"/>
      <c r="G74" s="872"/>
      <c r="H74" s="873"/>
      <c r="I74" s="873"/>
      <c r="J74" s="872"/>
    </row>
    <row r="75" spans="1:10" s="997" customFormat="1">
      <c r="A75" s="869"/>
      <c r="B75" s="872"/>
      <c r="C75" s="872"/>
      <c r="D75" s="872"/>
      <c r="E75" s="872"/>
      <c r="F75" s="872"/>
      <c r="G75" s="872"/>
      <c r="H75" s="873"/>
      <c r="I75" s="873"/>
      <c r="J75" s="872"/>
    </row>
    <row r="76" spans="1:10" s="997" customFormat="1">
      <c r="A76" s="869"/>
      <c r="B76" s="872"/>
      <c r="C76" s="872"/>
      <c r="D76" s="872"/>
      <c r="E76" s="872"/>
      <c r="F76" s="872"/>
      <c r="G76" s="872"/>
      <c r="H76" s="873"/>
      <c r="I76" s="873"/>
      <c r="J76" s="872"/>
    </row>
    <row r="77" spans="1:10" s="997" customFormat="1">
      <c r="A77" s="869"/>
      <c r="B77" s="872"/>
      <c r="C77" s="872"/>
      <c r="D77" s="872"/>
      <c r="E77" s="872"/>
      <c r="F77" s="872"/>
      <c r="G77" s="872"/>
      <c r="H77" s="873"/>
      <c r="I77" s="873"/>
      <c r="J77" s="872"/>
    </row>
    <row r="78" spans="1:10" s="997" customFormat="1">
      <c r="A78" s="869"/>
      <c r="B78" s="872"/>
      <c r="C78" s="872"/>
      <c r="D78" s="872"/>
      <c r="E78" s="872"/>
      <c r="F78" s="872"/>
      <c r="G78" s="872"/>
      <c r="H78" s="873"/>
      <c r="I78" s="873"/>
      <c r="J78" s="872"/>
    </row>
    <row r="79" spans="1:10" s="997" customFormat="1">
      <c r="A79" s="869"/>
      <c r="B79" s="872"/>
      <c r="C79" s="872"/>
      <c r="D79" s="872"/>
      <c r="E79" s="872"/>
      <c r="F79" s="872"/>
      <c r="G79" s="872"/>
      <c r="H79" s="873"/>
      <c r="I79" s="873"/>
      <c r="J79" s="872"/>
    </row>
    <row r="80" spans="1:10" s="997" customFormat="1">
      <c r="A80" s="869"/>
      <c r="B80" s="872"/>
      <c r="C80" s="872"/>
      <c r="D80" s="872"/>
      <c r="E80" s="872"/>
      <c r="F80" s="872"/>
      <c r="G80" s="872"/>
      <c r="H80" s="873"/>
      <c r="I80" s="873"/>
      <c r="J80" s="872"/>
    </row>
    <row r="81" spans="1:10" s="997" customFormat="1">
      <c r="A81" s="869"/>
      <c r="B81" s="872"/>
      <c r="C81" s="872"/>
      <c r="D81" s="872"/>
      <c r="E81" s="872"/>
      <c r="F81" s="872"/>
      <c r="G81" s="872"/>
      <c r="H81" s="873"/>
      <c r="I81" s="873"/>
      <c r="J81" s="872"/>
    </row>
    <row r="82" spans="1:10" s="997" customFormat="1">
      <c r="A82" s="869"/>
      <c r="B82" s="872"/>
      <c r="C82" s="872"/>
      <c r="D82" s="872"/>
      <c r="E82" s="872"/>
      <c r="F82" s="872"/>
      <c r="G82" s="872"/>
      <c r="H82" s="873"/>
      <c r="I82" s="873"/>
      <c r="J82" s="872"/>
    </row>
    <row r="83" spans="1:10" s="997" customFormat="1">
      <c r="A83" s="869"/>
      <c r="B83" s="872"/>
      <c r="C83" s="872"/>
      <c r="D83" s="872"/>
      <c r="E83" s="872"/>
      <c r="F83" s="872"/>
      <c r="G83" s="872"/>
      <c r="H83" s="873"/>
      <c r="I83" s="873"/>
      <c r="J83" s="872"/>
    </row>
    <row r="84" spans="1:10" s="997" customFormat="1">
      <c r="A84" s="869"/>
      <c r="B84" s="872"/>
      <c r="C84" s="872"/>
      <c r="D84" s="872"/>
      <c r="E84" s="872"/>
      <c r="F84" s="872"/>
      <c r="G84" s="872"/>
      <c r="H84" s="873"/>
      <c r="I84" s="873"/>
      <c r="J84" s="872"/>
    </row>
    <row r="85" spans="1:10" s="997" customFormat="1">
      <c r="A85" s="869"/>
      <c r="B85" s="872"/>
      <c r="C85" s="872"/>
      <c r="D85" s="872"/>
      <c r="E85" s="872"/>
      <c r="F85" s="872"/>
      <c r="G85" s="872"/>
      <c r="H85" s="873"/>
      <c r="I85" s="873"/>
      <c r="J85" s="872"/>
    </row>
    <row r="86" spans="1:10" s="997" customFormat="1">
      <c r="A86" s="869"/>
      <c r="B86" s="872"/>
      <c r="C86" s="872"/>
      <c r="D86" s="872"/>
      <c r="E86" s="872"/>
      <c r="F86" s="872"/>
      <c r="G86" s="872"/>
      <c r="H86" s="873"/>
      <c r="I86" s="873"/>
      <c r="J86" s="872"/>
    </row>
    <row r="87" spans="1:10" s="997" customFormat="1">
      <c r="A87" s="869"/>
      <c r="B87" s="872"/>
      <c r="C87" s="872"/>
      <c r="D87" s="872"/>
      <c r="E87" s="872"/>
      <c r="F87" s="872"/>
      <c r="G87" s="872"/>
      <c r="H87" s="873"/>
      <c r="I87" s="873"/>
      <c r="J87" s="872"/>
    </row>
    <row r="88" spans="1:10" s="997" customFormat="1">
      <c r="A88" s="869"/>
      <c r="B88" s="872"/>
      <c r="C88" s="872"/>
      <c r="D88" s="872"/>
      <c r="E88" s="872"/>
      <c r="F88" s="872"/>
      <c r="G88" s="872"/>
      <c r="H88" s="873"/>
      <c r="I88" s="873"/>
      <c r="J88" s="872"/>
    </row>
    <row r="89" spans="1:10" s="997" customFormat="1">
      <c r="A89" s="869"/>
      <c r="B89" s="872"/>
      <c r="C89" s="872"/>
      <c r="D89" s="872"/>
      <c r="E89" s="872"/>
      <c r="F89" s="872"/>
      <c r="G89" s="872"/>
      <c r="H89" s="873"/>
      <c r="I89" s="873"/>
      <c r="J89" s="872"/>
    </row>
    <row r="90" spans="1:10" s="997" customFormat="1">
      <c r="A90" s="869"/>
      <c r="B90" s="872"/>
      <c r="C90" s="872"/>
      <c r="D90" s="872"/>
      <c r="E90" s="872"/>
      <c r="F90" s="872"/>
      <c r="G90" s="872"/>
      <c r="H90" s="873"/>
      <c r="I90" s="873"/>
      <c r="J90" s="872"/>
    </row>
    <row r="91" spans="1:10" s="997" customFormat="1">
      <c r="A91" s="869"/>
      <c r="B91" s="872"/>
      <c r="C91" s="872"/>
      <c r="D91" s="872"/>
      <c r="E91" s="872"/>
      <c r="F91" s="872"/>
      <c r="G91" s="872"/>
      <c r="H91" s="873"/>
      <c r="I91" s="873"/>
      <c r="J91" s="872"/>
    </row>
    <row r="92" spans="1:10" s="997" customFormat="1">
      <c r="A92" s="869"/>
      <c r="B92" s="872"/>
      <c r="C92" s="872"/>
      <c r="D92" s="872"/>
      <c r="E92" s="872"/>
      <c r="F92" s="872"/>
      <c r="G92" s="872"/>
      <c r="H92" s="873"/>
      <c r="I92" s="873"/>
      <c r="J92" s="872"/>
    </row>
    <row r="93" spans="1:10" s="997" customFormat="1">
      <c r="A93" s="869"/>
      <c r="B93" s="872"/>
      <c r="C93" s="872"/>
      <c r="D93" s="872"/>
      <c r="E93" s="872"/>
      <c r="F93" s="872"/>
      <c r="G93" s="872"/>
      <c r="H93" s="873"/>
      <c r="I93" s="873"/>
      <c r="J93" s="872"/>
    </row>
    <row r="94" spans="1:10" s="997" customFormat="1">
      <c r="A94" s="869"/>
      <c r="B94" s="872"/>
      <c r="C94" s="872"/>
      <c r="D94" s="872"/>
      <c r="E94" s="872"/>
      <c r="F94" s="872"/>
      <c r="G94" s="872"/>
      <c r="H94" s="873"/>
      <c r="I94" s="873"/>
      <c r="J94" s="872"/>
    </row>
    <row r="95" spans="1:10" s="997" customFormat="1">
      <c r="A95" s="869"/>
      <c r="B95" s="872"/>
      <c r="C95" s="872"/>
      <c r="D95" s="872"/>
      <c r="E95" s="872"/>
      <c r="F95" s="872"/>
      <c r="G95" s="872"/>
      <c r="H95" s="873"/>
      <c r="I95" s="873"/>
      <c r="J95" s="872"/>
    </row>
    <row r="96" spans="1:10" s="997" customFormat="1">
      <c r="A96" s="869"/>
      <c r="B96" s="872"/>
      <c r="C96" s="872"/>
      <c r="D96" s="872"/>
      <c r="E96" s="872"/>
      <c r="F96" s="872"/>
      <c r="G96" s="872"/>
      <c r="H96" s="873"/>
      <c r="I96" s="873"/>
      <c r="J96" s="872"/>
    </row>
    <row r="97" spans="1:10" s="997" customFormat="1">
      <c r="A97" s="869"/>
      <c r="B97" s="872"/>
      <c r="C97" s="872"/>
      <c r="D97" s="872"/>
      <c r="E97" s="872"/>
      <c r="F97" s="872"/>
      <c r="G97" s="872"/>
      <c r="H97" s="873"/>
      <c r="I97" s="873"/>
      <c r="J97" s="872"/>
    </row>
    <row r="98" spans="1:10" s="997" customFormat="1">
      <c r="A98" s="869"/>
      <c r="B98" s="872"/>
      <c r="C98" s="872"/>
      <c r="D98" s="872"/>
      <c r="E98" s="872"/>
      <c r="F98" s="872"/>
      <c r="G98" s="872"/>
      <c r="H98" s="873"/>
      <c r="I98" s="873"/>
      <c r="J98" s="872"/>
    </row>
    <row r="99" spans="1:10" s="997" customFormat="1">
      <c r="A99" s="869"/>
      <c r="B99" s="872"/>
      <c r="C99" s="872"/>
      <c r="D99" s="872"/>
      <c r="E99" s="872"/>
      <c r="F99" s="872"/>
      <c r="G99" s="872"/>
      <c r="H99" s="873"/>
      <c r="I99" s="873"/>
      <c r="J99" s="872"/>
    </row>
    <row r="100" spans="1:10" s="997" customFormat="1">
      <c r="A100" s="869"/>
      <c r="B100" s="872"/>
      <c r="C100" s="872"/>
      <c r="D100" s="872"/>
      <c r="E100" s="872"/>
      <c r="F100" s="872"/>
      <c r="G100" s="872"/>
      <c r="H100" s="873"/>
      <c r="I100" s="873"/>
      <c r="J100" s="872"/>
    </row>
    <row r="101" spans="1:10" s="997" customFormat="1">
      <c r="A101" s="869"/>
      <c r="B101" s="872"/>
      <c r="C101" s="872"/>
      <c r="D101" s="872"/>
      <c r="E101" s="872"/>
      <c r="F101" s="872"/>
      <c r="G101" s="872"/>
      <c r="H101" s="873"/>
      <c r="I101" s="873"/>
      <c r="J101" s="872"/>
    </row>
    <row r="102" spans="1:10" s="997" customFormat="1">
      <c r="A102" s="869"/>
      <c r="B102" s="872"/>
      <c r="C102" s="872"/>
      <c r="D102" s="872"/>
      <c r="E102" s="872"/>
      <c r="F102" s="872"/>
      <c r="G102" s="872"/>
      <c r="H102" s="873"/>
      <c r="I102" s="873"/>
      <c r="J102" s="872"/>
    </row>
    <row r="103" spans="1:10" s="997" customFormat="1">
      <c r="A103" s="869"/>
      <c r="B103" s="872"/>
      <c r="C103" s="872"/>
      <c r="D103" s="872"/>
      <c r="E103" s="872"/>
      <c r="F103" s="872"/>
      <c r="G103" s="872"/>
      <c r="H103" s="873"/>
      <c r="I103" s="873"/>
      <c r="J103" s="872"/>
    </row>
    <row r="104" spans="1:10" s="997" customFormat="1">
      <c r="A104" s="869"/>
      <c r="B104" s="872"/>
      <c r="C104" s="872"/>
      <c r="D104" s="872"/>
      <c r="E104" s="872"/>
      <c r="F104" s="872"/>
      <c r="G104" s="872"/>
      <c r="H104" s="873"/>
      <c r="I104" s="873"/>
      <c r="J104" s="872"/>
    </row>
    <row r="105" spans="1:10" s="997" customFormat="1">
      <c r="A105" s="869"/>
      <c r="B105" s="872"/>
      <c r="C105" s="872"/>
      <c r="D105" s="872"/>
      <c r="E105" s="872"/>
      <c r="F105" s="872"/>
      <c r="G105" s="872"/>
      <c r="H105" s="873"/>
      <c r="I105" s="873"/>
      <c r="J105" s="872"/>
    </row>
    <row r="106" spans="1:10" s="997" customFormat="1">
      <c r="A106" s="869"/>
      <c r="B106" s="872"/>
      <c r="C106" s="872"/>
      <c r="D106" s="872"/>
      <c r="E106" s="872"/>
      <c r="F106" s="872"/>
      <c r="G106" s="872"/>
      <c r="H106" s="873"/>
      <c r="I106" s="873"/>
      <c r="J106" s="872"/>
    </row>
    <row r="107" spans="1:10" s="997" customFormat="1">
      <c r="A107" s="869"/>
      <c r="B107" s="872"/>
      <c r="C107" s="872"/>
      <c r="D107" s="872"/>
      <c r="E107" s="872"/>
      <c r="F107" s="872"/>
      <c r="G107" s="872"/>
      <c r="H107" s="873"/>
      <c r="I107" s="873"/>
      <c r="J107" s="872"/>
    </row>
    <row r="108" spans="1:10" s="997" customFormat="1">
      <c r="A108" s="869"/>
      <c r="B108" s="872"/>
      <c r="C108" s="872"/>
      <c r="D108" s="872"/>
      <c r="E108" s="872"/>
      <c r="F108" s="872"/>
      <c r="G108" s="872"/>
      <c r="H108" s="873"/>
      <c r="I108" s="873"/>
      <c r="J108" s="872"/>
    </row>
    <row r="109" spans="1:10" s="997" customFormat="1">
      <c r="A109" s="869"/>
      <c r="B109" s="872"/>
      <c r="C109" s="872"/>
      <c r="D109" s="872"/>
      <c r="E109" s="872"/>
      <c r="F109" s="872"/>
      <c r="G109" s="872"/>
      <c r="H109" s="873"/>
      <c r="I109" s="873"/>
      <c r="J109" s="872"/>
    </row>
    <row r="110" spans="1:10" s="997" customFormat="1">
      <c r="A110" s="869"/>
      <c r="B110" s="872"/>
      <c r="C110" s="872"/>
      <c r="D110" s="872"/>
      <c r="E110" s="872"/>
      <c r="F110" s="872"/>
      <c r="G110" s="872"/>
      <c r="H110" s="873"/>
      <c r="I110" s="873"/>
      <c r="J110" s="872"/>
    </row>
    <row r="111" spans="1:10" s="997" customFormat="1">
      <c r="A111" s="869"/>
      <c r="B111" s="872"/>
      <c r="C111" s="872"/>
      <c r="D111" s="872"/>
      <c r="E111" s="872"/>
      <c r="F111" s="872"/>
      <c r="G111" s="872"/>
      <c r="H111" s="873"/>
      <c r="I111" s="873"/>
      <c r="J111" s="872"/>
    </row>
    <row r="112" spans="1:10" s="997" customFormat="1">
      <c r="A112" s="869"/>
      <c r="B112" s="872"/>
      <c r="C112" s="872"/>
      <c r="D112" s="872"/>
      <c r="E112" s="872"/>
      <c r="F112" s="872"/>
      <c r="G112" s="872"/>
      <c r="H112" s="873"/>
      <c r="I112" s="873"/>
      <c r="J112" s="872"/>
    </row>
    <row r="113" spans="1:10" s="997" customFormat="1">
      <c r="A113" s="869"/>
      <c r="B113" s="872"/>
      <c r="C113" s="872"/>
      <c r="D113" s="872"/>
      <c r="E113" s="872"/>
      <c r="F113" s="872"/>
      <c r="G113" s="872"/>
      <c r="H113" s="873"/>
      <c r="I113" s="873"/>
      <c r="J113" s="872"/>
    </row>
    <row r="114" spans="1:10" s="997" customFormat="1">
      <c r="A114" s="869"/>
      <c r="B114" s="872"/>
      <c r="C114" s="872"/>
      <c r="D114" s="872"/>
      <c r="E114" s="872"/>
      <c r="F114" s="872"/>
      <c r="G114" s="872"/>
      <c r="H114" s="873"/>
      <c r="I114" s="873"/>
      <c r="J114" s="872"/>
    </row>
    <row r="115" spans="1:10" s="997" customFormat="1">
      <c r="A115" s="869"/>
      <c r="B115" s="872"/>
      <c r="C115" s="872"/>
      <c r="D115" s="872"/>
      <c r="E115" s="872"/>
      <c r="F115" s="872"/>
      <c r="G115" s="872"/>
      <c r="H115" s="873"/>
      <c r="I115" s="873"/>
      <c r="J115" s="872"/>
    </row>
    <row r="116" spans="1:10" s="997" customFormat="1">
      <c r="A116" s="869"/>
      <c r="B116" s="872"/>
      <c r="C116" s="872"/>
      <c r="D116" s="872"/>
      <c r="E116" s="872"/>
      <c r="F116" s="872"/>
      <c r="G116" s="872"/>
      <c r="H116" s="873"/>
      <c r="I116" s="873"/>
      <c r="J116" s="872"/>
    </row>
    <row r="117" spans="1:10" s="997" customFormat="1">
      <c r="A117" s="869"/>
      <c r="B117" s="872"/>
      <c r="C117" s="872"/>
      <c r="D117" s="872"/>
      <c r="E117" s="872"/>
      <c r="F117" s="872"/>
      <c r="G117" s="872"/>
      <c r="H117" s="873"/>
      <c r="I117" s="873"/>
      <c r="J117" s="872"/>
    </row>
    <row r="118" spans="1:10" s="997" customFormat="1">
      <c r="A118" s="869"/>
      <c r="B118" s="872"/>
      <c r="C118" s="872"/>
      <c r="D118" s="872"/>
      <c r="E118" s="872"/>
      <c r="F118" s="872"/>
      <c r="G118" s="872"/>
      <c r="H118" s="873"/>
      <c r="I118" s="873"/>
      <c r="J118" s="872"/>
    </row>
    <row r="119" spans="1:10" s="997" customFormat="1">
      <c r="A119" s="869"/>
      <c r="B119" s="872"/>
      <c r="C119" s="872"/>
      <c r="D119" s="872"/>
      <c r="E119" s="872"/>
      <c r="F119" s="872"/>
      <c r="G119" s="872"/>
      <c r="H119" s="873"/>
      <c r="I119" s="873"/>
      <c r="J119" s="872"/>
    </row>
    <row r="120" spans="1:10" s="997" customFormat="1">
      <c r="A120" s="869"/>
      <c r="B120" s="872"/>
      <c r="C120" s="872"/>
      <c r="D120" s="872"/>
      <c r="E120" s="872"/>
      <c r="F120" s="872"/>
      <c r="G120" s="872"/>
      <c r="H120" s="873"/>
      <c r="I120" s="873"/>
      <c r="J120" s="872"/>
    </row>
    <row r="121" spans="1:10" s="997" customFormat="1">
      <c r="A121" s="869"/>
      <c r="B121" s="872"/>
      <c r="C121" s="872"/>
      <c r="D121" s="872"/>
      <c r="E121" s="872"/>
      <c r="F121" s="872"/>
      <c r="G121" s="872"/>
      <c r="H121" s="873"/>
      <c r="I121" s="873"/>
      <c r="J121" s="872"/>
    </row>
    <row r="122" spans="1:10" s="997" customFormat="1">
      <c r="A122" s="869"/>
      <c r="B122" s="872"/>
      <c r="C122" s="872"/>
      <c r="D122" s="872"/>
      <c r="E122" s="872"/>
      <c r="F122" s="872"/>
      <c r="G122" s="872"/>
      <c r="H122" s="873"/>
      <c r="I122" s="873"/>
      <c r="J122" s="872"/>
    </row>
    <row r="123" spans="1:10" s="997" customFormat="1">
      <c r="A123" s="869"/>
      <c r="B123" s="872"/>
      <c r="C123" s="872"/>
      <c r="D123" s="872"/>
      <c r="E123" s="872"/>
      <c r="F123" s="872"/>
      <c r="G123" s="872"/>
      <c r="H123" s="873"/>
      <c r="I123" s="873"/>
      <c r="J123" s="872"/>
    </row>
    <row r="124" spans="1:10" s="997" customFormat="1">
      <c r="A124" s="869"/>
      <c r="B124" s="872"/>
      <c r="C124" s="872"/>
      <c r="D124" s="872"/>
      <c r="E124" s="872"/>
      <c r="F124" s="872"/>
      <c r="G124" s="872"/>
      <c r="H124" s="873"/>
      <c r="I124" s="873"/>
      <c r="J124" s="872"/>
    </row>
    <row r="125" spans="1:10" s="997" customFormat="1">
      <c r="A125" s="869"/>
      <c r="B125" s="872"/>
      <c r="C125" s="872"/>
      <c r="D125" s="872"/>
      <c r="E125" s="872"/>
      <c r="F125" s="872"/>
      <c r="G125" s="872"/>
      <c r="H125" s="873"/>
      <c r="I125" s="873"/>
      <c r="J125" s="872"/>
    </row>
    <row r="126" spans="1:10" s="997" customFormat="1">
      <c r="A126" s="869"/>
      <c r="B126" s="872"/>
      <c r="C126" s="872"/>
      <c r="D126" s="872"/>
      <c r="E126" s="872"/>
      <c r="F126" s="872"/>
      <c r="G126" s="872"/>
      <c r="H126" s="873"/>
      <c r="I126" s="873"/>
      <c r="J126" s="872"/>
    </row>
    <row r="127" spans="1:10" s="997" customFormat="1">
      <c r="A127" s="869"/>
      <c r="B127" s="872"/>
      <c r="C127" s="872"/>
      <c r="D127" s="872"/>
      <c r="E127" s="872"/>
      <c r="F127" s="872"/>
      <c r="G127" s="872"/>
      <c r="H127" s="873"/>
      <c r="I127" s="873"/>
      <c r="J127" s="872"/>
    </row>
    <row r="128" spans="1:10" s="997" customFormat="1">
      <c r="A128" s="869"/>
      <c r="B128" s="872"/>
      <c r="C128" s="872"/>
      <c r="D128" s="872"/>
      <c r="E128" s="872"/>
      <c r="F128" s="872"/>
      <c r="G128" s="872"/>
      <c r="H128" s="873"/>
      <c r="I128" s="873"/>
      <c r="J128" s="872"/>
    </row>
    <row r="129" spans="1:10" s="997" customFormat="1">
      <c r="A129" s="869"/>
      <c r="B129" s="872"/>
      <c r="C129" s="872"/>
      <c r="D129" s="872"/>
      <c r="E129" s="872"/>
      <c r="F129" s="872"/>
      <c r="G129" s="872"/>
      <c r="H129" s="873"/>
      <c r="I129" s="873"/>
      <c r="J129" s="872"/>
    </row>
    <row r="130" spans="1:10" s="997" customFormat="1">
      <c r="A130" s="869"/>
      <c r="B130" s="872"/>
      <c r="C130" s="872"/>
      <c r="D130" s="872"/>
      <c r="E130" s="872"/>
      <c r="F130" s="872"/>
      <c r="G130" s="872"/>
      <c r="H130" s="873"/>
      <c r="I130" s="873"/>
      <c r="J130" s="872"/>
    </row>
    <row r="131" spans="1:10" s="997" customFormat="1">
      <c r="A131" s="869"/>
      <c r="B131" s="872"/>
      <c r="C131" s="872"/>
      <c r="D131" s="872"/>
      <c r="E131" s="872"/>
      <c r="F131" s="872"/>
      <c r="G131" s="872"/>
      <c r="H131" s="873"/>
      <c r="I131" s="873"/>
      <c r="J131" s="872"/>
    </row>
    <row r="132" spans="1:10" s="997" customFormat="1">
      <c r="A132" s="869"/>
      <c r="B132" s="872"/>
      <c r="C132" s="872"/>
      <c r="D132" s="872"/>
      <c r="E132" s="872"/>
      <c r="F132" s="872"/>
      <c r="G132" s="872"/>
      <c r="H132" s="873"/>
      <c r="I132" s="873"/>
      <c r="J132" s="872"/>
    </row>
    <row r="133" spans="1:10" s="997" customFormat="1">
      <c r="A133" s="869"/>
      <c r="B133" s="872"/>
      <c r="C133" s="872"/>
      <c r="D133" s="872"/>
      <c r="E133" s="872"/>
      <c r="F133" s="872"/>
      <c r="G133" s="872"/>
      <c r="H133" s="873"/>
      <c r="I133" s="873"/>
      <c r="J133" s="872"/>
    </row>
    <row r="134" spans="1:10" s="997" customFormat="1">
      <c r="A134" s="869"/>
      <c r="B134" s="872"/>
      <c r="C134" s="872"/>
      <c r="D134" s="872"/>
      <c r="E134" s="872"/>
      <c r="F134" s="872"/>
      <c r="G134" s="872"/>
      <c r="H134" s="873"/>
      <c r="I134" s="873"/>
      <c r="J134" s="872"/>
    </row>
    <row r="135" spans="1:10" s="997" customFormat="1">
      <c r="A135" s="869"/>
      <c r="B135" s="872"/>
      <c r="C135" s="872"/>
      <c r="D135" s="872"/>
      <c r="E135" s="872"/>
      <c r="F135" s="872"/>
      <c r="G135" s="872"/>
      <c r="H135" s="873"/>
      <c r="I135" s="873"/>
      <c r="J135" s="872"/>
    </row>
    <row r="136" spans="1:10" s="997" customFormat="1">
      <c r="A136" s="869"/>
      <c r="B136" s="872"/>
      <c r="C136" s="872"/>
      <c r="D136" s="872"/>
      <c r="E136" s="872"/>
      <c r="F136" s="872"/>
      <c r="G136" s="872"/>
      <c r="H136" s="873"/>
      <c r="I136" s="873"/>
      <c r="J136" s="872"/>
    </row>
    <row r="137" spans="1:10" s="997" customFormat="1">
      <c r="A137" s="869"/>
      <c r="B137" s="872"/>
      <c r="C137" s="872"/>
      <c r="D137" s="872"/>
      <c r="E137" s="872"/>
      <c r="F137" s="872"/>
      <c r="G137" s="872"/>
      <c r="H137" s="873"/>
      <c r="I137" s="873"/>
      <c r="J137" s="872"/>
    </row>
    <row r="138" spans="1:10" s="997" customFormat="1">
      <c r="A138" s="869"/>
      <c r="B138" s="872"/>
      <c r="C138" s="872"/>
      <c r="D138" s="872"/>
      <c r="E138" s="872"/>
      <c r="F138" s="872"/>
      <c r="G138" s="872"/>
      <c r="H138" s="873"/>
      <c r="I138" s="873"/>
      <c r="J138" s="872"/>
    </row>
    <row r="139" spans="1:10" s="997" customFormat="1">
      <c r="A139" s="869"/>
      <c r="B139" s="872"/>
      <c r="C139" s="872"/>
      <c r="D139" s="872"/>
      <c r="E139" s="872"/>
      <c r="F139" s="872"/>
      <c r="G139" s="872"/>
      <c r="H139" s="873"/>
      <c r="I139" s="873"/>
      <c r="J139" s="872"/>
    </row>
    <row r="140" spans="1:10" s="997" customFormat="1">
      <c r="A140" s="869"/>
      <c r="B140" s="872"/>
      <c r="C140" s="872"/>
      <c r="D140" s="872"/>
      <c r="E140" s="872"/>
      <c r="F140" s="872"/>
      <c r="G140" s="872"/>
      <c r="H140" s="873"/>
      <c r="I140" s="873"/>
      <c r="J140" s="872"/>
    </row>
    <row r="141" spans="1:10" s="999" customFormat="1">
      <c r="A141" s="869"/>
      <c r="B141" s="872"/>
      <c r="C141" s="872"/>
      <c r="D141" s="872"/>
      <c r="E141" s="872"/>
      <c r="F141" s="872"/>
      <c r="G141" s="872"/>
      <c r="H141" s="873"/>
      <c r="I141" s="873"/>
      <c r="J141" s="872"/>
    </row>
    <row r="142" spans="1:10" s="1005" customFormat="1">
      <c r="A142" s="869"/>
      <c r="B142" s="872"/>
      <c r="C142" s="872"/>
      <c r="D142" s="872"/>
      <c r="E142" s="872"/>
      <c r="F142" s="872"/>
      <c r="G142" s="872"/>
      <c r="H142" s="873"/>
      <c r="I142" s="873"/>
      <c r="J142" s="872"/>
    </row>
    <row r="143" spans="1:10" s="999" customFormat="1">
      <c r="A143" s="869"/>
      <c r="B143" s="872"/>
      <c r="C143" s="872"/>
      <c r="D143" s="872"/>
      <c r="E143" s="872"/>
      <c r="F143" s="872"/>
      <c r="G143" s="872"/>
      <c r="H143" s="873"/>
      <c r="I143" s="873"/>
      <c r="J143" s="872"/>
    </row>
    <row r="144" spans="1:10" s="999" customFormat="1">
      <c r="A144" s="869"/>
      <c r="B144" s="872"/>
      <c r="C144" s="872"/>
      <c r="D144" s="872"/>
      <c r="E144" s="872"/>
      <c r="F144" s="872"/>
      <c r="G144" s="872"/>
      <c r="H144" s="873"/>
      <c r="I144" s="873"/>
      <c r="J144" s="872"/>
    </row>
    <row r="145" spans="1:10" s="999" customFormat="1">
      <c r="A145" s="869"/>
      <c r="B145" s="872"/>
      <c r="C145" s="872"/>
      <c r="D145" s="872"/>
      <c r="E145" s="872"/>
      <c r="F145" s="872"/>
      <c r="G145" s="872"/>
      <c r="H145" s="873"/>
      <c r="I145" s="873"/>
      <c r="J145" s="872"/>
    </row>
    <row r="146" spans="1:10" s="999" customFormat="1">
      <c r="A146" s="869"/>
      <c r="B146" s="872"/>
      <c r="C146" s="872"/>
      <c r="D146" s="872"/>
      <c r="E146" s="872"/>
      <c r="F146" s="872"/>
      <c r="G146" s="872"/>
      <c r="H146" s="873"/>
      <c r="I146" s="873"/>
      <c r="J146" s="872"/>
    </row>
    <row r="147" spans="1:10" s="998" customFormat="1">
      <c r="A147" s="869"/>
      <c r="B147" s="872"/>
      <c r="C147" s="872"/>
      <c r="D147" s="872"/>
      <c r="E147" s="872"/>
      <c r="F147" s="872"/>
      <c r="G147" s="872"/>
      <c r="H147" s="873"/>
      <c r="I147" s="873"/>
      <c r="J147" s="872"/>
    </row>
    <row r="148" spans="1:10" s="998" customFormat="1">
      <c r="A148" s="869"/>
      <c r="B148" s="872"/>
      <c r="C148" s="872"/>
      <c r="D148" s="872"/>
      <c r="E148" s="872"/>
      <c r="F148" s="872"/>
      <c r="G148" s="872"/>
      <c r="H148" s="873"/>
      <c r="I148" s="873"/>
      <c r="J148" s="872"/>
    </row>
    <row r="149" spans="1:10" s="999" customFormat="1">
      <c r="A149" s="869"/>
      <c r="B149" s="872"/>
      <c r="C149" s="872"/>
      <c r="D149" s="872"/>
      <c r="E149" s="872"/>
      <c r="F149" s="872"/>
      <c r="G149" s="872"/>
      <c r="H149" s="873"/>
      <c r="I149" s="873"/>
      <c r="J149" s="872"/>
    </row>
    <row r="150" spans="1:10" s="999" customFormat="1">
      <c r="A150" s="869"/>
      <c r="B150" s="872"/>
      <c r="C150" s="872"/>
      <c r="D150" s="872"/>
      <c r="E150" s="872"/>
      <c r="F150" s="872"/>
      <c r="G150" s="872"/>
      <c r="H150" s="873"/>
      <c r="I150" s="873"/>
      <c r="J150" s="872"/>
    </row>
    <row r="151" spans="1:10" s="999" customFormat="1">
      <c r="A151" s="869"/>
      <c r="B151" s="872"/>
      <c r="C151" s="872"/>
      <c r="D151" s="872"/>
      <c r="E151" s="872"/>
      <c r="F151" s="872"/>
      <c r="G151" s="872"/>
      <c r="H151" s="873"/>
      <c r="I151" s="873"/>
      <c r="J151" s="872"/>
    </row>
    <row r="152" spans="1:10" s="999" customFormat="1">
      <c r="A152" s="869"/>
      <c r="B152" s="872"/>
      <c r="C152" s="872"/>
      <c r="D152" s="872"/>
      <c r="E152" s="872"/>
      <c r="F152" s="872"/>
      <c r="G152" s="872"/>
      <c r="H152" s="873"/>
      <c r="I152" s="873"/>
      <c r="J152" s="872"/>
    </row>
    <row r="153" spans="1:10" s="999" customFormat="1">
      <c r="A153" s="869"/>
      <c r="B153" s="872"/>
      <c r="C153" s="872"/>
      <c r="D153" s="872"/>
      <c r="E153" s="872"/>
      <c r="F153" s="872"/>
      <c r="G153" s="872"/>
      <c r="H153" s="873"/>
      <c r="I153" s="873"/>
      <c r="J153" s="872"/>
    </row>
    <row r="154" spans="1:10" s="999" customFormat="1">
      <c r="A154" s="869"/>
      <c r="B154" s="872"/>
      <c r="C154" s="872"/>
      <c r="D154" s="872"/>
      <c r="E154" s="872"/>
      <c r="F154" s="872"/>
      <c r="G154" s="872"/>
      <c r="H154" s="873"/>
      <c r="I154" s="873"/>
      <c r="J154" s="872"/>
    </row>
    <row r="155" spans="1:10" s="999" customFormat="1">
      <c r="A155" s="869"/>
      <c r="B155" s="872"/>
      <c r="C155" s="872"/>
      <c r="D155" s="872"/>
      <c r="E155" s="872"/>
      <c r="F155" s="872"/>
      <c r="G155" s="872"/>
      <c r="H155" s="873"/>
      <c r="I155" s="873"/>
      <c r="J155" s="872"/>
    </row>
    <row r="156" spans="1:10" s="999" customFormat="1">
      <c r="A156" s="869"/>
      <c r="B156" s="872"/>
      <c r="C156" s="872"/>
      <c r="D156" s="872"/>
      <c r="E156" s="872"/>
      <c r="F156" s="872"/>
      <c r="G156" s="872"/>
      <c r="H156" s="873"/>
      <c r="I156" s="873"/>
      <c r="J156" s="872"/>
    </row>
    <row r="157" spans="1:10" s="998" customFormat="1">
      <c r="A157" s="869"/>
      <c r="B157" s="872"/>
      <c r="C157" s="872"/>
      <c r="D157" s="872"/>
      <c r="E157" s="872"/>
      <c r="F157" s="872"/>
      <c r="G157" s="872"/>
      <c r="H157" s="873"/>
      <c r="I157" s="873"/>
      <c r="J157" s="872"/>
    </row>
    <row r="158" spans="1:10" s="998" customFormat="1">
      <c r="A158" s="869"/>
      <c r="B158" s="872"/>
      <c r="C158" s="872"/>
      <c r="D158" s="872"/>
      <c r="E158" s="872"/>
      <c r="F158" s="872"/>
      <c r="G158" s="872"/>
      <c r="H158" s="873"/>
      <c r="I158" s="873"/>
      <c r="J158" s="872"/>
    </row>
    <row r="159" spans="1:10" s="998" customFormat="1">
      <c r="A159" s="869"/>
      <c r="B159" s="872"/>
      <c r="C159" s="872"/>
      <c r="D159" s="872"/>
      <c r="E159" s="872"/>
      <c r="F159" s="872"/>
      <c r="G159" s="872"/>
      <c r="H159" s="873"/>
      <c r="I159" s="873"/>
      <c r="J159" s="872"/>
    </row>
    <row r="160" spans="1:10" s="998" customFormat="1">
      <c r="A160" s="869"/>
      <c r="B160" s="872"/>
      <c r="C160" s="872"/>
      <c r="D160" s="872"/>
      <c r="E160" s="872"/>
      <c r="F160" s="872"/>
      <c r="G160" s="872"/>
      <c r="H160" s="873"/>
      <c r="I160" s="873"/>
      <c r="J160" s="872"/>
    </row>
    <row r="161" spans="1:10" s="998" customFormat="1">
      <c r="A161" s="869"/>
      <c r="B161" s="872"/>
      <c r="C161" s="872"/>
      <c r="D161" s="872"/>
      <c r="E161" s="872"/>
      <c r="F161" s="872"/>
      <c r="G161" s="872"/>
      <c r="H161" s="873"/>
      <c r="I161" s="873"/>
      <c r="J161" s="872"/>
    </row>
    <row r="162" spans="1:10" s="998" customFormat="1">
      <c r="A162" s="869"/>
      <c r="B162" s="872"/>
      <c r="C162" s="872"/>
      <c r="D162" s="872"/>
      <c r="E162" s="872"/>
      <c r="F162" s="872"/>
      <c r="G162" s="872"/>
      <c r="H162" s="873"/>
      <c r="I162" s="873"/>
      <c r="J162" s="872"/>
    </row>
    <row r="163" spans="1:10" s="998" customFormat="1">
      <c r="A163" s="869"/>
      <c r="B163" s="872"/>
      <c r="C163" s="872"/>
      <c r="D163" s="872"/>
      <c r="E163" s="872"/>
      <c r="F163" s="872"/>
      <c r="G163" s="872"/>
      <c r="H163" s="873"/>
      <c r="I163" s="873"/>
      <c r="J163" s="872"/>
    </row>
    <row r="164" spans="1:10" s="998" customFormat="1">
      <c r="A164" s="869"/>
      <c r="B164" s="872"/>
      <c r="C164" s="872"/>
      <c r="D164" s="872"/>
      <c r="E164" s="872"/>
      <c r="F164" s="872"/>
      <c r="G164" s="872"/>
      <c r="H164" s="873"/>
      <c r="I164" s="873"/>
      <c r="J164" s="872"/>
    </row>
    <row r="165" spans="1:10" s="998" customFormat="1">
      <c r="A165" s="869"/>
      <c r="B165" s="872"/>
      <c r="C165" s="872"/>
      <c r="D165" s="872"/>
      <c r="E165" s="872"/>
      <c r="F165" s="872"/>
      <c r="G165" s="872"/>
      <c r="H165" s="873"/>
      <c r="I165" s="873"/>
      <c r="J165" s="872"/>
    </row>
    <row r="166" spans="1:10" s="998" customFormat="1">
      <c r="A166" s="869"/>
      <c r="B166" s="872"/>
      <c r="C166" s="872"/>
      <c r="D166" s="872"/>
      <c r="E166" s="872"/>
      <c r="F166" s="872"/>
      <c r="G166" s="872"/>
      <c r="H166" s="873"/>
      <c r="I166" s="873"/>
      <c r="J166" s="872"/>
    </row>
    <row r="167" spans="1:10" s="997" customFormat="1">
      <c r="A167" s="869"/>
      <c r="B167" s="872"/>
      <c r="C167" s="872"/>
      <c r="D167" s="872"/>
      <c r="E167" s="872"/>
      <c r="F167" s="872"/>
      <c r="G167" s="872"/>
      <c r="H167" s="873"/>
      <c r="I167" s="873"/>
      <c r="J167" s="872"/>
    </row>
    <row r="168" spans="1:10" s="997" customFormat="1">
      <c r="A168" s="869"/>
      <c r="B168" s="872"/>
      <c r="C168" s="872"/>
      <c r="D168" s="872"/>
      <c r="E168" s="872"/>
      <c r="F168" s="872"/>
      <c r="G168" s="872"/>
      <c r="H168" s="873"/>
      <c r="I168" s="873"/>
      <c r="J168" s="872"/>
    </row>
    <row r="169" spans="1:10" s="997" customFormat="1">
      <c r="A169" s="869"/>
      <c r="B169" s="872"/>
      <c r="C169" s="872"/>
      <c r="D169" s="872"/>
      <c r="E169" s="872"/>
      <c r="F169" s="872"/>
      <c r="G169" s="872"/>
      <c r="H169" s="873"/>
      <c r="I169" s="873"/>
      <c r="J169" s="872"/>
    </row>
    <row r="170" spans="1:10" s="998" customFormat="1">
      <c r="A170" s="869"/>
      <c r="B170" s="872"/>
      <c r="C170" s="872"/>
      <c r="D170" s="872"/>
      <c r="E170" s="872"/>
      <c r="F170" s="872"/>
      <c r="G170" s="872"/>
      <c r="H170" s="873"/>
      <c r="I170" s="873"/>
      <c r="J170" s="872"/>
    </row>
    <row r="171" spans="1:10" s="998" customFormat="1">
      <c r="A171" s="869"/>
      <c r="B171" s="872"/>
      <c r="C171" s="872"/>
      <c r="D171" s="872"/>
      <c r="E171" s="872"/>
      <c r="F171" s="872"/>
      <c r="G171" s="872"/>
      <c r="H171" s="873"/>
      <c r="I171" s="873"/>
      <c r="J171" s="872"/>
    </row>
    <row r="172" spans="1:10" s="998" customFormat="1">
      <c r="A172" s="869"/>
      <c r="B172" s="872"/>
      <c r="C172" s="872"/>
      <c r="D172" s="872"/>
      <c r="E172" s="872"/>
      <c r="F172" s="872"/>
      <c r="G172" s="872"/>
      <c r="H172" s="873"/>
      <c r="I172" s="873"/>
      <c r="J172" s="872"/>
    </row>
    <row r="173" spans="1:10" s="998" customFormat="1">
      <c r="A173" s="869"/>
      <c r="B173" s="872"/>
      <c r="C173" s="872"/>
      <c r="D173" s="872"/>
      <c r="E173" s="872"/>
      <c r="F173" s="872"/>
      <c r="G173" s="872"/>
      <c r="H173" s="873"/>
      <c r="I173" s="873"/>
      <c r="J173" s="872"/>
    </row>
    <row r="174" spans="1:10" s="998" customFormat="1">
      <c r="A174" s="869"/>
      <c r="B174" s="872"/>
      <c r="C174" s="872"/>
      <c r="D174" s="872"/>
      <c r="E174" s="872"/>
      <c r="F174" s="872"/>
      <c r="G174" s="872"/>
      <c r="H174" s="873"/>
      <c r="I174" s="873"/>
      <c r="J174" s="872"/>
    </row>
    <row r="175" spans="1:10" s="998" customFormat="1">
      <c r="A175" s="869"/>
      <c r="B175" s="872"/>
      <c r="C175" s="872"/>
      <c r="D175" s="872"/>
      <c r="E175" s="872"/>
      <c r="F175" s="872"/>
      <c r="G175" s="872"/>
      <c r="H175" s="873"/>
      <c r="I175" s="873"/>
      <c r="J175" s="872"/>
    </row>
    <row r="176" spans="1:10" s="998" customFormat="1">
      <c r="A176" s="869"/>
      <c r="B176" s="872"/>
      <c r="C176" s="872"/>
      <c r="D176" s="872"/>
      <c r="E176" s="872"/>
      <c r="F176" s="872"/>
      <c r="G176" s="872"/>
      <c r="H176" s="873"/>
      <c r="I176" s="873"/>
      <c r="J176" s="872"/>
    </row>
    <row r="177" spans="1:10" s="997" customFormat="1">
      <c r="A177" s="869"/>
      <c r="B177" s="872"/>
      <c r="C177" s="872"/>
      <c r="D177" s="872"/>
      <c r="E177" s="872"/>
      <c r="F177" s="872"/>
      <c r="G177" s="872"/>
      <c r="H177" s="873"/>
      <c r="I177" s="873"/>
      <c r="J177" s="872"/>
    </row>
    <row r="178" spans="1:10" s="997" customFormat="1">
      <c r="A178" s="869"/>
      <c r="B178" s="872"/>
      <c r="C178" s="872"/>
      <c r="D178" s="872"/>
      <c r="E178" s="872"/>
      <c r="F178" s="872"/>
      <c r="G178" s="872"/>
      <c r="H178" s="873"/>
      <c r="I178" s="873"/>
      <c r="J178" s="872"/>
    </row>
    <row r="179" spans="1:10" s="997" customFormat="1">
      <c r="A179" s="869"/>
      <c r="B179" s="872"/>
      <c r="C179" s="872"/>
      <c r="D179" s="872"/>
      <c r="E179" s="872"/>
      <c r="F179" s="872"/>
      <c r="G179" s="872"/>
      <c r="H179" s="873"/>
      <c r="I179" s="873"/>
      <c r="J179" s="872"/>
    </row>
    <row r="180" spans="1:10" s="997" customFormat="1">
      <c r="A180" s="869"/>
      <c r="B180" s="872"/>
      <c r="C180" s="872"/>
      <c r="D180" s="872"/>
      <c r="E180" s="872"/>
      <c r="F180" s="872"/>
      <c r="G180" s="872"/>
      <c r="H180" s="873"/>
      <c r="I180" s="873"/>
      <c r="J180" s="872"/>
    </row>
    <row r="181" spans="1:10" s="887" customFormat="1">
      <c r="A181" s="874"/>
      <c r="B181" s="870"/>
      <c r="C181" s="870"/>
      <c r="D181" s="870"/>
      <c r="E181" s="870"/>
      <c r="F181" s="870"/>
      <c r="G181" s="870"/>
      <c r="H181" s="870"/>
      <c r="I181" s="870"/>
      <c r="J181" s="870"/>
    </row>
    <row r="182" spans="1:10">
      <c r="B182" s="726"/>
      <c r="C182" s="726"/>
      <c r="D182" s="726"/>
      <c r="E182" s="726"/>
      <c r="F182" s="726"/>
      <c r="G182" s="726"/>
      <c r="H182" s="726"/>
      <c r="I182" s="726"/>
      <c r="J182" s="726"/>
    </row>
    <row r="183" spans="1:10">
      <c r="B183" s="726"/>
      <c r="C183" s="726"/>
      <c r="D183" s="726"/>
      <c r="E183" s="726"/>
      <c r="F183" s="726"/>
      <c r="G183" s="726"/>
      <c r="H183" s="726"/>
      <c r="I183" s="726"/>
      <c r="J183" s="726"/>
    </row>
    <row r="184" spans="1:10">
      <c r="B184" s="726"/>
      <c r="C184" s="726"/>
      <c r="D184" s="726"/>
      <c r="E184" s="726"/>
      <c r="F184" s="726"/>
      <c r="G184" s="726"/>
      <c r="H184" s="726"/>
      <c r="I184" s="726"/>
      <c r="J184" s="726"/>
    </row>
    <row r="185" spans="1:10">
      <c r="B185" s="726"/>
      <c r="C185" s="726"/>
      <c r="D185" s="726"/>
      <c r="E185" s="726"/>
      <c r="F185" s="726"/>
      <c r="G185" s="726"/>
      <c r="H185" s="726"/>
      <c r="I185" s="726"/>
      <c r="J185" s="726"/>
    </row>
    <row r="186" spans="1:10">
      <c r="B186" s="726"/>
      <c r="C186" s="726"/>
      <c r="D186" s="726"/>
      <c r="E186" s="726"/>
      <c r="F186" s="726"/>
      <c r="G186" s="726"/>
      <c r="H186" s="726"/>
      <c r="I186" s="726"/>
      <c r="J186" s="726"/>
    </row>
    <row r="187" spans="1:10">
      <c r="B187" s="726"/>
      <c r="C187" s="726"/>
      <c r="D187" s="726"/>
      <c r="E187" s="726"/>
      <c r="F187" s="726"/>
      <c r="G187" s="726"/>
      <c r="H187" s="726"/>
      <c r="I187" s="726"/>
      <c r="J187" s="726"/>
    </row>
    <row r="188" spans="1:10">
      <c r="B188" s="726"/>
      <c r="C188" s="726"/>
      <c r="D188" s="726"/>
      <c r="E188" s="726"/>
      <c r="F188" s="726"/>
      <c r="G188" s="726"/>
      <c r="H188" s="726"/>
      <c r="I188" s="726"/>
      <c r="J188" s="726"/>
    </row>
    <row r="189" spans="1:10">
      <c r="B189" s="726"/>
      <c r="C189" s="726"/>
      <c r="D189" s="726"/>
      <c r="E189" s="726"/>
      <c r="F189" s="726"/>
      <c r="G189" s="726"/>
      <c r="H189" s="726"/>
      <c r="I189" s="726"/>
      <c r="J189" s="726"/>
    </row>
    <row r="190" spans="1:10">
      <c r="B190" s="726"/>
      <c r="C190" s="726"/>
      <c r="D190" s="726"/>
      <c r="E190" s="726"/>
      <c r="F190" s="726"/>
      <c r="G190" s="726"/>
      <c r="H190" s="726"/>
      <c r="I190" s="726"/>
      <c r="J190" s="726"/>
    </row>
    <row r="191" spans="1:10">
      <c r="B191" s="726"/>
      <c r="C191" s="726"/>
      <c r="D191" s="726"/>
      <c r="E191" s="726"/>
      <c r="F191" s="726"/>
      <c r="G191" s="726"/>
      <c r="H191" s="726"/>
      <c r="I191" s="726"/>
      <c r="J191" s="726"/>
    </row>
    <row r="192" spans="1:10">
      <c r="B192" s="726"/>
      <c r="C192" s="726"/>
      <c r="D192" s="726"/>
      <c r="E192" s="726"/>
      <c r="F192" s="726"/>
      <c r="G192" s="726"/>
      <c r="H192" s="726"/>
      <c r="I192" s="726"/>
      <c r="J192" s="726"/>
    </row>
  </sheetData>
  <mergeCells count="1">
    <mergeCell ref="A1:G1"/>
  </mergeCells>
  <phoneticPr fontId="91" type="noConversion"/>
  <printOptions horizontalCentered="1"/>
  <pageMargins left="0.5" right="0.5" top="1" bottom="0.5" header="0.5" footer="0.5"/>
  <pageSetup scale="44" fitToWidth="2" fitToHeight="2" orientation="portrait" r:id="rId1"/>
  <headerFooter alignWithMargins="0"/>
  <rowBreaks count="2" manualBreakCount="2">
    <brk id="49" max="16383" man="1"/>
    <brk id="14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331"/>
  <sheetViews>
    <sheetView zoomScaleNormal="100" zoomScaleSheetLayoutView="100" workbookViewId="0">
      <selection sqref="A1:J1"/>
    </sheetView>
  </sheetViews>
  <sheetFormatPr defaultRowHeight="12.75"/>
  <cols>
    <col min="1" max="1" width="4.140625" style="732" customWidth="1"/>
    <col min="2" max="2" width="4.7109375" style="732" customWidth="1"/>
    <col min="3" max="3" width="7.140625" style="732" customWidth="1"/>
    <col min="4" max="4" width="12" style="730" customWidth="1"/>
    <col min="5" max="5" width="14.140625" style="730" customWidth="1"/>
    <col min="6" max="6" width="17.42578125" style="730" customWidth="1"/>
    <col min="7" max="7" width="15.140625" style="730" customWidth="1"/>
    <col min="8" max="8" width="12.42578125" style="730" customWidth="1"/>
    <col min="9" max="9" width="12.28515625" style="730" customWidth="1"/>
    <col min="10" max="10" width="15.5703125" style="730" customWidth="1"/>
    <col min="11" max="11" width="15.42578125" style="730" customWidth="1"/>
    <col min="12" max="12" width="15.85546875" style="730" customWidth="1"/>
    <col min="13" max="13" width="11.85546875" style="730" customWidth="1"/>
    <col min="14" max="14" width="13.42578125" style="730" customWidth="1"/>
    <col min="15" max="15" width="14.5703125" style="730" bestFit="1" customWidth="1"/>
    <col min="16" max="16" width="9.140625" style="730"/>
    <col min="17" max="17" width="12" style="730" bestFit="1" customWidth="1"/>
    <col min="18" max="18" width="9.7109375" style="730" bestFit="1" customWidth="1"/>
    <col min="19" max="21" width="9.140625" style="730"/>
    <col min="22" max="22" width="11" style="730" bestFit="1" customWidth="1"/>
    <col min="23" max="16384" width="9.140625" style="730"/>
  </cols>
  <sheetData>
    <row r="1" spans="1:29" ht="18">
      <c r="A1" s="1250" t="str">
        <f>'ATT H-3D'!A4</f>
        <v>Delmarva Power &amp; Light Company</v>
      </c>
      <c r="B1" s="1251"/>
      <c r="C1" s="1251"/>
      <c r="D1" s="1251"/>
      <c r="E1" s="1251"/>
      <c r="F1" s="1251"/>
      <c r="G1" s="1251"/>
      <c r="H1" s="1251"/>
      <c r="I1" s="1251"/>
      <c r="J1" s="1251"/>
    </row>
    <row r="2" spans="1:29">
      <c r="A2" s="731"/>
    </row>
    <row r="3" spans="1:29" ht="18">
      <c r="A3" s="1252" t="s">
        <v>626</v>
      </c>
      <c r="B3" s="1252"/>
      <c r="C3" s="1252"/>
      <c r="D3" s="1252"/>
      <c r="E3" s="1252"/>
      <c r="F3" s="1252"/>
      <c r="G3" s="1252"/>
      <c r="H3" s="1252"/>
      <c r="I3" s="1253"/>
      <c r="J3" s="1253"/>
    </row>
    <row r="4" spans="1:29">
      <c r="K4" s="850"/>
      <c r="L4" s="851"/>
    </row>
    <row r="5" spans="1:29" ht="16.5">
      <c r="J5" s="733"/>
      <c r="K5" s="850"/>
      <c r="L5" s="851"/>
    </row>
    <row r="6" spans="1:29" ht="13.5">
      <c r="A6" s="734" t="s">
        <v>353</v>
      </c>
      <c r="B6" s="734" t="s">
        <v>354</v>
      </c>
      <c r="C6" s="734" t="s">
        <v>355</v>
      </c>
      <c r="D6" s="734" t="s">
        <v>356</v>
      </c>
      <c r="E6" s="735"/>
      <c r="F6" s="735"/>
      <c r="G6" s="735"/>
      <c r="H6" s="735"/>
      <c r="I6" s="735"/>
      <c r="J6" s="735"/>
      <c r="K6" s="850"/>
      <c r="L6" s="851"/>
      <c r="M6" s="735"/>
      <c r="N6" s="735"/>
      <c r="O6" s="735"/>
      <c r="P6" s="735"/>
      <c r="Q6" s="735"/>
      <c r="R6" s="735"/>
      <c r="S6" s="735"/>
      <c r="T6" s="735"/>
      <c r="U6" s="735"/>
      <c r="V6" s="735"/>
      <c r="W6" s="735"/>
      <c r="X6" s="735"/>
      <c r="Y6" s="735"/>
      <c r="Z6" s="735"/>
      <c r="AA6" s="735"/>
      <c r="AB6" s="735"/>
      <c r="AC6" s="736"/>
    </row>
    <row r="7" spans="1:29" ht="13.5">
      <c r="B7" s="734"/>
      <c r="C7" s="734"/>
      <c r="D7" s="735"/>
      <c r="E7" s="735"/>
      <c r="F7" s="735"/>
      <c r="G7" s="735"/>
      <c r="H7" s="735"/>
      <c r="I7" s="735"/>
      <c r="J7" s="735"/>
      <c r="K7" s="735"/>
      <c r="L7" s="735"/>
      <c r="M7" s="735"/>
      <c r="N7" s="735"/>
      <c r="O7" s="735"/>
      <c r="P7" s="735"/>
      <c r="Q7" s="735"/>
      <c r="R7" s="735"/>
      <c r="S7" s="735"/>
      <c r="T7" s="735"/>
      <c r="U7" s="735"/>
      <c r="V7" s="735"/>
      <c r="W7" s="735"/>
      <c r="X7" s="735"/>
      <c r="Y7" s="735"/>
      <c r="Z7" s="735"/>
      <c r="AA7" s="735"/>
      <c r="AB7" s="735"/>
      <c r="AC7" s="736"/>
    </row>
    <row r="8" spans="1:29" ht="13.5">
      <c r="A8" s="737" t="s">
        <v>357</v>
      </c>
      <c r="B8" s="734"/>
      <c r="C8" s="734"/>
      <c r="D8" s="735"/>
      <c r="E8" s="735"/>
      <c r="F8" s="735"/>
      <c r="G8" s="735"/>
      <c r="H8" s="735"/>
      <c r="I8" s="735"/>
      <c r="J8" s="735"/>
      <c r="K8" s="735"/>
      <c r="L8" s="735"/>
      <c r="M8" s="735"/>
      <c r="N8" s="735"/>
      <c r="O8" s="735"/>
      <c r="P8" s="735"/>
      <c r="Q8" s="735"/>
      <c r="R8" s="735"/>
      <c r="S8" s="735"/>
      <c r="T8" s="735"/>
      <c r="U8" s="735"/>
      <c r="V8" s="735"/>
      <c r="W8" s="735"/>
      <c r="X8" s="735"/>
      <c r="Y8" s="735"/>
      <c r="Z8" s="735"/>
      <c r="AA8" s="735"/>
      <c r="AB8" s="735"/>
      <c r="AC8" s="736"/>
    </row>
    <row r="9" spans="1:29" ht="13.5">
      <c r="A9" s="734">
        <v>1</v>
      </c>
      <c r="B9" s="734" t="s">
        <v>358</v>
      </c>
      <c r="C9" s="738" t="s">
        <v>543</v>
      </c>
      <c r="D9" s="739" t="s">
        <v>647</v>
      </c>
      <c r="E9" s="735"/>
      <c r="F9" s="735"/>
      <c r="G9" s="735"/>
      <c r="H9" s="735"/>
      <c r="I9" s="735"/>
      <c r="J9" s="735"/>
      <c r="K9" s="735"/>
      <c r="L9" s="735"/>
      <c r="M9" s="735"/>
      <c r="N9" s="735"/>
      <c r="O9" s="735"/>
      <c r="P9" s="735"/>
      <c r="Q9" s="735"/>
      <c r="R9" s="735"/>
      <c r="S9" s="735"/>
      <c r="T9" s="735"/>
      <c r="U9" s="735"/>
      <c r="V9" s="735"/>
      <c r="W9" s="735"/>
      <c r="X9" s="735"/>
      <c r="Y9" s="735"/>
      <c r="Z9" s="735"/>
      <c r="AA9" s="735"/>
      <c r="AB9" s="735"/>
      <c r="AC9" s="736"/>
    </row>
    <row r="10" spans="1:29" ht="13.5">
      <c r="A10" s="734">
        <v>2</v>
      </c>
      <c r="B10" s="734" t="str">
        <f>+B9</f>
        <v>April</v>
      </c>
      <c r="C10" s="738" t="str">
        <f>+C9</f>
        <v>Year 2</v>
      </c>
      <c r="D10" s="739" t="s">
        <v>648</v>
      </c>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6"/>
    </row>
    <row r="11" spans="1:29" ht="13.5">
      <c r="A11" s="734">
        <v>3</v>
      </c>
      <c r="B11" s="734" t="s">
        <v>358</v>
      </c>
      <c r="C11" s="738" t="str">
        <f>+C10</f>
        <v>Year 2</v>
      </c>
      <c r="D11" s="739" t="s">
        <v>400</v>
      </c>
      <c r="E11" s="735"/>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6"/>
    </row>
    <row r="12" spans="1:29" ht="13.5">
      <c r="A12" s="734">
        <v>4</v>
      </c>
      <c r="B12" s="734" t="s">
        <v>359</v>
      </c>
      <c r="C12" s="738" t="str">
        <f>+C11</f>
        <v>Year 2</v>
      </c>
      <c r="D12" s="739" t="s">
        <v>564</v>
      </c>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6"/>
    </row>
    <row r="13" spans="1:29" ht="13.5">
      <c r="A13" s="734">
        <v>5</v>
      </c>
      <c r="B13" s="740" t="s">
        <v>360</v>
      </c>
      <c r="C13" s="738" t="str">
        <f>+C12</f>
        <v>Year 2</v>
      </c>
      <c r="D13" s="739" t="s">
        <v>649</v>
      </c>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6"/>
    </row>
    <row r="14" spans="1:29" ht="13.5">
      <c r="A14" s="734"/>
      <c r="B14" s="734"/>
      <c r="C14" s="738"/>
      <c r="D14" s="739"/>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6"/>
    </row>
    <row r="15" spans="1:29" ht="13.5">
      <c r="A15" s="734">
        <v>6</v>
      </c>
      <c r="B15" s="734" t="str">
        <f>+B9</f>
        <v>April</v>
      </c>
      <c r="C15" s="738" t="s">
        <v>539</v>
      </c>
      <c r="D15" s="739" t="s">
        <v>457</v>
      </c>
      <c r="E15" s="735"/>
      <c r="F15" s="735"/>
      <c r="G15" s="735"/>
      <c r="H15" s="735"/>
      <c r="I15" s="735"/>
      <c r="J15" s="735"/>
      <c r="K15" s="735"/>
      <c r="L15" s="735"/>
      <c r="M15" s="735"/>
      <c r="N15" s="735"/>
      <c r="O15" s="735"/>
      <c r="P15" s="735"/>
      <c r="Q15" s="735"/>
      <c r="R15" s="735"/>
      <c r="S15" s="735"/>
      <c r="T15" s="735"/>
      <c r="U15" s="735"/>
      <c r="V15" s="735"/>
      <c r="W15" s="735"/>
      <c r="X15" s="735"/>
      <c r="Y15" s="735"/>
      <c r="Z15" s="735"/>
      <c r="AA15" s="735"/>
      <c r="AB15" s="735"/>
      <c r="AC15" s="736"/>
    </row>
    <row r="16" spans="1:29" ht="13.5">
      <c r="A16" s="734">
        <v>7</v>
      </c>
      <c r="B16" s="734" t="str">
        <f>+B18</f>
        <v>April</v>
      </c>
      <c r="C16" s="738" t="str">
        <f>+C18</f>
        <v>Year 3</v>
      </c>
      <c r="D16" s="739" t="s">
        <v>650</v>
      </c>
      <c r="E16" s="741"/>
      <c r="F16" s="741"/>
      <c r="G16" s="741"/>
      <c r="H16" s="741"/>
      <c r="I16" s="741"/>
      <c r="J16" s="741"/>
      <c r="K16" s="735"/>
      <c r="L16" s="735"/>
      <c r="M16" s="735"/>
      <c r="N16" s="735"/>
      <c r="O16" s="735"/>
      <c r="P16" s="735"/>
      <c r="Q16" s="735"/>
      <c r="R16" s="735"/>
      <c r="S16" s="735"/>
      <c r="T16" s="735"/>
      <c r="U16" s="735"/>
      <c r="V16" s="735"/>
      <c r="W16" s="735"/>
      <c r="X16" s="735"/>
      <c r="Y16" s="735"/>
      <c r="Z16" s="735"/>
      <c r="AA16" s="735"/>
      <c r="AB16" s="735"/>
      <c r="AC16" s="736"/>
    </row>
    <row r="17" spans="1:29" ht="13.5">
      <c r="A17" s="734"/>
      <c r="B17" s="734"/>
      <c r="C17" s="738"/>
      <c r="D17" s="739" t="s">
        <v>476</v>
      </c>
      <c r="E17" s="741"/>
      <c r="F17" s="741"/>
      <c r="G17" s="741"/>
      <c r="H17" s="741"/>
      <c r="I17" s="741"/>
      <c r="J17" s="741"/>
      <c r="K17" s="735"/>
      <c r="L17" s="735"/>
      <c r="M17" s="735"/>
      <c r="N17" s="735"/>
      <c r="O17" s="735"/>
      <c r="P17" s="735"/>
      <c r="Q17" s="735"/>
      <c r="R17" s="735"/>
      <c r="S17" s="735"/>
      <c r="T17" s="735"/>
      <c r="U17" s="735"/>
      <c r="V17" s="735"/>
      <c r="W17" s="735"/>
      <c r="X17" s="735"/>
      <c r="Y17" s="735"/>
      <c r="Z17" s="735"/>
      <c r="AA17" s="735"/>
      <c r="AB17" s="735"/>
      <c r="AC17" s="736"/>
    </row>
    <row r="18" spans="1:29" ht="13.5">
      <c r="A18" s="734">
        <v>8</v>
      </c>
      <c r="B18" s="734" t="str">
        <f>+B15</f>
        <v>April</v>
      </c>
      <c r="C18" s="738" t="str">
        <f>+C15</f>
        <v>Year 3</v>
      </c>
      <c r="D18" s="739" t="s">
        <v>651</v>
      </c>
      <c r="E18" s="735"/>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6"/>
    </row>
    <row r="19" spans="1:29" ht="13.5">
      <c r="A19" s="734">
        <v>9</v>
      </c>
      <c r="B19" s="734" t="str">
        <f>+B16</f>
        <v>April</v>
      </c>
      <c r="C19" s="738" t="str">
        <f>+C16</f>
        <v>Year 3</v>
      </c>
      <c r="D19" s="739" t="s">
        <v>652</v>
      </c>
      <c r="E19" s="735"/>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6"/>
    </row>
    <row r="20" spans="1:29" ht="13.5">
      <c r="A20" s="734">
        <v>10</v>
      </c>
      <c r="B20" s="734" t="str">
        <f>+B12</f>
        <v>May</v>
      </c>
      <c r="C20" s="738" t="str">
        <f>+C19</f>
        <v>Year 3</v>
      </c>
      <c r="D20" s="739" t="s">
        <v>565</v>
      </c>
      <c r="E20" s="735"/>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6"/>
    </row>
    <row r="21" spans="1:29" ht="13.5">
      <c r="A21" s="734">
        <v>11</v>
      </c>
      <c r="B21" s="740" t="str">
        <f>+B13</f>
        <v>June</v>
      </c>
      <c r="C21" s="738" t="str">
        <f>+C20</f>
        <v>Year 3</v>
      </c>
      <c r="D21" s="739" t="s">
        <v>458</v>
      </c>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6"/>
    </row>
    <row r="22" spans="1:29" ht="13.5">
      <c r="A22" s="734"/>
      <c r="B22" s="740"/>
      <c r="C22" s="734"/>
      <c r="D22" s="739"/>
      <c r="E22" s="735"/>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6"/>
    </row>
    <row r="23" spans="1:29" ht="13.5">
      <c r="A23" s="742"/>
      <c r="B23" s="738"/>
      <c r="C23" s="734"/>
      <c r="D23" s="743"/>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6"/>
    </row>
    <row r="24" spans="1:29" ht="13.5">
      <c r="A24" s="734">
        <f>+A9</f>
        <v>1</v>
      </c>
      <c r="B24" s="734" t="str">
        <f>+B9</f>
        <v>April</v>
      </c>
      <c r="C24" s="734" t="str">
        <f>+C9</f>
        <v>Year 2</v>
      </c>
      <c r="D24" s="735" t="str">
        <f>+D9</f>
        <v>TO populates the formula with Year 1 data from FERC Form 1 data for Year 1 (e.g., 2004)</v>
      </c>
      <c r="E24" s="735"/>
      <c r="F24" s="735"/>
      <c r="G24" s="735"/>
      <c r="H24" s="735"/>
      <c r="I24" s="735"/>
      <c r="K24" s="735"/>
      <c r="L24" s="735"/>
      <c r="M24" s="735"/>
      <c r="N24" s="735"/>
      <c r="O24" s="735"/>
      <c r="P24" s="735"/>
      <c r="Q24" s="735"/>
      <c r="R24" s="735"/>
      <c r="S24" s="735"/>
      <c r="T24" s="735"/>
      <c r="U24" s="735"/>
      <c r="V24" s="735"/>
      <c r="W24" s="735"/>
      <c r="X24" s="735"/>
      <c r="Y24" s="735"/>
      <c r="Z24" s="735"/>
      <c r="AA24" s="735"/>
      <c r="AB24" s="735"/>
      <c r="AC24" s="736"/>
    </row>
    <row r="25" spans="1:29" ht="13.5">
      <c r="A25" s="734"/>
      <c r="B25" s="734"/>
      <c r="C25" s="734"/>
      <c r="D25" s="843">
        <v>128461949.83859509</v>
      </c>
      <c r="E25" s="735" t="s">
        <v>548</v>
      </c>
      <c r="F25" s="735"/>
      <c r="G25" s="744" t="s">
        <v>653</v>
      </c>
      <c r="H25" s="735"/>
      <c r="I25" s="735"/>
      <c r="J25" s="735"/>
      <c r="K25" s="735"/>
      <c r="L25" s="735"/>
      <c r="M25" s="735"/>
      <c r="N25" s="735"/>
      <c r="O25" s="735"/>
      <c r="P25" s="735"/>
      <c r="Q25" s="735"/>
      <c r="R25" s="735"/>
      <c r="S25" s="735"/>
      <c r="T25" s="735"/>
      <c r="U25" s="735"/>
      <c r="V25" s="735"/>
      <c r="W25" s="735"/>
      <c r="X25" s="735"/>
      <c r="Y25" s="735"/>
      <c r="Z25" s="735"/>
      <c r="AA25" s="735"/>
      <c r="AB25" s="735"/>
      <c r="AC25" s="736"/>
    </row>
    <row r="26" spans="1:29" ht="13.5">
      <c r="A26" s="734"/>
      <c r="B26" s="734"/>
      <c r="C26" s="734"/>
      <c r="D26" s="735"/>
      <c r="E26" s="735"/>
      <c r="F26" s="735"/>
      <c r="G26" s="735"/>
      <c r="H26" s="735"/>
      <c r="I26" s="735"/>
      <c r="J26" s="735"/>
      <c r="K26" s="735"/>
      <c r="L26" s="735"/>
      <c r="M26" s="735"/>
      <c r="N26" s="735"/>
      <c r="O26" s="735"/>
      <c r="P26" s="735"/>
      <c r="Q26" s="735"/>
      <c r="R26" s="735"/>
      <c r="S26" s="735"/>
      <c r="T26" s="735"/>
      <c r="U26" s="735"/>
      <c r="V26" s="735"/>
      <c r="W26" s="735"/>
      <c r="X26" s="735"/>
      <c r="Y26" s="735"/>
      <c r="Z26" s="735"/>
      <c r="AA26" s="735"/>
      <c r="AB26" s="735"/>
      <c r="AC26" s="736"/>
    </row>
    <row r="27" spans="1:29" ht="13.5">
      <c r="A27" s="734">
        <v>2</v>
      </c>
      <c r="B27" s="734" t="str">
        <f>+B24</f>
        <v>April</v>
      </c>
      <c r="C27" s="734" t="str">
        <f>+C24</f>
        <v>Year 2</v>
      </c>
      <c r="D27" s="739" t="str">
        <f>+D10</f>
        <v>TO estimates all transmission Cap Adds and CWIP for Year 2 weighted based on Months expected to be in service in Year 2 (e.g., 2005)</v>
      </c>
      <c r="E27" s="735"/>
      <c r="F27" s="735"/>
      <c r="G27" s="735"/>
      <c r="H27" s="735"/>
      <c r="I27" s="735"/>
      <c r="K27" s="735"/>
      <c r="L27" s="735"/>
      <c r="M27" s="735"/>
      <c r="N27" s="735"/>
      <c r="O27" s="735"/>
      <c r="P27" s="735"/>
      <c r="Q27" s="735"/>
      <c r="R27" s="735"/>
      <c r="S27" s="735"/>
      <c r="T27" s="735"/>
      <c r="U27" s="735"/>
      <c r="V27" s="735"/>
      <c r="W27" s="735"/>
      <c r="X27" s="735"/>
      <c r="Y27" s="735"/>
      <c r="Z27" s="735"/>
      <c r="AA27" s="735"/>
      <c r="AB27" s="735"/>
      <c r="AC27" s="736"/>
    </row>
    <row r="28" spans="1:29" ht="13.5">
      <c r="A28" s="734"/>
      <c r="B28" s="734"/>
      <c r="C28" s="734"/>
      <c r="D28" s="739"/>
      <c r="E28" s="735"/>
      <c r="F28" s="735"/>
      <c r="G28" s="735"/>
      <c r="H28" s="735"/>
      <c r="I28" s="735"/>
      <c r="K28" s="735"/>
      <c r="L28" s="735"/>
      <c r="M28" s="735"/>
      <c r="N28" s="735"/>
      <c r="O28" s="735"/>
      <c r="P28" s="735"/>
      <c r="Q28" s="735"/>
      <c r="R28" s="735"/>
      <c r="S28" s="735"/>
      <c r="T28" s="735"/>
      <c r="U28" s="735"/>
      <c r="V28" s="735"/>
      <c r="W28" s="735"/>
      <c r="X28" s="735"/>
      <c r="Y28" s="735"/>
      <c r="Z28" s="735"/>
      <c r="AA28" s="735"/>
      <c r="AB28" s="735"/>
      <c r="AC28" s="736"/>
    </row>
    <row r="29" spans="1:29" ht="13.5">
      <c r="A29" s="734"/>
      <c r="B29" s="734"/>
      <c r="C29" s="734"/>
      <c r="E29" s="745" t="s">
        <v>654</v>
      </c>
      <c r="F29" s="745" t="s">
        <v>655</v>
      </c>
      <c r="G29" s="745" t="s">
        <v>656</v>
      </c>
      <c r="H29" s="745" t="s">
        <v>657</v>
      </c>
      <c r="I29" s="745" t="s">
        <v>658</v>
      </c>
      <c r="J29" s="745" t="s">
        <v>659</v>
      </c>
      <c r="K29" s="745" t="s">
        <v>660</v>
      </c>
      <c r="L29" s="745" t="s">
        <v>661</v>
      </c>
      <c r="M29" s="745" t="s">
        <v>662</v>
      </c>
      <c r="N29" s="745" t="s">
        <v>663</v>
      </c>
      <c r="O29" s="734" t="s">
        <v>664</v>
      </c>
      <c r="P29" s="734" t="s">
        <v>665</v>
      </c>
      <c r="Q29" s="734" t="s">
        <v>666</v>
      </c>
      <c r="R29" s="735"/>
      <c r="S29" s="735"/>
      <c r="T29" s="735"/>
      <c r="U29" s="735"/>
      <c r="V29" s="735"/>
      <c r="W29" s="735"/>
      <c r="X29" s="735"/>
      <c r="Y29" s="735"/>
      <c r="Z29" s="735"/>
      <c r="AA29" s="735"/>
      <c r="AB29" s="735"/>
      <c r="AC29" s="736"/>
    </row>
    <row r="30" spans="1:29" ht="13.5">
      <c r="A30" s="734"/>
      <c r="B30" s="734"/>
      <c r="C30" s="734"/>
      <c r="E30" s="734" t="s">
        <v>667</v>
      </c>
      <c r="F30" s="734" t="s">
        <v>667</v>
      </c>
      <c r="G30" s="734" t="s">
        <v>667</v>
      </c>
      <c r="H30" s="734" t="s">
        <v>667</v>
      </c>
      <c r="J30" s="734" t="str">
        <f>+E31</f>
        <v>Other Plant In Service</v>
      </c>
      <c r="K30" s="734" t="str">
        <f>+F31</f>
        <v>Other Plant In Service</v>
      </c>
      <c r="L30" s="734" t="str">
        <f>+G31</f>
        <v>MAPP CWIP</v>
      </c>
      <c r="M30" s="734" t="str">
        <f>+H31</f>
        <v>MAPP In Service</v>
      </c>
      <c r="N30" s="734" t="str">
        <f>+E31</f>
        <v>Other Plant In Service</v>
      </c>
      <c r="O30" s="734" t="str">
        <f>+F31</f>
        <v>Other Plant In Service</v>
      </c>
      <c r="P30" s="734" t="str">
        <f>+G31</f>
        <v>MAPP CWIP</v>
      </c>
      <c r="Q30" s="734" t="str">
        <f>+H31</f>
        <v>MAPP In Service</v>
      </c>
      <c r="R30" s="735"/>
      <c r="S30" s="735"/>
      <c r="T30" s="735"/>
      <c r="U30" s="735"/>
      <c r="V30" s="735"/>
      <c r="W30" s="735"/>
      <c r="X30" s="735"/>
      <c r="Y30" s="735"/>
      <c r="Z30" s="735"/>
      <c r="AA30" s="735"/>
      <c r="AB30" s="735"/>
      <c r="AC30" s="736"/>
    </row>
    <row r="31" spans="1:29" ht="13.5">
      <c r="A31" s="734"/>
      <c r="B31" s="734"/>
      <c r="C31" s="734"/>
      <c r="D31" s="735"/>
      <c r="E31" s="734" t="s">
        <v>668</v>
      </c>
      <c r="F31" s="734" t="s">
        <v>668</v>
      </c>
      <c r="G31" s="734" t="s">
        <v>669</v>
      </c>
      <c r="H31" s="734" t="s">
        <v>670</v>
      </c>
      <c r="I31" s="734" t="s">
        <v>361</v>
      </c>
      <c r="J31" s="734" t="s">
        <v>671</v>
      </c>
      <c r="K31" s="734" t="s">
        <v>672</v>
      </c>
      <c r="L31" s="734" t="s">
        <v>673</v>
      </c>
      <c r="M31" s="734" t="s">
        <v>674</v>
      </c>
      <c r="N31" s="734" t="s">
        <v>675</v>
      </c>
      <c r="O31" s="734" t="s">
        <v>676</v>
      </c>
      <c r="P31" s="734" t="s">
        <v>677</v>
      </c>
      <c r="Q31" s="734" t="s">
        <v>678</v>
      </c>
      <c r="R31" s="735"/>
      <c r="S31" s="735"/>
      <c r="T31" s="735"/>
      <c r="U31" s="735"/>
      <c r="V31" s="735"/>
      <c r="W31" s="735"/>
      <c r="X31" s="735"/>
      <c r="Y31" s="735"/>
      <c r="Z31" s="735"/>
      <c r="AA31" s="735"/>
      <c r="AB31" s="735"/>
      <c r="AC31" s="736"/>
    </row>
    <row r="32" spans="1:29" ht="13.5">
      <c r="A32" s="734"/>
      <c r="B32" s="734"/>
      <c r="C32" s="734"/>
      <c r="D32" s="735" t="s">
        <v>362</v>
      </c>
      <c r="E32" s="849"/>
      <c r="F32" s="746"/>
      <c r="G32" s="849">
        <v>0</v>
      </c>
      <c r="H32" s="747"/>
      <c r="I32" s="735">
        <v>11.5</v>
      </c>
      <c r="J32" s="748">
        <f t="shared" ref="J32:J43" si="0">+I32*E32</f>
        <v>0</v>
      </c>
      <c r="K32" s="748">
        <f>+I32*F32</f>
        <v>0</v>
      </c>
      <c r="L32" s="748">
        <f t="shared" ref="L32:L44" si="1">+I32*G32</f>
        <v>0</v>
      </c>
      <c r="M32" s="748">
        <f t="shared" ref="M32:M44" si="2">+I32*H32</f>
        <v>0</v>
      </c>
      <c r="N32" s="743">
        <f t="shared" ref="N32:N41" si="3">+J32/12</f>
        <v>0</v>
      </c>
      <c r="O32" s="743">
        <f t="shared" ref="O32:O39" si="4">+K32/12</f>
        <v>0</v>
      </c>
      <c r="P32" s="743">
        <f t="shared" ref="P32:P39" si="5">+L32/12</f>
        <v>0</v>
      </c>
      <c r="Q32" s="743">
        <f t="shared" ref="Q32:Q39" si="6">+M32/12</f>
        <v>0</v>
      </c>
      <c r="R32" s="735"/>
      <c r="S32" s="735"/>
      <c r="T32" s="735"/>
      <c r="U32" s="735"/>
      <c r="V32" s="735"/>
      <c r="W32" s="735"/>
      <c r="X32" s="735"/>
      <c r="Y32" s="735"/>
      <c r="Z32" s="735"/>
      <c r="AA32" s="735"/>
      <c r="AB32" s="735"/>
      <c r="AC32" s="736"/>
    </row>
    <row r="33" spans="1:29" ht="13.5">
      <c r="A33" s="734"/>
      <c r="B33" s="734"/>
      <c r="C33" s="734"/>
      <c r="D33" s="735" t="s">
        <v>363</v>
      </c>
      <c r="E33" s="849"/>
      <c r="F33" s="746"/>
      <c r="G33" s="849"/>
      <c r="H33" s="747"/>
      <c r="I33" s="735">
        <f t="shared" ref="I33:I43" si="7">+I32-1</f>
        <v>10.5</v>
      </c>
      <c r="J33" s="748">
        <f t="shared" si="0"/>
        <v>0</v>
      </c>
      <c r="K33" s="748">
        <f t="shared" ref="K33:K43" si="8">+I33*F33</f>
        <v>0</v>
      </c>
      <c r="L33" s="748">
        <f t="shared" si="1"/>
        <v>0</v>
      </c>
      <c r="M33" s="748">
        <f t="shared" si="2"/>
        <v>0</v>
      </c>
      <c r="N33" s="743">
        <f t="shared" si="3"/>
        <v>0</v>
      </c>
      <c r="O33" s="743">
        <f t="shared" si="4"/>
        <v>0</v>
      </c>
      <c r="P33" s="743">
        <f t="shared" si="5"/>
        <v>0</v>
      </c>
      <c r="Q33" s="743">
        <f t="shared" si="6"/>
        <v>0</v>
      </c>
      <c r="R33" s="735"/>
      <c r="S33" s="735"/>
      <c r="T33" s="735"/>
      <c r="U33" s="735"/>
      <c r="V33" s="735"/>
      <c r="W33" s="735"/>
      <c r="X33" s="735"/>
      <c r="Y33" s="735"/>
      <c r="Z33" s="735"/>
      <c r="AA33" s="735"/>
      <c r="AB33" s="735"/>
      <c r="AC33" s="736"/>
    </row>
    <row r="34" spans="1:29" ht="13.5">
      <c r="A34" s="734"/>
      <c r="B34" s="734"/>
      <c r="C34" s="734"/>
      <c r="D34" s="735" t="s">
        <v>364</v>
      </c>
      <c r="E34" s="849"/>
      <c r="F34" s="746"/>
      <c r="G34" s="849">
        <v>0</v>
      </c>
      <c r="H34" s="747"/>
      <c r="I34" s="735">
        <f t="shared" si="7"/>
        <v>9.5</v>
      </c>
      <c r="J34" s="748">
        <f t="shared" si="0"/>
        <v>0</v>
      </c>
      <c r="K34" s="748">
        <f t="shared" si="8"/>
        <v>0</v>
      </c>
      <c r="L34" s="748">
        <f t="shared" si="1"/>
        <v>0</v>
      </c>
      <c r="M34" s="748">
        <f t="shared" si="2"/>
        <v>0</v>
      </c>
      <c r="N34" s="743">
        <f t="shared" si="3"/>
        <v>0</v>
      </c>
      <c r="O34" s="743">
        <f t="shared" si="4"/>
        <v>0</v>
      </c>
      <c r="P34" s="743">
        <f t="shared" si="5"/>
        <v>0</v>
      </c>
      <c r="Q34" s="743">
        <f t="shared" si="6"/>
        <v>0</v>
      </c>
      <c r="R34" s="735"/>
      <c r="S34" s="735"/>
      <c r="T34" s="735"/>
      <c r="U34" s="735"/>
      <c r="V34" s="735"/>
      <c r="W34" s="735"/>
      <c r="X34" s="735"/>
      <c r="Y34" s="735"/>
      <c r="Z34" s="735"/>
      <c r="AA34" s="735"/>
      <c r="AB34" s="735"/>
      <c r="AC34" s="736"/>
    </row>
    <row r="35" spans="1:29" ht="13.5">
      <c r="A35" s="734"/>
      <c r="B35" s="734"/>
      <c r="C35" s="734"/>
      <c r="D35" s="735" t="s">
        <v>365</v>
      </c>
      <c r="E35" s="849"/>
      <c r="F35" s="746"/>
      <c r="G35" s="849"/>
      <c r="H35" s="747"/>
      <c r="I35" s="735">
        <f t="shared" si="7"/>
        <v>8.5</v>
      </c>
      <c r="J35" s="748">
        <f t="shared" si="0"/>
        <v>0</v>
      </c>
      <c r="K35" s="748">
        <f t="shared" si="8"/>
        <v>0</v>
      </c>
      <c r="L35" s="748">
        <f t="shared" si="1"/>
        <v>0</v>
      </c>
      <c r="M35" s="748">
        <f t="shared" si="2"/>
        <v>0</v>
      </c>
      <c r="N35" s="743">
        <f t="shared" si="3"/>
        <v>0</v>
      </c>
      <c r="O35" s="743">
        <f t="shared" si="4"/>
        <v>0</v>
      </c>
      <c r="P35" s="743">
        <f t="shared" si="5"/>
        <v>0</v>
      </c>
      <c r="Q35" s="743">
        <f t="shared" si="6"/>
        <v>0</v>
      </c>
      <c r="R35" s="735"/>
      <c r="S35" s="735"/>
      <c r="T35" s="735"/>
      <c r="U35" s="735"/>
      <c r="V35" s="735"/>
      <c r="W35" s="735"/>
      <c r="X35" s="735"/>
      <c r="Y35" s="735"/>
      <c r="Z35" s="735"/>
      <c r="AA35" s="735"/>
      <c r="AB35" s="735"/>
      <c r="AC35" s="736"/>
    </row>
    <row r="36" spans="1:29" ht="13.5">
      <c r="A36" s="734"/>
      <c r="B36" s="734"/>
      <c r="C36" s="734"/>
      <c r="D36" s="735" t="s">
        <v>359</v>
      </c>
      <c r="E36" s="849">
        <v>55956082.460000008</v>
      </c>
      <c r="F36" s="746"/>
      <c r="G36" s="849"/>
      <c r="H36" s="747"/>
      <c r="I36" s="735">
        <f t="shared" si="7"/>
        <v>7.5</v>
      </c>
      <c r="J36" s="748">
        <f t="shared" si="0"/>
        <v>419670618.45000005</v>
      </c>
      <c r="K36" s="748">
        <f t="shared" si="8"/>
        <v>0</v>
      </c>
      <c r="L36" s="748">
        <f t="shared" si="1"/>
        <v>0</v>
      </c>
      <c r="M36" s="748">
        <f t="shared" si="2"/>
        <v>0</v>
      </c>
      <c r="N36" s="743">
        <f t="shared" si="3"/>
        <v>34972551.537500001</v>
      </c>
      <c r="O36" s="743">
        <f t="shared" si="4"/>
        <v>0</v>
      </c>
      <c r="P36" s="743">
        <f t="shared" si="5"/>
        <v>0</v>
      </c>
      <c r="Q36" s="743">
        <f t="shared" si="6"/>
        <v>0</v>
      </c>
      <c r="R36" s="735"/>
      <c r="S36" s="735"/>
      <c r="T36" s="735"/>
      <c r="U36" s="735"/>
      <c r="V36" s="735"/>
      <c r="W36" s="735"/>
      <c r="X36" s="735"/>
      <c r="Y36" s="735"/>
      <c r="Z36" s="735"/>
      <c r="AA36" s="735"/>
      <c r="AB36" s="735"/>
      <c r="AC36" s="736"/>
    </row>
    <row r="37" spans="1:29" ht="13.5">
      <c r="A37" s="734"/>
      <c r="B37" s="734"/>
      <c r="C37" s="734"/>
      <c r="D37" s="735" t="s">
        <v>366</v>
      </c>
      <c r="E37" s="849"/>
      <c r="F37" s="746"/>
      <c r="G37" s="849"/>
      <c r="H37" s="747"/>
      <c r="I37" s="735">
        <f t="shared" si="7"/>
        <v>6.5</v>
      </c>
      <c r="J37" s="748">
        <f t="shared" si="0"/>
        <v>0</v>
      </c>
      <c r="K37" s="748">
        <f t="shared" si="8"/>
        <v>0</v>
      </c>
      <c r="L37" s="748">
        <f t="shared" si="1"/>
        <v>0</v>
      </c>
      <c r="M37" s="748">
        <f t="shared" si="2"/>
        <v>0</v>
      </c>
      <c r="N37" s="743">
        <f t="shared" si="3"/>
        <v>0</v>
      </c>
      <c r="O37" s="743">
        <f t="shared" si="4"/>
        <v>0</v>
      </c>
      <c r="P37" s="743">
        <f t="shared" si="5"/>
        <v>0</v>
      </c>
      <c r="Q37" s="743">
        <f t="shared" si="6"/>
        <v>0</v>
      </c>
      <c r="R37" s="735"/>
      <c r="S37" s="735"/>
      <c r="T37" s="735"/>
      <c r="U37" s="735"/>
      <c r="V37" s="735"/>
      <c r="W37" s="735"/>
      <c r="X37" s="735"/>
      <c r="Y37" s="735"/>
      <c r="Z37" s="735"/>
      <c r="AA37" s="735"/>
      <c r="AB37" s="735"/>
      <c r="AC37" s="736"/>
    </row>
    <row r="38" spans="1:29" ht="13.5">
      <c r="A38" s="734"/>
      <c r="B38" s="734"/>
      <c r="C38" s="734"/>
      <c r="D38" s="735" t="s">
        <v>367</v>
      </c>
      <c r="E38" s="849"/>
      <c r="F38" s="746"/>
      <c r="G38" s="849"/>
      <c r="H38" s="747"/>
      <c r="I38" s="735">
        <f t="shared" si="7"/>
        <v>5.5</v>
      </c>
      <c r="J38" s="748">
        <f t="shared" si="0"/>
        <v>0</v>
      </c>
      <c r="K38" s="748">
        <f t="shared" si="8"/>
        <v>0</v>
      </c>
      <c r="L38" s="748">
        <f t="shared" si="1"/>
        <v>0</v>
      </c>
      <c r="M38" s="748">
        <f t="shared" si="2"/>
        <v>0</v>
      </c>
      <c r="N38" s="743">
        <f t="shared" si="3"/>
        <v>0</v>
      </c>
      <c r="O38" s="743">
        <f t="shared" si="4"/>
        <v>0</v>
      </c>
      <c r="P38" s="743">
        <f t="shared" si="5"/>
        <v>0</v>
      </c>
      <c r="Q38" s="743">
        <f t="shared" si="6"/>
        <v>0</v>
      </c>
      <c r="R38" s="735"/>
      <c r="S38" s="735"/>
      <c r="T38" s="735"/>
      <c r="U38" s="735"/>
      <c r="V38" s="735"/>
      <c r="W38" s="735"/>
      <c r="X38" s="735"/>
      <c r="Y38" s="735"/>
      <c r="Z38" s="735"/>
      <c r="AA38" s="735"/>
      <c r="AB38" s="735"/>
      <c r="AC38" s="736"/>
    </row>
    <row r="39" spans="1:29" ht="13.5">
      <c r="A39" s="734"/>
      <c r="B39" s="734"/>
      <c r="C39" s="734"/>
      <c r="D39" s="735" t="s">
        <v>368</v>
      </c>
      <c r="E39" s="849"/>
      <c r="F39" s="746"/>
      <c r="G39" s="849"/>
      <c r="H39" s="747"/>
      <c r="I39" s="735">
        <f t="shared" si="7"/>
        <v>4.5</v>
      </c>
      <c r="J39" s="748">
        <f t="shared" si="0"/>
        <v>0</v>
      </c>
      <c r="K39" s="748">
        <f t="shared" si="8"/>
        <v>0</v>
      </c>
      <c r="L39" s="748">
        <f t="shared" si="1"/>
        <v>0</v>
      </c>
      <c r="M39" s="748">
        <f t="shared" si="2"/>
        <v>0</v>
      </c>
      <c r="N39" s="743">
        <f t="shared" si="3"/>
        <v>0</v>
      </c>
      <c r="O39" s="743">
        <f t="shared" si="4"/>
        <v>0</v>
      </c>
      <c r="P39" s="743">
        <f t="shared" si="5"/>
        <v>0</v>
      </c>
      <c r="Q39" s="743">
        <f t="shared" si="6"/>
        <v>0</v>
      </c>
      <c r="R39" s="735"/>
      <c r="S39" s="735"/>
      <c r="T39" s="735"/>
      <c r="U39" s="735"/>
      <c r="V39" s="735"/>
      <c r="W39" s="735"/>
      <c r="X39" s="735"/>
      <c r="Y39" s="735"/>
      <c r="Z39" s="735"/>
      <c r="AA39" s="735"/>
      <c r="AB39" s="735"/>
      <c r="AC39" s="736"/>
    </row>
    <row r="40" spans="1:29" ht="13.5">
      <c r="A40" s="734"/>
      <c r="B40" s="734"/>
      <c r="C40" s="734"/>
      <c r="D40" s="735" t="s">
        <v>369</v>
      </c>
      <c r="E40" s="849"/>
      <c r="F40" s="746"/>
      <c r="G40" s="849"/>
      <c r="H40" s="747"/>
      <c r="I40" s="735">
        <f t="shared" si="7"/>
        <v>3.5</v>
      </c>
      <c r="J40" s="748">
        <f t="shared" si="0"/>
        <v>0</v>
      </c>
      <c r="K40" s="748">
        <f t="shared" si="8"/>
        <v>0</v>
      </c>
      <c r="L40" s="748">
        <f t="shared" si="1"/>
        <v>0</v>
      </c>
      <c r="M40" s="748">
        <f t="shared" si="2"/>
        <v>0</v>
      </c>
      <c r="N40" s="743">
        <f t="shared" si="3"/>
        <v>0</v>
      </c>
      <c r="O40" s="743">
        <f t="shared" ref="O40:Q41" si="9">+K40/12</f>
        <v>0</v>
      </c>
      <c r="P40" s="743">
        <f t="shared" si="9"/>
        <v>0</v>
      </c>
      <c r="Q40" s="743">
        <f t="shared" si="9"/>
        <v>0</v>
      </c>
      <c r="R40" s="735"/>
      <c r="S40" s="735"/>
      <c r="T40" s="735"/>
      <c r="U40" s="735"/>
      <c r="V40" s="735"/>
      <c r="W40" s="735"/>
      <c r="X40" s="735"/>
      <c r="Y40" s="735"/>
      <c r="Z40" s="735"/>
      <c r="AA40" s="735"/>
      <c r="AB40" s="735"/>
      <c r="AC40" s="736"/>
    </row>
    <row r="41" spans="1:29" ht="13.5">
      <c r="A41" s="734"/>
      <c r="B41" s="734"/>
      <c r="C41" s="734"/>
      <c r="D41" s="735" t="s">
        <v>370</v>
      </c>
      <c r="E41" s="849"/>
      <c r="F41" s="746"/>
      <c r="G41" s="849"/>
      <c r="H41" s="747"/>
      <c r="I41" s="735">
        <f t="shared" si="7"/>
        <v>2.5</v>
      </c>
      <c r="J41" s="748">
        <f t="shared" si="0"/>
        <v>0</v>
      </c>
      <c r="K41" s="748">
        <f t="shared" si="8"/>
        <v>0</v>
      </c>
      <c r="L41" s="748">
        <f t="shared" si="1"/>
        <v>0</v>
      </c>
      <c r="M41" s="748">
        <f t="shared" si="2"/>
        <v>0</v>
      </c>
      <c r="N41" s="743">
        <f t="shared" si="3"/>
        <v>0</v>
      </c>
      <c r="O41" s="743">
        <f t="shared" si="9"/>
        <v>0</v>
      </c>
      <c r="P41" s="743">
        <f t="shared" si="9"/>
        <v>0</v>
      </c>
      <c r="Q41" s="743">
        <f t="shared" si="9"/>
        <v>0</v>
      </c>
      <c r="R41" s="735"/>
      <c r="S41" s="735"/>
      <c r="T41" s="735"/>
      <c r="U41" s="735"/>
      <c r="V41" s="735"/>
      <c r="W41" s="735"/>
      <c r="X41" s="735"/>
      <c r="Y41" s="735"/>
      <c r="Z41" s="735"/>
      <c r="AA41" s="735"/>
      <c r="AB41" s="735"/>
      <c r="AC41" s="736"/>
    </row>
    <row r="42" spans="1:29" ht="13.5">
      <c r="A42" s="734"/>
      <c r="B42" s="734"/>
      <c r="C42" s="734"/>
      <c r="D42" s="735" t="s">
        <v>371</v>
      </c>
      <c r="E42" s="849"/>
      <c r="F42" s="746"/>
      <c r="G42" s="849"/>
      <c r="H42" s="747"/>
      <c r="I42" s="735">
        <f t="shared" si="7"/>
        <v>1.5</v>
      </c>
      <c r="J42" s="748">
        <f t="shared" si="0"/>
        <v>0</v>
      </c>
      <c r="K42" s="748">
        <f t="shared" si="8"/>
        <v>0</v>
      </c>
      <c r="L42" s="748">
        <f t="shared" si="1"/>
        <v>0</v>
      </c>
      <c r="M42" s="748">
        <f t="shared" si="2"/>
        <v>0</v>
      </c>
      <c r="N42" s="743">
        <f t="shared" ref="N42:Q43" si="10">+J42/12</f>
        <v>0</v>
      </c>
      <c r="O42" s="743">
        <f t="shared" si="10"/>
        <v>0</v>
      </c>
      <c r="P42" s="743">
        <f t="shared" si="10"/>
        <v>0</v>
      </c>
      <c r="Q42" s="743">
        <f t="shared" si="10"/>
        <v>0</v>
      </c>
      <c r="R42" s="735"/>
      <c r="S42" s="735"/>
      <c r="T42" s="735"/>
      <c r="U42" s="735"/>
      <c r="V42" s="735"/>
      <c r="W42" s="735"/>
      <c r="X42" s="735"/>
      <c r="Y42" s="735"/>
      <c r="Z42" s="735"/>
      <c r="AA42" s="735"/>
      <c r="AB42" s="735"/>
      <c r="AC42" s="736"/>
    </row>
    <row r="43" spans="1:29" ht="13.5">
      <c r="A43" s="734"/>
      <c r="B43" s="734"/>
      <c r="D43" s="735" t="s">
        <v>372</v>
      </c>
      <c r="E43" s="849">
        <v>0</v>
      </c>
      <c r="F43" s="746"/>
      <c r="G43" s="849"/>
      <c r="H43" s="747"/>
      <c r="I43" s="735">
        <f t="shared" si="7"/>
        <v>0.5</v>
      </c>
      <c r="J43" s="748">
        <f t="shared" si="0"/>
        <v>0</v>
      </c>
      <c r="K43" s="748">
        <f t="shared" si="8"/>
        <v>0</v>
      </c>
      <c r="L43" s="748">
        <f t="shared" si="1"/>
        <v>0</v>
      </c>
      <c r="M43" s="748">
        <f t="shared" si="2"/>
        <v>0</v>
      </c>
      <c r="N43" s="743">
        <f t="shared" si="10"/>
        <v>0</v>
      </c>
      <c r="O43" s="743">
        <f t="shared" si="10"/>
        <v>0</v>
      </c>
      <c r="P43" s="743">
        <f t="shared" si="10"/>
        <v>0</v>
      </c>
      <c r="Q43" s="743">
        <f t="shared" si="10"/>
        <v>0</v>
      </c>
      <c r="R43" s="735"/>
      <c r="S43" s="735"/>
      <c r="T43" s="735"/>
      <c r="U43" s="735"/>
      <c r="V43" s="735"/>
      <c r="W43" s="735"/>
      <c r="X43" s="735"/>
      <c r="Y43" s="735"/>
      <c r="Z43" s="735"/>
      <c r="AA43" s="735"/>
      <c r="AB43" s="735"/>
      <c r="AC43" s="736"/>
    </row>
    <row r="44" spans="1:29" ht="13.5">
      <c r="A44" s="734"/>
      <c r="B44" s="734"/>
      <c r="C44" s="735"/>
      <c r="D44" s="735" t="s">
        <v>181</v>
      </c>
      <c r="E44" s="748">
        <f>SUM(E32:E43)</f>
        <v>55956082.460000008</v>
      </c>
      <c r="F44" s="748">
        <f>SUM(F32:F43)</f>
        <v>0</v>
      </c>
      <c r="G44" s="748">
        <f>SUM(G32:G43)</f>
        <v>0</v>
      </c>
      <c r="H44" s="748">
        <f>SUM(H32:H43)</f>
        <v>0</v>
      </c>
      <c r="I44" s="735"/>
      <c r="J44" s="748">
        <f>SUM(J32:J43)</f>
        <v>419670618.45000005</v>
      </c>
      <c r="K44" s="748">
        <f>SUM(K32:K43)</f>
        <v>0</v>
      </c>
      <c r="L44" s="748">
        <f t="shared" si="1"/>
        <v>0</v>
      </c>
      <c r="M44" s="748">
        <f t="shared" si="2"/>
        <v>0</v>
      </c>
      <c r="N44" s="743">
        <f>SUM(N32:N43)</f>
        <v>34972551.537500001</v>
      </c>
      <c r="O44" s="743">
        <f>SUM(O32:O43)</f>
        <v>0</v>
      </c>
      <c r="P44" s="743">
        <f>SUM(P32:P43)</f>
        <v>0</v>
      </c>
      <c r="Q44" s="743">
        <f>SUM(Q32:Q43)</f>
        <v>0</v>
      </c>
      <c r="R44" s="735"/>
      <c r="S44" s="735"/>
      <c r="T44" s="735"/>
      <c r="U44" s="735"/>
      <c r="V44" s="735"/>
      <c r="W44" s="735"/>
      <c r="X44" s="735"/>
      <c r="Y44" s="735"/>
      <c r="Z44" s="735"/>
      <c r="AA44" s="735"/>
      <c r="AB44" s="735"/>
      <c r="AC44" s="736"/>
    </row>
    <row r="45" spans="1:29" ht="13.5">
      <c r="A45" s="734"/>
      <c r="B45" s="734"/>
      <c r="C45" s="735"/>
      <c r="D45" s="735" t="s">
        <v>679</v>
      </c>
      <c r="E45" s="735"/>
      <c r="G45" s="735"/>
      <c r="H45" s="735"/>
      <c r="I45" s="735"/>
      <c r="J45" s="735"/>
      <c r="N45" s="749">
        <f>+N44</f>
        <v>34972551.537500001</v>
      </c>
      <c r="O45" s="749">
        <f>+O44</f>
        <v>0</v>
      </c>
      <c r="P45" s="749">
        <f>+P44</f>
        <v>0</v>
      </c>
      <c r="Q45" s="749">
        <f>+Q44</f>
        <v>0</v>
      </c>
      <c r="R45" s="735"/>
      <c r="S45" s="735"/>
      <c r="T45" s="735"/>
      <c r="U45" s="735"/>
      <c r="V45" s="735"/>
      <c r="W45" s="735"/>
      <c r="X45" s="735"/>
      <c r="Y45" s="735"/>
      <c r="Z45" s="735"/>
      <c r="AA45" s="735"/>
      <c r="AB45" s="735"/>
      <c r="AC45" s="736"/>
    </row>
    <row r="46" spans="1:29" ht="13.5">
      <c r="A46" s="734"/>
      <c r="B46" s="734"/>
      <c r="C46" s="735"/>
      <c r="D46" s="735"/>
      <c r="E46" s="735"/>
      <c r="I46" s="735"/>
      <c r="J46" s="735"/>
      <c r="L46" s="749" t="s">
        <v>680</v>
      </c>
      <c r="M46" s="735"/>
      <c r="N46" s="748">
        <f>+N45</f>
        <v>34972551.537500001</v>
      </c>
      <c r="O46" s="748">
        <f>+O45</f>
        <v>0</v>
      </c>
      <c r="P46" s="735"/>
      <c r="Q46" s="748">
        <f>+Q45</f>
        <v>0</v>
      </c>
      <c r="R46" s="748">
        <f>+N46+Q46</f>
        <v>34972551.537500001</v>
      </c>
      <c r="S46" s="735"/>
      <c r="T46" s="735"/>
      <c r="U46" s="735"/>
      <c r="V46" s="735"/>
      <c r="W46" s="735"/>
      <c r="X46" s="735"/>
      <c r="Y46" s="735"/>
      <c r="Z46" s="735"/>
      <c r="AA46" s="735"/>
      <c r="AB46" s="735"/>
      <c r="AC46" s="736"/>
    </row>
    <row r="47" spans="1:29" ht="13.5">
      <c r="A47" s="734"/>
      <c r="B47" s="734"/>
      <c r="C47" s="734"/>
      <c r="D47" s="735"/>
      <c r="E47" s="735"/>
      <c r="G47" s="735"/>
      <c r="H47" s="735"/>
      <c r="I47" s="748"/>
      <c r="J47" s="735"/>
      <c r="L47" s="735" t="s">
        <v>681</v>
      </c>
      <c r="M47" s="735"/>
      <c r="N47" s="735"/>
      <c r="O47" s="735"/>
      <c r="P47" s="748">
        <f>+P45</f>
        <v>0</v>
      </c>
      <c r="Q47" s="735"/>
      <c r="R47" s="748">
        <f>+P47</f>
        <v>0</v>
      </c>
      <c r="S47" s="735"/>
      <c r="T47" s="735"/>
      <c r="U47" s="735"/>
      <c r="V47" s="735"/>
      <c r="W47" s="735"/>
      <c r="X47" s="735"/>
      <c r="Y47" s="735"/>
      <c r="Z47" s="735"/>
      <c r="AA47" s="735"/>
      <c r="AB47" s="735"/>
      <c r="AC47" s="736"/>
    </row>
    <row r="48" spans="1:29" ht="13.5">
      <c r="A48" s="734"/>
      <c r="B48" s="734"/>
      <c r="C48" s="734"/>
      <c r="D48" s="735"/>
      <c r="E48" s="735"/>
      <c r="G48" s="735"/>
      <c r="H48" s="735"/>
      <c r="I48" s="748"/>
      <c r="J48" s="735"/>
      <c r="L48" s="735" t="s">
        <v>682</v>
      </c>
      <c r="M48" s="735"/>
      <c r="N48" s="750">
        <f>12-N46/E44*12</f>
        <v>4.5000000000000018</v>
      </c>
      <c r="O48" s="750" t="e">
        <f>12-O46/F44*12</f>
        <v>#DIV/0!</v>
      </c>
      <c r="P48" s="750" t="e">
        <f>12-P45/G44*12</f>
        <v>#DIV/0!</v>
      </c>
      <c r="Q48" s="750" t="e">
        <f>12-Q46/H44*12</f>
        <v>#DIV/0!</v>
      </c>
      <c r="R48" s="748"/>
      <c r="S48" s="735"/>
      <c r="T48" s="735"/>
      <c r="U48" s="735"/>
      <c r="V48" s="735"/>
      <c r="W48" s="735"/>
      <c r="X48" s="735"/>
      <c r="Y48" s="735"/>
      <c r="Z48" s="735"/>
      <c r="AA48" s="735"/>
      <c r="AB48" s="735"/>
      <c r="AC48" s="736"/>
    </row>
    <row r="49" spans="1:29" ht="13.5">
      <c r="A49" s="734">
        <v>3</v>
      </c>
      <c r="B49" s="734" t="str">
        <f>+B27</f>
        <v>April</v>
      </c>
      <c r="C49" s="734" t="str">
        <f>+C27</f>
        <v>Year 2</v>
      </c>
      <c r="D49" s="739" t="str">
        <f>+D11</f>
        <v>TO adds weighted Cap Adds to plant in service in Formula</v>
      </c>
      <c r="E49" s="735"/>
      <c r="F49" s="735"/>
      <c r="G49" s="735"/>
      <c r="H49" s="735"/>
      <c r="I49" s="735"/>
      <c r="J49" s="735"/>
      <c r="K49" s="735"/>
      <c r="L49" s="748"/>
      <c r="M49" s="735"/>
      <c r="N49" s="735"/>
      <c r="O49" s="735"/>
      <c r="P49" s="735"/>
      <c r="Q49" s="735"/>
      <c r="R49" s="735"/>
      <c r="S49" s="735"/>
      <c r="T49" s="735"/>
      <c r="U49" s="735"/>
      <c r="V49" s="735"/>
      <c r="W49" s="735"/>
      <c r="X49" s="735"/>
      <c r="Y49" s="735"/>
      <c r="Z49" s="735"/>
      <c r="AA49" s="735"/>
      <c r="AB49" s="735"/>
      <c r="AC49" s="736"/>
    </row>
    <row r="50" spans="1:29" ht="13.5">
      <c r="A50" s="734"/>
      <c r="B50" s="734"/>
      <c r="C50" s="734"/>
      <c r="D50" s="751">
        <f>N45</f>
        <v>34972551.537500001</v>
      </c>
      <c r="E50" s="735" t="s">
        <v>619</v>
      </c>
      <c r="F50" s="748"/>
      <c r="G50" s="734"/>
      <c r="H50" s="748"/>
      <c r="I50" s="735"/>
      <c r="J50" s="735"/>
      <c r="K50" s="735"/>
      <c r="L50" s="748"/>
      <c r="M50" s="735"/>
      <c r="N50" s="735"/>
      <c r="O50" s="735"/>
      <c r="P50" s="735"/>
      <c r="Q50" s="735"/>
      <c r="R50" s="735"/>
      <c r="S50" s="735"/>
      <c r="T50" s="735"/>
      <c r="U50" s="735"/>
      <c r="V50" s="735"/>
      <c r="W50" s="735"/>
      <c r="X50" s="735"/>
      <c r="Y50" s="735"/>
      <c r="Z50" s="735"/>
      <c r="AA50" s="735"/>
      <c r="AB50" s="735"/>
      <c r="AC50" s="736"/>
    </row>
    <row r="51" spans="1:29" ht="13.5">
      <c r="A51" s="734"/>
      <c r="B51" s="734"/>
      <c r="C51" s="734"/>
      <c r="D51" s="751"/>
      <c r="E51" s="734"/>
      <c r="F51" s="748"/>
      <c r="G51" s="734"/>
      <c r="H51" s="748"/>
      <c r="I51" s="735"/>
      <c r="J51" s="735"/>
      <c r="K51" s="735"/>
      <c r="L51" s="735"/>
      <c r="M51" s="735"/>
      <c r="N51" s="735"/>
      <c r="O51" s="735"/>
      <c r="P51" s="735"/>
      <c r="Q51" s="735"/>
      <c r="R51" s="735"/>
      <c r="S51" s="735"/>
      <c r="T51" s="735"/>
      <c r="U51" s="735"/>
      <c r="V51" s="735"/>
      <c r="W51" s="735"/>
      <c r="X51" s="735"/>
      <c r="Y51" s="735"/>
      <c r="Z51" s="735"/>
      <c r="AA51" s="735"/>
      <c r="AB51" s="735"/>
      <c r="AC51" s="736"/>
    </row>
    <row r="52" spans="1:29" ht="13.5">
      <c r="A52" s="734">
        <v>4</v>
      </c>
      <c r="B52" s="734" t="str">
        <f>+B12</f>
        <v>May</v>
      </c>
      <c r="C52" s="734" t="str">
        <f>+C49</f>
        <v>Year 2</v>
      </c>
      <c r="D52" s="735" t="str">
        <f>+D12</f>
        <v>Post results of Step 3 on PJM web site</v>
      </c>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6"/>
    </row>
    <row r="53" spans="1:29" ht="13.5">
      <c r="A53" s="734"/>
      <c r="B53" s="734"/>
      <c r="C53" s="734"/>
      <c r="D53" s="843">
        <v>132037000.36826676</v>
      </c>
      <c r="F53" s="751"/>
      <c r="G53" s="744" t="s">
        <v>683</v>
      </c>
      <c r="H53" s="735"/>
      <c r="I53" s="735"/>
      <c r="J53" s="735"/>
      <c r="K53" s="735"/>
      <c r="L53" s="735"/>
      <c r="M53" s="735"/>
      <c r="N53" s="735"/>
      <c r="O53" s="735"/>
      <c r="P53" s="735"/>
      <c r="Q53" s="735"/>
      <c r="R53" s="735"/>
      <c r="S53" s="735"/>
      <c r="T53" s="735"/>
      <c r="U53" s="735"/>
      <c r="V53" s="735"/>
      <c r="W53" s="735"/>
      <c r="X53" s="735"/>
      <c r="Y53" s="735"/>
      <c r="Z53" s="735"/>
      <c r="AA53" s="735"/>
      <c r="AB53" s="735"/>
      <c r="AC53" s="736"/>
    </row>
    <row r="54" spans="1:29" ht="13.5">
      <c r="A54" s="734"/>
      <c r="B54" s="734"/>
      <c r="C54" s="734"/>
      <c r="D54" s="752"/>
      <c r="E54" s="735"/>
      <c r="F54" s="735"/>
      <c r="G54" s="735"/>
      <c r="H54" s="735"/>
      <c r="I54" s="735"/>
      <c r="J54" s="735"/>
      <c r="K54" s="735"/>
      <c r="L54" s="735"/>
      <c r="M54" s="735"/>
      <c r="N54" s="735"/>
      <c r="O54" s="735"/>
      <c r="P54" s="735"/>
      <c r="Q54" s="735"/>
      <c r="R54" s="735"/>
      <c r="S54" s="735"/>
      <c r="T54" s="735"/>
      <c r="U54" s="735"/>
      <c r="V54" s="735"/>
      <c r="W54" s="735"/>
      <c r="X54" s="735"/>
      <c r="Y54" s="735"/>
      <c r="Z54" s="735"/>
      <c r="AA54" s="735"/>
      <c r="AB54" s="735"/>
      <c r="AC54" s="736"/>
    </row>
    <row r="55" spans="1:29" ht="13.5">
      <c r="A55" s="734">
        <f>+A13</f>
        <v>5</v>
      </c>
      <c r="B55" s="734" t="str">
        <f>+B13</f>
        <v>June</v>
      </c>
      <c r="C55" s="734" t="str">
        <f>+C13</f>
        <v>Year 2</v>
      </c>
      <c r="D55" s="739" t="str">
        <f>+D13</f>
        <v>Results of Step 3 go into effect for the Rate Year 1 (e.g., June 1, 2005 - May 31, 2006)</v>
      </c>
      <c r="E55" s="735"/>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6"/>
    </row>
    <row r="56" spans="1:29" ht="13.5">
      <c r="A56" s="734"/>
      <c r="B56" s="734"/>
      <c r="C56" s="734"/>
      <c r="D56" s="751">
        <f>+D53</f>
        <v>132037000.36826676</v>
      </c>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6"/>
    </row>
    <row r="57" spans="1:29" ht="13.5">
      <c r="A57" s="753"/>
      <c r="B57" s="753"/>
      <c r="C57" s="753"/>
      <c r="D57" s="754"/>
      <c r="E57" s="754"/>
      <c r="F57" s="754"/>
      <c r="G57" s="754"/>
      <c r="H57" s="754"/>
      <c r="I57" s="754"/>
      <c r="J57" s="754"/>
      <c r="K57" s="754"/>
      <c r="L57" s="735"/>
      <c r="M57" s="735"/>
      <c r="N57" s="735"/>
      <c r="O57" s="735"/>
      <c r="P57" s="735"/>
      <c r="Q57" s="735"/>
      <c r="R57" s="735"/>
      <c r="S57" s="735"/>
      <c r="T57" s="735"/>
      <c r="U57" s="735"/>
      <c r="V57" s="735"/>
      <c r="W57" s="735"/>
      <c r="X57" s="735"/>
      <c r="Y57" s="735"/>
      <c r="Z57" s="735"/>
      <c r="AA57" s="735"/>
      <c r="AB57" s="735"/>
      <c r="AC57" s="736"/>
    </row>
    <row r="58" spans="1:29" ht="15.75">
      <c r="A58" s="753"/>
      <c r="B58" s="753"/>
      <c r="C58" s="753"/>
      <c r="D58" s="754"/>
      <c r="E58" s="754"/>
      <c r="F58" s="754"/>
      <c r="G58" s="754"/>
      <c r="H58" s="754"/>
      <c r="I58" s="754"/>
      <c r="J58" s="755"/>
      <c r="K58" s="754"/>
      <c r="L58" s="735"/>
      <c r="M58" s="735"/>
      <c r="N58" s="735"/>
      <c r="O58" s="735"/>
      <c r="P58" s="735"/>
      <c r="Q58" s="735"/>
      <c r="R58" s="735"/>
      <c r="S58" s="735"/>
      <c r="T58" s="735"/>
      <c r="U58" s="735"/>
      <c r="V58" s="735"/>
      <c r="W58" s="735"/>
      <c r="X58" s="735"/>
      <c r="Y58" s="735"/>
      <c r="Z58" s="735"/>
      <c r="AA58" s="735"/>
      <c r="AB58" s="735"/>
      <c r="AC58" s="736"/>
    </row>
    <row r="59" spans="1:29" ht="15.75">
      <c r="A59" s="753"/>
      <c r="B59" s="753"/>
      <c r="C59" s="753"/>
      <c r="D59" s="754"/>
      <c r="E59" s="754"/>
      <c r="F59" s="754"/>
      <c r="G59" s="754"/>
      <c r="H59" s="754"/>
      <c r="I59" s="754"/>
      <c r="J59" s="755"/>
      <c r="K59" s="754"/>
      <c r="L59" s="735"/>
      <c r="M59" s="735"/>
      <c r="N59" s="735"/>
      <c r="O59" s="735"/>
      <c r="P59" s="735"/>
      <c r="Q59" s="735"/>
      <c r="R59" s="735"/>
      <c r="S59" s="735"/>
      <c r="T59" s="735"/>
      <c r="U59" s="735"/>
      <c r="V59" s="735"/>
      <c r="W59" s="735"/>
      <c r="X59" s="735"/>
      <c r="Y59" s="735"/>
      <c r="Z59" s="735"/>
      <c r="AA59" s="735"/>
      <c r="AB59" s="735"/>
      <c r="AC59" s="736"/>
    </row>
    <row r="60" spans="1:29" ht="13.5">
      <c r="A60" s="734">
        <f>+A15</f>
        <v>6</v>
      </c>
      <c r="B60" s="734" t="str">
        <f>+B15</f>
        <v>April</v>
      </c>
      <c r="C60" s="734" t="str">
        <f>+C15</f>
        <v>Year 3</v>
      </c>
      <c r="D60" s="739" t="str">
        <f>+D15</f>
        <v>TO populates the formula with Year 2 data from FERC Form 1 for Year 2 (e.g., 2005)</v>
      </c>
      <c r="E60" s="735"/>
      <c r="F60" s="735"/>
      <c r="G60" s="735"/>
      <c r="H60" s="735"/>
      <c r="I60" s="735"/>
      <c r="J60" s="735"/>
      <c r="K60" s="735"/>
      <c r="L60" s="735"/>
      <c r="M60" s="735"/>
      <c r="N60" s="735"/>
      <c r="O60" s="735"/>
      <c r="P60" s="735"/>
      <c r="Q60" s="735"/>
      <c r="R60" s="735"/>
      <c r="S60" s="735"/>
      <c r="T60" s="735"/>
      <c r="U60" s="735"/>
      <c r="V60" s="735"/>
      <c r="W60" s="735"/>
      <c r="X60" s="735"/>
      <c r="Y60" s="735"/>
      <c r="Z60" s="735"/>
      <c r="AA60" s="735"/>
      <c r="AB60" s="735"/>
      <c r="AC60" s="736"/>
    </row>
    <row r="61" spans="1:29" ht="13.5">
      <c r="A61" s="734"/>
      <c r="B61" s="734"/>
      <c r="C61" s="734"/>
      <c r="D61" s="823">
        <v>141462219.02291822</v>
      </c>
      <c r="E61" s="735" t="s">
        <v>401</v>
      </c>
      <c r="F61" s="735"/>
      <c r="G61" s="744" t="s">
        <v>653</v>
      </c>
      <c r="H61" s="735"/>
      <c r="I61" s="735"/>
      <c r="K61" s="735"/>
      <c r="L61" s="735"/>
      <c r="M61" s="735"/>
      <c r="N61" s="735"/>
      <c r="O61" s="735"/>
      <c r="P61" s="735"/>
      <c r="Q61" s="735"/>
      <c r="R61" s="735"/>
      <c r="S61" s="735"/>
      <c r="T61" s="735"/>
      <c r="U61" s="735"/>
      <c r="V61" s="735"/>
      <c r="W61" s="735"/>
      <c r="X61" s="735"/>
      <c r="Y61" s="735"/>
      <c r="Z61" s="735"/>
      <c r="AA61" s="735"/>
      <c r="AB61" s="735"/>
      <c r="AC61" s="736"/>
    </row>
    <row r="62" spans="1:29" ht="13.5">
      <c r="A62" s="734"/>
      <c r="B62" s="734"/>
      <c r="C62" s="734"/>
      <c r="D62" s="756"/>
      <c r="E62" s="735"/>
      <c r="F62" s="735"/>
      <c r="G62" s="735"/>
      <c r="H62" s="735"/>
      <c r="I62" s="735"/>
      <c r="J62" s="735"/>
      <c r="K62" s="735"/>
      <c r="L62" s="735"/>
      <c r="M62" s="735"/>
      <c r="N62" s="735"/>
      <c r="O62" s="735"/>
      <c r="P62" s="735"/>
      <c r="Q62" s="735"/>
      <c r="R62" s="735"/>
      <c r="S62" s="735"/>
      <c r="T62" s="735"/>
      <c r="U62" s="735"/>
      <c r="V62" s="735"/>
      <c r="W62" s="735"/>
      <c r="X62" s="735"/>
      <c r="Y62" s="735"/>
      <c r="Z62" s="735"/>
      <c r="AA62" s="735"/>
      <c r="AB62" s="735"/>
      <c r="AC62" s="736"/>
    </row>
    <row r="63" spans="1:29" ht="13.5">
      <c r="A63" s="734"/>
      <c r="B63" s="734"/>
      <c r="C63" s="734"/>
      <c r="D63" s="757"/>
      <c r="E63" s="735"/>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6"/>
    </row>
    <row r="64" spans="1:29" ht="13.5">
      <c r="A64" s="734"/>
      <c r="B64" s="734"/>
      <c r="C64" s="734"/>
      <c r="D64" s="735"/>
      <c r="E64" s="735"/>
      <c r="F64" s="735"/>
      <c r="G64" s="735"/>
      <c r="H64" s="748"/>
      <c r="I64" s="735"/>
      <c r="J64" s="735"/>
      <c r="K64" s="735"/>
      <c r="L64" s="735"/>
      <c r="M64" s="735"/>
      <c r="N64" s="735"/>
      <c r="O64" s="735"/>
      <c r="P64" s="735"/>
      <c r="Q64" s="735"/>
      <c r="R64" s="735"/>
      <c r="S64" s="735"/>
      <c r="T64" s="735"/>
      <c r="U64" s="735"/>
      <c r="V64" s="735"/>
      <c r="W64" s="735"/>
      <c r="X64" s="735"/>
      <c r="Y64" s="735"/>
      <c r="Z64" s="735"/>
      <c r="AA64" s="735"/>
      <c r="AB64" s="735"/>
      <c r="AC64" s="736"/>
    </row>
    <row r="65" spans="1:29" ht="13.5">
      <c r="A65" s="734">
        <v>7</v>
      </c>
      <c r="B65" s="734" t="str">
        <f>+B16</f>
        <v>April</v>
      </c>
      <c r="C65" s="734" t="str">
        <f>+C16</f>
        <v>Year 3</v>
      </c>
      <c r="D65" s="739" t="str">
        <f>+D16</f>
        <v>Reconciliation - TO calculates Reconciliation by removing from Year 2 data - the total Cap Adds placed in service in Year 2 and adding weighted average in Year 2 actual Cap Adds and CWIP in Reconciliation</v>
      </c>
      <c r="E65" s="741"/>
      <c r="F65" s="741"/>
      <c r="G65" s="741"/>
      <c r="H65" s="741"/>
      <c r="I65" s="741"/>
      <c r="J65" s="741"/>
      <c r="K65" s="735"/>
      <c r="L65" s="735"/>
      <c r="M65" s="735"/>
      <c r="N65" s="735"/>
      <c r="O65" s="735"/>
      <c r="P65" s="735"/>
      <c r="Q65" s="735"/>
      <c r="R65" s="735"/>
      <c r="S65" s="735"/>
      <c r="T65" s="735"/>
      <c r="U65" s="735"/>
      <c r="V65" s="735"/>
      <c r="W65" s="735"/>
      <c r="X65" s="735"/>
      <c r="Y65" s="735"/>
      <c r="Z65" s="735"/>
      <c r="AA65" s="735"/>
      <c r="AB65" s="735"/>
      <c r="AC65" s="736"/>
    </row>
    <row r="66" spans="1:29" ht="13.5">
      <c r="A66" s="734"/>
      <c r="B66" s="734"/>
      <c r="C66" s="734"/>
      <c r="D66" s="758" t="str">
        <f>+D17</f>
        <v>(adjusted to include any Reconciliation amount from prior year)</v>
      </c>
      <c r="E66" s="759"/>
      <c r="F66" s="759"/>
      <c r="G66" s="759"/>
      <c r="H66" s="741"/>
      <c r="I66" s="741"/>
      <c r="J66" s="741"/>
      <c r="K66" s="735"/>
      <c r="L66" s="735"/>
      <c r="M66" s="735"/>
      <c r="N66" s="735"/>
      <c r="O66" s="735"/>
      <c r="P66" s="735"/>
      <c r="Q66" s="735"/>
      <c r="R66" s="735"/>
      <c r="S66" s="735"/>
      <c r="T66" s="735"/>
      <c r="U66" s="735"/>
      <c r="V66" s="735"/>
      <c r="W66" s="735"/>
      <c r="X66" s="735"/>
      <c r="Y66" s="735"/>
      <c r="Z66" s="735"/>
      <c r="AA66" s="735"/>
      <c r="AB66" s="735"/>
      <c r="AC66" s="736"/>
    </row>
    <row r="67" spans="1:29" ht="13.5">
      <c r="A67" s="734"/>
      <c r="B67" s="734"/>
      <c r="C67" s="734"/>
      <c r="D67" s="760"/>
      <c r="E67" s="760"/>
      <c r="F67" s="760"/>
      <c r="G67" s="760"/>
      <c r="H67" s="760"/>
      <c r="I67" s="760"/>
      <c r="J67" s="760"/>
      <c r="K67" s="735"/>
      <c r="L67" s="735"/>
      <c r="M67" s="735"/>
      <c r="N67" s="735"/>
      <c r="O67" s="735"/>
      <c r="P67" s="735"/>
      <c r="Q67" s="735"/>
      <c r="R67" s="735"/>
      <c r="S67" s="735"/>
      <c r="T67" s="735"/>
      <c r="U67" s="735"/>
      <c r="V67" s="735"/>
      <c r="W67" s="735"/>
      <c r="X67" s="735"/>
      <c r="Y67" s="735"/>
      <c r="Z67" s="735"/>
      <c r="AA67" s="735"/>
      <c r="AB67" s="735"/>
      <c r="AC67" s="736"/>
    </row>
    <row r="68" spans="1:29" ht="13.5">
      <c r="A68" s="734"/>
      <c r="B68" s="734"/>
      <c r="C68" s="734"/>
      <c r="D68" s="756" t="s">
        <v>540</v>
      </c>
      <c r="E68" s="735"/>
      <c r="G68" s="735"/>
      <c r="H68" s="761"/>
      <c r="I68" s="735"/>
      <c r="K68" s="735"/>
      <c r="L68" s="735"/>
      <c r="M68" s="735"/>
      <c r="N68" s="735"/>
      <c r="O68" s="735"/>
      <c r="P68" s="735"/>
      <c r="Q68" s="735"/>
      <c r="R68" s="735"/>
      <c r="S68" s="735"/>
      <c r="T68" s="735"/>
      <c r="U68" s="735"/>
      <c r="V68" s="735"/>
      <c r="W68" s="735"/>
      <c r="X68" s="735"/>
      <c r="Y68" s="735"/>
      <c r="Z68" s="735"/>
      <c r="AA68" s="735"/>
      <c r="AB68" s="735"/>
      <c r="AC68" s="736"/>
    </row>
    <row r="69" spans="1:29" ht="13.5">
      <c r="A69" s="734"/>
      <c r="B69" s="734"/>
      <c r="C69" s="734"/>
      <c r="D69" s="735" t="s">
        <v>27</v>
      </c>
      <c r="E69" s="761"/>
      <c r="F69" s="735"/>
      <c r="G69" s="735"/>
      <c r="H69" s="762">
        <f>E89</f>
        <v>113215597</v>
      </c>
      <c r="I69" s="735" t="s">
        <v>620</v>
      </c>
      <c r="J69" s="735"/>
      <c r="K69" s="735"/>
      <c r="L69" s="735"/>
      <c r="M69" s="735"/>
      <c r="N69" s="735"/>
      <c r="O69" s="735"/>
      <c r="P69" s="735"/>
      <c r="Q69" s="735"/>
      <c r="R69" s="735"/>
      <c r="S69" s="735"/>
      <c r="T69" s="735"/>
      <c r="U69" s="735"/>
      <c r="V69" s="735"/>
      <c r="W69" s="735"/>
      <c r="X69" s="735"/>
      <c r="Y69" s="735"/>
      <c r="Z69" s="735"/>
      <c r="AA69" s="735"/>
      <c r="AB69" s="735"/>
      <c r="AC69" s="736"/>
    </row>
    <row r="70" spans="1:29" ht="13.5">
      <c r="A70" s="734"/>
      <c r="B70" s="734"/>
      <c r="C70" s="734"/>
      <c r="D70" s="756"/>
      <c r="E70" s="735"/>
      <c r="F70" s="735"/>
      <c r="G70" s="735"/>
      <c r="H70" s="735"/>
      <c r="I70" s="735"/>
      <c r="J70" s="735"/>
      <c r="K70" s="735"/>
      <c r="L70" s="735"/>
      <c r="M70" s="735"/>
      <c r="N70" s="735"/>
      <c r="O70" s="735"/>
      <c r="P70" s="735"/>
      <c r="Q70" s="735"/>
      <c r="R70" s="735"/>
      <c r="S70" s="735"/>
      <c r="T70" s="735"/>
      <c r="U70" s="735"/>
      <c r="V70" s="735"/>
      <c r="W70" s="735"/>
      <c r="X70" s="735"/>
      <c r="Y70" s="735"/>
      <c r="Z70" s="735"/>
      <c r="AA70" s="735"/>
      <c r="AB70" s="735"/>
      <c r="AC70" s="736"/>
    </row>
    <row r="71" spans="1:29" ht="13.5">
      <c r="A71" s="734"/>
      <c r="B71" s="734"/>
      <c r="C71" s="734"/>
      <c r="D71" s="763" t="s">
        <v>28</v>
      </c>
      <c r="E71" s="735"/>
      <c r="F71" s="735"/>
      <c r="G71" s="735"/>
      <c r="H71" s="735"/>
      <c r="I71" s="735"/>
      <c r="J71" s="735"/>
      <c r="K71" s="735"/>
      <c r="L71" s="735"/>
      <c r="M71" s="735"/>
      <c r="N71" s="735"/>
      <c r="O71" s="735"/>
      <c r="P71" s="735"/>
      <c r="Q71" s="735"/>
      <c r="R71" s="735"/>
      <c r="S71" s="735"/>
      <c r="T71" s="735"/>
      <c r="U71" s="735"/>
      <c r="V71" s="735"/>
      <c r="W71" s="735"/>
      <c r="X71" s="735"/>
      <c r="Y71" s="735"/>
      <c r="Z71" s="735"/>
      <c r="AA71" s="735"/>
      <c r="AB71" s="735"/>
      <c r="AC71" s="736"/>
    </row>
    <row r="72" spans="1:29" ht="13.5">
      <c r="A72" s="734"/>
      <c r="B72" s="734"/>
      <c r="C72" s="734"/>
      <c r="D72" s="763"/>
      <c r="E72" s="735"/>
      <c r="F72" s="735"/>
      <c r="G72" s="735"/>
      <c r="H72" s="735"/>
      <c r="I72" s="735"/>
      <c r="J72" s="735"/>
      <c r="K72" s="735"/>
      <c r="L72" s="735"/>
      <c r="M72" s="735"/>
      <c r="N72" s="735"/>
      <c r="O72" s="735"/>
      <c r="P72" s="735"/>
      <c r="Q72" s="735"/>
      <c r="R72" s="735"/>
      <c r="S72" s="735"/>
      <c r="T72" s="735"/>
      <c r="U72" s="735"/>
      <c r="V72" s="735"/>
      <c r="W72" s="735"/>
      <c r="X72" s="735"/>
      <c r="Y72" s="735"/>
      <c r="Z72" s="735"/>
      <c r="AA72" s="735"/>
      <c r="AB72" s="735"/>
      <c r="AC72" s="736"/>
    </row>
    <row r="73" spans="1:29" ht="13.5">
      <c r="A73" s="734"/>
      <c r="B73" s="734"/>
      <c r="C73" s="734"/>
      <c r="D73" s="763"/>
      <c r="E73" s="735"/>
      <c r="F73" s="735"/>
      <c r="G73" s="735"/>
      <c r="H73" s="735"/>
      <c r="I73" s="735"/>
      <c r="J73" s="735"/>
      <c r="K73" s="735"/>
      <c r="L73" s="735"/>
      <c r="M73" s="735"/>
      <c r="N73" s="735"/>
      <c r="O73" s="735"/>
      <c r="P73" s="735"/>
      <c r="Q73" s="735"/>
      <c r="R73" s="735"/>
      <c r="S73" s="735"/>
      <c r="T73" s="735"/>
      <c r="U73" s="735"/>
      <c r="V73" s="735"/>
      <c r="W73" s="735"/>
      <c r="X73" s="735"/>
      <c r="Y73" s="735"/>
      <c r="Z73" s="735"/>
      <c r="AA73" s="735"/>
      <c r="AB73" s="735"/>
      <c r="AC73" s="736"/>
    </row>
    <row r="74" spans="1:29" ht="13.5">
      <c r="A74" s="734"/>
      <c r="B74" s="734"/>
      <c r="C74" s="734"/>
      <c r="E74" s="745" t="s">
        <v>654</v>
      </c>
      <c r="F74" s="745" t="s">
        <v>655</v>
      </c>
      <c r="G74" s="745" t="s">
        <v>656</v>
      </c>
      <c r="H74" s="745" t="s">
        <v>657</v>
      </c>
      <c r="I74" s="745" t="s">
        <v>658</v>
      </c>
      <c r="J74" s="745" t="s">
        <v>659</v>
      </c>
      <c r="K74" s="745" t="s">
        <v>660</v>
      </c>
      <c r="L74" s="745" t="s">
        <v>661</v>
      </c>
      <c r="M74" s="745" t="s">
        <v>662</v>
      </c>
      <c r="N74" s="745" t="s">
        <v>663</v>
      </c>
      <c r="O74" s="734" t="s">
        <v>664</v>
      </c>
      <c r="P74" s="734" t="s">
        <v>665</v>
      </c>
      <c r="Q74" s="734" t="s">
        <v>666</v>
      </c>
      <c r="R74" s="735"/>
      <c r="S74" s="735"/>
      <c r="T74" s="735"/>
      <c r="U74" s="735"/>
      <c r="V74" s="735"/>
      <c r="W74" s="735"/>
      <c r="X74" s="735"/>
      <c r="Y74" s="735"/>
      <c r="Z74" s="735"/>
      <c r="AA74" s="735"/>
      <c r="AB74" s="735"/>
      <c r="AC74" s="736"/>
    </row>
    <row r="75" spans="1:29" ht="13.5">
      <c r="A75" s="734"/>
      <c r="B75" s="734"/>
      <c r="C75" s="734"/>
      <c r="E75" s="734" t="s">
        <v>667</v>
      </c>
      <c r="F75" s="734" t="s">
        <v>667</v>
      </c>
      <c r="G75" s="734" t="s">
        <v>667</v>
      </c>
      <c r="H75" s="734" t="s">
        <v>667</v>
      </c>
      <c r="J75" s="734" t="str">
        <f>+E76</f>
        <v>Other Plant In Service</v>
      </c>
      <c r="K75" s="734" t="str">
        <f>+F76</f>
        <v>Other Plant In Service</v>
      </c>
      <c r="L75" s="734" t="str">
        <f>+G76</f>
        <v>MAPP CWIP</v>
      </c>
      <c r="M75" s="734" t="str">
        <f>+H76</f>
        <v>MAPP In Service</v>
      </c>
      <c r="N75" s="734" t="str">
        <f>+E76</f>
        <v>Other Plant In Service</v>
      </c>
      <c r="O75" s="734" t="str">
        <f>+F76</f>
        <v>Other Plant In Service</v>
      </c>
      <c r="P75" s="734" t="str">
        <f>+G76</f>
        <v>MAPP CWIP</v>
      </c>
      <c r="Q75" s="734" t="str">
        <f>+H76</f>
        <v>MAPP In Service</v>
      </c>
      <c r="R75" s="735"/>
      <c r="S75" s="735"/>
      <c r="T75" s="735"/>
      <c r="U75" s="735"/>
      <c r="V75" s="735"/>
      <c r="W75" s="735"/>
      <c r="X75" s="735"/>
      <c r="Y75" s="735"/>
      <c r="Z75" s="735"/>
      <c r="AA75" s="735"/>
      <c r="AB75" s="735"/>
      <c r="AC75" s="736"/>
    </row>
    <row r="76" spans="1:29" ht="13.5">
      <c r="A76" s="734"/>
      <c r="B76" s="734"/>
      <c r="C76" s="734"/>
      <c r="D76" s="735"/>
      <c r="E76" s="734" t="s">
        <v>668</v>
      </c>
      <c r="F76" s="734" t="s">
        <v>668</v>
      </c>
      <c r="G76" s="734" t="s">
        <v>669</v>
      </c>
      <c r="H76" s="734" t="s">
        <v>670</v>
      </c>
      <c r="I76" s="734" t="s">
        <v>361</v>
      </c>
      <c r="J76" s="734" t="s">
        <v>671</v>
      </c>
      <c r="K76" s="734" t="s">
        <v>672</v>
      </c>
      <c r="L76" s="734" t="s">
        <v>673</v>
      </c>
      <c r="M76" s="734" t="s">
        <v>674</v>
      </c>
      <c r="N76" s="734" t="s">
        <v>675</v>
      </c>
      <c r="O76" s="734" t="s">
        <v>676</v>
      </c>
      <c r="P76" s="734" t="s">
        <v>677</v>
      </c>
      <c r="Q76" s="734" t="s">
        <v>678</v>
      </c>
      <c r="R76" s="735"/>
      <c r="S76" s="735"/>
      <c r="T76" s="735"/>
      <c r="U76" s="735"/>
      <c r="V76" s="735"/>
      <c r="W76" s="735"/>
      <c r="X76" s="735"/>
      <c r="Y76" s="735"/>
      <c r="Z76" s="735"/>
      <c r="AA76" s="735"/>
      <c r="AB76" s="735"/>
      <c r="AC76" s="736"/>
    </row>
    <row r="77" spans="1:29" ht="13.5">
      <c r="A77" s="734"/>
      <c r="B77" s="734"/>
      <c r="C77" s="734"/>
      <c r="D77" s="735" t="s">
        <v>362</v>
      </c>
      <c r="E77" s="746">
        <v>-2811654.29</v>
      </c>
      <c r="F77" s="746"/>
      <c r="G77" s="849"/>
      <c r="H77" s="747"/>
      <c r="I77" s="735">
        <v>11.5</v>
      </c>
      <c r="J77" s="748">
        <f t="shared" ref="J77:J88" si="11">+I77*E77</f>
        <v>-32334024.335000001</v>
      </c>
      <c r="K77" s="748">
        <f>+I77*F77</f>
        <v>0</v>
      </c>
      <c r="L77" s="748">
        <f t="shared" ref="L77:L89" si="12">+I77*G77</f>
        <v>0</v>
      </c>
      <c r="M77" s="748">
        <f t="shared" ref="M77:M89" si="13">+I77*H77</f>
        <v>0</v>
      </c>
      <c r="N77" s="743">
        <f t="shared" ref="N77:N86" si="14">+J77/12</f>
        <v>-2694502.0279166666</v>
      </c>
      <c r="O77" s="743">
        <f t="shared" ref="O77:O85" si="15">+K77/12</f>
        <v>0</v>
      </c>
      <c r="P77" s="743">
        <f t="shared" ref="P77:P85" si="16">+L77/12</f>
        <v>0</v>
      </c>
      <c r="Q77" s="743">
        <f t="shared" ref="Q77:Q85" si="17">+M77/12</f>
        <v>0</v>
      </c>
      <c r="R77" s="735"/>
      <c r="S77" s="735"/>
      <c r="T77" s="735"/>
      <c r="U77" s="735"/>
      <c r="V77" s="735"/>
      <c r="W77" s="735"/>
      <c r="X77" s="735"/>
      <c r="Y77" s="735"/>
      <c r="Z77" s="735"/>
      <c r="AA77" s="735"/>
      <c r="AB77" s="735"/>
      <c r="AC77" s="736"/>
    </row>
    <row r="78" spans="1:29" ht="13.5">
      <c r="A78" s="734"/>
      <c r="B78" s="734"/>
      <c r="C78" s="734"/>
      <c r="D78" s="735" t="s">
        <v>363</v>
      </c>
      <c r="E78" s="746">
        <v>500069.17000000214</v>
      </c>
      <c r="F78" s="746"/>
      <c r="G78" s="849"/>
      <c r="H78" s="747"/>
      <c r="I78" s="735">
        <f t="shared" ref="I78:I88" si="18">+I77-1</f>
        <v>10.5</v>
      </c>
      <c r="J78" s="748">
        <f t="shared" si="11"/>
        <v>5250726.2850000225</v>
      </c>
      <c r="K78" s="748">
        <f t="shared" ref="K78:K88" si="19">+I78*F78</f>
        <v>0</v>
      </c>
      <c r="L78" s="748">
        <f t="shared" si="12"/>
        <v>0</v>
      </c>
      <c r="M78" s="748">
        <f t="shared" si="13"/>
        <v>0</v>
      </c>
      <c r="N78" s="743">
        <f t="shared" si="14"/>
        <v>437560.52375000186</v>
      </c>
      <c r="O78" s="743">
        <f t="shared" si="15"/>
        <v>0</v>
      </c>
      <c r="P78" s="743">
        <f t="shared" si="16"/>
        <v>0</v>
      </c>
      <c r="Q78" s="743">
        <f t="shared" si="17"/>
        <v>0</v>
      </c>
      <c r="R78" s="735"/>
      <c r="S78" s="735"/>
      <c r="T78" s="735"/>
      <c r="U78" s="735"/>
      <c r="V78" s="735"/>
      <c r="W78" s="735"/>
      <c r="X78" s="735"/>
      <c r="Y78" s="735"/>
      <c r="Z78" s="735"/>
      <c r="AA78" s="735"/>
      <c r="AB78" s="735"/>
      <c r="AC78" s="736"/>
    </row>
    <row r="79" spans="1:29" ht="13.5">
      <c r="A79" s="734"/>
      <c r="B79" s="734"/>
      <c r="C79" s="734"/>
      <c r="D79" s="735" t="s">
        <v>364</v>
      </c>
      <c r="E79" s="746">
        <v>3524838.36</v>
      </c>
      <c r="F79" s="746"/>
      <c r="G79" s="849"/>
      <c r="H79" s="747"/>
      <c r="I79" s="735">
        <f t="shared" si="18"/>
        <v>9.5</v>
      </c>
      <c r="J79" s="748">
        <f t="shared" si="11"/>
        <v>33485964.419999998</v>
      </c>
      <c r="K79" s="748">
        <f t="shared" si="19"/>
        <v>0</v>
      </c>
      <c r="L79" s="748">
        <f t="shared" si="12"/>
        <v>0</v>
      </c>
      <c r="M79" s="748">
        <f t="shared" si="13"/>
        <v>0</v>
      </c>
      <c r="N79" s="743">
        <f t="shared" si="14"/>
        <v>2790497.0349999997</v>
      </c>
      <c r="O79" s="743">
        <f t="shared" si="15"/>
        <v>0</v>
      </c>
      <c r="P79" s="743">
        <f t="shared" si="16"/>
        <v>0</v>
      </c>
      <c r="Q79" s="743">
        <f t="shared" si="17"/>
        <v>0</v>
      </c>
      <c r="R79" s="735"/>
      <c r="S79" s="735"/>
      <c r="T79" s="735"/>
      <c r="U79" s="735"/>
      <c r="V79" s="735"/>
      <c r="W79" s="735"/>
      <c r="X79" s="735"/>
      <c r="Y79" s="735"/>
      <c r="Z79" s="735"/>
      <c r="AA79" s="735"/>
      <c r="AB79" s="735"/>
      <c r="AC79" s="736"/>
    </row>
    <row r="80" spans="1:29" ht="13.5">
      <c r="A80" s="734"/>
      <c r="B80" s="734"/>
      <c r="C80" s="734"/>
      <c r="D80" s="735" t="s">
        <v>365</v>
      </c>
      <c r="E80" s="746">
        <v>10717285.450000001</v>
      </c>
      <c r="F80" s="746"/>
      <c r="G80" s="849"/>
      <c r="H80" s="747"/>
      <c r="I80" s="735">
        <f t="shared" si="18"/>
        <v>8.5</v>
      </c>
      <c r="J80" s="748">
        <f t="shared" si="11"/>
        <v>91096926.325000003</v>
      </c>
      <c r="K80" s="748">
        <f t="shared" si="19"/>
        <v>0</v>
      </c>
      <c r="L80" s="748">
        <f t="shared" si="12"/>
        <v>0</v>
      </c>
      <c r="M80" s="748">
        <f t="shared" si="13"/>
        <v>0</v>
      </c>
      <c r="N80" s="743">
        <f t="shared" si="14"/>
        <v>7591410.5270833336</v>
      </c>
      <c r="O80" s="743">
        <f t="shared" si="15"/>
        <v>0</v>
      </c>
      <c r="P80" s="743">
        <f t="shared" si="16"/>
        <v>0</v>
      </c>
      <c r="Q80" s="743">
        <f t="shared" si="17"/>
        <v>0</v>
      </c>
      <c r="R80" s="735"/>
      <c r="S80" s="735"/>
      <c r="T80" s="735"/>
      <c r="U80" s="735"/>
      <c r="V80" s="735"/>
      <c r="W80" s="735"/>
      <c r="X80" s="735"/>
      <c r="Y80" s="735"/>
      <c r="Z80" s="735"/>
      <c r="AA80" s="735"/>
      <c r="AB80" s="735"/>
      <c r="AC80" s="736"/>
    </row>
    <row r="81" spans="1:29" ht="13.5">
      <c r="A81" s="734"/>
      <c r="B81" s="734"/>
      <c r="C81" s="734"/>
      <c r="D81" s="735" t="s">
        <v>359</v>
      </c>
      <c r="E81" s="746">
        <v>16051076.370000001</v>
      </c>
      <c r="F81" s="746"/>
      <c r="G81" s="849"/>
      <c r="H81" s="747"/>
      <c r="I81" s="735">
        <f t="shared" si="18"/>
        <v>7.5</v>
      </c>
      <c r="J81" s="748">
        <f t="shared" si="11"/>
        <v>120383072.77500001</v>
      </c>
      <c r="K81" s="748">
        <f t="shared" si="19"/>
        <v>0</v>
      </c>
      <c r="L81" s="748">
        <f t="shared" si="12"/>
        <v>0</v>
      </c>
      <c r="M81" s="748">
        <f t="shared" si="13"/>
        <v>0</v>
      </c>
      <c r="N81" s="743">
        <f t="shared" si="14"/>
        <v>10031922.731250001</v>
      </c>
      <c r="O81" s="743">
        <f t="shared" si="15"/>
        <v>0</v>
      </c>
      <c r="P81" s="743">
        <f t="shared" si="16"/>
        <v>0</v>
      </c>
      <c r="Q81" s="743">
        <f t="shared" si="17"/>
        <v>0</v>
      </c>
      <c r="R81" s="735"/>
      <c r="S81" s="735"/>
      <c r="T81" s="735"/>
      <c r="U81" s="735"/>
      <c r="V81" s="735"/>
      <c r="W81" s="735"/>
      <c r="X81" s="735"/>
      <c r="Y81" s="735"/>
      <c r="Z81" s="735"/>
      <c r="AA81" s="735"/>
      <c r="AB81" s="735"/>
      <c r="AC81" s="736"/>
    </row>
    <row r="82" spans="1:29" ht="13.5">
      <c r="A82" s="734"/>
      <c r="B82" s="734"/>
      <c r="C82" s="734"/>
      <c r="D82" s="735" t="s">
        <v>366</v>
      </c>
      <c r="E82" s="746">
        <v>42868240.279999994</v>
      </c>
      <c r="F82" s="746"/>
      <c r="G82" s="849"/>
      <c r="H82" s="747"/>
      <c r="I82" s="735">
        <f t="shared" si="18"/>
        <v>6.5</v>
      </c>
      <c r="J82" s="748">
        <f t="shared" si="11"/>
        <v>278643561.81999993</v>
      </c>
      <c r="K82" s="748">
        <f t="shared" si="19"/>
        <v>0</v>
      </c>
      <c r="L82" s="748">
        <f t="shared" si="12"/>
        <v>0</v>
      </c>
      <c r="M82" s="748">
        <f t="shared" si="13"/>
        <v>0</v>
      </c>
      <c r="N82" s="743">
        <f t="shared" si="14"/>
        <v>23220296.818333328</v>
      </c>
      <c r="O82" s="743">
        <f t="shared" si="15"/>
        <v>0</v>
      </c>
      <c r="P82" s="743">
        <f t="shared" si="16"/>
        <v>0</v>
      </c>
      <c r="Q82" s="743">
        <f t="shared" si="17"/>
        <v>0</v>
      </c>
      <c r="R82" s="735"/>
      <c r="S82" s="735"/>
      <c r="T82" s="735"/>
      <c r="U82" s="735"/>
      <c r="V82" s="735"/>
      <c r="W82" s="735"/>
      <c r="X82" s="735"/>
      <c r="Y82" s="735"/>
      <c r="Z82" s="735"/>
      <c r="AA82" s="735"/>
      <c r="AB82" s="735"/>
      <c r="AC82" s="736"/>
    </row>
    <row r="83" spans="1:29" ht="13.5">
      <c r="A83" s="734"/>
      <c r="B83" s="734"/>
      <c r="C83" s="734"/>
      <c r="D83" s="735" t="s">
        <v>367</v>
      </c>
      <c r="E83" s="746">
        <v>2117986.8999999994</v>
      </c>
      <c r="F83" s="746"/>
      <c r="G83" s="849"/>
      <c r="H83" s="747"/>
      <c r="I83" s="735">
        <f t="shared" si="18"/>
        <v>5.5</v>
      </c>
      <c r="J83" s="748">
        <f t="shared" si="11"/>
        <v>11648927.949999997</v>
      </c>
      <c r="K83" s="748">
        <f t="shared" si="19"/>
        <v>0</v>
      </c>
      <c r="L83" s="748">
        <f t="shared" si="12"/>
        <v>0</v>
      </c>
      <c r="M83" s="748">
        <f t="shared" si="13"/>
        <v>0</v>
      </c>
      <c r="N83" s="743">
        <f t="shared" si="14"/>
        <v>970743.99583333312</v>
      </c>
      <c r="O83" s="743">
        <f t="shared" si="15"/>
        <v>0</v>
      </c>
      <c r="P83" s="743">
        <f t="shared" si="16"/>
        <v>0</v>
      </c>
      <c r="Q83" s="743">
        <f t="shared" si="17"/>
        <v>0</v>
      </c>
      <c r="R83" s="735"/>
      <c r="S83" s="735"/>
      <c r="T83" s="735"/>
      <c r="U83" s="735"/>
      <c r="V83" s="735"/>
      <c r="W83" s="735"/>
      <c r="X83" s="735"/>
      <c r="Y83" s="735"/>
      <c r="Z83" s="735"/>
      <c r="AA83" s="735"/>
      <c r="AB83" s="735"/>
      <c r="AC83" s="736"/>
    </row>
    <row r="84" spans="1:29" ht="13.5">
      <c r="A84" s="734"/>
      <c r="B84" s="734"/>
      <c r="C84" s="734"/>
      <c r="D84" s="735" t="s">
        <v>368</v>
      </c>
      <c r="E84" s="746">
        <v>-691310.48000000161</v>
      </c>
      <c r="F84" s="746"/>
      <c r="G84" s="849"/>
      <c r="H84" s="747"/>
      <c r="I84" s="735">
        <f t="shared" si="18"/>
        <v>4.5</v>
      </c>
      <c r="J84" s="748">
        <f t="shared" si="11"/>
        <v>-3110897.1600000071</v>
      </c>
      <c r="K84" s="748">
        <f t="shared" si="19"/>
        <v>0</v>
      </c>
      <c r="L84" s="748">
        <f t="shared" si="12"/>
        <v>0</v>
      </c>
      <c r="M84" s="748">
        <f t="shared" si="13"/>
        <v>0</v>
      </c>
      <c r="N84" s="743">
        <f t="shared" si="14"/>
        <v>-259241.4300000006</v>
      </c>
      <c r="O84" s="743">
        <f t="shared" si="15"/>
        <v>0</v>
      </c>
      <c r="P84" s="743">
        <f t="shared" si="16"/>
        <v>0</v>
      </c>
      <c r="Q84" s="743">
        <f t="shared" si="17"/>
        <v>0</v>
      </c>
      <c r="R84" s="735"/>
      <c r="S84" s="735"/>
      <c r="T84" s="735"/>
      <c r="U84" s="735"/>
      <c r="V84" s="735"/>
      <c r="W84" s="735"/>
      <c r="X84" s="735"/>
      <c r="Y84" s="735"/>
      <c r="Z84" s="735"/>
      <c r="AA84" s="735"/>
      <c r="AB84" s="735"/>
      <c r="AC84" s="736"/>
    </row>
    <row r="85" spans="1:29" ht="13.5">
      <c r="A85" s="734"/>
      <c r="B85" s="734"/>
      <c r="C85" s="734"/>
      <c r="D85" s="735" t="s">
        <v>369</v>
      </c>
      <c r="E85" s="746">
        <v>754292</v>
      </c>
      <c r="F85" s="746"/>
      <c r="G85" s="849"/>
      <c r="H85" s="747"/>
      <c r="I85" s="735">
        <f t="shared" si="18"/>
        <v>3.5</v>
      </c>
      <c r="J85" s="748">
        <f t="shared" si="11"/>
        <v>2640022</v>
      </c>
      <c r="K85" s="748">
        <f t="shared" si="19"/>
        <v>0</v>
      </c>
      <c r="L85" s="748">
        <f t="shared" si="12"/>
        <v>0</v>
      </c>
      <c r="M85" s="748">
        <f t="shared" si="13"/>
        <v>0</v>
      </c>
      <c r="N85" s="743">
        <f t="shared" si="14"/>
        <v>220001.83333333334</v>
      </c>
      <c r="O85" s="743">
        <f t="shared" si="15"/>
        <v>0</v>
      </c>
      <c r="P85" s="743">
        <f t="shared" si="16"/>
        <v>0</v>
      </c>
      <c r="Q85" s="743">
        <f t="shared" si="17"/>
        <v>0</v>
      </c>
      <c r="R85" s="735"/>
      <c r="S85" s="735"/>
      <c r="T85" s="735"/>
      <c r="U85" s="735"/>
      <c r="V85" s="735"/>
      <c r="W85" s="735"/>
      <c r="X85" s="735"/>
      <c r="Y85" s="735"/>
      <c r="Z85" s="735"/>
      <c r="AA85" s="735"/>
      <c r="AB85" s="735"/>
      <c r="AC85" s="736"/>
    </row>
    <row r="86" spans="1:29" ht="13.5">
      <c r="A86" s="734"/>
      <c r="B86" s="734"/>
      <c r="C86" s="734"/>
      <c r="D86" s="735" t="s">
        <v>370</v>
      </c>
      <c r="E86" s="746">
        <v>1676373.2300000037</v>
      </c>
      <c r="F86" s="746"/>
      <c r="G86" s="849"/>
      <c r="H86" s="747"/>
      <c r="I86" s="735">
        <f t="shared" si="18"/>
        <v>2.5</v>
      </c>
      <c r="J86" s="748">
        <f t="shared" si="11"/>
        <v>4190933.0750000095</v>
      </c>
      <c r="K86" s="748">
        <f t="shared" si="19"/>
        <v>0</v>
      </c>
      <c r="L86" s="748">
        <f t="shared" si="12"/>
        <v>0</v>
      </c>
      <c r="M86" s="748">
        <f t="shared" si="13"/>
        <v>0</v>
      </c>
      <c r="N86" s="743">
        <f t="shared" si="14"/>
        <v>349244.42291666748</v>
      </c>
      <c r="O86" s="743">
        <f>+K86/12</f>
        <v>0</v>
      </c>
      <c r="P86" s="743">
        <f>+L86/12</f>
        <v>0</v>
      </c>
      <c r="Q86" s="743">
        <f>+M86/12</f>
        <v>0</v>
      </c>
      <c r="R86" s="735"/>
      <c r="S86" s="735"/>
      <c r="T86" s="735"/>
      <c r="U86" s="735"/>
      <c r="V86" s="735"/>
      <c r="W86" s="735"/>
      <c r="X86" s="735"/>
      <c r="Y86" s="735"/>
      <c r="Z86" s="735"/>
      <c r="AA86" s="735"/>
      <c r="AB86" s="735"/>
      <c r="AC86" s="736"/>
    </row>
    <row r="87" spans="1:29" ht="13.5">
      <c r="A87" s="734"/>
      <c r="B87" s="734"/>
      <c r="C87" s="734"/>
      <c r="D87" s="735" t="s">
        <v>371</v>
      </c>
      <c r="E87" s="746">
        <v>5890965.8100000015</v>
      </c>
      <c r="F87" s="746"/>
      <c r="G87" s="849"/>
      <c r="H87" s="747"/>
      <c r="I87" s="735">
        <f t="shared" si="18"/>
        <v>1.5</v>
      </c>
      <c r="J87" s="748">
        <f t="shared" si="11"/>
        <v>8836448.7150000017</v>
      </c>
      <c r="K87" s="748">
        <f t="shared" si="19"/>
        <v>0</v>
      </c>
      <c r="L87" s="748">
        <f t="shared" si="12"/>
        <v>0</v>
      </c>
      <c r="M87" s="748">
        <f t="shared" si="13"/>
        <v>0</v>
      </c>
      <c r="N87" s="743">
        <f t="shared" ref="N87:Q88" si="20">+J87/12</f>
        <v>736370.72625000018</v>
      </c>
      <c r="O87" s="743">
        <f t="shared" si="20"/>
        <v>0</v>
      </c>
      <c r="P87" s="743">
        <f t="shared" si="20"/>
        <v>0</v>
      </c>
      <c r="Q87" s="743">
        <f t="shared" si="20"/>
        <v>0</v>
      </c>
      <c r="R87" s="735"/>
      <c r="S87" s="735"/>
      <c r="T87" s="735"/>
      <c r="U87" s="735"/>
      <c r="V87" s="735"/>
      <c r="W87" s="735"/>
      <c r="X87" s="735"/>
      <c r="Y87" s="735"/>
      <c r="Z87" s="735"/>
      <c r="AA87" s="735"/>
      <c r="AB87" s="735"/>
      <c r="AC87" s="736"/>
    </row>
    <row r="88" spans="1:29" ht="13.5">
      <c r="A88" s="734"/>
      <c r="B88" s="734"/>
      <c r="C88" s="734"/>
      <c r="D88" s="735" t="s">
        <v>372</v>
      </c>
      <c r="E88" s="746">
        <v>32617434.199999996</v>
      </c>
      <c r="F88" s="746"/>
      <c r="G88" s="849"/>
      <c r="H88" s="747"/>
      <c r="I88" s="735">
        <f t="shared" si="18"/>
        <v>0.5</v>
      </c>
      <c r="J88" s="748">
        <f t="shared" si="11"/>
        <v>16308717.099999998</v>
      </c>
      <c r="K88" s="748">
        <f t="shared" si="19"/>
        <v>0</v>
      </c>
      <c r="L88" s="748">
        <f t="shared" si="12"/>
        <v>0</v>
      </c>
      <c r="M88" s="748">
        <f t="shared" si="13"/>
        <v>0</v>
      </c>
      <c r="N88" s="743">
        <f t="shared" si="20"/>
        <v>1359059.7583333331</v>
      </c>
      <c r="O88" s="743">
        <f t="shared" si="20"/>
        <v>0</v>
      </c>
      <c r="P88" s="743">
        <f t="shared" si="20"/>
        <v>0</v>
      </c>
      <c r="Q88" s="743">
        <f t="shared" si="20"/>
        <v>0</v>
      </c>
      <c r="R88" s="735"/>
      <c r="S88" s="735"/>
      <c r="T88" s="735"/>
      <c r="U88" s="735"/>
      <c r="V88" s="735"/>
      <c r="W88" s="735"/>
      <c r="X88" s="735"/>
      <c r="Y88" s="735"/>
      <c r="Z88" s="735"/>
      <c r="AA88" s="735"/>
      <c r="AB88" s="735"/>
      <c r="AC88" s="736"/>
    </row>
    <row r="89" spans="1:29" ht="13.5">
      <c r="A89" s="734"/>
      <c r="B89" s="734"/>
      <c r="C89" s="734"/>
      <c r="D89" s="735" t="s">
        <v>181</v>
      </c>
      <c r="E89" s="748">
        <f>SUM(E77:E88)</f>
        <v>113215597</v>
      </c>
      <c r="F89" s="748">
        <f>SUM(F77:F88)</f>
        <v>0</v>
      </c>
      <c r="G89" s="748">
        <f>SUM(G77:G88)</f>
        <v>0</v>
      </c>
      <c r="H89" s="748">
        <f>SUM(H77:H88)</f>
        <v>0</v>
      </c>
      <c r="I89" s="735"/>
      <c r="J89" s="748">
        <f>SUM(J77:J88)</f>
        <v>537040378.96999991</v>
      </c>
      <c r="K89" s="748">
        <f>SUM(K77:K88)</f>
        <v>0</v>
      </c>
      <c r="L89" s="748">
        <f t="shared" si="12"/>
        <v>0</v>
      </c>
      <c r="M89" s="748">
        <f t="shared" si="13"/>
        <v>0</v>
      </c>
      <c r="N89" s="743">
        <f>SUM(N77:N88)</f>
        <v>44753364.914166667</v>
      </c>
      <c r="O89" s="743">
        <f>SUM(O77:O88)</f>
        <v>0</v>
      </c>
      <c r="P89" s="743">
        <f>SUM(P77:P88)</f>
        <v>0</v>
      </c>
      <c r="Q89" s="743">
        <f>SUM(Q77:Q88)</f>
        <v>0</v>
      </c>
      <c r="R89" s="735"/>
      <c r="S89" s="735"/>
      <c r="T89" s="735"/>
      <c r="U89" s="735"/>
      <c r="V89" s="735"/>
      <c r="W89" s="735"/>
      <c r="X89" s="735"/>
      <c r="Y89" s="735"/>
      <c r="Z89" s="735"/>
      <c r="AA89" s="735"/>
      <c r="AB89" s="735"/>
      <c r="AC89" s="736"/>
    </row>
    <row r="90" spans="1:29" ht="13.5">
      <c r="A90" s="734"/>
      <c r="B90" s="734"/>
      <c r="C90" s="734"/>
      <c r="D90" s="735" t="s">
        <v>679</v>
      </c>
      <c r="E90" s="735"/>
      <c r="G90" s="735"/>
      <c r="H90" s="735"/>
      <c r="I90" s="735"/>
      <c r="J90" s="735"/>
      <c r="N90" s="749">
        <f>+N89</f>
        <v>44753364.914166667</v>
      </c>
      <c r="O90" s="749">
        <f>+O89</f>
        <v>0</v>
      </c>
      <c r="P90" s="749">
        <f>+P89</f>
        <v>0</v>
      </c>
      <c r="Q90" s="749">
        <f>+Q89</f>
        <v>0</v>
      </c>
      <c r="R90" s="735"/>
      <c r="S90" s="735"/>
      <c r="T90" s="735"/>
      <c r="U90" s="735"/>
      <c r="V90" s="735"/>
      <c r="W90" s="735"/>
      <c r="X90" s="735"/>
      <c r="Y90" s="735"/>
      <c r="Z90" s="735"/>
      <c r="AA90" s="735"/>
      <c r="AB90" s="735"/>
      <c r="AC90" s="736"/>
    </row>
    <row r="91" spans="1:29" ht="13.5">
      <c r="A91" s="734"/>
      <c r="B91" s="734"/>
      <c r="C91" s="734"/>
      <c r="D91" s="735"/>
      <c r="E91" s="735"/>
      <c r="I91" s="735"/>
      <c r="J91" s="735"/>
      <c r="L91" s="749" t="s">
        <v>680</v>
      </c>
      <c r="M91" s="735"/>
      <c r="N91" s="748">
        <f>+N90</f>
        <v>44753364.914166667</v>
      </c>
      <c r="O91" s="748">
        <f>+O90</f>
        <v>0</v>
      </c>
      <c r="P91" s="735"/>
      <c r="Q91" s="748">
        <f>+Q90</f>
        <v>0</v>
      </c>
      <c r="R91" s="748">
        <f>+N91+Q91</f>
        <v>44753364.914166667</v>
      </c>
      <c r="S91" s="735"/>
      <c r="T91" s="735"/>
      <c r="U91" s="735"/>
      <c r="V91" s="735"/>
      <c r="W91" s="735"/>
      <c r="X91" s="735"/>
      <c r="Y91" s="735"/>
      <c r="Z91" s="735"/>
      <c r="AA91" s="735"/>
      <c r="AB91" s="735"/>
      <c r="AC91" s="736"/>
    </row>
    <row r="92" spans="1:29" ht="13.5">
      <c r="A92" s="734"/>
      <c r="B92" s="734"/>
      <c r="C92" s="734"/>
      <c r="D92" s="735"/>
      <c r="E92" s="735"/>
      <c r="G92" s="735"/>
      <c r="H92" s="735"/>
      <c r="I92" s="748"/>
      <c r="J92" s="735"/>
      <c r="L92" s="735" t="s">
        <v>681</v>
      </c>
      <c r="M92" s="735"/>
      <c r="N92" s="735"/>
      <c r="O92" s="735"/>
      <c r="P92" s="748">
        <f>+P90</f>
        <v>0</v>
      </c>
      <c r="Q92" s="735"/>
      <c r="R92" s="748">
        <f>+P92</f>
        <v>0</v>
      </c>
      <c r="S92" s="735"/>
      <c r="T92" s="735"/>
      <c r="U92" s="735"/>
      <c r="V92" s="735"/>
      <c r="W92" s="735"/>
      <c r="X92" s="735"/>
      <c r="Y92" s="735"/>
      <c r="Z92" s="735"/>
      <c r="AA92" s="735"/>
      <c r="AB92" s="735"/>
      <c r="AC92" s="736"/>
    </row>
    <row r="93" spans="1:29" ht="13.5">
      <c r="A93" s="734"/>
      <c r="B93" s="734"/>
      <c r="C93" s="734"/>
      <c r="D93" s="735"/>
      <c r="E93" s="735"/>
      <c r="G93" s="735"/>
      <c r="H93" s="735"/>
      <c r="I93" s="748"/>
      <c r="J93" s="735"/>
      <c r="L93" s="735" t="s">
        <v>682</v>
      </c>
      <c r="M93" s="735"/>
      <c r="N93" s="750">
        <f>12-N91/E89*12</f>
        <v>7.2564806157406032</v>
      </c>
      <c r="O93" s="750" t="e">
        <f>12-O91/F89*12</f>
        <v>#DIV/0!</v>
      </c>
      <c r="P93" s="750" t="e">
        <f>12-P90/G89*12</f>
        <v>#DIV/0!</v>
      </c>
      <c r="Q93" s="750" t="e">
        <f>12-Q91/H89*12</f>
        <v>#DIV/0!</v>
      </c>
      <c r="R93" s="748"/>
      <c r="S93" s="735"/>
      <c r="T93" s="735"/>
      <c r="U93" s="735"/>
      <c r="V93" s="735"/>
      <c r="W93" s="735"/>
      <c r="X93" s="735"/>
      <c r="Y93" s="735"/>
      <c r="Z93" s="735"/>
      <c r="AA93" s="735"/>
      <c r="AB93" s="735"/>
      <c r="AC93" s="736"/>
    </row>
    <row r="94" spans="1:29" ht="13.5">
      <c r="A94" s="734"/>
      <c r="B94" s="734"/>
      <c r="C94" s="734"/>
      <c r="D94" s="844">
        <v>134801090.64950523</v>
      </c>
      <c r="E94" s="756" t="s">
        <v>624</v>
      </c>
      <c r="F94" s="735"/>
      <c r="G94" s="744" t="s">
        <v>550</v>
      </c>
      <c r="H94" s="764"/>
      <c r="I94" s="765"/>
      <c r="J94" s="765"/>
      <c r="K94" s="765"/>
      <c r="L94" s="735"/>
      <c r="M94" s="735"/>
      <c r="N94" s="735"/>
      <c r="O94" s="735"/>
      <c r="P94" s="735"/>
      <c r="Q94" s="735"/>
      <c r="R94" s="735"/>
      <c r="S94" s="735"/>
      <c r="T94" s="735"/>
      <c r="U94" s="735"/>
      <c r="V94" s="735"/>
      <c r="W94" s="735"/>
      <c r="X94" s="735"/>
      <c r="Y94" s="735"/>
      <c r="Z94" s="735"/>
      <c r="AA94" s="735"/>
      <c r="AB94" s="735"/>
      <c r="AC94" s="736"/>
    </row>
    <row r="95" spans="1:29" ht="13.5">
      <c r="B95" s="734"/>
      <c r="C95" s="734"/>
      <c r="E95" s="735" t="s">
        <v>459</v>
      </c>
      <c r="F95" s="735"/>
      <c r="G95" s="761"/>
      <c r="H95" s="766"/>
      <c r="I95" s="761"/>
      <c r="J95" s="735"/>
      <c r="K95" s="735"/>
      <c r="L95" s="735"/>
      <c r="M95" s="735"/>
      <c r="N95" s="735"/>
      <c r="O95" s="735"/>
      <c r="P95" s="735"/>
      <c r="Q95" s="735"/>
      <c r="R95" s="735"/>
      <c r="S95" s="735"/>
      <c r="T95" s="735"/>
      <c r="U95" s="735"/>
      <c r="V95" s="735"/>
      <c r="W95" s="735"/>
      <c r="X95" s="735"/>
      <c r="Y95" s="735"/>
      <c r="Z95" s="735"/>
      <c r="AA95" s="735"/>
      <c r="AB95" s="735"/>
      <c r="AC95" s="736"/>
    </row>
    <row r="96" spans="1:29" ht="13.5">
      <c r="A96" s="734"/>
      <c r="B96" s="734"/>
      <c r="C96" s="734"/>
      <c r="D96" s="756"/>
      <c r="E96" s="735"/>
      <c r="F96" s="735"/>
      <c r="G96" s="761"/>
      <c r="H96" s="766"/>
      <c r="I96" s="761"/>
      <c r="J96" s="735"/>
      <c r="K96" s="735"/>
      <c r="L96" s="735"/>
      <c r="M96" s="735"/>
      <c r="N96" s="735"/>
      <c r="O96" s="735"/>
      <c r="P96" s="735"/>
      <c r="Q96" s="735"/>
      <c r="R96" s="735"/>
      <c r="S96" s="735"/>
      <c r="T96" s="735"/>
      <c r="U96" s="735"/>
      <c r="V96" s="735"/>
      <c r="W96" s="735"/>
      <c r="X96" s="735"/>
      <c r="Y96" s="735"/>
      <c r="Z96" s="735"/>
      <c r="AA96" s="735"/>
      <c r="AB96" s="735"/>
      <c r="AC96" s="736"/>
    </row>
    <row r="97" spans="1:29" ht="13.5">
      <c r="A97" s="734">
        <v>8</v>
      </c>
      <c r="B97" s="734" t="str">
        <f>+B18</f>
        <v>April</v>
      </c>
      <c r="C97" s="734" t="str">
        <f>+C18</f>
        <v>Year 3</v>
      </c>
      <c r="D97" s="739" t="str">
        <f>+D18</f>
        <v>TO estimates Cap Adds and CWIP during Year 3 weighted based on Months expected to be in service in Year 3 (e.g., 2006)</v>
      </c>
      <c r="E97" s="735"/>
      <c r="F97" s="735"/>
      <c r="G97" s="735"/>
      <c r="H97" s="735"/>
      <c r="I97" s="735"/>
      <c r="K97" s="735"/>
      <c r="L97" s="735"/>
      <c r="M97" s="735"/>
      <c r="N97" s="735"/>
      <c r="O97" s="735"/>
      <c r="P97" s="735"/>
      <c r="Q97" s="735"/>
      <c r="R97" s="735"/>
      <c r="S97" s="735"/>
      <c r="T97" s="735"/>
      <c r="U97" s="735"/>
      <c r="V97" s="735"/>
      <c r="W97" s="735"/>
      <c r="X97" s="735"/>
      <c r="Y97" s="735"/>
      <c r="Z97" s="735"/>
      <c r="AA97" s="735"/>
      <c r="AB97" s="735"/>
      <c r="AC97" s="736"/>
    </row>
    <row r="98" spans="1:29" ht="13.5">
      <c r="A98" s="734"/>
      <c r="B98" s="734"/>
      <c r="C98" s="734"/>
      <c r="D98" s="739"/>
      <c r="E98" s="735"/>
      <c r="F98" s="735"/>
      <c r="G98" s="735"/>
      <c r="H98" s="735"/>
      <c r="I98" s="735"/>
      <c r="K98" s="735"/>
      <c r="L98" s="735"/>
      <c r="M98" s="735"/>
      <c r="N98" s="735"/>
      <c r="O98" s="735"/>
      <c r="P98" s="735"/>
      <c r="Q98" s="735"/>
      <c r="R98" s="735"/>
      <c r="S98" s="735"/>
      <c r="T98" s="735"/>
      <c r="U98" s="735"/>
      <c r="V98" s="735"/>
      <c r="W98" s="735"/>
      <c r="X98" s="735"/>
      <c r="Y98" s="735"/>
      <c r="Z98" s="735"/>
      <c r="AA98" s="735"/>
      <c r="AB98" s="735"/>
      <c r="AC98" s="736"/>
    </row>
    <row r="99" spans="1:29" ht="13.5">
      <c r="A99" s="734"/>
      <c r="B99" s="734"/>
      <c r="C99" s="734"/>
      <c r="E99" s="745" t="s">
        <v>654</v>
      </c>
      <c r="F99" s="745" t="s">
        <v>655</v>
      </c>
      <c r="G99" s="745" t="s">
        <v>656</v>
      </c>
      <c r="H99" s="745" t="s">
        <v>657</v>
      </c>
      <c r="I99" s="745" t="s">
        <v>658</v>
      </c>
      <c r="J99" s="745" t="s">
        <v>659</v>
      </c>
      <c r="K99" s="745" t="s">
        <v>660</v>
      </c>
      <c r="L99" s="745" t="s">
        <v>661</v>
      </c>
      <c r="M99" s="745" t="s">
        <v>662</v>
      </c>
      <c r="N99" s="745" t="s">
        <v>663</v>
      </c>
      <c r="O99" s="734" t="s">
        <v>664</v>
      </c>
      <c r="P99" s="734" t="s">
        <v>665</v>
      </c>
      <c r="Q99" s="734" t="s">
        <v>666</v>
      </c>
      <c r="R99" s="735"/>
      <c r="S99" s="735"/>
      <c r="T99" s="735"/>
      <c r="U99" s="735"/>
      <c r="V99" s="735"/>
      <c r="W99" s="735"/>
      <c r="X99" s="735"/>
      <c r="Y99" s="735"/>
      <c r="Z99" s="735"/>
      <c r="AA99" s="735"/>
      <c r="AB99" s="735"/>
      <c r="AC99" s="736"/>
    </row>
    <row r="100" spans="1:29" ht="13.5">
      <c r="A100" s="734"/>
      <c r="B100" s="734"/>
      <c r="C100" s="734"/>
      <c r="E100" s="734" t="s">
        <v>667</v>
      </c>
      <c r="F100" s="734" t="s">
        <v>667</v>
      </c>
      <c r="G100" s="734" t="s">
        <v>667</v>
      </c>
      <c r="H100" s="734" t="s">
        <v>667</v>
      </c>
      <c r="J100" s="734" t="str">
        <f>+E101</f>
        <v>Other Plant In Service</v>
      </c>
      <c r="K100" s="734" t="str">
        <f>+F101</f>
        <v>Other Plant In Service</v>
      </c>
      <c r="L100" s="734" t="str">
        <f>+G101</f>
        <v>MAPP CWIP</v>
      </c>
      <c r="M100" s="734" t="str">
        <f>+H101</f>
        <v>MAPP In Service</v>
      </c>
      <c r="N100" s="734" t="str">
        <f>+E101</f>
        <v>Other Plant In Service</v>
      </c>
      <c r="O100" s="734" t="str">
        <f>+F101</f>
        <v>Other Plant In Service</v>
      </c>
      <c r="P100" s="734" t="str">
        <f>+G101</f>
        <v>MAPP CWIP</v>
      </c>
      <c r="Q100" s="734" t="str">
        <f>+H101</f>
        <v>MAPP In Service</v>
      </c>
      <c r="R100" s="735"/>
      <c r="S100" s="735"/>
      <c r="T100" s="735"/>
      <c r="U100" s="735"/>
      <c r="V100" s="735"/>
      <c r="W100" s="735"/>
      <c r="X100" s="735"/>
      <c r="Y100" s="735"/>
      <c r="Z100" s="735"/>
      <c r="AA100" s="735"/>
      <c r="AB100" s="735"/>
      <c r="AC100" s="736"/>
    </row>
    <row r="101" spans="1:29" ht="13.5">
      <c r="A101" s="734"/>
      <c r="B101" s="734"/>
      <c r="C101" s="734"/>
      <c r="D101" s="735"/>
      <c r="E101" s="734" t="s">
        <v>668</v>
      </c>
      <c r="F101" s="734" t="s">
        <v>668</v>
      </c>
      <c r="G101" s="734" t="s">
        <v>669</v>
      </c>
      <c r="H101" s="734" t="s">
        <v>670</v>
      </c>
      <c r="I101" s="734" t="s">
        <v>361</v>
      </c>
      <c r="J101" s="734" t="s">
        <v>671</v>
      </c>
      <c r="K101" s="734" t="s">
        <v>672</v>
      </c>
      <c r="L101" s="734" t="s">
        <v>673</v>
      </c>
      <c r="M101" s="734" t="s">
        <v>674</v>
      </c>
      <c r="N101" s="734" t="s">
        <v>675</v>
      </c>
      <c r="O101" s="734" t="s">
        <v>676</v>
      </c>
      <c r="P101" s="734" t="s">
        <v>677</v>
      </c>
      <c r="Q101" s="734" t="s">
        <v>678</v>
      </c>
      <c r="R101" s="735"/>
      <c r="S101" s="735"/>
      <c r="T101" s="735"/>
      <c r="U101" s="735"/>
      <c r="V101" s="845"/>
      <c r="W101" s="845"/>
      <c r="X101" s="735"/>
      <c r="Y101" s="735"/>
      <c r="Z101" s="735"/>
      <c r="AA101" s="735"/>
      <c r="AB101" s="735"/>
      <c r="AC101" s="736"/>
    </row>
    <row r="102" spans="1:29" ht="13.5">
      <c r="A102" s="734"/>
      <c r="B102" s="734"/>
      <c r="C102" s="734"/>
      <c r="D102" s="735" t="s">
        <v>362</v>
      </c>
      <c r="E102" s="478"/>
      <c r="F102" s="746"/>
      <c r="G102" s="849">
        <v>0</v>
      </c>
      <c r="H102" s="747"/>
      <c r="I102" s="735">
        <v>11.5</v>
      </c>
      <c r="J102" s="748">
        <f t="shared" ref="J102:J113" si="21">+I102*E102</f>
        <v>0</v>
      </c>
      <c r="K102" s="748">
        <f>+I102*F102</f>
        <v>0</v>
      </c>
      <c r="L102" s="748">
        <f t="shared" ref="L102:L115" si="22">+I102*G102</f>
        <v>0</v>
      </c>
      <c r="M102" s="748">
        <f t="shared" ref="M102:M114" si="23">+I102*H102</f>
        <v>0</v>
      </c>
      <c r="N102" s="743">
        <f t="shared" ref="N102:N111" si="24">+J102/12</f>
        <v>0</v>
      </c>
      <c r="O102" s="743">
        <f t="shared" ref="O102:O110" si="25">+K102/12</f>
        <v>0</v>
      </c>
      <c r="P102" s="743">
        <f t="shared" ref="P102:P110" si="26">+L102/12</f>
        <v>0</v>
      </c>
      <c r="Q102" s="743">
        <f t="shared" ref="Q102:Q110" si="27">+M102/12</f>
        <v>0</v>
      </c>
      <c r="R102" s="735"/>
      <c r="S102" s="735"/>
      <c r="T102" s="735"/>
      <c r="U102" s="735"/>
      <c r="V102" s="845"/>
      <c r="W102" s="845"/>
      <c r="X102" s="735"/>
      <c r="Y102" s="735"/>
      <c r="Z102" s="735"/>
      <c r="AA102" s="735"/>
      <c r="AB102" s="735"/>
      <c r="AC102" s="736"/>
    </row>
    <row r="103" spans="1:29" ht="13.5">
      <c r="A103" s="734"/>
      <c r="B103" s="734"/>
      <c r="C103" s="734"/>
      <c r="D103" s="735" t="s">
        <v>363</v>
      </c>
      <c r="E103" s="478"/>
      <c r="F103" s="746"/>
      <c r="G103" s="849"/>
      <c r="H103" s="747"/>
      <c r="I103" s="735">
        <f t="shared" ref="I103:I113" si="28">+I102-1</f>
        <v>10.5</v>
      </c>
      <c r="J103" s="748">
        <f t="shared" si="21"/>
        <v>0</v>
      </c>
      <c r="K103" s="748">
        <f t="shared" ref="K103:K113" si="29">+I103*F103</f>
        <v>0</v>
      </c>
      <c r="L103" s="748">
        <f t="shared" si="22"/>
        <v>0</v>
      </c>
      <c r="M103" s="748">
        <f t="shared" si="23"/>
        <v>0</v>
      </c>
      <c r="N103" s="743">
        <f t="shared" si="24"/>
        <v>0</v>
      </c>
      <c r="O103" s="743">
        <f t="shared" si="25"/>
        <v>0</v>
      </c>
      <c r="P103" s="743">
        <f t="shared" si="26"/>
        <v>0</v>
      </c>
      <c r="Q103" s="743">
        <f t="shared" si="27"/>
        <v>0</v>
      </c>
      <c r="R103" s="735"/>
      <c r="S103" s="735"/>
      <c r="T103" s="735"/>
      <c r="U103" s="735"/>
      <c r="V103" s="845"/>
      <c r="W103" s="845"/>
      <c r="X103" s="735"/>
      <c r="Y103" s="735"/>
      <c r="Z103" s="735"/>
      <c r="AA103" s="735"/>
      <c r="AB103" s="735"/>
      <c r="AC103" s="736"/>
    </row>
    <row r="104" spans="1:29" ht="13.5">
      <c r="A104" s="734"/>
      <c r="B104" s="734"/>
      <c r="C104" s="734"/>
      <c r="D104" s="735" t="s">
        <v>364</v>
      </c>
      <c r="E104" s="478"/>
      <c r="F104" s="746"/>
      <c r="G104" s="849">
        <v>0</v>
      </c>
      <c r="H104" s="747"/>
      <c r="I104" s="735">
        <f t="shared" si="28"/>
        <v>9.5</v>
      </c>
      <c r="J104" s="748">
        <f t="shared" si="21"/>
        <v>0</v>
      </c>
      <c r="K104" s="748">
        <f t="shared" si="29"/>
        <v>0</v>
      </c>
      <c r="L104" s="748">
        <f t="shared" si="22"/>
        <v>0</v>
      </c>
      <c r="M104" s="748">
        <f t="shared" si="23"/>
        <v>0</v>
      </c>
      <c r="N104" s="743">
        <f t="shared" si="24"/>
        <v>0</v>
      </c>
      <c r="O104" s="743">
        <f t="shared" si="25"/>
        <v>0</v>
      </c>
      <c r="P104" s="743">
        <f t="shared" si="26"/>
        <v>0</v>
      </c>
      <c r="Q104" s="743">
        <f t="shared" si="27"/>
        <v>0</v>
      </c>
      <c r="R104" s="735"/>
      <c r="S104" s="735"/>
      <c r="T104" s="735"/>
      <c r="U104" s="735"/>
      <c r="V104" s="845"/>
      <c r="W104" s="845"/>
      <c r="X104" s="735"/>
      <c r="Y104" s="735"/>
      <c r="Z104" s="735"/>
      <c r="AA104" s="735"/>
      <c r="AB104" s="735"/>
      <c r="AC104" s="736"/>
    </row>
    <row r="105" spans="1:29" ht="13.5">
      <c r="A105" s="734"/>
      <c r="B105" s="734"/>
      <c r="C105" s="734"/>
      <c r="D105" s="735" t="s">
        <v>365</v>
      </c>
      <c r="E105" s="478"/>
      <c r="F105" s="746"/>
      <c r="G105" s="849"/>
      <c r="H105" s="747"/>
      <c r="I105" s="735">
        <f t="shared" si="28"/>
        <v>8.5</v>
      </c>
      <c r="J105" s="748">
        <f t="shared" si="21"/>
        <v>0</v>
      </c>
      <c r="K105" s="748">
        <f t="shared" si="29"/>
        <v>0</v>
      </c>
      <c r="L105" s="748">
        <f t="shared" si="22"/>
        <v>0</v>
      </c>
      <c r="M105" s="748">
        <f t="shared" si="23"/>
        <v>0</v>
      </c>
      <c r="N105" s="743">
        <f t="shared" si="24"/>
        <v>0</v>
      </c>
      <c r="O105" s="743">
        <f t="shared" si="25"/>
        <v>0</v>
      </c>
      <c r="P105" s="743">
        <f t="shared" si="26"/>
        <v>0</v>
      </c>
      <c r="Q105" s="743">
        <f t="shared" si="27"/>
        <v>0</v>
      </c>
      <c r="R105" s="735"/>
      <c r="S105" s="735"/>
      <c r="T105" s="735"/>
      <c r="U105" s="735"/>
      <c r="V105" s="845"/>
      <c r="W105" s="845"/>
      <c r="X105" s="735"/>
      <c r="Y105" s="735"/>
      <c r="Z105" s="735"/>
      <c r="AA105" s="735"/>
      <c r="AB105" s="735"/>
      <c r="AC105" s="736"/>
    </row>
    <row r="106" spans="1:29" ht="13.5">
      <c r="A106" s="734"/>
      <c r="B106" s="734"/>
      <c r="C106" s="734"/>
      <c r="D106" s="735" t="s">
        <v>359</v>
      </c>
      <c r="E106" s="478"/>
      <c r="F106" s="746"/>
      <c r="G106" s="849"/>
      <c r="H106" s="747"/>
      <c r="I106" s="735">
        <f t="shared" si="28"/>
        <v>7.5</v>
      </c>
      <c r="J106" s="748">
        <f t="shared" si="21"/>
        <v>0</v>
      </c>
      <c r="K106" s="748">
        <f t="shared" si="29"/>
        <v>0</v>
      </c>
      <c r="L106" s="748">
        <f t="shared" si="22"/>
        <v>0</v>
      </c>
      <c r="M106" s="748">
        <f t="shared" si="23"/>
        <v>0</v>
      </c>
      <c r="N106" s="743">
        <f t="shared" si="24"/>
        <v>0</v>
      </c>
      <c r="O106" s="743">
        <f t="shared" si="25"/>
        <v>0</v>
      </c>
      <c r="P106" s="743">
        <f t="shared" si="26"/>
        <v>0</v>
      </c>
      <c r="Q106" s="743">
        <f t="shared" si="27"/>
        <v>0</v>
      </c>
      <c r="R106" s="735"/>
      <c r="S106" s="735"/>
      <c r="T106" s="735"/>
      <c r="U106" s="735"/>
      <c r="V106" s="845"/>
      <c r="W106" s="845"/>
      <c r="X106" s="735"/>
      <c r="Y106" s="735"/>
      <c r="Z106" s="735"/>
      <c r="AA106" s="735"/>
      <c r="AB106" s="735"/>
      <c r="AC106" s="736"/>
    </row>
    <row r="107" spans="1:29" ht="13.5">
      <c r="A107" s="734"/>
      <c r="B107" s="734"/>
      <c r="C107" s="734"/>
      <c r="D107" s="735" t="s">
        <v>366</v>
      </c>
      <c r="E107" s="478"/>
      <c r="F107" s="746"/>
      <c r="G107" s="849"/>
      <c r="H107" s="747"/>
      <c r="I107" s="735">
        <f t="shared" si="28"/>
        <v>6.5</v>
      </c>
      <c r="J107" s="748">
        <f t="shared" si="21"/>
        <v>0</v>
      </c>
      <c r="K107" s="748">
        <f t="shared" si="29"/>
        <v>0</v>
      </c>
      <c r="L107" s="748">
        <f t="shared" si="22"/>
        <v>0</v>
      </c>
      <c r="M107" s="748">
        <f t="shared" si="23"/>
        <v>0</v>
      </c>
      <c r="N107" s="743">
        <f t="shared" si="24"/>
        <v>0</v>
      </c>
      <c r="O107" s="743">
        <f t="shared" si="25"/>
        <v>0</v>
      </c>
      <c r="P107" s="743">
        <f t="shared" si="26"/>
        <v>0</v>
      </c>
      <c r="Q107" s="743">
        <f t="shared" si="27"/>
        <v>0</v>
      </c>
      <c r="R107" s="735"/>
      <c r="S107" s="735"/>
      <c r="T107" s="735"/>
      <c r="U107" s="735"/>
      <c r="V107" s="845"/>
      <c r="W107" s="845"/>
      <c r="X107" s="735"/>
      <c r="Y107" s="735"/>
      <c r="Z107" s="735"/>
      <c r="AA107" s="735"/>
      <c r="AB107" s="735"/>
      <c r="AC107" s="736"/>
    </row>
    <row r="108" spans="1:29" ht="13.5">
      <c r="A108" s="734"/>
      <c r="B108" s="734"/>
      <c r="C108" s="734"/>
      <c r="D108" s="735" t="s">
        <v>367</v>
      </c>
      <c r="E108" s="478"/>
      <c r="F108" s="746"/>
      <c r="G108" s="849"/>
      <c r="H108" s="747"/>
      <c r="I108" s="735">
        <f t="shared" si="28"/>
        <v>5.5</v>
      </c>
      <c r="J108" s="748">
        <f t="shared" si="21"/>
        <v>0</v>
      </c>
      <c r="K108" s="748">
        <f t="shared" si="29"/>
        <v>0</v>
      </c>
      <c r="L108" s="748">
        <f t="shared" si="22"/>
        <v>0</v>
      </c>
      <c r="M108" s="748">
        <f t="shared" si="23"/>
        <v>0</v>
      </c>
      <c r="N108" s="743">
        <f t="shared" si="24"/>
        <v>0</v>
      </c>
      <c r="O108" s="743">
        <f t="shared" si="25"/>
        <v>0</v>
      </c>
      <c r="P108" s="743">
        <f t="shared" si="26"/>
        <v>0</v>
      </c>
      <c r="Q108" s="743">
        <f t="shared" si="27"/>
        <v>0</v>
      </c>
      <c r="R108" s="735"/>
      <c r="S108" s="735"/>
      <c r="T108" s="735"/>
      <c r="U108" s="735"/>
      <c r="V108" s="845"/>
      <c r="W108" s="845"/>
      <c r="X108" s="735"/>
      <c r="Y108" s="735"/>
      <c r="Z108" s="735"/>
      <c r="AA108" s="735"/>
      <c r="AB108" s="735"/>
      <c r="AC108" s="736"/>
    </row>
    <row r="109" spans="1:29" ht="13.5">
      <c r="A109" s="734"/>
      <c r="B109" s="734"/>
      <c r="C109" s="734"/>
      <c r="D109" s="735" t="s">
        <v>368</v>
      </c>
      <c r="E109" s="478"/>
      <c r="F109" s="746"/>
      <c r="G109" s="849"/>
      <c r="H109" s="747"/>
      <c r="I109" s="735">
        <f t="shared" si="28"/>
        <v>4.5</v>
      </c>
      <c r="J109" s="748">
        <f t="shared" si="21"/>
        <v>0</v>
      </c>
      <c r="K109" s="748">
        <f t="shared" si="29"/>
        <v>0</v>
      </c>
      <c r="L109" s="748">
        <f t="shared" si="22"/>
        <v>0</v>
      </c>
      <c r="M109" s="748">
        <f t="shared" si="23"/>
        <v>0</v>
      </c>
      <c r="N109" s="743">
        <f t="shared" si="24"/>
        <v>0</v>
      </c>
      <c r="O109" s="743">
        <f t="shared" si="25"/>
        <v>0</v>
      </c>
      <c r="P109" s="743">
        <f t="shared" si="26"/>
        <v>0</v>
      </c>
      <c r="Q109" s="743">
        <f t="shared" si="27"/>
        <v>0</v>
      </c>
      <c r="R109" s="735"/>
      <c r="S109" s="735"/>
      <c r="T109" s="735"/>
      <c r="U109" s="735"/>
      <c r="V109" s="845"/>
      <c r="W109" s="845"/>
      <c r="X109" s="735"/>
      <c r="Y109" s="735"/>
      <c r="Z109" s="735"/>
      <c r="AA109" s="735"/>
      <c r="AB109" s="735"/>
      <c r="AC109" s="736"/>
    </row>
    <row r="110" spans="1:29" ht="13.5">
      <c r="A110" s="734"/>
      <c r="B110" s="734"/>
      <c r="C110" s="734"/>
      <c r="D110" s="735" t="s">
        <v>369</v>
      </c>
      <c r="E110" s="478"/>
      <c r="F110" s="746"/>
      <c r="G110" s="849"/>
      <c r="H110" s="747"/>
      <c r="I110" s="735">
        <f t="shared" si="28"/>
        <v>3.5</v>
      </c>
      <c r="J110" s="748">
        <f t="shared" si="21"/>
        <v>0</v>
      </c>
      <c r="K110" s="748">
        <f t="shared" si="29"/>
        <v>0</v>
      </c>
      <c r="L110" s="748">
        <f t="shared" si="22"/>
        <v>0</v>
      </c>
      <c r="M110" s="748">
        <f t="shared" si="23"/>
        <v>0</v>
      </c>
      <c r="N110" s="743">
        <f t="shared" si="24"/>
        <v>0</v>
      </c>
      <c r="O110" s="743">
        <f t="shared" si="25"/>
        <v>0</v>
      </c>
      <c r="P110" s="743">
        <f t="shared" si="26"/>
        <v>0</v>
      </c>
      <c r="Q110" s="743">
        <f t="shared" si="27"/>
        <v>0</v>
      </c>
      <c r="R110" s="735"/>
      <c r="S110" s="735"/>
      <c r="T110" s="735"/>
      <c r="U110" s="735"/>
      <c r="V110" s="845"/>
      <c r="W110" s="845"/>
      <c r="X110" s="735"/>
      <c r="Y110" s="735"/>
      <c r="Z110" s="735"/>
      <c r="AA110" s="735"/>
      <c r="AB110" s="735"/>
      <c r="AC110" s="736"/>
    </row>
    <row r="111" spans="1:29" ht="13.5">
      <c r="A111" s="734"/>
      <c r="B111" s="734"/>
      <c r="C111" s="734"/>
      <c r="D111" s="735" t="s">
        <v>370</v>
      </c>
      <c r="E111" s="478"/>
      <c r="F111" s="746"/>
      <c r="G111" s="849"/>
      <c r="H111" s="747"/>
      <c r="I111" s="735">
        <f t="shared" si="28"/>
        <v>2.5</v>
      </c>
      <c r="J111" s="748">
        <f t="shared" si="21"/>
        <v>0</v>
      </c>
      <c r="K111" s="748">
        <f t="shared" si="29"/>
        <v>0</v>
      </c>
      <c r="L111" s="748">
        <f t="shared" si="22"/>
        <v>0</v>
      </c>
      <c r="M111" s="748">
        <f t="shared" si="23"/>
        <v>0</v>
      </c>
      <c r="N111" s="743">
        <f t="shared" si="24"/>
        <v>0</v>
      </c>
      <c r="O111" s="743">
        <f>+K111/12</f>
        <v>0</v>
      </c>
      <c r="P111" s="743">
        <f>+L111/12</f>
        <v>0</v>
      </c>
      <c r="Q111" s="743">
        <f>+M111/12</f>
        <v>0</v>
      </c>
      <c r="R111" s="735"/>
      <c r="S111" s="735"/>
      <c r="T111" s="735"/>
      <c r="U111" s="735"/>
      <c r="V111" s="845"/>
      <c r="W111" s="845"/>
      <c r="X111" s="735"/>
      <c r="Y111" s="735"/>
      <c r="Z111" s="735"/>
      <c r="AA111" s="735"/>
      <c r="AB111" s="735"/>
      <c r="AC111" s="736"/>
    </row>
    <row r="112" spans="1:29" ht="13.5">
      <c r="A112" s="734"/>
      <c r="B112" s="734"/>
      <c r="C112" s="734"/>
      <c r="D112" s="735" t="s">
        <v>371</v>
      </c>
      <c r="E112" s="478"/>
      <c r="F112" s="746"/>
      <c r="G112" s="849"/>
      <c r="H112" s="747"/>
      <c r="I112" s="735">
        <f t="shared" si="28"/>
        <v>1.5</v>
      </c>
      <c r="J112" s="748">
        <f t="shared" si="21"/>
        <v>0</v>
      </c>
      <c r="K112" s="748">
        <f t="shared" si="29"/>
        <v>0</v>
      </c>
      <c r="L112" s="748">
        <f t="shared" si="22"/>
        <v>0</v>
      </c>
      <c r="M112" s="748">
        <f t="shared" si="23"/>
        <v>0</v>
      </c>
      <c r="N112" s="743">
        <f t="shared" ref="N112:Q113" si="30">+J112/12</f>
        <v>0</v>
      </c>
      <c r="O112" s="743">
        <f t="shared" si="30"/>
        <v>0</v>
      </c>
      <c r="P112" s="743">
        <f t="shared" si="30"/>
        <v>0</v>
      </c>
      <c r="Q112" s="743">
        <f t="shared" si="30"/>
        <v>0</v>
      </c>
      <c r="R112" s="735"/>
      <c r="S112" s="735"/>
      <c r="T112" s="735"/>
      <c r="U112" s="735"/>
      <c r="V112" s="845"/>
      <c r="W112" s="845"/>
      <c r="X112" s="735"/>
      <c r="Y112" s="735"/>
      <c r="Z112" s="735"/>
      <c r="AA112" s="735"/>
      <c r="AB112" s="735"/>
      <c r="AC112" s="736"/>
    </row>
    <row r="113" spans="1:29" ht="13.5">
      <c r="A113" s="734"/>
      <c r="B113" s="734"/>
      <c r="C113" s="734"/>
      <c r="D113" s="735" t="s">
        <v>372</v>
      </c>
      <c r="E113" s="478">
        <v>0</v>
      </c>
      <c r="F113" s="746"/>
      <c r="G113" s="849"/>
      <c r="H113" s="747"/>
      <c r="I113" s="735">
        <f t="shared" si="28"/>
        <v>0.5</v>
      </c>
      <c r="J113" s="748">
        <f t="shared" si="21"/>
        <v>0</v>
      </c>
      <c r="K113" s="748">
        <f t="shared" si="29"/>
        <v>0</v>
      </c>
      <c r="L113" s="748">
        <f t="shared" si="22"/>
        <v>0</v>
      </c>
      <c r="M113" s="748">
        <f t="shared" si="23"/>
        <v>0</v>
      </c>
      <c r="N113" s="743">
        <f t="shared" si="30"/>
        <v>0</v>
      </c>
      <c r="O113" s="743">
        <f t="shared" si="30"/>
        <v>0</v>
      </c>
      <c r="P113" s="743">
        <f t="shared" si="30"/>
        <v>0</v>
      </c>
      <c r="Q113" s="743">
        <f t="shared" si="30"/>
        <v>0</v>
      </c>
      <c r="R113" s="735"/>
      <c r="S113" s="735"/>
      <c r="T113" s="735"/>
      <c r="U113" s="735"/>
      <c r="V113" s="845"/>
      <c r="W113" s="845"/>
      <c r="X113" s="735"/>
      <c r="Y113" s="735"/>
      <c r="Z113" s="735"/>
      <c r="AA113" s="735"/>
      <c r="AB113" s="735"/>
      <c r="AC113" s="736"/>
    </row>
    <row r="114" spans="1:29" ht="13.5">
      <c r="A114" s="734"/>
      <c r="B114" s="734"/>
      <c r="C114" s="734"/>
      <c r="D114" s="735" t="s">
        <v>181</v>
      </c>
      <c r="E114" s="748">
        <f>SUM(E102:E113)</f>
        <v>0</v>
      </c>
      <c r="F114" s="748">
        <f>SUM(F102:F113)</f>
        <v>0</v>
      </c>
      <c r="G114" s="748">
        <f>SUM(G102:G113)</f>
        <v>0</v>
      </c>
      <c r="H114" s="748">
        <f>SUM(H102:H113)</f>
        <v>0</v>
      </c>
      <c r="I114" s="735"/>
      <c r="J114" s="748">
        <f>SUM(J102:J113)</f>
        <v>0</v>
      </c>
      <c r="K114" s="748">
        <f>SUM(K102:K113)</f>
        <v>0</v>
      </c>
      <c r="L114" s="748">
        <f t="shared" si="22"/>
        <v>0</v>
      </c>
      <c r="M114" s="748">
        <f t="shared" si="23"/>
        <v>0</v>
      </c>
      <c r="N114" s="743">
        <f>SUM(N102:N113)</f>
        <v>0</v>
      </c>
      <c r="O114" s="743">
        <f>SUM(O102:O113)</f>
        <v>0</v>
      </c>
      <c r="P114" s="743">
        <f>SUM(P102:P113)</f>
        <v>0</v>
      </c>
      <c r="Q114" s="743">
        <f>SUM(Q102:Q113)</f>
        <v>0</v>
      </c>
      <c r="R114" s="735"/>
      <c r="S114" s="735"/>
      <c r="T114" s="735"/>
      <c r="U114" s="735"/>
      <c r="V114" s="735"/>
      <c r="W114" s="735"/>
      <c r="X114" s="735"/>
      <c r="Y114" s="735"/>
      <c r="Z114" s="735"/>
      <c r="AA114" s="735"/>
      <c r="AB114" s="735"/>
      <c r="AC114" s="736"/>
    </row>
    <row r="115" spans="1:29" ht="13.5">
      <c r="A115" s="734"/>
      <c r="B115" s="734"/>
      <c r="D115" s="735" t="s">
        <v>679</v>
      </c>
      <c r="E115" s="735"/>
      <c r="G115" s="748"/>
      <c r="H115" s="735"/>
      <c r="I115" s="735"/>
      <c r="J115" s="735"/>
      <c r="L115" s="730">
        <f t="shared" si="22"/>
        <v>0</v>
      </c>
      <c r="N115" s="749">
        <f>+N114</f>
        <v>0</v>
      </c>
      <c r="O115" s="749">
        <f>+O114</f>
        <v>0</v>
      </c>
      <c r="P115" s="749">
        <f>+P114</f>
        <v>0</v>
      </c>
      <c r="Q115" s="749">
        <f>+Q114</f>
        <v>0</v>
      </c>
      <c r="R115" s="735"/>
      <c r="S115" s="735"/>
      <c r="T115" s="735"/>
      <c r="U115" s="735"/>
      <c r="V115" s="735"/>
      <c r="W115" s="735"/>
      <c r="X115" s="735"/>
      <c r="Y115" s="735"/>
      <c r="Z115" s="735"/>
      <c r="AA115" s="735"/>
      <c r="AB115" s="735"/>
      <c r="AC115" s="736"/>
    </row>
    <row r="116" spans="1:29" ht="13.5">
      <c r="A116" s="734"/>
      <c r="B116" s="734"/>
      <c r="D116" s="821">
        <v>124794816.12427944</v>
      </c>
      <c r="E116" s="735"/>
      <c r="I116" s="735"/>
      <c r="J116" s="735"/>
      <c r="L116" s="749" t="s">
        <v>680</v>
      </c>
      <c r="M116" s="735"/>
      <c r="N116" s="748">
        <f>+N115</f>
        <v>0</v>
      </c>
      <c r="O116" s="748">
        <f>+O115</f>
        <v>0</v>
      </c>
      <c r="P116" s="735"/>
      <c r="Q116" s="748">
        <f>+Q115</f>
        <v>0</v>
      </c>
      <c r="R116" s="748">
        <f>+N116+Q116</f>
        <v>0</v>
      </c>
      <c r="S116" s="735"/>
      <c r="T116" s="735"/>
      <c r="U116" s="735"/>
      <c r="V116" s="735"/>
      <c r="W116" s="735"/>
      <c r="X116" s="735"/>
      <c r="Y116" s="735"/>
      <c r="Z116" s="735"/>
      <c r="AA116" s="735"/>
      <c r="AB116" s="735"/>
      <c r="AC116" s="736"/>
    </row>
    <row r="117" spans="1:29" ht="13.5">
      <c r="A117" s="734"/>
      <c r="B117" s="734"/>
      <c r="D117" s="735"/>
      <c r="E117" s="735"/>
      <c r="G117" s="735"/>
      <c r="H117" s="735"/>
      <c r="I117" s="748"/>
      <c r="J117" s="735"/>
      <c r="L117" s="735" t="s">
        <v>681</v>
      </c>
      <c r="M117" s="735"/>
      <c r="N117" s="735"/>
      <c r="O117" s="735"/>
      <c r="P117" s="748">
        <f>+P115</f>
        <v>0</v>
      </c>
      <c r="Q117" s="735"/>
      <c r="R117" s="748">
        <f>+P117</f>
        <v>0</v>
      </c>
      <c r="S117" s="735"/>
      <c r="T117" s="735"/>
      <c r="U117" s="735"/>
      <c r="V117" s="735"/>
      <c r="W117" s="735"/>
      <c r="X117" s="735"/>
      <c r="Y117" s="735"/>
      <c r="Z117" s="735"/>
      <c r="AA117" s="735"/>
      <c r="AB117" s="735"/>
      <c r="AC117" s="736"/>
    </row>
    <row r="118" spans="1:29" ht="13.5">
      <c r="A118" s="734"/>
      <c r="B118" s="734"/>
      <c r="C118" s="734"/>
      <c r="D118" s="735"/>
      <c r="E118" s="735"/>
      <c r="G118" s="735"/>
      <c r="H118" s="735"/>
      <c r="I118" s="748"/>
      <c r="J118" s="735"/>
      <c r="L118" s="735" t="s">
        <v>682</v>
      </c>
      <c r="M118" s="735"/>
      <c r="N118" s="750" t="e">
        <f>12-N116/E114*12</f>
        <v>#DIV/0!</v>
      </c>
      <c r="O118" s="750" t="e">
        <f>12-O116/F114*12</f>
        <v>#DIV/0!</v>
      </c>
      <c r="P118" s="750" t="e">
        <f>12-P115/G114*12</f>
        <v>#DIV/0!</v>
      </c>
      <c r="Q118" s="750" t="e">
        <f>12-Q116/H114*12</f>
        <v>#DIV/0!</v>
      </c>
      <c r="R118" s="748"/>
      <c r="S118" s="735"/>
      <c r="T118" s="735"/>
      <c r="U118" s="735"/>
      <c r="V118" s="735"/>
      <c r="W118" s="735"/>
      <c r="X118" s="735"/>
      <c r="Y118" s="735"/>
      <c r="Z118" s="735"/>
      <c r="AA118" s="735"/>
      <c r="AB118" s="735"/>
      <c r="AC118" s="736"/>
    </row>
    <row r="119" spans="1:29" ht="13.5">
      <c r="A119" s="734"/>
      <c r="B119" s="734"/>
      <c r="C119" s="734"/>
      <c r="D119" s="756"/>
      <c r="E119" s="735"/>
      <c r="F119" s="735"/>
      <c r="G119" s="735"/>
      <c r="H119" s="748"/>
      <c r="I119" s="735"/>
      <c r="J119" s="735"/>
      <c r="K119" s="735"/>
      <c r="L119" s="750"/>
      <c r="M119" s="750"/>
      <c r="N119" s="750"/>
      <c r="O119" s="735"/>
      <c r="P119" s="735"/>
      <c r="Q119" s="735"/>
      <c r="R119" s="735"/>
      <c r="S119" s="735"/>
      <c r="T119" s="735"/>
      <c r="U119" s="735"/>
      <c r="V119" s="735"/>
      <c r="W119" s="735"/>
      <c r="X119" s="735"/>
      <c r="Y119" s="735"/>
      <c r="Z119" s="735"/>
      <c r="AA119" s="735"/>
      <c r="AB119" s="735"/>
      <c r="AC119" s="736"/>
    </row>
    <row r="120" spans="1:29" ht="13.5">
      <c r="A120" s="734">
        <f>+A19</f>
        <v>9</v>
      </c>
      <c r="B120" s="734" t="str">
        <f>+B19</f>
        <v>April</v>
      </c>
      <c r="C120" s="734" t="str">
        <f>+C19</f>
        <v>Year 3</v>
      </c>
      <c r="D120" s="739" t="str">
        <f>+D19</f>
        <v>Reconciliation - TO adds the difference between the Reconciliation in Step 7 and the forecast in Line 5 with interest to the result of Step 7 (this difference is also added to Step 8 in the subsequent year)</v>
      </c>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5"/>
      <c r="AA120" s="735"/>
      <c r="AB120" s="735"/>
      <c r="AC120" s="736"/>
    </row>
    <row r="121" spans="1:29" ht="13.5">
      <c r="A121" s="734"/>
      <c r="B121" s="734"/>
      <c r="C121" s="734"/>
      <c r="D121" s="739"/>
      <c r="E121" s="735"/>
      <c r="F121" s="735"/>
      <c r="G121" s="735"/>
      <c r="H121" s="735"/>
      <c r="I121" s="735"/>
      <c r="J121" s="735"/>
      <c r="K121" s="735"/>
      <c r="L121" s="735"/>
      <c r="M121" s="735"/>
      <c r="N121" s="735"/>
      <c r="O121" s="735"/>
      <c r="P121" s="735"/>
      <c r="Q121" s="735"/>
      <c r="R121" s="735"/>
      <c r="S121" s="735"/>
      <c r="T121" s="735"/>
      <c r="U121" s="735"/>
      <c r="V121" s="735"/>
      <c r="W121" s="735"/>
      <c r="X121" s="735"/>
      <c r="Y121" s="735"/>
      <c r="Z121" s="735"/>
      <c r="AA121" s="735"/>
      <c r="AB121" s="735"/>
      <c r="AC121" s="736"/>
    </row>
    <row r="122" spans="1:29" ht="13.5">
      <c r="A122" s="734"/>
      <c r="B122" s="734"/>
      <c r="C122" s="734"/>
      <c r="D122" s="739" t="s">
        <v>425</v>
      </c>
      <c r="E122" s="735"/>
      <c r="F122" s="735" t="s">
        <v>479</v>
      </c>
      <c r="G122" s="735"/>
      <c r="H122" s="735"/>
      <c r="I122" s="735"/>
      <c r="J122" s="735"/>
      <c r="K122" s="735"/>
      <c r="L122" s="735"/>
      <c r="M122" s="735"/>
      <c r="N122" s="735"/>
      <c r="O122" s="735"/>
      <c r="P122" s="735"/>
      <c r="Q122" s="735"/>
      <c r="R122" s="735"/>
      <c r="S122" s="735"/>
      <c r="T122" s="735"/>
      <c r="U122" s="735"/>
      <c r="V122" s="735"/>
      <c r="W122" s="735"/>
      <c r="X122" s="735"/>
      <c r="Y122" s="735"/>
      <c r="Z122" s="735"/>
      <c r="AA122" s="735"/>
      <c r="AB122" s="735"/>
      <c r="AC122" s="736"/>
    </row>
    <row r="123" spans="1:29" ht="13.5">
      <c r="A123" s="734"/>
      <c r="B123" s="734"/>
      <c r="C123" s="734"/>
      <c r="D123" s="766">
        <f>D94</f>
        <v>134801090.64950523</v>
      </c>
      <c r="E123" s="734" t="s">
        <v>6</v>
      </c>
      <c r="F123" s="766">
        <f>(D56-2821486)</f>
        <v>129215514.36826676</v>
      </c>
      <c r="G123" s="734" t="str">
        <f>"="</f>
        <v>=</v>
      </c>
      <c r="H123" s="748">
        <f>+D123-F123</f>
        <v>5585576.2812384665</v>
      </c>
      <c r="I123" s="735"/>
      <c r="J123" s="735"/>
      <c r="K123" s="735"/>
      <c r="L123" s="735"/>
      <c r="M123" s="735"/>
      <c r="N123" s="735"/>
      <c r="O123" s="735"/>
      <c r="P123" s="735"/>
      <c r="Q123" s="735"/>
      <c r="R123" s="735"/>
      <c r="S123" s="735"/>
      <c r="T123" s="735"/>
      <c r="U123" s="735"/>
      <c r="V123" s="735"/>
      <c r="W123" s="735"/>
      <c r="X123" s="735"/>
      <c r="Y123" s="735"/>
      <c r="Z123" s="735"/>
      <c r="AA123" s="735"/>
      <c r="AB123" s="735"/>
      <c r="AC123" s="736"/>
    </row>
    <row r="124" spans="1:29" ht="13.5">
      <c r="A124" s="734"/>
      <c r="B124" s="734"/>
      <c r="C124" s="734"/>
      <c r="D124" s="767"/>
      <c r="E124" s="734"/>
      <c r="F124" s="748"/>
      <c r="G124" s="734"/>
      <c r="H124" s="748"/>
      <c r="I124" s="735"/>
      <c r="J124" s="735"/>
      <c r="K124" s="735"/>
      <c r="L124" s="735"/>
      <c r="M124" s="735"/>
      <c r="N124" s="735"/>
      <c r="O124" s="735"/>
      <c r="P124" s="735"/>
      <c r="Q124" s="735"/>
      <c r="R124" s="735"/>
      <c r="S124" s="735"/>
      <c r="T124" s="735"/>
      <c r="U124" s="735"/>
      <c r="V124" s="735"/>
      <c r="W124" s="735"/>
      <c r="X124" s="735"/>
      <c r="Y124" s="735"/>
      <c r="Z124" s="735"/>
      <c r="AA124" s="735"/>
      <c r="AB124" s="735"/>
      <c r="AC124" s="736"/>
    </row>
    <row r="125" spans="1:29" ht="13.5">
      <c r="A125" s="734"/>
      <c r="B125" s="734"/>
      <c r="C125" s="734"/>
      <c r="D125" s="768" t="s">
        <v>373</v>
      </c>
      <c r="E125" s="734"/>
      <c r="F125" s="748"/>
      <c r="G125" s="734"/>
      <c r="H125" s="748"/>
      <c r="I125" s="735"/>
      <c r="J125" s="735"/>
      <c r="K125" s="735"/>
      <c r="L125" s="735"/>
      <c r="M125" s="735"/>
      <c r="N125" s="735"/>
      <c r="O125" s="735"/>
      <c r="P125" s="735"/>
      <c r="Q125" s="735"/>
      <c r="R125" s="735"/>
      <c r="S125" s="735"/>
      <c r="T125" s="735"/>
      <c r="U125" s="735"/>
      <c r="V125" s="735"/>
      <c r="W125" s="735"/>
      <c r="X125" s="735"/>
      <c r="Y125" s="735"/>
      <c r="Z125" s="735"/>
      <c r="AA125" s="735"/>
      <c r="AB125" s="735"/>
      <c r="AC125" s="736"/>
    </row>
    <row r="126" spans="1:29" ht="13.5">
      <c r="A126" s="734"/>
      <c r="B126" s="734"/>
      <c r="C126" s="734"/>
      <c r="D126" s="768" t="s">
        <v>460</v>
      </c>
      <c r="E126" s="734"/>
      <c r="F126" s="822">
        <v>2.8E-3</v>
      </c>
      <c r="G126" s="734"/>
      <c r="H126" s="748"/>
      <c r="I126" s="735"/>
      <c r="J126" s="735"/>
      <c r="K126" s="735"/>
      <c r="L126" s="735"/>
      <c r="M126" s="735"/>
      <c r="N126" s="735"/>
      <c r="O126" s="735"/>
      <c r="P126" s="735"/>
      <c r="Q126" s="735"/>
      <c r="R126" s="735"/>
      <c r="S126" s="735"/>
      <c r="T126" s="735"/>
      <c r="U126" s="735"/>
      <c r="V126" s="735"/>
      <c r="W126" s="735"/>
      <c r="X126" s="735"/>
      <c r="Y126" s="735"/>
      <c r="Z126" s="735"/>
      <c r="AA126" s="735"/>
      <c r="AB126" s="735"/>
      <c r="AC126" s="736"/>
    </row>
    <row r="127" spans="1:29" ht="13.5">
      <c r="A127" s="734"/>
      <c r="B127" s="734"/>
      <c r="C127" s="734"/>
      <c r="D127" s="769" t="s">
        <v>354</v>
      </c>
      <c r="E127" s="734" t="s">
        <v>374</v>
      </c>
      <c r="F127" s="734" t="s">
        <v>375</v>
      </c>
      <c r="G127" s="769" t="s">
        <v>404</v>
      </c>
      <c r="H127" s="734"/>
      <c r="I127" s="769" t="s">
        <v>376</v>
      </c>
      <c r="J127" s="770" t="s">
        <v>29</v>
      </c>
      <c r="K127" s="735"/>
      <c r="L127" s="735"/>
      <c r="M127" s="735"/>
      <c r="N127" s="735"/>
      <c r="O127" s="735"/>
      <c r="P127" s="735"/>
      <c r="Q127" s="735"/>
      <c r="R127" s="735"/>
      <c r="S127" s="735"/>
      <c r="T127" s="735"/>
      <c r="U127" s="735"/>
      <c r="V127" s="735"/>
      <c r="W127" s="735"/>
      <c r="X127" s="735"/>
      <c r="Y127" s="735"/>
      <c r="Z127" s="735"/>
      <c r="AA127" s="735"/>
      <c r="AB127" s="735"/>
      <c r="AC127" s="736"/>
    </row>
    <row r="128" spans="1:29" ht="13.5">
      <c r="A128" s="734"/>
      <c r="B128" s="734"/>
      <c r="C128" s="734"/>
      <c r="D128" s="734"/>
      <c r="E128" s="734"/>
      <c r="F128" s="734"/>
      <c r="G128" s="734" t="s">
        <v>461</v>
      </c>
      <c r="H128" s="734" t="s">
        <v>377</v>
      </c>
      <c r="I128" s="734"/>
      <c r="J128" s="734"/>
      <c r="K128" s="735"/>
      <c r="L128" s="735"/>
      <c r="M128" s="735"/>
      <c r="N128" s="735"/>
      <c r="O128" s="735"/>
      <c r="P128" s="735"/>
      <c r="Q128" s="735"/>
      <c r="R128" s="735"/>
      <c r="S128" s="735"/>
      <c r="T128" s="735"/>
      <c r="U128" s="735"/>
      <c r="V128" s="735"/>
      <c r="W128" s="735"/>
      <c r="X128" s="735"/>
      <c r="Y128" s="735"/>
      <c r="Z128" s="735"/>
      <c r="AA128" s="735"/>
      <c r="AB128" s="735"/>
      <c r="AC128" s="736"/>
    </row>
    <row r="129" spans="1:29" ht="13.5">
      <c r="A129" s="734"/>
      <c r="B129" s="734"/>
      <c r="C129" s="734"/>
      <c r="D129" s="735" t="s">
        <v>366</v>
      </c>
      <c r="E129" s="735" t="s">
        <v>549</v>
      </c>
      <c r="F129" s="743">
        <f>+H123/12</f>
        <v>465464.69010320556</v>
      </c>
      <c r="G129" s="771">
        <f>+F126</f>
        <v>2.8E-3</v>
      </c>
      <c r="H129" s="735">
        <v>11.5</v>
      </c>
      <c r="I129" s="743">
        <f t="shared" ref="I129:I140" si="31">+H129*G129*F129</f>
        <v>14987.963021323219</v>
      </c>
      <c r="J129" s="743">
        <f t="shared" ref="J129:J140" si="32">+F129+I129</f>
        <v>480452.65312452876</v>
      </c>
      <c r="K129" s="735"/>
      <c r="L129" s="735"/>
      <c r="M129" s="735"/>
      <c r="N129" s="735"/>
      <c r="O129" s="735"/>
      <c r="P129" s="735"/>
      <c r="Q129" s="735"/>
      <c r="R129" s="735"/>
      <c r="S129" s="735"/>
      <c r="T129" s="735"/>
      <c r="U129" s="735"/>
      <c r="V129" s="735"/>
      <c r="W129" s="735"/>
      <c r="X129" s="735"/>
      <c r="Y129" s="735"/>
      <c r="Z129" s="735"/>
      <c r="AA129" s="735"/>
      <c r="AB129" s="735"/>
      <c r="AC129" s="736"/>
    </row>
    <row r="130" spans="1:29" ht="13.5">
      <c r="A130" s="734"/>
      <c r="B130" s="734"/>
      <c r="C130" s="734"/>
      <c r="D130" s="735" t="s">
        <v>367</v>
      </c>
      <c r="E130" s="735" t="str">
        <f t="shared" ref="E130:G140" si="33">+E129</f>
        <v>Year 1</v>
      </c>
      <c r="F130" s="748">
        <f t="shared" si="33"/>
        <v>465464.69010320556</v>
      </c>
      <c r="G130" s="772">
        <f t="shared" si="33"/>
        <v>2.8E-3</v>
      </c>
      <c r="H130" s="735">
        <f t="shared" ref="H130:H140" si="34">+H129-1</f>
        <v>10.5</v>
      </c>
      <c r="I130" s="743">
        <f t="shared" si="31"/>
        <v>13684.661889034243</v>
      </c>
      <c r="J130" s="743">
        <f t="shared" si="32"/>
        <v>479149.35199223983</v>
      </c>
      <c r="K130" s="735"/>
      <c r="L130" s="735"/>
      <c r="M130" s="735"/>
      <c r="N130" s="735"/>
      <c r="O130" s="735"/>
      <c r="P130" s="735"/>
      <c r="Q130" s="735"/>
      <c r="R130" s="735"/>
      <c r="S130" s="735"/>
      <c r="T130" s="735"/>
      <c r="U130" s="735"/>
      <c r="V130" s="735"/>
      <c r="W130" s="735"/>
      <c r="X130" s="735"/>
      <c r="Y130" s="735"/>
      <c r="Z130" s="735"/>
      <c r="AA130" s="735"/>
      <c r="AB130" s="735"/>
      <c r="AC130" s="736"/>
    </row>
    <row r="131" spans="1:29" ht="13.5">
      <c r="A131" s="734"/>
      <c r="B131" s="734"/>
      <c r="C131" s="734"/>
      <c r="D131" s="735" t="s">
        <v>368</v>
      </c>
      <c r="E131" s="735" t="str">
        <f t="shared" si="33"/>
        <v>Year 1</v>
      </c>
      <c r="F131" s="748">
        <f t="shared" si="33"/>
        <v>465464.69010320556</v>
      </c>
      <c r="G131" s="772">
        <f t="shared" si="33"/>
        <v>2.8E-3</v>
      </c>
      <c r="H131" s="735">
        <f t="shared" si="34"/>
        <v>9.5</v>
      </c>
      <c r="I131" s="743">
        <f t="shared" si="31"/>
        <v>12381.360756745267</v>
      </c>
      <c r="J131" s="743">
        <f t="shared" si="32"/>
        <v>477846.05085995083</v>
      </c>
      <c r="K131" s="735"/>
      <c r="L131" s="735"/>
      <c r="M131" s="735"/>
      <c r="N131" s="735"/>
      <c r="O131" s="735"/>
      <c r="P131" s="735"/>
      <c r="Q131" s="735"/>
      <c r="R131" s="735"/>
      <c r="S131" s="735"/>
      <c r="T131" s="735"/>
      <c r="U131" s="735"/>
      <c r="V131" s="735"/>
      <c r="W131" s="735"/>
      <c r="X131" s="735"/>
      <c r="Y131" s="735"/>
      <c r="Z131" s="735"/>
      <c r="AA131" s="735"/>
      <c r="AB131" s="735"/>
      <c r="AC131" s="736"/>
    </row>
    <row r="132" spans="1:29" ht="13.5">
      <c r="A132" s="734"/>
      <c r="B132" s="734"/>
      <c r="C132" s="734"/>
      <c r="D132" s="735" t="s">
        <v>369</v>
      </c>
      <c r="E132" s="735" t="str">
        <f t="shared" si="33"/>
        <v>Year 1</v>
      </c>
      <c r="F132" s="748">
        <f t="shared" si="33"/>
        <v>465464.69010320556</v>
      </c>
      <c r="G132" s="772">
        <f t="shared" si="33"/>
        <v>2.8E-3</v>
      </c>
      <c r="H132" s="735">
        <f t="shared" si="34"/>
        <v>8.5</v>
      </c>
      <c r="I132" s="743">
        <f t="shared" si="31"/>
        <v>11078.059624456291</v>
      </c>
      <c r="J132" s="743">
        <f t="shared" si="32"/>
        <v>476542.74972766184</v>
      </c>
      <c r="K132" s="735"/>
      <c r="L132" s="735"/>
      <c r="M132" s="735"/>
      <c r="N132" s="735"/>
      <c r="O132" s="735"/>
      <c r="P132" s="735"/>
      <c r="Q132" s="735"/>
      <c r="R132" s="735"/>
      <c r="S132" s="735"/>
      <c r="T132" s="735"/>
      <c r="U132" s="735"/>
      <c r="V132" s="735"/>
      <c r="W132" s="735"/>
      <c r="X132" s="735"/>
      <c r="Y132" s="735"/>
      <c r="Z132" s="735"/>
      <c r="AA132" s="735"/>
      <c r="AB132" s="735"/>
      <c r="AC132" s="736"/>
    </row>
    <row r="133" spans="1:29" ht="13.5">
      <c r="A133" s="734"/>
      <c r="B133" s="734"/>
      <c r="C133" s="734"/>
      <c r="D133" s="735" t="s">
        <v>370</v>
      </c>
      <c r="E133" s="735" t="str">
        <f t="shared" si="33"/>
        <v>Year 1</v>
      </c>
      <c r="F133" s="748">
        <f t="shared" si="33"/>
        <v>465464.69010320556</v>
      </c>
      <c r="G133" s="772">
        <f t="shared" si="33"/>
        <v>2.8E-3</v>
      </c>
      <c r="H133" s="735">
        <f t="shared" si="34"/>
        <v>7.5</v>
      </c>
      <c r="I133" s="743">
        <f t="shared" si="31"/>
        <v>9774.7584921673169</v>
      </c>
      <c r="J133" s="743">
        <f t="shared" si="32"/>
        <v>475239.4485953729</v>
      </c>
      <c r="K133" s="735"/>
      <c r="L133" s="735"/>
      <c r="M133" s="735"/>
      <c r="N133" s="735"/>
      <c r="O133" s="735"/>
      <c r="P133" s="735"/>
      <c r="Q133" s="735"/>
      <c r="R133" s="735"/>
      <c r="S133" s="735"/>
      <c r="T133" s="735"/>
      <c r="U133" s="735"/>
      <c r="V133" s="735"/>
      <c r="W133" s="735"/>
      <c r="X133" s="735"/>
      <c r="Y133" s="735"/>
      <c r="Z133" s="735"/>
      <c r="AA133" s="735"/>
      <c r="AB133" s="735"/>
      <c r="AC133" s="736"/>
    </row>
    <row r="134" spans="1:29" ht="13.5">
      <c r="A134" s="734"/>
      <c r="B134" s="734"/>
      <c r="C134" s="734"/>
      <c r="D134" s="735" t="s">
        <v>371</v>
      </c>
      <c r="E134" s="735" t="str">
        <f t="shared" si="33"/>
        <v>Year 1</v>
      </c>
      <c r="F134" s="748">
        <f t="shared" si="33"/>
        <v>465464.69010320556</v>
      </c>
      <c r="G134" s="772">
        <f t="shared" si="33"/>
        <v>2.8E-3</v>
      </c>
      <c r="H134" s="735">
        <f t="shared" si="34"/>
        <v>6.5</v>
      </c>
      <c r="I134" s="743">
        <f t="shared" si="31"/>
        <v>8471.4573598783409</v>
      </c>
      <c r="J134" s="743">
        <f t="shared" si="32"/>
        <v>473936.14746308391</v>
      </c>
      <c r="K134" s="735"/>
      <c r="L134" s="735"/>
      <c r="M134" s="735"/>
      <c r="N134" s="735"/>
      <c r="O134" s="735"/>
      <c r="P134" s="735"/>
      <c r="Q134" s="735"/>
      <c r="R134" s="735"/>
      <c r="S134" s="735"/>
      <c r="T134" s="735"/>
      <c r="U134" s="735"/>
      <c r="V134" s="735"/>
      <c r="W134" s="735"/>
      <c r="X134" s="735"/>
      <c r="Y134" s="735"/>
      <c r="Z134" s="735"/>
      <c r="AA134" s="735"/>
      <c r="AB134" s="735"/>
      <c r="AC134" s="736"/>
    </row>
    <row r="135" spans="1:29" ht="13.5">
      <c r="A135" s="734"/>
      <c r="B135" s="734"/>
      <c r="C135" s="734"/>
      <c r="D135" s="735" t="s">
        <v>372</v>
      </c>
      <c r="E135" s="735" t="str">
        <f t="shared" si="33"/>
        <v>Year 1</v>
      </c>
      <c r="F135" s="748">
        <f t="shared" si="33"/>
        <v>465464.69010320556</v>
      </c>
      <c r="G135" s="772">
        <f t="shared" si="33"/>
        <v>2.8E-3</v>
      </c>
      <c r="H135" s="735">
        <f t="shared" si="34"/>
        <v>5.5</v>
      </c>
      <c r="I135" s="743">
        <f t="shared" si="31"/>
        <v>7168.1562275893657</v>
      </c>
      <c r="J135" s="743">
        <f t="shared" si="32"/>
        <v>472632.84633079491</v>
      </c>
      <c r="K135" s="735"/>
      <c r="L135" s="735"/>
      <c r="M135" s="735"/>
      <c r="N135" s="735"/>
      <c r="O135" s="735"/>
      <c r="P135" s="735"/>
      <c r="Q135" s="735"/>
      <c r="R135" s="735"/>
      <c r="S135" s="735"/>
      <c r="T135" s="735"/>
      <c r="U135" s="735"/>
      <c r="V135" s="735"/>
      <c r="W135" s="735"/>
      <c r="X135" s="735"/>
      <c r="Y135" s="735"/>
      <c r="Z135" s="735"/>
      <c r="AA135" s="735"/>
      <c r="AB135" s="735"/>
      <c r="AC135" s="736"/>
    </row>
    <row r="136" spans="1:29" ht="13.5">
      <c r="A136" s="734"/>
      <c r="B136" s="734"/>
      <c r="C136" s="734"/>
      <c r="D136" s="735" t="s">
        <v>362</v>
      </c>
      <c r="E136" s="735" t="s">
        <v>543</v>
      </c>
      <c r="F136" s="748">
        <f t="shared" si="33"/>
        <v>465464.69010320556</v>
      </c>
      <c r="G136" s="772">
        <f t="shared" si="33"/>
        <v>2.8E-3</v>
      </c>
      <c r="H136" s="735">
        <f t="shared" si="34"/>
        <v>4.5</v>
      </c>
      <c r="I136" s="743">
        <f t="shared" si="31"/>
        <v>5864.8550953003905</v>
      </c>
      <c r="J136" s="743">
        <f t="shared" si="32"/>
        <v>471329.54519850598</v>
      </c>
      <c r="K136" s="735"/>
      <c r="L136" s="735"/>
      <c r="M136" s="735"/>
      <c r="N136" s="735"/>
      <c r="O136" s="735"/>
      <c r="P136" s="735"/>
      <c r="Q136" s="735"/>
      <c r="R136" s="735"/>
      <c r="S136" s="735"/>
      <c r="T136" s="735"/>
      <c r="U136" s="735"/>
      <c r="V136" s="735"/>
      <c r="W136" s="735"/>
      <c r="X136" s="735"/>
      <c r="Y136" s="735"/>
      <c r="Z136" s="735"/>
      <c r="AA136" s="735"/>
      <c r="AB136" s="735"/>
      <c r="AC136" s="736"/>
    </row>
    <row r="137" spans="1:29" ht="13.5">
      <c r="A137" s="734"/>
      <c r="B137" s="734"/>
      <c r="C137" s="734"/>
      <c r="D137" s="735" t="s">
        <v>363</v>
      </c>
      <c r="E137" s="735" t="str">
        <f>+E136</f>
        <v>Year 2</v>
      </c>
      <c r="F137" s="748">
        <f t="shared" si="33"/>
        <v>465464.69010320556</v>
      </c>
      <c r="G137" s="772">
        <f t="shared" si="33"/>
        <v>2.8E-3</v>
      </c>
      <c r="H137" s="735">
        <f t="shared" si="34"/>
        <v>3.5</v>
      </c>
      <c r="I137" s="743">
        <f t="shared" si="31"/>
        <v>4561.5539630114145</v>
      </c>
      <c r="J137" s="743">
        <f t="shared" si="32"/>
        <v>470026.24406621698</v>
      </c>
      <c r="K137" s="735"/>
      <c r="L137" s="735"/>
      <c r="M137" s="735"/>
      <c r="N137" s="735"/>
      <c r="O137" s="735"/>
      <c r="P137" s="735"/>
      <c r="Q137" s="735"/>
      <c r="R137" s="735"/>
      <c r="S137" s="735"/>
      <c r="T137" s="735"/>
      <c r="U137" s="735"/>
      <c r="V137" s="735"/>
      <c r="W137" s="735"/>
      <c r="X137" s="735"/>
      <c r="Y137" s="735"/>
      <c r="Z137" s="735"/>
      <c r="AA137" s="735"/>
      <c r="AB137" s="735"/>
      <c r="AC137" s="736"/>
    </row>
    <row r="138" spans="1:29" ht="13.5">
      <c r="A138" s="734"/>
      <c r="B138" s="734"/>
      <c r="C138" s="734"/>
      <c r="D138" s="735" t="s">
        <v>364</v>
      </c>
      <c r="E138" s="735" t="str">
        <f>+E137</f>
        <v>Year 2</v>
      </c>
      <c r="F138" s="748">
        <f t="shared" si="33"/>
        <v>465464.69010320556</v>
      </c>
      <c r="G138" s="772">
        <f t="shared" si="33"/>
        <v>2.8E-3</v>
      </c>
      <c r="H138" s="735">
        <f t="shared" si="34"/>
        <v>2.5</v>
      </c>
      <c r="I138" s="743">
        <f t="shared" si="31"/>
        <v>3258.2528307224388</v>
      </c>
      <c r="J138" s="743">
        <f t="shared" si="32"/>
        <v>468722.94293392799</v>
      </c>
      <c r="K138" s="735"/>
      <c r="L138" s="735"/>
      <c r="M138" s="735"/>
      <c r="N138" s="735"/>
      <c r="O138" s="735"/>
      <c r="P138" s="735"/>
      <c r="Q138" s="735"/>
      <c r="R138" s="735"/>
      <c r="S138" s="735"/>
      <c r="T138" s="735"/>
      <c r="U138" s="735"/>
      <c r="V138" s="735"/>
      <c r="W138" s="735"/>
      <c r="X138" s="735"/>
      <c r="Y138" s="735"/>
      <c r="Z138" s="735"/>
      <c r="AA138" s="735"/>
      <c r="AB138" s="735"/>
      <c r="AC138" s="736"/>
    </row>
    <row r="139" spans="1:29" ht="13.5">
      <c r="A139" s="734"/>
      <c r="B139" s="734"/>
      <c r="C139" s="734"/>
      <c r="D139" s="735" t="s">
        <v>365</v>
      </c>
      <c r="E139" s="735" t="str">
        <f>+E138</f>
        <v>Year 2</v>
      </c>
      <c r="F139" s="748">
        <f t="shared" si="33"/>
        <v>465464.69010320556</v>
      </c>
      <c r="G139" s="772">
        <f t="shared" si="33"/>
        <v>2.8E-3</v>
      </c>
      <c r="H139" s="735">
        <f t="shared" si="34"/>
        <v>1.5</v>
      </c>
      <c r="I139" s="743">
        <f t="shared" si="31"/>
        <v>1954.9516984334632</v>
      </c>
      <c r="J139" s="743">
        <f t="shared" si="32"/>
        <v>467419.64180163905</v>
      </c>
      <c r="K139" s="735"/>
      <c r="L139" s="735"/>
      <c r="M139" s="735"/>
      <c r="N139" s="735"/>
      <c r="O139" s="735"/>
      <c r="P139" s="735"/>
      <c r="Q139" s="735"/>
      <c r="R139" s="735"/>
      <c r="S139" s="735"/>
      <c r="T139" s="735"/>
      <c r="U139" s="735"/>
      <c r="V139" s="735"/>
      <c r="W139" s="735"/>
      <c r="X139" s="735"/>
      <c r="Y139" s="735"/>
      <c r="Z139" s="735"/>
      <c r="AA139" s="735"/>
      <c r="AB139" s="735"/>
      <c r="AC139" s="736"/>
    </row>
    <row r="140" spans="1:29" ht="13.5">
      <c r="A140" s="734"/>
      <c r="B140" s="734"/>
      <c r="C140" s="734"/>
      <c r="D140" s="735" t="s">
        <v>359</v>
      </c>
      <c r="E140" s="735" t="str">
        <f>+E139</f>
        <v>Year 2</v>
      </c>
      <c r="F140" s="748">
        <f t="shared" si="33"/>
        <v>465464.69010320556</v>
      </c>
      <c r="G140" s="772">
        <f t="shared" si="33"/>
        <v>2.8E-3</v>
      </c>
      <c r="H140" s="735">
        <f t="shared" si="34"/>
        <v>0.5</v>
      </c>
      <c r="I140" s="743">
        <f t="shared" si="31"/>
        <v>651.65056614448781</v>
      </c>
      <c r="J140" s="743">
        <f t="shared" si="32"/>
        <v>466116.34066935006</v>
      </c>
      <c r="K140" s="735"/>
      <c r="L140" s="735"/>
      <c r="M140" s="735"/>
      <c r="N140" s="735"/>
      <c r="O140" s="735"/>
      <c r="P140" s="735"/>
      <c r="Q140" s="735"/>
      <c r="R140" s="735"/>
      <c r="S140" s="735"/>
      <c r="T140" s="735"/>
      <c r="U140" s="735"/>
      <c r="V140" s="735"/>
      <c r="W140" s="735"/>
      <c r="X140" s="735"/>
      <c r="Y140" s="735"/>
      <c r="Z140" s="735"/>
      <c r="AA140" s="735"/>
      <c r="AB140" s="735"/>
      <c r="AC140" s="736"/>
    </row>
    <row r="141" spans="1:29" ht="13.5">
      <c r="A141" s="734"/>
      <c r="B141" s="734"/>
      <c r="C141" s="734"/>
      <c r="D141" s="735" t="s">
        <v>181</v>
      </c>
      <c r="E141" s="735"/>
      <c r="F141" s="748">
        <f>SUM(F129:F140)</f>
        <v>5585576.2812384665</v>
      </c>
      <c r="G141" s="735"/>
      <c r="H141" s="735"/>
      <c r="I141" s="735"/>
      <c r="J141" s="743">
        <f>SUM(J129:J140)</f>
        <v>5679413.9627632732</v>
      </c>
      <c r="K141" s="735"/>
      <c r="L141" s="735"/>
      <c r="M141" s="735"/>
      <c r="N141" s="735"/>
      <c r="O141" s="735"/>
      <c r="P141" s="735"/>
      <c r="Q141" s="735"/>
      <c r="R141" s="735"/>
      <c r="S141" s="735"/>
      <c r="T141" s="735"/>
      <c r="U141" s="735"/>
      <c r="V141" s="735"/>
      <c r="W141" s="735"/>
      <c r="X141" s="735"/>
      <c r="Y141" s="735"/>
      <c r="Z141" s="735"/>
      <c r="AA141" s="735"/>
      <c r="AB141" s="735"/>
      <c r="AC141" s="736"/>
    </row>
    <row r="142" spans="1:29" ht="13.5">
      <c r="A142" s="734"/>
      <c r="B142" s="734"/>
      <c r="C142" s="734"/>
      <c r="D142" s="735"/>
      <c r="E142" s="735"/>
      <c r="F142" s="748"/>
      <c r="G142" s="735"/>
      <c r="H142" s="735"/>
      <c r="I142" s="735"/>
      <c r="J142" s="743"/>
      <c r="K142" s="735"/>
      <c r="L142" s="735"/>
      <c r="M142" s="735"/>
      <c r="N142" s="735"/>
      <c r="O142" s="735"/>
      <c r="P142" s="735"/>
      <c r="Q142" s="735"/>
      <c r="R142" s="735"/>
      <c r="S142" s="735"/>
      <c r="T142" s="735"/>
      <c r="U142" s="735"/>
      <c r="V142" s="735"/>
      <c r="W142" s="735"/>
      <c r="X142" s="735"/>
      <c r="Y142" s="735"/>
      <c r="Z142" s="735"/>
      <c r="AA142" s="735"/>
      <c r="AB142" s="735"/>
      <c r="AC142" s="736"/>
    </row>
    <row r="143" spans="1:29" ht="27">
      <c r="A143" s="734"/>
      <c r="B143" s="734"/>
      <c r="C143" s="734"/>
      <c r="D143" s="735"/>
      <c r="E143" s="735"/>
      <c r="F143" s="769" t="s">
        <v>378</v>
      </c>
      <c r="G143" s="734" t="s">
        <v>684</v>
      </c>
      <c r="H143" s="773" t="s">
        <v>462</v>
      </c>
      <c r="I143" s="734" t="s">
        <v>378</v>
      </c>
      <c r="J143" s="735"/>
      <c r="K143" s="735"/>
      <c r="L143" s="735"/>
      <c r="M143" s="735"/>
      <c r="N143" s="735"/>
      <c r="O143" s="735"/>
      <c r="P143" s="735"/>
      <c r="Q143" s="735"/>
      <c r="R143" s="735"/>
      <c r="S143" s="735"/>
      <c r="T143" s="735"/>
      <c r="U143" s="735"/>
      <c r="V143" s="735"/>
      <c r="W143" s="735"/>
      <c r="X143" s="735"/>
      <c r="Y143" s="735"/>
      <c r="Z143" s="735"/>
      <c r="AA143" s="735"/>
      <c r="AB143" s="735"/>
      <c r="AC143" s="736"/>
    </row>
    <row r="144" spans="1:29" ht="13.5">
      <c r="A144" s="734"/>
      <c r="B144" s="734"/>
      <c r="C144" s="734"/>
      <c r="D144" s="735" t="str">
        <f t="shared" ref="D144:D155" si="35">+D129</f>
        <v>Jun</v>
      </c>
      <c r="E144" s="735" t="str">
        <f>+E140</f>
        <v>Year 2</v>
      </c>
      <c r="F144" s="748">
        <f>+J141</f>
        <v>5679413.9627632732</v>
      </c>
      <c r="G144" s="772">
        <f>+G140</f>
        <v>2.8E-3</v>
      </c>
      <c r="H144" s="743">
        <f>-PMT(G144,12,J141)</f>
        <v>481942.42951011372</v>
      </c>
      <c r="I144" s="743">
        <f t="shared" ref="I144:I155" si="36">+F144+F144*G144-H144</f>
        <v>5213373.8923488967</v>
      </c>
      <c r="J144" s="735"/>
      <c r="K144" s="735"/>
      <c r="L144" s="735"/>
      <c r="M144" s="735"/>
      <c r="N144" s="735"/>
      <c r="O144" s="735"/>
      <c r="P144" s="735"/>
      <c r="Q144" s="735"/>
      <c r="R144" s="735"/>
      <c r="S144" s="735"/>
      <c r="T144" s="735"/>
      <c r="U144" s="735"/>
      <c r="V144" s="735"/>
      <c r="W144" s="735"/>
      <c r="X144" s="735"/>
      <c r="Y144" s="735"/>
      <c r="Z144" s="735"/>
      <c r="AA144" s="735"/>
      <c r="AB144" s="735"/>
      <c r="AC144" s="736"/>
    </row>
    <row r="145" spans="1:29" ht="13.5">
      <c r="A145" s="734"/>
      <c r="B145" s="734"/>
      <c r="C145" s="734"/>
      <c r="D145" s="735" t="str">
        <f t="shared" si="35"/>
        <v>Jul</v>
      </c>
      <c r="E145" s="735" t="str">
        <f t="shared" ref="E145:E150" si="37">+E144</f>
        <v>Year 2</v>
      </c>
      <c r="F145" s="748">
        <f t="shared" ref="F145:F155" si="38">+I144</f>
        <v>5213373.8923488967</v>
      </c>
      <c r="G145" s="772">
        <f t="shared" ref="G145:H155" si="39">+G144</f>
        <v>2.8E-3</v>
      </c>
      <c r="H145" s="748">
        <f t="shared" si="39"/>
        <v>481942.42951011372</v>
      </c>
      <c r="I145" s="743">
        <f t="shared" si="36"/>
        <v>4746028.9097373597</v>
      </c>
      <c r="J145" s="735"/>
      <c r="K145" s="735"/>
      <c r="L145" s="735"/>
      <c r="M145" s="735"/>
      <c r="N145" s="735"/>
      <c r="O145" s="735"/>
      <c r="P145" s="735"/>
      <c r="Q145" s="735"/>
      <c r="R145" s="735"/>
      <c r="S145" s="735"/>
      <c r="T145" s="735"/>
      <c r="U145" s="735"/>
      <c r="V145" s="735"/>
      <c r="W145" s="735"/>
      <c r="X145" s="735"/>
      <c r="Y145" s="735"/>
      <c r="Z145" s="735"/>
      <c r="AA145" s="735"/>
      <c r="AB145" s="735"/>
      <c r="AC145" s="736"/>
    </row>
    <row r="146" spans="1:29" ht="13.5">
      <c r="A146" s="734"/>
      <c r="B146" s="734"/>
      <c r="C146" s="734"/>
      <c r="D146" s="735" t="str">
        <f t="shared" si="35"/>
        <v>Aug</v>
      </c>
      <c r="E146" s="735" t="str">
        <f t="shared" si="37"/>
        <v>Year 2</v>
      </c>
      <c r="F146" s="748">
        <f t="shared" si="38"/>
        <v>4746028.9097373597</v>
      </c>
      <c r="G146" s="772">
        <f t="shared" si="39"/>
        <v>2.8E-3</v>
      </c>
      <c r="H146" s="748">
        <f t="shared" si="39"/>
        <v>481942.42951011372</v>
      </c>
      <c r="I146" s="743">
        <f t="shared" si="36"/>
        <v>4277375.3611745108</v>
      </c>
      <c r="J146" s="735"/>
      <c r="K146" s="735"/>
      <c r="L146" s="735"/>
      <c r="M146" s="735"/>
      <c r="N146" s="735"/>
      <c r="O146" s="735"/>
      <c r="P146" s="735"/>
      <c r="Q146" s="735"/>
      <c r="R146" s="735"/>
      <c r="S146" s="735"/>
      <c r="T146" s="735"/>
      <c r="U146" s="735"/>
      <c r="V146" s="735"/>
      <c r="W146" s="735"/>
      <c r="X146" s="735"/>
      <c r="Y146" s="735"/>
      <c r="Z146" s="735"/>
      <c r="AA146" s="735"/>
      <c r="AB146" s="735"/>
      <c r="AC146" s="736"/>
    </row>
    <row r="147" spans="1:29" ht="13.5">
      <c r="A147" s="734"/>
      <c r="B147" s="734"/>
      <c r="C147" s="734"/>
      <c r="D147" s="735" t="str">
        <f t="shared" si="35"/>
        <v>Sep</v>
      </c>
      <c r="E147" s="735" t="str">
        <f t="shared" si="37"/>
        <v>Year 2</v>
      </c>
      <c r="F147" s="748">
        <f t="shared" si="38"/>
        <v>4277375.3611745108</v>
      </c>
      <c r="G147" s="772">
        <f t="shared" si="39"/>
        <v>2.8E-3</v>
      </c>
      <c r="H147" s="748">
        <f t="shared" si="39"/>
        <v>481942.42951011372</v>
      </c>
      <c r="I147" s="743">
        <f t="shared" si="36"/>
        <v>3807409.5826756852</v>
      </c>
      <c r="J147" s="735"/>
      <c r="K147" s="774"/>
      <c r="L147" s="735"/>
      <c r="M147" s="735"/>
      <c r="N147" s="735"/>
      <c r="O147" s="735"/>
      <c r="P147" s="735"/>
      <c r="Q147" s="735"/>
      <c r="R147" s="735"/>
      <c r="S147" s="735"/>
      <c r="T147" s="735"/>
      <c r="U147" s="735"/>
      <c r="V147" s="735"/>
      <c r="W147" s="735"/>
      <c r="X147" s="735"/>
      <c r="Y147" s="735"/>
      <c r="Z147" s="735"/>
      <c r="AA147" s="735"/>
      <c r="AB147" s="735"/>
      <c r="AC147" s="736"/>
    </row>
    <row r="148" spans="1:29" ht="13.5">
      <c r="A148" s="734"/>
      <c r="B148" s="734"/>
      <c r="C148" s="734"/>
      <c r="D148" s="735" t="str">
        <f t="shared" si="35"/>
        <v>Oct</v>
      </c>
      <c r="E148" s="735" t="str">
        <f t="shared" si="37"/>
        <v>Year 2</v>
      </c>
      <c r="F148" s="748">
        <f t="shared" si="38"/>
        <v>3807409.5826756852</v>
      </c>
      <c r="G148" s="772">
        <f t="shared" si="39"/>
        <v>2.8E-3</v>
      </c>
      <c r="H148" s="748">
        <f t="shared" si="39"/>
        <v>481942.42951011372</v>
      </c>
      <c r="I148" s="743">
        <f t="shared" si="36"/>
        <v>3336127.8999970634</v>
      </c>
      <c r="J148" s="735"/>
      <c r="K148" s="772"/>
      <c r="L148" s="735"/>
      <c r="M148" s="735"/>
      <c r="N148" s="735"/>
      <c r="O148" s="735"/>
      <c r="P148" s="735"/>
      <c r="Q148" s="735"/>
      <c r="R148" s="735"/>
      <c r="S148" s="735"/>
      <c r="T148" s="735"/>
      <c r="U148" s="735"/>
      <c r="V148" s="735"/>
      <c r="W148" s="735"/>
      <c r="X148" s="735"/>
      <c r="Y148" s="735"/>
      <c r="Z148" s="735"/>
      <c r="AA148" s="735"/>
      <c r="AB148" s="735"/>
      <c r="AC148" s="736"/>
    </row>
    <row r="149" spans="1:29" ht="13.5">
      <c r="A149" s="734"/>
      <c r="B149" s="734"/>
      <c r="C149" s="734"/>
      <c r="D149" s="735" t="str">
        <f t="shared" si="35"/>
        <v>Nov</v>
      </c>
      <c r="E149" s="735" t="str">
        <f t="shared" si="37"/>
        <v>Year 2</v>
      </c>
      <c r="F149" s="748">
        <f t="shared" si="38"/>
        <v>3336127.8999970634</v>
      </c>
      <c r="G149" s="772">
        <f t="shared" si="39"/>
        <v>2.8E-3</v>
      </c>
      <c r="H149" s="748">
        <f t="shared" si="39"/>
        <v>481942.42951011372</v>
      </c>
      <c r="I149" s="743">
        <f t="shared" si="36"/>
        <v>2863526.6286069416</v>
      </c>
      <c r="J149" s="735"/>
      <c r="K149" s="735"/>
      <c r="L149" s="735"/>
      <c r="M149" s="735"/>
      <c r="N149" s="735"/>
      <c r="O149" s="735"/>
      <c r="P149" s="735"/>
      <c r="Q149" s="735"/>
      <c r="R149" s="735"/>
      <c r="S149" s="735"/>
      <c r="T149" s="735"/>
      <c r="U149" s="735"/>
      <c r="V149" s="735"/>
      <c r="W149" s="735"/>
      <c r="X149" s="735"/>
      <c r="Y149" s="735"/>
      <c r="Z149" s="735"/>
      <c r="AA149" s="735"/>
      <c r="AB149" s="735"/>
      <c r="AC149" s="736"/>
    </row>
    <row r="150" spans="1:29" ht="13.5">
      <c r="A150" s="734"/>
      <c r="B150" s="734"/>
      <c r="C150" s="734"/>
      <c r="D150" s="735" t="str">
        <f t="shared" si="35"/>
        <v>Dec</v>
      </c>
      <c r="E150" s="735" t="str">
        <f t="shared" si="37"/>
        <v>Year 2</v>
      </c>
      <c r="F150" s="748">
        <f t="shared" si="38"/>
        <v>2863526.6286069416</v>
      </c>
      <c r="G150" s="772">
        <f t="shared" si="39"/>
        <v>2.8E-3</v>
      </c>
      <c r="H150" s="748">
        <f t="shared" si="39"/>
        <v>481942.42951011372</v>
      </c>
      <c r="I150" s="743">
        <f t="shared" si="36"/>
        <v>2389602.0736569273</v>
      </c>
      <c r="J150" s="735"/>
      <c r="K150" s="735"/>
      <c r="L150" s="735"/>
      <c r="M150" s="735"/>
      <c r="N150" s="735"/>
      <c r="O150" s="735"/>
      <c r="P150" s="735"/>
      <c r="Q150" s="735"/>
      <c r="R150" s="735"/>
      <c r="S150" s="735"/>
      <c r="T150" s="735"/>
      <c r="U150" s="735"/>
      <c r="V150" s="735"/>
      <c r="W150" s="735"/>
      <c r="X150" s="735"/>
      <c r="Y150" s="735"/>
      <c r="Z150" s="735"/>
      <c r="AA150" s="735"/>
      <c r="AB150" s="735"/>
      <c r="AC150" s="736"/>
    </row>
    <row r="151" spans="1:29" ht="13.5">
      <c r="A151" s="734"/>
      <c r="B151" s="734"/>
      <c r="C151" s="734"/>
      <c r="D151" s="735" t="str">
        <f t="shared" si="35"/>
        <v>Jan</v>
      </c>
      <c r="E151" s="735" t="s">
        <v>539</v>
      </c>
      <c r="F151" s="748">
        <f t="shared" si="38"/>
        <v>2389602.0736569273</v>
      </c>
      <c r="G151" s="772">
        <f t="shared" si="39"/>
        <v>2.8E-3</v>
      </c>
      <c r="H151" s="748">
        <f t="shared" si="39"/>
        <v>481942.42951011372</v>
      </c>
      <c r="I151" s="743">
        <f t="shared" si="36"/>
        <v>1914350.5299530528</v>
      </c>
      <c r="J151" s="735"/>
      <c r="K151" s="735"/>
      <c r="L151" s="735"/>
      <c r="M151" s="735"/>
      <c r="N151" s="735"/>
      <c r="O151" s="735"/>
      <c r="P151" s="735"/>
      <c r="Q151" s="735"/>
      <c r="R151" s="735"/>
      <c r="S151" s="735"/>
      <c r="T151" s="735"/>
      <c r="U151" s="735"/>
      <c r="V151" s="735"/>
      <c r="W151" s="735"/>
      <c r="X151" s="735"/>
      <c r="Y151" s="735"/>
      <c r="Z151" s="735"/>
      <c r="AA151" s="735"/>
      <c r="AB151" s="735"/>
      <c r="AC151" s="736"/>
    </row>
    <row r="152" spans="1:29" ht="13.5">
      <c r="A152" s="734"/>
      <c r="B152" s="734"/>
      <c r="C152" s="734"/>
      <c r="D152" s="735" t="str">
        <f t="shared" si="35"/>
        <v>Feb</v>
      </c>
      <c r="E152" s="735" t="str">
        <f>+E151</f>
        <v>Year 3</v>
      </c>
      <c r="F152" s="748">
        <f t="shared" si="38"/>
        <v>1914350.5299530528</v>
      </c>
      <c r="G152" s="772">
        <f t="shared" si="39"/>
        <v>2.8E-3</v>
      </c>
      <c r="H152" s="748">
        <f t="shared" si="39"/>
        <v>481942.42951011372</v>
      </c>
      <c r="I152" s="743">
        <f t="shared" si="36"/>
        <v>1437768.2819268075</v>
      </c>
      <c r="J152" s="735"/>
      <c r="K152" s="735"/>
      <c r="L152" s="735"/>
      <c r="M152" s="735"/>
      <c r="N152" s="735"/>
      <c r="O152" s="735"/>
      <c r="P152" s="735"/>
      <c r="Q152" s="735"/>
      <c r="R152" s="735"/>
      <c r="S152" s="735"/>
      <c r="T152" s="735"/>
      <c r="U152" s="735"/>
      <c r="V152" s="735"/>
      <c r="W152" s="735"/>
      <c r="X152" s="735"/>
      <c r="Y152" s="735"/>
      <c r="Z152" s="735"/>
      <c r="AA152" s="735"/>
      <c r="AB152" s="735"/>
      <c r="AC152" s="736"/>
    </row>
    <row r="153" spans="1:29" ht="13.5">
      <c r="A153" s="734"/>
      <c r="B153" s="734"/>
      <c r="C153" s="734"/>
      <c r="D153" s="735" t="str">
        <f t="shared" si="35"/>
        <v>Mar</v>
      </c>
      <c r="E153" s="735" t="str">
        <f>+E152</f>
        <v>Year 3</v>
      </c>
      <c r="F153" s="748">
        <f t="shared" si="38"/>
        <v>1437768.2819268075</v>
      </c>
      <c r="G153" s="772">
        <f t="shared" si="39"/>
        <v>2.8E-3</v>
      </c>
      <c r="H153" s="748">
        <f t="shared" si="39"/>
        <v>481942.42951011372</v>
      </c>
      <c r="I153" s="743">
        <f t="shared" si="36"/>
        <v>959851.60360608879</v>
      </c>
      <c r="J153" s="735"/>
      <c r="K153" s="735"/>
      <c r="L153" s="735"/>
      <c r="M153" s="735"/>
      <c r="N153" s="735"/>
      <c r="O153" s="735"/>
      <c r="P153" s="735"/>
      <c r="Q153" s="735"/>
      <c r="R153" s="735"/>
      <c r="S153" s="735"/>
      <c r="T153" s="735"/>
      <c r="U153" s="735"/>
      <c r="V153" s="735"/>
      <c r="W153" s="735"/>
      <c r="X153" s="735"/>
      <c r="Y153" s="735"/>
      <c r="Z153" s="735"/>
      <c r="AA153" s="735"/>
      <c r="AB153" s="735"/>
      <c r="AC153" s="736"/>
    </row>
    <row r="154" spans="1:29" ht="13.5">
      <c r="A154" s="734"/>
      <c r="B154" s="734"/>
      <c r="C154" s="734"/>
      <c r="D154" s="735" t="str">
        <f t="shared" si="35"/>
        <v>Apr</v>
      </c>
      <c r="E154" s="735" t="str">
        <f>+E153</f>
        <v>Year 3</v>
      </c>
      <c r="F154" s="748">
        <f t="shared" si="38"/>
        <v>959851.60360608879</v>
      </c>
      <c r="G154" s="772">
        <f t="shared" si="39"/>
        <v>2.8E-3</v>
      </c>
      <c r="H154" s="748">
        <f t="shared" si="39"/>
        <v>481942.42951011372</v>
      </c>
      <c r="I154" s="743">
        <f t="shared" si="36"/>
        <v>480596.75858607207</v>
      </c>
      <c r="J154" s="735"/>
      <c r="K154" s="735"/>
      <c r="L154" s="735"/>
      <c r="M154" s="735"/>
      <c r="N154" s="735"/>
      <c r="O154" s="735"/>
      <c r="P154" s="735"/>
      <c r="Q154" s="735"/>
      <c r="R154" s="735"/>
      <c r="S154" s="735"/>
      <c r="T154" s="735"/>
      <c r="U154" s="735"/>
      <c r="V154" s="735"/>
      <c r="W154" s="735"/>
      <c r="X154" s="735"/>
      <c r="Y154" s="735"/>
      <c r="Z154" s="735"/>
      <c r="AA154" s="735"/>
      <c r="AB154" s="735"/>
      <c r="AC154" s="736"/>
    </row>
    <row r="155" spans="1:29" ht="13.5">
      <c r="A155" s="734"/>
      <c r="B155" s="734"/>
      <c r="C155" s="734"/>
      <c r="D155" s="735" t="str">
        <f t="shared" si="35"/>
        <v>May</v>
      </c>
      <c r="E155" s="735" t="str">
        <f>+E154</f>
        <v>Year 3</v>
      </c>
      <c r="F155" s="748">
        <f t="shared" si="38"/>
        <v>480596.75858607207</v>
      </c>
      <c r="G155" s="772">
        <f t="shared" si="39"/>
        <v>2.8E-3</v>
      </c>
      <c r="H155" s="748">
        <f t="shared" si="39"/>
        <v>481942.42951011372</v>
      </c>
      <c r="I155" s="743">
        <f t="shared" si="36"/>
        <v>-6.4028427004814148E-10</v>
      </c>
      <c r="J155" s="735"/>
      <c r="K155" s="735"/>
      <c r="L155" s="735"/>
      <c r="M155" s="735"/>
      <c r="N155" s="735"/>
      <c r="O155" s="735"/>
      <c r="P155" s="735"/>
      <c r="Q155" s="735"/>
      <c r="R155" s="735"/>
      <c r="S155" s="735"/>
      <c r="T155" s="735"/>
      <c r="U155" s="735"/>
      <c r="V155" s="735"/>
      <c r="W155" s="735"/>
      <c r="X155" s="735"/>
      <c r="Y155" s="735"/>
      <c r="Z155" s="735"/>
      <c r="AA155" s="735"/>
      <c r="AB155" s="735"/>
      <c r="AC155" s="736"/>
    </row>
    <row r="156" spans="1:29" ht="13.5">
      <c r="A156" s="734"/>
      <c r="B156" s="734"/>
      <c r="C156" s="734"/>
      <c r="D156" s="735" t="s">
        <v>480</v>
      </c>
      <c r="E156" s="735"/>
      <c r="F156" s="735"/>
      <c r="G156" s="735"/>
      <c r="H156" s="748">
        <f>SUM(H144:H155)</f>
        <v>5783309.1541213645</v>
      </c>
      <c r="I156" s="735"/>
      <c r="J156" s="735"/>
      <c r="K156" s="735"/>
      <c r="L156" s="735"/>
      <c r="M156" s="735"/>
      <c r="N156" s="735"/>
      <c r="O156" s="735"/>
      <c r="P156" s="735"/>
      <c r="Q156" s="735"/>
      <c r="R156" s="735"/>
      <c r="S156" s="735"/>
      <c r="T156" s="735"/>
      <c r="U156" s="735"/>
      <c r="V156" s="735"/>
      <c r="W156" s="735"/>
      <c r="X156" s="735"/>
      <c r="Y156" s="735"/>
      <c r="Z156" s="735"/>
      <c r="AA156" s="735"/>
      <c r="AB156" s="735"/>
      <c r="AC156" s="736"/>
    </row>
    <row r="157" spans="1:29" ht="13.5">
      <c r="A157" s="734"/>
      <c r="B157" s="734"/>
      <c r="C157" s="734"/>
      <c r="D157" s="735"/>
      <c r="E157" s="735"/>
      <c r="F157" s="735"/>
      <c r="G157" s="735"/>
      <c r="H157" s="735"/>
      <c r="I157" s="735"/>
      <c r="J157" s="735"/>
      <c r="K157" s="735"/>
      <c r="L157" s="735"/>
      <c r="M157" s="735"/>
      <c r="N157" s="735"/>
      <c r="O157" s="735"/>
      <c r="P157" s="735"/>
      <c r="Q157" s="735"/>
      <c r="R157" s="735"/>
      <c r="S157" s="735"/>
      <c r="T157" s="735"/>
      <c r="U157" s="735"/>
      <c r="V157" s="735"/>
      <c r="W157" s="735"/>
      <c r="X157" s="735"/>
      <c r="Y157" s="735"/>
      <c r="Z157" s="735"/>
      <c r="AA157" s="735"/>
      <c r="AB157" s="735"/>
      <c r="AC157" s="736"/>
    </row>
    <row r="158" spans="1:29" ht="13.5">
      <c r="B158" s="734"/>
      <c r="C158" s="734"/>
      <c r="D158" s="768" t="s">
        <v>685</v>
      </c>
      <c r="E158" s="734"/>
      <c r="G158" s="734"/>
      <c r="H158" s="748">
        <f>+H156</f>
        <v>5783309.1541213645</v>
      </c>
      <c r="I158" s="769"/>
      <c r="J158" s="748"/>
      <c r="K158" s="735"/>
      <c r="L158" s="735"/>
      <c r="M158" s="735"/>
      <c r="N158" s="735"/>
      <c r="O158" s="735"/>
      <c r="P158" s="735"/>
      <c r="Q158" s="735"/>
      <c r="R158" s="735"/>
      <c r="S158" s="735"/>
      <c r="T158" s="735"/>
      <c r="U158" s="735"/>
      <c r="V158" s="735"/>
      <c r="W158" s="735"/>
      <c r="X158" s="735"/>
      <c r="Y158" s="735"/>
      <c r="Z158" s="735"/>
      <c r="AA158" s="735"/>
      <c r="AB158" s="735"/>
      <c r="AC158" s="736"/>
    </row>
    <row r="159" spans="1:29" ht="13.5">
      <c r="A159" s="1127"/>
      <c r="B159" s="1128"/>
      <c r="C159" s="1128"/>
      <c r="D159" s="1167"/>
      <c r="E159" s="1128"/>
      <c r="F159" s="865"/>
      <c r="G159" s="1168" t="s">
        <v>851</v>
      </c>
      <c r="H159" s="1169">
        <f>'5 - Cost Support 1'!D253</f>
        <v>-13089047.05954301</v>
      </c>
      <c r="I159" s="1170" t="s">
        <v>586</v>
      </c>
      <c r="J159" s="875"/>
      <c r="K159" s="735"/>
      <c r="L159" s="735"/>
      <c r="M159" s="735"/>
      <c r="N159" s="735"/>
      <c r="O159" s="735"/>
      <c r="P159" s="735"/>
      <c r="Q159" s="735"/>
      <c r="R159" s="735"/>
      <c r="S159" s="735"/>
      <c r="T159" s="735"/>
      <c r="U159" s="735"/>
      <c r="V159" s="735"/>
      <c r="W159" s="735"/>
      <c r="X159" s="735"/>
      <c r="Y159" s="735"/>
      <c r="Z159" s="735"/>
      <c r="AA159" s="735"/>
      <c r="AB159" s="735"/>
      <c r="AC159" s="736"/>
    </row>
    <row r="160" spans="1:29" ht="13.5">
      <c r="A160" s="1127"/>
      <c r="B160" s="1128"/>
      <c r="C160" s="1128"/>
      <c r="D160" s="1167"/>
      <c r="E160" s="1128"/>
      <c r="F160" s="865"/>
      <c r="G160" s="1168" t="s">
        <v>852</v>
      </c>
      <c r="H160" s="1171">
        <f>SUM(H158:H159)</f>
        <v>-7305737.9054216454</v>
      </c>
      <c r="I160" s="1170"/>
      <c r="J160" s="875"/>
      <c r="K160" s="735"/>
      <c r="L160" s="735"/>
      <c r="M160" s="735"/>
      <c r="N160" s="735"/>
      <c r="O160" s="735"/>
      <c r="P160" s="735"/>
      <c r="Q160" s="735"/>
      <c r="R160" s="735"/>
      <c r="S160" s="735"/>
      <c r="T160" s="735"/>
      <c r="U160" s="735"/>
      <c r="V160" s="735"/>
      <c r="W160" s="735"/>
      <c r="X160" s="735"/>
      <c r="Y160" s="735"/>
      <c r="Z160" s="735"/>
      <c r="AA160" s="735"/>
      <c r="AB160" s="735"/>
      <c r="AC160" s="736"/>
    </row>
    <row r="161" spans="1:29" ht="13.5">
      <c r="A161" s="1127"/>
      <c r="B161" s="1128"/>
      <c r="C161" s="1128"/>
      <c r="D161" s="1167"/>
      <c r="E161" s="1128"/>
      <c r="F161" s="865"/>
      <c r="G161" s="1168"/>
      <c r="H161" s="1171"/>
      <c r="I161" s="1170"/>
      <c r="J161" s="875"/>
      <c r="K161" s="1132"/>
      <c r="L161" s="735"/>
      <c r="M161" s="735"/>
      <c r="N161" s="735"/>
      <c r="O161" s="735"/>
      <c r="P161" s="735"/>
      <c r="Q161" s="735"/>
      <c r="R161" s="735"/>
      <c r="S161" s="735"/>
      <c r="T161" s="735"/>
      <c r="U161" s="735"/>
      <c r="V161" s="735"/>
      <c r="W161" s="735"/>
      <c r="X161" s="735"/>
      <c r="Y161" s="735"/>
      <c r="Z161" s="735"/>
      <c r="AA161" s="735"/>
      <c r="AB161" s="735"/>
      <c r="AC161" s="736"/>
    </row>
    <row r="162" spans="1:29" ht="13.5">
      <c r="A162" s="1127"/>
      <c r="B162" s="1128"/>
      <c r="C162" s="1128"/>
      <c r="D162" s="1167" t="s">
        <v>686</v>
      </c>
      <c r="E162" s="1128"/>
      <c r="F162" s="865"/>
      <c r="G162" s="1128"/>
      <c r="H162" s="1172">
        <f>D116</f>
        <v>124794816.12427944</v>
      </c>
      <c r="I162" s="1173"/>
      <c r="J162" s="1131"/>
      <c r="K162" s="1132"/>
      <c r="L162" s="735"/>
      <c r="M162" s="735"/>
      <c r="N162" s="735"/>
      <c r="O162" s="735"/>
      <c r="P162" s="735"/>
      <c r="Q162" s="735"/>
      <c r="R162" s="735"/>
      <c r="S162" s="735"/>
      <c r="T162" s="735"/>
      <c r="U162" s="735"/>
      <c r="V162" s="735"/>
      <c r="W162" s="735"/>
      <c r="X162" s="735"/>
      <c r="Y162" s="735"/>
      <c r="Z162" s="735"/>
      <c r="AA162" s="735"/>
      <c r="AB162" s="735"/>
      <c r="AC162" s="736"/>
    </row>
    <row r="163" spans="1:29" ht="13.5">
      <c r="A163" s="1127"/>
      <c r="B163" s="1128"/>
      <c r="C163" s="1128"/>
      <c r="D163" s="1167" t="s">
        <v>538</v>
      </c>
      <c r="E163" s="1128"/>
      <c r="F163" s="865"/>
      <c r="G163" s="1128"/>
      <c r="H163" s="875">
        <f>H160+H162</f>
        <v>117489078.2188578</v>
      </c>
      <c r="I163" s="1130"/>
      <c r="J163" s="1131"/>
      <c r="K163" s="1132"/>
      <c r="L163" s="735"/>
      <c r="M163" s="735"/>
      <c r="N163" s="735"/>
      <c r="O163" s="735"/>
      <c r="P163" s="735"/>
      <c r="Q163" s="735"/>
      <c r="R163" s="735"/>
      <c r="S163" s="735"/>
      <c r="T163" s="735"/>
      <c r="U163" s="735"/>
      <c r="V163" s="735"/>
      <c r="W163" s="735"/>
      <c r="X163" s="735"/>
      <c r="Y163" s="735"/>
      <c r="Z163" s="735"/>
      <c r="AA163" s="735"/>
      <c r="AB163" s="735"/>
      <c r="AC163" s="736"/>
    </row>
    <row r="164" spans="1:29" ht="13.5">
      <c r="A164" s="1127"/>
      <c r="B164" s="1128"/>
      <c r="C164" s="1128"/>
      <c r="D164" s="1129"/>
      <c r="E164" s="1128"/>
      <c r="F164" s="865"/>
      <c r="G164" s="1174"/>
      <c r="H164" s="1171"/>
      <c r="I164" s="1170"/>
      <c r="J164" s="1175"/>
      <c r="K164" s="1132"/>
      <c r="L164" s="735"/>
      <c r="M164" s="735"/>
      <c r="N164" s="735"/>
      <c r="O164" s="735"/>
      <c r="P164" s="735"/>
      <c r="Q164" s="735"/>
      <c r="R164" s="735"/>
      <c r="S164" s="735"/>
      <c r="T164" s="735"/>
      <c r="U164" s="735"/>
      <c r="V164" s="735"/>
      <c r="W164" s="735"/>
      <c r="X164" s="735"/>
      <c r="Y164" s="735"/>
      <c r="Z164" s="735"/>
      <c r="AA164" s="735"/>
      <c r="AB164" s="735"/>
      <c r="AC164" s="736"/>
    </row>
    <row r="165" spans="1:29" ht="13.5">
      <c r="A165" s="1128"/>
      <c r="B165" s="1128"/>
      <c r="C165" s="1128"/>
      <c r="D165" s="1129"/>
      <c r="E165" s="1128"/>
      <c r="F165" s="875"/>
      <c r="G165" s="1174"/>
      <c r="H165" s="1171"/>
      <c r="I165" s="865"/>
      <c r="J165" s="1175"/>
      <c r="K165" s="1132"/>
      <c r="L165" s="735"/>
      <c r="M165" s="735"/>
      <c r="N165" s="735"/>
      <c r="O165" s="735"/>
      <c r="P165" s="735"/>
      <c r="Q165" s="735"/>
      <c r="R165" s="735"/>
      <c r="S165" s="735"/>
      <c r="T165" s="735"/>
      <c r="U165" s="735"/>
      <c r="V165" s="735"/>
      <c r="W165" s="735"/>
      <c r="X165" s="735"/>
      <c r="Y165" s="735"/>
      <c r="Z165" s="735"/>
      <c r="AA165" s="735"/>
      <c r="AB165" s="735"/>
      <c r="AC165" s="736"/>
    </row>
    <row r="166" spans="1:29" ht="13.5">
      <c r="A166" s="1128">
        <f>+A20</f>
        <v>10</v>
      </c>
      <c r="B166" s="1128" t="str">
        <f t="shared" ref="B166:D166" si="40">+B20</f>
        <v>May</v>
      </c>
      <c r="C166" s="1128" t="str">
        <f t="shared" si="40"/>
        <v>Year 3</v>
      </c>
      <c r="D166" s="1128" t="str">
        <f t="shared" si="40"/>
        <v>Post results of Step 9 on PJM web site</v>
      </c>
      <c r="E166" s="1132"/>
      <c r="F166" s="1132"/>
      <c r="G166" s="1176"/>
      <c r="H166" s="1171"/>
      <c r="I166" s="1170"/>
      <c r="J166" s="1177"/>
      <c r="K166" s="1132"/>
      <c r="L166" s="735"/>
      <c r="M166" s="735"/>
      <c r="N166" s="735"/>
      <c r="O166" s="735"/>
      <c r="P166" s="735"/>
      <c r="Q166" s="735"/>
      <c r="R166" s="735"/>
      <c r="S166" s="735"/>
      <c r="T166" s="735"/>
      <c r="U166" s="735"/>
      <c r="V166" s="735"/>
      <c r="W166" s="735"/>
      <c r="X166" s="735"/>
      <c r="Y166" s="735"/>
      <c r="Z166" s="735"/>
      <c r="AA166" s="735"/>
      <c r="AB166" s="735"/>
      <c r="AC166" s="736"/>
    </row>
    <row r="167" spans="1:29" ht="13.5">
      <c r="A167" s="1128"/>
      <c r="B167" s="1128"/>
      <c r="C167" s="1128"/>
      <c r="D167" s="1134">
        <f>H163</f>
        <v>117489078.2188578</v>
      </c>
      <c r="E167" s="1132"/>
      <c r="F167" s="1132"/>
      <c r="G167" s="1168"/>
      <c r="H167" s="1171"/>
      <c r="I167" s="1177"/>
      <c r="J167" s="1177"/>
      <c r="K167" s="1132"/>
      <c r="L167" s="735"/>
      <c r="M167" s="735"/>
      <c r="N167" s="735"/>
      <c r="O167" s="735"/>
      <c r="P167" s="735"/>
      <c r="Q167" s="735"/>
      <c r="R167" s="735"/>
      <c r="S167" s="735"/>
      <c r="T167" s="735"/>
      <c r="U167" s="735"/>
      <c r="V167" s="735"/>
      <c r="W167" s="735"/>
      <c r="X167" s="735"/>
      <c r="Y167" s="735"/>
      <c r="Z167" s="735"/>
      <c r="AA167" s="735"/>
      <c r="AB167" s="735"/>
      <c r="AC167" s="736"/>
    </row>
    <row r="168" spans="1:29" ht="13.5">
      <c r="A168" s="1128"/>
      <c r="B168" s="1128"/>
      <c r="C168" s="1128"/>
      <c r="D168" s="1135"/>
      <c r="E168" s="1129"/>
      <c r="F168" s="1132"/>
      <c r="G168" s="865"/>
      <c r="H168" s="865"/>
      <c r="I168" s="1137"/>
      <c r="J168" s="1137"/>
      <c r="K168" s="1132"/>
      <c r="L168" s="735"/>
      <c r="M168" s="735"/>
      <c r="N168" s="735"/>
      <c r="O168" s="735"/>
      <c r="P168" s="735"/>
      <c r="Q168" s="735"/>
      <c r="R168" s="735"/>
      <c r="S168" s="735"/>
      <c r="T168" s="735"/>
      <c r="U168" s="735"/>
      <c r="V168" s="735"/>
      <c r="W168" s="735"/>
      <c r="X168" s="735"/>
      <c r="Y168" s="735"/>
      <c r="Z168" s="735"/>
      <c r="AA168" s="735"/>
      <c r="AB168" s="735"/>
      <c r="AC168" s="736"/>
    </row>
    <row r="169" spans="1:29" ht="13.5">
      <c r="A169" s="1128"/>
      <c r="B169" s="1128"/>
      <c r="C169" s="1128"/>
      <c r="D169" s="1134"/>
      <c r="E169" s="1132"/>
      <c r="F169" s="1132"/>
      <c r="G169" s="1132"/>
      <c r="H169" s="1132"/>
      <c r="I169" s="1137"/>
      <c r="J169" s="1137"/>
      <c r="K169" s="1132"/>
      <c r="L169" s="735"/>
      <c r="M169" s="735"/>
      <c r="N169" s="735"/>
      <c r="O169" s="735"/>
      <c r="P169" s="735"/>
      <c r="Q169" s="735"/>
      <c r="R169" s="735"/>
      <c r="S169" s="735"/>
      <c r="T169" s="735"/>
      <c r="U169" s="735"/>
      <c r="V169" s="735"/>
      <c r="W169" s="735"/>
      <c r="X169" s="735"/>
      <c r="Y169" s="735"/>
      <c r="Z169" s="735"/>
      <c r="AA169" s="735"/>
      <c r="AB169" s="735"/>
      <c r="AC169" s="736"/>
    </row>
    <row r="170" spans="1:29" ht="13.5">
      <c r="A170" s="1128">
        <f>+A21</f>
        <v>11</v>
      </c>
      <c r="B170" s="1128" t="str">
        <f t="shared" ref="B170:D170" si="41">+B21</f>
        <v>June</v>
      </c>
      <c r="C170" s="1128" t="str">
        <f t="shared" si="41"/>
        <v>Year 3</v>
      </c>
      <c r="D170" s="1128" t="str">
        <f t="shared" si="41"/>
        <v>Results of Step 9 go into effect for the Rate Year 2 (e.g., June 1, 2006 - May 31, 2007)</v>
      </c>
      <c r="E170" s="1132"/>
      <c r="F170" s="1132"/>
      <c r="G170" s="1132"/>
      <c r="H170" s="1132"/>
      <c r="I170" s="1132"/>
      <c r="J170" s="1132"/>
      <c r="K170" s="1132"/>
      <c r="L170" s="735"/>
      <c r="M170" s="735"/>
      <c r="N170" s="735"/>
      <c r="O170" s="735"/>
      <c r="P170" s="735"/>
      <c r="Q170" s="735"/>
      <c r="R170" s="735"/>
      <c r="S170" s="735"/>
      <c r="T170" s="735"/>
      <c r="U170" s="735"/>
      <c r="V170" s="735"/>
      <c r="W170" s="735"/>
      <c r="X170" s="735"/>
      <c r="Y170" s="735"/>
      <c r="Z170" s="735"/>
      <c r="AA170" s="735"/>
      <c r="AB170" s="735"/>
      <c r="AC170" s="736"/>
    </row>
    <row r="171" spans="1:29" ht="13.5">
      <c r="A171" s="1128"/>
      <c r="B171" s="1128"/>
      <c r="C171" s="1128"/>
      <c r="D171" s="1136">
        <f>+D167</f>
        <v>117489078.2188578</v>
      </c>
      <c r="E171" s="1132"/>
      <c r="F171" s="1132"/>
      <c r="G171" s="1132"/>
      <c r="H171" s="1132"/>
      <c r="I171" s="1132"/>
      <c r="J171" s="1132"/>
      <c r="K171" s="1132"/>
      <c r="L171" s="735"/>
      <c r="M171" s="735"/>
      <c r="N171" s="735"/>
      <c r="O171" s="735"/>
      <c r="P171" s="735"/>
      <c r="Q171" s="735"/>
      <c r="R171" s="735"/>
      <c r="S171" s="735"/>
      <c r="T171" s="735"/>
      <c r="U171" s="735"/>
      <c r="V171" s="735"/>
      <c r="W171" s="735"/>
      <c r="X171" s="735"/>
      <c r="Y171" s="735"/>
      <c r="Z171" s="735"/>
      <c r="AA171" s="735"/>
      <c r="AB171" s="735"/>
      <c r="AC171" s="736"/>
    </row>
    <row r="172" spans="1:29" ht="13.5">
      <c r="A172" s="1128"/>
      <c r="B172" s="1128"/>
      <c r="C172" s="1128"/>
      <c r="D172" s="1129"/>
      <c r="E172" s="1132"/>
      <c r="F172" s="1132"/>
      <c r="G172" s="1132"/>
      <c r="H172" s="1132"/>
      <c r="I172" s="1132"/>
      <c r="J172" s="1132"/>
      <c r="K172" s="1132"/>
      <c r="L172" s="735"/>
      <c r="M172" s="735"/>
      <c r="N172" s="735"/>
      <c r="O172" s="735"/>
      <c r="P172" s="735"/>
      <c r="Q172" s="735"/>
      <c r="R172" s="735"/>
      <c r="S172" s="735"/>
      <c r="T172" s="735"/>
      <c r="U172" s="735"/>
      <c r="V172" s="735"/>
      <c r="W172" s="735"/>
      <c r="X172" s="735"/>
      <c r="Y172" s="735"/>
      <c r="Z172" s="735"/>
      <c r="AA172" s="735"/>
      <c r="AB172" s="735"/>
      <c r="AC172" s="736"/>
    </row>
    <row r="173" spans="1:29" ht="13.5">
      <c r="A173" s="1128"/>
      <c r="B173" s="1128"/>
      <c r="C173" s="1128"/>
      <c r="D173" s="1132"/>
      <c r="E173" s="1132"/>
      <c r="F173" s="1132"/>
      <c r="G173" s="1132"/>
      <c r="H173" s="865"/>
      <c r="I173" s="865"/>
      <c r="J173" s="865"/>
      <c r="K173" s="1132"/>
      <c r="L173" s="735"/>
      <c r="M173" s="735"/>
      <c r="N173" s="735"/>
      <c r="O173" s="735"/>
      <c r="P173" s="735"/>
      <c r="Q173" s="735"/>
      <c r="R173" s="735"/>
      <c r="S173" s="735"/>
      <c r="T173" s="735"/>
      <c r="U173" s="735"/>
      <c r="V173" s="735"/>
      <c r="W173" s="735"/>
      <c r="X173" s="735"/>
      <c r="Y173" s="735"/>
      <c r="Z173" s="735"/>
      <c r="AA173" s="735"/>
      <c r="AB173" s="735"/>
      <c r="AC173" s="736"/>
    </row>
    <row r="174" spans="1:29" ht="15.75">
      <c r="A174" s="1138"/>
      <c r="B174" s="1138"/>
      <c r="C174" s="1138"/>
      <c r="D174" s="1139"/>
      <c r="E174" s="1139"/>
      <c r="F174" s="1139"/>
      <c r="G174" s="1139"/>
      <c r="H174" s="1139"/>
      <c r="I174" s="1139"/>
      <c r="J174" s="1139"/>
      <c r="K174" s="1139"/>
      <c r="L174" s="776"/>
      <c r="M174" s="776"/>
      <c r="N174" s="776"/>
      <c r="O174" s="776"/>
      <c r="P174" s="776"/>
      <c r="Q174" s="776"/>
      <c r="R174" s="776"/>
      <c r="S174" s="776"/>
      <c r="T174" s="776"/>
      <c r="U174" s="776"/>
      <c r="V174" s="776"/>
      <c r="W174" s="776"/>
      <c r="X174" s="776"/>
      <c r="Y174" s="776"/>
      <c r="Z174" s="776"/>
      <c r="AA174" s="776"/>
      <c r="AB174" s="776"/>
    </row>
    <row r="175" spans="1:29" ht="15.75">
      <c r="A175" s="1138"/>
      <c r="B175" s="1138"/>
      <c r="C175" s="1138"/>
      <c r="D175" s="1139"/>
      <c r="E175" s="1139"/>
      <c r="F175" s="1139"/>
      <c r="G175" s="1139"/>
      <c r="H175" s="1139"/>
      <c r="I175" s="1139"/>
      <c r="J175" s="1139"/>
      <c r="K175" s="1139"/>
      <c r="L175" s="776"/>
      <c r="M175" s="776"/>
      <c r="N175" s="776"/>
      <c r="O175" s="776"/>
      <c r="P175" s="776"/>
      <c r="Q175" s="776"/>
      <c r="R175" s="776"/>
      <c r="S175" s="776"/>
      <c r="T175" s="776"/>
      <c r="U175" s="776"/>
      <c r="V175" s="776"/>
      <c r="W175" s="776"/>
      <c r="X175" s="776"/>
      <c r="Y175" s="776"/>
      <c r="Z175" s="776"/>
      <c r="AA175" s="776"/>
      <c r="AB175" s="776"/>
    </row>
    <row r="176" spans="1:29" ht="15.75">
      <c r="A176" s="1138"/>
      <c r="B176" s="1138"/>
      <c r="C176" s="1138"/>
      <c r="D176" s="1139"/>
      <c r="E176" s="1139"/>
      <c r="F176" s="1139"/>
      <c r="G176" s="1139"/>
      <c r="H176" s="1139"/>
      <c r="I176" s="1139"/>
      <c r="J176" s="1139"/>
      <c r="K176" s="1139"/>
      <c r="L176" s="776"/>
      <c r="M176" s="776"/>
      <c r="N176" s="776"/>
      <c r="O176" s="776"/>
      <c r="P176" s="776"/>
      <c r="Q176" s="776"/>
      <c r="R176" s="776"/>
      <c r="S176" s="776"/>
      <c r="T176" s="776"/>
      <c r="U176" s="776"/>
      <c r="V176" s="776"/>
      <c r="W176" s="776"/>
      <c r="X176" s="776"/>
      <c r="Y176" s="776"/>
      <c r="Z176" s="776"/>
      <c r="AA176" s="776"/>
      <c r="AB176" s="776"/>
    </row>
    <row r="177" spans="1:28" ht="15.75">
      <c r="A177" s="1138"/>
      <c r="B177" s="1138"/>
      <c r="C177" s="1138"/>
      <c r="D177" s="1139"/>
      <c r="E177" s="1139"/>
      <c r="F177" s="1139"/>
      <c r="G177" s="1139"/>
      <c r="H177" s="1139"/>
      <c r="I177" s="1139"/>
      <c r="J177" s="1139"/>
      <c r="K177" s="1139"/>
      <c r="L177" s="776"/>
      <c r="M177" s="776"/>
      <c r="N177" s="776"/>
      <c r="O177" s="776"/>
      <c r="P177" s="776"/>
      <c r="Q177" s="776"/>
      <c r="R177" s="776"/>
      <c r="S177" s="776"/>
      <c r="T177" s="776"/>
      <c r="U177" s="776"/>
      <c r="V177" s="776"/>
      <c r="W177" s="776"/>
      <c r="X177" s="776"/>
      <c r="Y177" s="776"/>
      <c r="Z177" s="776"/>
      <c r="AA177" s="776"/>
      <c r="AB177" s="776"/>
    </row>
    <row r="178" spans="1:28" ht="15.75">
      <c r="A178" s="1138"/>
      <c r="B178" s="1138"/>
      <c r="C178" s="1138"/>
      <c r="D178" s="1139"/>
      <c r="E178" s="1139"/>
      <c r="F178" s="1139"/>
      <c r="G178" s="1139"/>
      <c r="H178" s="1139"/>
      <c r="I178" s="1139"/>
      <c r="J178" s="1139"/>
      <c r="K178" s="1139"/>
      <c r="L178" s="776"/>
      <c r="M178" s="776"/>
      <c r="N178" s="776"/>
      <c r="O178" s="776"/>
      <c r="P178" s="776"/>
      <c r="Q178" s="776"/>
      <c r="R178" s="776"/>
      <c r="S178" s="776"/>
      <c r="T178" s="776"/>
      <c r="U178" s="776"/>
      <c r="V178" s="776"/>
      <c r="W178" s="776"/>
      <c r="X178" s="776"/>
      <c r="Y178" s="776"/>
      <c r="Z178" s="776"/>
      <c r="AA178" s="776"/>
      <c r="AB178" s="776"/>
    </row>
    <row r="179" spans="1:28" ht="15.75">
      <c r="A179" s="1138"/>
      <c r="B179" s="1138"/>
      <c r="C179" s="1138"/>
      <c r="D179" s="1139"/>
      <c r="E179" s="1139"/>
      <c r="F179" s="1139"/>
      <c r="G179" s="1139"/>
      <c r="H179" s="1139"/>
      <c r="I179" s="1139"/>
      <c r="J179" s="1139"/>
      <c r="K179" s="1139"/>
      <c r="L179" s="776"/>
      <c r="M179" s="776"/>
      <c r="N179" s="776"/>
      <c r="O179" s="776"/>
      <c r="P179" s="776"/>
      <c r="Q179" s="776"/>
      <c r="R179" s="776"/>
      <c r="S179" s="776"/>
      <c r="T179" s="776"/>
      <c r="U179" s="776"/>
      <c r="V179" s="776"/>
      <c r="W179" s="776"/>
      <c r="X179" s="776"/>
      <c r="Y179" s="776"/>
      <c r="Z179" s="776"/>
      <c r="AA179" s="776"/>
      <c r="AB179" s="776"/>
    </row>
    <row r="180" spans="1:28" ht="15.75">
      <c r="A180" s="1138"/>
      <c r="B180" s="1138"/>
      <c r="C180" s="1138"/>
      <c r="D180" s="1139"/>
      <c r="E180" s="1139"/>
      <c r="F180" s="1139"/>
      <c r="G180" s="1139"/>
      <c r="H180" s="1139"/>
      <c r="I180" s="1139"/>
      <c r="J180" s="1139"/>
      <c r="K180" s="1139"/>
      <c r="L180" s="776"/>
      <c r="M180" s="776"/>
      <c r="N180" s="776"/>
      <c r="O180" s="776"/>
      <c r="P180" s="776"/>
      <c r="Q180" s="776"/>
      <c r="R180" s="776"/>
      <c r="S180" s="776"/>
      <c r="T180" s="776"/>
      <c r="U180" s="776"/>
      <c r="V180" s="776"/>
      <c r="W180" s="776"/>
      <c r="X180" s="776"/>
      <c r="Y180" s="776"/>
      <c r="Z180" s="776"/>
      <c r="AA180" s="776"/>
      <c r="AB180" s="776"/>
    </row>
    <row r="181" spans="1:28" ht="15.75">
      <c r="A181" s="1138"/>
      <c r="B181" s="1138"/>
      <c r="C181" s="1138"/>
      <c r="D181" s="1139"/>
      <c r="E181" s="1139"/>
      <c r="F181" s="1139"/>
      <c r="G181" s="1139"/>
      <c r="H181" s="1139"/>
      <c r="I181" s="1139"/>
      <c r="J181" s="1139"/>
      <c r="K181" s="1139"/>
      <c r="L181" s="776"/>
      <c r="M181" s="776"/>
      <c r="N181" s="776"/>
      <c r="O181" s="776"/>
      <c r="P181" s="776"/>
      <c r="Q181" s="776"/>
      <c r="R181" s="776"/>
      <c r="S181" s="776"/>
      <c r="T181" s="776"/>
      <c r="U181" s="776"/>
      <c r="V181" s="776"/>
      <c r="W181" s="776"/>
      <c r="X181" s="776"/>
      <c r="Y181" s="776"/>
      <c r="Z181" s="776"/>
      <c r="AA181" s="776"/>
      <c r="AB181" s="776"/>
    </row>
    <row r="182" spans="1:28" ht="15.75">
      <c r="A182" s="1138"/>
      <c r="B182" s="1138"/>
      <c r="C182" s="1138"/>
      <c r="D182" s="1139"/>
      <c r="E182" s="1139"/>
      <c r="F182" s="1139"/>
      <c r="G182" s="1139"/>
      <c r="H182" s="1139"/>
      <c r="I182" s="1139"/>
      <c r="J182" s="1139"/>
      <c r="K182" s="1139"/>
      <c r="L182" s="776"/>
      <c r="M182" s="776"/>
      <c r="N182" s="776"/>
      <c r="O182" s="776"/>
      <c r="P182" s="776"/>
      <c r="Q182" s="776"/>
      <c r="R182" s="776"/>
      <c r="S182" s="776"/>
      <c r="T182" s="776"/>
      <c r="U182" s="776"/>
      <c r="V182" s="776"/>
      <c r="W182" s="776"/>
      <c r="X182" s="776"/>
      <c r="Y182" s="776"/>
      <c r="Z182" s="776"/>
      <c r="AA182" s="776"/>
      <c r="AB182" s="776"/>
    </row>
    <row r="183" spans="1:28" ht="15.75">
      <c r="A183" s="775"/>
      <c r="B183" s="775"/>
      <c r="C183" s="775"/>
      <c r="D183" s="776"/>
      <c r="E183" s="776"/>
      <c r="F183" s="776"/>
      <c r="G183" s="776"/>
      <c r="H183" s="776"/>
      <c r="I183" s="776"/>
      <c r="J183" s="776"/>
      <c r="K183" s="776"/>
      <c r="L183" s="776"/>
      <c r="M183" s="776"/>
      <c r="N183" s="776"/>
      <c r="O183" s="776"/>
      <c r="P183" s="776"/>
      <c r="Q183" s="776"/>
      <c r="R183" s="776"/>
      <c r="S183" s="776"/>
      <c r="T183" s="776"/>
      <c r="U183" s="776"/>
      <c r="V183" s="776"/>
      <c r="W183" s="776"/>
      <c r="X183" s="776"/>
      <c r="Y183" s="776"/>
      <c r="Z183" s="776"/>
      <c r="AA183" s="776"/>
      <c r="AB183" s="776"/>
    </row>
    <row r="184" spans="1:28" ht="15.75">
      <c r="A184" s="775"/>
      <c r="B184" s="775"/>
      <c r="C184" s="775"/>
      <c r="D184" s="776"/>
      <c r="E184" s="776"/>
      <c r="F184" s="776"/>
      <c r="G184" s="776"/>
      <c r="H184" s="776"/>
      <c r="I184" s="776"/>
      <c r="J184" s="776"/>
      <c r="K184" s="776"/>
      <c r="L184" s="776"/>
      <c r="M184" s="776"/>
      <c r="N184" s="776"/>
      <c r="O184" s="776"/>
      <c r="P184" s="776"/>
      <c r="Q184" s="776"/>
      <c r="R184" s="776"/>
      <c r="S184" s="776"/>
      <c r="T184" s="776"/>
      <c r="U184" s="776"/>
      <c r="V184" s="776"/>
      <c r="W184" s="776"/>
      <c r="X184" s="776"/>
      <c r="Y184" s="776"/>
      <c r="Z184" s="776"/>
      <c r="AA184" s="776"/>
      <c r="AB184" s="776"/>
    </row>
    <row r="185" spans="1:28" ht="15.75">
      <c r="A185" s="775"/>
      <c r="B185" s="775"/>
      <c r="C185" s="775"/>
      <c r="D185" s="776"/>
      <c r="E185" s="776"/>
      <c r="F185" s="776"/>
      <c r="G185" s="776"/>
      <c r="H185" s="776"/>
      <c r="I185" s="776"/>
      <c r="J185" s="776"/>
      <c r="K185" s="776"/>
      <c r="L185" s="776"/>
      <c r="M185" s="776"/>
      <c r="N185" s="776"/>
      <c r="O185" s="776"/>
      <c r="P185" s="776"/>
      <c r="Q185" s="776"/>
      <c r="R185" s="776"/>
      <c r="S185" s="776"/>
      <c r="T185" s="776"/>
      <c r="U185" s="776"/>
      <c r="V185" s="776"/>
      <c r="W185" s="776"/>
      <c r="X185" s="776"/>
      <c r="Y185" s="776"/>
      <c r="Z185" s="776"/>
      <c r="AA185" s="776"/>
      <c r="AB185" s="776"/>
    </row>
    <row r="186" spans="1:28" ht="15.75">
      <c r="A186" s="775"/>
      <c r="B186" s="775"/>
      <c r="C186" s="775"/>
      <c r="D186" s="776"/>
      <c r="E186" s="776"/>
      <c r="F186" s="776"/>
      <c r="G186" s="776"/>
      <c r="H186" s="776"/>
      <c r="I186" s="776"/>
      <c r="J186" s="776"/>
      <c r="K186" s="776"/>
      <c r="L186" s="776"/>
      <c r="M186" s="776"/>
      <c r="N186" s="776"/>
      <c r="O186" s="776"/>
      <c r="P186" s="776"/>
      <c r="Q186" s="776"/>
      <c r="R186" s="776"/>
      <c r="S186" s="776"/>
      <c r="T186" s="776"/>
      <c r="U186" s="776"/>
      <c r="V186" s="776"/>
      <c r="W186" s="776"/>
      <c r="X186" s="776"/>
      <c r="Y186" s="776"/>
      <c r="Z186" s="776"/>
      <c r="AA186" s="776"/>
      <c r="AB186" s="776"/>
    </row>
    <row r="187" spans="1:28" ht="15.75">
      <c r="A187" s="775"/>
      <c r="B187" s="775"/>
      <c r="C187" s="775"/>
      <c r="D187" s="776"/>
      <c r="E187" s="776"/>
      <c r="F187" s="776"/>
      <c r="G187" s="776"/>
      <c r="H187" s="776"/>
      <c r="I187" s="776"/>
      <c r="J187" s="776"/>
      <c r="K187" s="776"/>
      <c r="L187" s="776"/>
      <c r="M187" s="776"/>
      <c r="N187" s="776"/>
      <c r="O187" s="776"/>
      <c r="P187" s="776"/>
      <c r="Q187" s="776"/>
      <c r="R187" s="776"/>
      <c r="S187" s="776"/>
      <c r="T187" s="776"/>
      <c r="U187" s="776"/>
      <c r="V187" s="776"/>
      <c r="W187" s="776"/>
      <c r="X187" s="776"/>
      <c r="Y187" s="776"/>
      <c r="Z187" s="776"/>
      <c r="AA187" s="776"/>
      <c r="AB187" s="776"/>
    </row>
    <row r="188" spans="1:28" ht="15.75">
      <c r="A188" s="775"/>
      <c r="B188" s="775"/>
      <c r="C188" s="775"/>
      <c r="D188" s="776"/>
      <c r="E188" s="776"/>
      <c r="F188" s="776"/>
      <c r="G188" s="776"/>
      <c r="H188" s="776"/>
      <c r="I188" s="776"/>
      <c r="J188" s="776"/>
      <c r="K188" s="776"/>
      <c r="L188" s="776"/>
      <c r="M188" s="776"/>
      <c r="N188" s="776"/>
      <c r="O188" s="776"/>
      <c r="P188" s="776"/>
      <c r="Q188" s="776"/>
      <c r="R188" s="776"/>
      <c r="S188" s="776"/>
      <c r="T188" s="776"/>
      <c r="U188" s="776"/>
      <c r="V188" s="776"/>
      <c r="W188" s="776"/>
      <c r="X188" s="776"/>
      <c r="Y188" s="776"/>
      <c r="Z188" s="776"/>
      <c r="AA188" s="776"/>
      <c r="AB188" s="776"/>
    </row>
    <row r="189" spans="1:28" ht="15.75">
      <c r="A189" s="775"/>
      <c r="B189" s="775"/>
      <c r="C189" s="775"/>
      <c r="D189" s="776"/>
      <c r="E189" s="776"/>
      <c r="F189" s="776"/>
      <c r="G189" s="776"/>
      <c r="H189" s="776"/>
      <c r="I189" s="776"/>
      <c r="J189" s="776"/>
      <c r="K189" s="776"/>
      <c r="L189" s="776"/>
      <c r="M189" s="776"/>
      <c r="N189" s="776"/>
      <c r="O189" s="776"/>
      <c r="P189" s="776"/>
      <c r="Q189" s="776"/>
      <c r="R189" s="776"/>
      <c r="S189" s="776"/>
      <c r="T189" s="776"/>
      <c r="U189" s="776"/>
      <c r="V189" s="776"/>
      <c r="W189" s="776"/>
      <c r="X189" s="776"/>
      <c r="Y189" s="776"/>
      <c r="Z189" s="776"/>
      <c r="AA189" s="776"/>
      <c r="AB189" s="776"/>
    </row>
    <row r="190" spans="1:28" ht="15.75">
      <c r="A190" s="775"/>
      <c r="B190" s="775"/>
      <c r="C190" s="775"/>
      <c r="D190" s="776"/>
      <c r="E190" s="776"/>
      <c r="F190" s="776"/>
      <c r="G190" s="776"/>
      <c r="H190" s="776"/>
      <c r="I190" s="776"/>
      <c r="J190" s="776"/>
      <c r="K190" s="776"/>
      <c r="L190" s="776"/>
      <c r="M190" s="776"/>
      <c r="N190" s="776"/>
      <c r="O190" s="776"/>
      <c r="P190" s="776"/>
      <c r="Q190" s="776"/>
      <c r="R190" s="776"/>
      <c r="S190" s="776"/>
      <c r="T190" s="776"/>
      <c r="U190" s="776"/>
      <c r="V190" s="776"/>
      <c r="W190" s="776"/>
      <c r="X190" s="776"/>
      <c r="Y190" s="776"/>
      <c r="Z190" s="776"/>
      <c r="AA190" s="776"/>
      <c r="AB190" s="776"/>
    </row>
    <row r="191" spans="1:28" ht="15.75">
      <c r="A191" s="775"/>
      <c r="B191" s="775"/>
      <c r="C191" s="775"/>
      <c r="D191" s="776"/>
      <c r="E191" s="776"/>
      <c r="F191" s="776"/>
      <c r="G191" s="776"/>
      <c r="H191" s="776"/>
      <c r="I191" s="776"/>
      <c r="J191" s="776"/>
      <c r="K191" s="776"/>
      <c r="L191" s="776"/>
      <c r="M191" s="776"/>
      <c r="N191" s="776"/>
      <c r="O191" s="776"/>
      <c r="P191" s="776"/>
      <c r="Q191" s="776"/>
      <c r="R191" s="776"/>
      <c r="S191" s="776"/>
      <c r="T191" s="776"/>
      <c r="U191" s="776"/>
      <c r="V191" s="776"/>
      <c r="W191" s="776"/>
      <c r="X191" s="776"/>
      <c r="Y191" s="776"/>
      <c r="Z191" s="776"/>
      <c r="AA191" s="776"/>
      <c r="AB191" s="776"/>
    </row>
    <row r="192" spans="1:28" ht="15.75">
      <c r="A192" s="775"/>
      <c r="B192" s="775"/>
      <c r="C192" s="775"/>
      <c r="D192" s="776"/>
      <c r="E192" s="776"/>
      <c r="F192" s="776"/>
      <c r="G192" s="776"/>
      <c r="H192" s="776"/>
      <c r="I192" s="776"/>
      <c r="J192" s="776"/>
      <c r="K192" s="776"/>
      <c r="L192" s="776"/>
      <c r="M192" s="776"/>
      <c r="N192" s="776"/>
      <c r="O192" s="776"/>
      <c r="P192" s="776"/>
      <c r="Q192" s="776"/>
      <c r="R192" s="776"/>
      <c r="S192" s="776"/>
      <c r="T192" s="776"/>
      <c r="U192" s="776"/>
      <c r="V192" s="776"/>
      <c r="W192" s="776"/>
      <c r="X192" s="776"/>
      <c r="Y192" s="776"/>
      <c r="Z192" s="776"/>
      <c r="AA192" s="776"/>
      <c r="AB192" s="776"/>
    </row>
    <row r="193" spans="1:28" ht="15.75">
      <c r="A193" s="775"/>
      <c r="B193" s="775"/>
      <c r="C193" s="775"/>
      <c r="D193" s="776"/>
      <c r="E193" s="776"/>
      <c r="F193" s="776"/>
      <c r="G193" s="776"/>
      <c r="H193" s="776"/>
      <c r="I193" s="776"/>
      <c r="J193" s="776"/>
      <c r="K193" s="776"/>
      <c r="L193" s="776"/>
      <c r="M193" s="776"/>
      <c r="N193" s="776"/>
      <c r="O193" s="776"/>
      <c r="P193" s="776"/>
      <c r="Q193" s="776"/>
      <c r="R193" s="776"/>
      <c r="S193" s="776"/>
      <c r="T193" s="776"/>
      <c r="U193" s="776"/>
      <c r="V193" s="776"/>
      <c r="W193" s="776"/>
      <c r="X193" s="776"/>
      <c r="Y193" s="776"/>
      <c r="Z193" s="776"/>
      <c r="AA193" s="776"/>
      <c r="AB193" s="776"/>
    </row>
    <row r="194" spans="1:28" ht="15.75">
      <c r="A194" s="775"/>
      <c r="B194" s="775"/>
      <c r="C194" s="775"/>
      <c r="D194" s="776"/>
      <c r="E194" s="776"/>
      <c r="F194" s="776"/>
      <c r="G194" s="776"/>
      <c r="H194" s="776"/>
      <c r="I194" s="776"/>
      <c r="J194" s="776"/>
      <c r="K194" s="776"/>
      <c r="L194" s="776"/>
      <c r="M194" s="776"/>
      <c r="N194" s="776"/>
      <c r="O194" s="776"/>
      <c r="P194" s="776"/>
      <c r="Q194" s="776"/>
      <c r="R194" s="776"/>
      <c r="S194" s="776"/>
      <c r="T194" s="776"/>
      <c r="U194" s="776"/>
      <c r="V194" s="776"/>
      <c r="W194" s="776"/>
      <c r="X194" s="776"/>
      <c r="Y194" s="776"/>
      <c r="Z194" s="776"/>
      <c r="AA194" s="776"/>
      <c r="AB194" s="776"/>
    </row>
    <row r="195" spans="1:28" ht="15.75">
      <c r="A195" s="775"/>
      <c r="B195" s="775"/>
      <c r="C195" s="775"/>
      <c r="D195" s="776"/>
      <c r="E195" s="776"/>
      <c r="F195" s="776"/>
      <c r="G195" s="776"/>
      <c r="H195" s="776"/>
      <c r="I195" s="776"/>
      <c r="J195" s="776"/>
      <c r="K195" s="776"/>
      <c r="L195" s="776"/>
      <c r="M195" s="776"/>
      <c r="N195" s="776"/>
      <c r="O195" s="776"/>
      <c r="P195" s="776"/>
      <c r="Q195" s="776"/>
      <c r="R195" s="776"/>
      <c r="S195" s="776"/>
      <c r="T195" s="776"/>
      <c r="U195" s="776"/>
      <c r="V195" s="776"/>
      <c r="W195" s="776"/>
      <c r="X195" s="776"/>
      <c r="Y195" s="776"/>
      <c r="Z195" s="776"/>
      <c r="AA195" s="776"/>
      <c r="AB195" s="776"/>
    </row>
    <row r="196" spans="1:28" ht="15.75">
      <c r="A196" s="775"/>
      <c r="B196" s="775"/>
      <c r="C196" s="775"/>
      <c r="D196" s="776"/>
      <c r="E196" s="776"/>
      <c r="F196" s="776"/>
      <c r="G196" s="776"/>
      <c r="H196" s="776"/>
      <c r="I196" s="776"/>
      <c r="J196" s="776"/>
      <c r="K196" s="776"/>
      <c r="L196" s="776"/>
      <c r="M196" s="776"/>
      <c r="N196" s="776"/>
      <c r="O196" s="776"/>
      <c r="P196" s="776"/>
      <c r="Q196" s="776"/>
      <c r="R196" s="776"/>
      <c r="S196" s="776"/>
      <c r="T196" s="776"/>
      <c r="U196" s="776"/>
      <c r="V196" s="776"/>
      <c r="W196" s="776"/>
      <c r="X196" s="776"/>
      <c r="Y196" s="776"/>
      <c r="Z196" s="776"/>
      <c r="AA196" s="776"/>
      <c r="AB196" s="776"/>
    </row>
    <row r="197" spans="1:28" ht="15.75">
      <c r="A197" s="775"/>
      <c r="B197" s="775"/>
      <c r="C197" s="775"/>
      <c r="D197" s="776"/>
      <c r="E197" s="776"/>
      <c r="F197" s="776"/>
      <c r="G197" s="776"/>
      <c r="H197" s="776"/>
      <c r="I197" s="776"/>
      <c r="J197" s="776"/>
      <c r="K197" s="776"/>
      <c r="L197" s="776"/>
      <c r="M197" s="776"/>
      <c r="N197" s="776"/>
      <c r="O197" s="776"/>
      <c r="P197" s="776"/>
      <c r="Q197" s="776"/>
      <c r="R197" s="776"/>
      <c r="S197" s="776"/>
      <c r="T197" s="776"/>
      <c r="U197" s="776"/>
      <c r="V197" s="776"/>
      <c r="W197" s="776"/>
      <c r="X197" s="776"/>
      <c r="Y197" s="776"/>
      <c r="Z197" s="776"/>
      <c r="AA197" s="776"/>
      <c r="AB197" s="776"/>
    </row>
    <row r="198" spans="1:28" ht="15.75">
      <c r="A198" s="775"/>
      <c r="B198" s="775"/>
      <c r="C198" s="775"/>
      <c r="D198" s="776"/>
      <c r="E198" s="776"/>
      <c r="F198" s="776"/>
      <c r="G198" s="776"/>
      <c r="H198" s="776"/>
      <c r="I198" s="776"/>
      <c r="J198" s="776"/>
      <c r="K198" s="776"/>
      <c r="L198" s="776"/>
      <c r="M198" s="776"/>
      <c r="N198" s="776"/>
      <c r="O198" s="776"/>
      <c r="P198" s="776"/>
      <c r="Q198" s="776"/>
      <c r="R198" s="776"/>
      <c r="S198" s="776"/>
      <c r="T198" s="776"/>
      <c r="U198" s="776"/>
      <c r="V198" s="776"/>
      <c r="W198" s="776"/>
      <c r="X198" s="776"/>
      <c r="Y198" s="776"/>
      <c r="Z198" s="776"/>
      <c r="AA198" s="776"/>
      <c r="AB198" s="776"/>
    </row>
    <row r="199" spans="1:28" ht="15.75">
      <c r="A199" s="775"/>
      <c r="B199" s="775"/>
      <c r="C199" s="775"/>
      <c r="D199" s="776"/>
      <c r="E199" s="776"/>
      <c r="F199" s="776"/>
      <c r="G199" s="776"/>
      <c r="H199" s="776"/>
      <c r="I199" s="776"/>
      <c r="J199" s="776"/>
      <c r="K199" s="776"/>
      <c r="L199" s="776"/>
      <c r="M199" s="776"/>
      <c r="N199" s="776"/>
      <c r="O199" s="776"/>
      <c r="P199" s="776"/>
      <c r="Q199" s="776"/>
      <c r="R199" s="776"/>
      <c r="S199" s="776"/>
      <c r="T199" s="776"/>
      <c r="U199" s="776"/>
      <c r="V199" s="776"/>
      <c r="W199" s="776"/>
      <c r="X199" s="776"/>
      <c r="Y199" s="776"/>
      <c r="Z199" s="776"/>
      <c r="AA199" s="776"/>
      <c r="AB199" s="776"/>
    </row>
    <row r="200" spans="1:28" ht="15.75">
      <c r="A200" s="775"/>
      <c r="B200" s="775"/>
      <c r="C200" s="775"/>
      <c r="D200" s="776"/>
      <c r="E200" s="776"/>
      <c r="F200" s="776"/>
      <c r="G200" s="776"/>
      <c r="H200" s="776"/>
      <c r="I200" s="776"/>
      <c r="J200" s="776"/>
      <c r="K200" s="776"/>
      <c r="L200" s="776"/>
      <c r="M200" s="776"/>
      <c r="N200" s="776"/>
      <c r="O200" s="776"/>
      <c r="P200" s="776"/>
      <c r="Q200" s="776"/>
      <c r="R200" s="776"/>
      <c r="S200" s="776"/>
      <c r="T200" s="776"/>
      <c r="U200" s="776"/>
      <c r="V200" s="776"/>
      <c r="W200" s="776"/>
      <c r="X200" s="776"/>
      <c r="Y200" s="776"/>
      <c r="Z200" s="776"/>
      <c r="AA200" s="776"/>
      <c r="AB200" s="776"/>
    </row>
    <row r="201" spans="1:28" ht="15.75">
      <c r="A201" s="775"/>
      <c r="B201" s="775"/>
      <c r="C201" s="775"/>
      <c r="D201" s="776"/>
      <c r="E201" s="776"/>
      <c r="F201" s="776"/>
      <c r="G201" s="776"/>
      <c r="H201" s="776"/>
      <c r="I201" s="776"/>
      <c r="J201" s="776"/>
      <c r="K201" s="776"/>
      <c r="L201" s="776"/>
      <c r="M201" s="776"/>
      <c r="N201" s="776"/>
      <c r="O201" s="776"/>
      <c r="P201" s="776"/>
      <c r="Q201" s="776"/>
      <c r="R201" s="776"/>
      <c r="S201" s="776"/>
      <c r="T201" s="776"/>
      <c r="U201" s="776"/>
      <c r="V201" s="776"/>
      <c r="W201" s="776"/>
      <c r="X201" s="776"/>
      <c r="Y201" s="776"/>
      <c r="Z201" s="776"/>
      <c r="AA201" s="776"/>
      <c r="AB201" s="776"/>
    </row>
    <row r="202" spans="1:28" ht="15.75">
      <c r="A202" s="775"/>
      <c r="B202" s="775"/>
      <c r="C202" s="775"/>
      <c r="D202" s="776"/>
      <c r="E202" s="776"/>
      <c r="F202" s="776"/>
      <c r="G202" s="776"/>
      <c r="H202" s="776"/>
      <c r="I202" s="776"/>
      <c r="J202" s="776"/>
      <c r="K202" s="776"/>
      <c r="L202" s="776"/>
      <c r="M202" s="776"/>
      <c r="N202" s="776"/>
      <c r="O202" s="776"/>
      <c r="P202" s="776"/>
      <c r="Q202" s="776"/>
      <c r="R202" s="776"/>
      <c r="S202" s="776"/>
      <c r="T202" s="776"/>
      <c r="U202" s="776"/>
      <c r="V202" s="776"/>
      <c r="W202" s="776"/>
      <c r="X202" s="776"/>
      <c r="Y202" s="776"/>
      <c r="Z202" s="776"/>
      <c r="AA202" s="776"/>
      <c r="AB202" s="776"/>
    </row>
    <row r="203" spans="1:28" ht="15.75">
      <c r="A203" s="775"/>
      <c r="B203" s="775"/>
      <c r="C203" s="775"/>
      <c r="D203" s="776"/>
      <c r="E203" s="776"/>
      <c r="F203" s="776"/>
      <c r="G203" s="776"/>
      <c r="H203" s="776"/>
      <c r="I203" s="776"/>
      <c r="J203" s="776"/>
      <c r="K203" s="776"/>
      <c r="L203" s="776"/>
      <c r="M203" s="776"/>
      <c r="N203" s="776"/>
      <c r="O203" s="776"/>
      <c r="P203" s="776"/>
      <c r="Q203" s="776"/>
      <c r="R203" s="776"/>
      <c r="S203" s="776"/>
      <c r="T203" s="776"/>
      <c r="U203" s="776"/>
      <c r="V203" s="776"/>
      <c r="W203" s="776"/>
      <c r="X203" s="776"/>
      <c r="Y203" s="776"/>
      <c r="Z203" s="776"/>
      <c r="AA203" s="776"/>
      <c r="AB203" s="776"/>
    </row>
    <row r="204" spans="1:28" ht="15.75">
      <c r="A204" s="775"/>
      <c r="B204" s="775"/>
      <c r="C204" s="775"/>
      <c r="D204" s="776"/>
      <c r="E204" s="776"/>
      <c r="F204" s="776"/>
      <c r="G204" s="776"/>
      <c r="H204" s="776"/>
      <c r="I204" s="776"/>
      <c r="J204" s="776"/>
      <c r="K204" s="776"/>
      <c r="L204" s="776"/>
      <c r="M204" s="776"/>
      <c r="N204" s="776"/>
      <c r="O204" s="776"/>
      <c r="P204" s="776"/>
      <c r="Q204" s="776"/>
      <c r="R204" s="776"/>
      <c r="S204" s="776"/>
      <c r="T204" s="776"/>
      <c r="U204" s="776"/>
      <c r="V204" s="776"/>
      <c r="W204" s="776"/>
      <c r="X204" s="776"/>
      <c r="Y204" s="776"/>
      <c r="Z204" s="776"/>
      <c r="AA204" s="776"/>
      <c r="AB204" s="776"/>
    </row>
    <row r="205" spans="1:28" ht="15.75">
      <c r="A205" s="775"/>
      <c r="B205" s="775"/>
      <c r="C205" s="775"/>
      <c r="D205" s="776"/>
      <c r="E205" s="776"/>
      <c r="F205" s="776"/>
      <c r="G205" s="776"/>
      <c r="H205" s="776"/>
      <c r="I205" s="776"/>
      <c r="J205" s="776"/>
      <c r="K205" s="776"/>
      <c r="L205" s="776"/>
      <c r="M205" s="776"/>
      <c r="N205" s="776"/>
      <c r="O205" s="776"/>
      <c r="P205" s="776"/>
      <c r="Q205" s="776"/>
      <c r="R205" s="776"/>
      <c r="S205" s="776"/>
      <c r="T205" s="776"/>
      <c r="U205" s="776"/>
      <c r="V205" s="776"/>
      <c r="W205" s="776"/>
      <c r="X205" s="776"/>
      <c r="Y205" s="776"/>
      <c r="Z205" s="776"/>
      <c r="AA205" s="776"/>
      <c r="AB205" s="776"/>
    </row>
    <row r="206" spans="1:28" ht="15.75">
      <c r="A206" s="775"/>
      <c r="B206" s="775"/>
      <c r="C206" s="775"/>
      <c r="D206" s="776"/>
      <c r="E206" s="776"/>
      <c r="F206" s="776"/>
      <c r="G206" s="776"/>
      <c r="H206" s="776"/>
      <c r="I206" s="776"/>
      <c r="J206" s="776"/>
      <c r="K206" s="776"/>
      <c r="L206" s="776"/>
      <c r="M206" s="776"/>
      <c r="N206" s="776"/>
      <c r="O206" s="776"/>
      <c r="P206" s="776"/>
      <c r="Q206" s="776"/>
      <c r="R206" s="776"/>
      <c r="S206" s="776"/>
      <c r="T206" s="776"/>
      <c r="U206" s="776"/>
      <c r="V206" s="776"/>
      <c r="W206" s="776"/>
      <c r="X206" s="776"/>
      <c r="Y206" s="776"/>
      <c r="Z206" s="776"/>
      <c r="AA206" s="776"/>
      <c r="AB206" s="776"/>
    </row>
    <row r="207" spans="1:28" ht="15.75">
      <c r="A207" s="775"/>
      <c r="B207" s="775"/>
      <c r="C207" s="775"/>
      <c r="D207" s="776"/>
      <c r="E207" s="776"/>
      <c r="F207" s="776"/>
      <c r="G207" s="776"/>
      <c r="H207" s="776"/>
      <c r="I207" s="776"/>
      <c r="J207" s="776"/>
      <c r="K207" s="776"/>
      <c r="L207" s="776"/>
      <c r="M207" s="776"/>
      <c r="N207" s="776"/>
      <c r="O207" s="776"/>
      <c r="P207" s="776"/>
      <c r="Q207" s="776"/>
      <c r="R207" s="776"/>
      <c r="S207" s="776"/>
      <c r="T207" s="776"/>
      <c r="U207" s="776"/>
      <c r="V207" s="776"/>
      <c r="W207" s="776"/>
      <c r="X207" s="776"/>
      <c r="Y207" s="776"/>
      <c r="Z207" s="776"/>
      <c r="AA207" s="776"/>
      <c r="AB207" s="776"/>
    </row>
    <row r="208" spans="1:28" ht="15.75">
      <c r="A208" s="775"/>
      <c r="B208" s="775"/>
      <c r="C208" s="775"/>
      <c r="D208" s="776"/>
      <c r="E208" s="776"/>
      <c r="F208" s="776"/>
      <c r="G208" s="776"/>
      <c r="H208" s="776"/>
      <c r="I208" s="776"/>
      <c r="J208" s="776"/>
      <c r="K208" s="776"/>
      <c r="L208" s="776"/>
      <c r="M208" s="776"/>
      <c r="N208" s="776"/>
      <c r="O208" s="776"/>
      <c r="P208" s="776"/>
      <c r="Q208" s="776"/>
      <c r="R208" s="776"/>
      <c r="S208" s="776"/>
      <c r="T208" s="776"/>
      <c r="U208" s="776"/>
      <c r="V208" s="776"/>
      <c r="W208" s="776"/>
      <c r="X208" s="776"/>
      <c r="Y208" s="776"/>
      <c r="Z208" s="776"/>
      <c r="AA208" s="776"/>
      <c r="AB208" s="776"/>
    </row>
    <row r="209" spans="1:28" ht="15.75">
      <c r="A209" s="775"/>
      <c r="B209" s="775"/>
      <c r="C209" s="775"/>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row>
    <row r="210" spans="1:28" ht="15.75">
      <c r="A210" s="775"/>
      <c r="B210" s="775"/>
      <c r="C210" s="775"/>
      <c r="D210" s="776"/>
      <c r="E210" s="776"/>
      <c r="F210" s="776"/>
      <c r="G210" s="776"/>
      <c r="H210" s="776"/>
      <c r="I210" s="776"/>
      <c r="J210" s="776"/>
      <c r="K210" s="776"/>
      <c r="L210" s="776"/>
      <c r="M210" s="776"/>
      <c r="N210" s="776"/>
      <c r="O210" s="776"/>
      <c r="P210" s="776"/>
      <c r="Q210" s="776"/>
      <c r="R210" s="776"/>
      <c r="S210" s="776"/>
      <c r="T210" s="776"/>
      <c r="U210" s="776"/>
      <c r="V210" s="776"/>
      <c r="W210" s="776"/>
      <c r="X210" s="776"/>
      <c r="Y210" s="776"/>
      <c r="Z210" s="776"/>
      <c r="AA210" s="776"/>
      <c r="AB210" s="776"/>
    </row>
    <row r="211" spans="1:28" ht="15.75">
      <c r="A211" s="775"/>
      <c r="B211" s="775"/>
      <c r="C211" s="775"/>
      <c r="D211" s="776"/>
      <c r="E211" s="776"/>
      <c r="F211" s="776"/>
      <c r="G211" s="776"/>
      <c r="H211" s="776"/>
      <c r="I211" s="776"/>
      <c r="J211" s="776"/>
      <c r="K211" s="776"/>
      <c r="L211" s="776"/>
      <c r="M211" s="776"/>
      <c r="N211" s="776"/>
      <c r="O211" s="776"/>
      <c r="P211" s="776"/>
      <c r="Q211" s="776"/>
      <c r="R211" s="776"/>
      <c r="S211" s="776"/>
      <c r="T211" s="776"/>
      <c r="U211" s="776"/>
      <c r="V211" s="776"/>
      <c r="W211" s="776"/>
      <c r="X211" s="776"/>
      <c r="Y211" s="776"/>
      <c r="Z211" s="776"/>
      <c r="AA211" s="776"/>
      <c r="AB211" s="776"/>
    </row>
    <row r="212" spans="1:28" ht="15.75">
      <c r="A212" s="775"/>
      <c r="B212" s="775"/>
      <c r="C212" s="775"/>
      <c r="D212" s="776"/>
      <c r="E212" s="776"/>
      <c r="F212" s="776"/>
      <c r="G212" s="776"/>
      <c r="H212" s="776"/>
      <c r="I212" s="776"/>
      <c r="J212" s="776"/>
      <c r="K212" s="776"/>
      <c r="L212" s="776"/>
      <c r="M212" s="776"/>
      <c r="N212" s="776"/>
      <c r="O212" s="776"/>
      <c r="P212" s="776"/>
      <c r="Q212" s="776"/>
      <c r="R212" s="776"/>
      <c r="S212" s="776"/>
      <c r="T212" s="776"/>
      <c r="U212" s="776"/>
      <c r="V212" s="776"/>
      <c r="W212" s="776"/>
      <c r="X212" s="776"/>
      <c r="Y212" s="776"/>
      <c r="Z212" s="776"/>
      <c r="AA212" s="776"/>
      <c r="AB212" s="776"/>
    </row>
    <row r="213" spans="1:28" ht="15.75">
      <c r="A213" s="775"/>
      <c r="B213" s="775"/>
      <c r="C213" s="775"/>
      <c r="D213" s="776"/>
      <c r="E213" s="776"/>
      <c r="F213" s="776"/>
      <c r="G213" s="776"/>
      <c r="H213" s="776"/>
      <c r="I213" s="776"/>
      <c r="J213" s="776"/>
      <c r="K213" s="776"/>
      <c r="L213" s="776"/>
      <c r="M213" s="776"/>
      <c r="N213" s="776"/>
      <c r="O213" s="776"/>
      <c r="P213" s="776"/>
      <c r="Q213" s="776"/>
      <c r="R213" s="776"/>
      <c r="S213" s="776"/>
      <c r="T213" s="776"/>
      <c r="U213" s="776"/>
      <c r="V213" s="776"/>
      <c r="W213" s="776"/>
      <c r="X213" s="776"/>
      <c r="Y213" s="776"/>
      <c r="Z213" s="776"/>
      <c r="AA213" s="776"/>
      <c r="AB213" s="776"/>
    </row>
    <row r="214" spans="1:28" ht="15.75">
      <c r="A214" s="775"/>
      <c r="B214" s="775"/>
      <c r="C214" s="775"/>
      <c r="D214" s="776"/>
      <c r="E214" s="776"/>
      <c r="F214" s="776"/>
      <c r="G214" s="776"/>
      <c r="H214" s="776"/>
      <c r="I214" s="776"/>
      <c r="J214" s="776"/>
      <c r="K214" s="776"/>
      <c r="L214" s="776"/>
      <c r="M214" s="776"/>
      <c r="N214" s="776"/>
      <c r="O214" s="776"/>
      <c r="P214" s="776"/>
      <c r="Q214" s="776"/>
      <c r="R214" s="776"/>
      <c r="S214" s="776"/>
      <c r="T214" s="776"/>
      <c r="U214" s="776"/>
      <c r="V214" s="776"/>
      <c r="W214" s="776"/>
      <c r="X214" s="776"/>
      <c r="Y214" s="776"/>
      <c r="Z214" s="776"/>
      <c r="AA214" s="776"/>
      <c r="AB214" s="776"/>
    </row>
    <row r="215" spans="1:28" ht="15.75">
      <c r="A215" s="775"/>
      <c r="B215" s="775"/>
      <c r="C215" s="775"/>
      <c r="D215" s="776"/>
      <c r="E215" s="776"/>
      <c r="F215" s="776"/>
      <c r="G215" s="776"/>
      <c r="H215" s="776"/>
      <c r="I215" s="776"/>
      <c r="J215" s="776"/>
      <c r="K215" s="776"/>
      <c r="L215" s="776"/>
      <c r="M215" s="776"/>
      <c r="N215" s="776"/>
      <c r="O215" s="776"/>
      <c r="P215" s="776"/>
      <c r="Q215" s="776"/>
      <c r="R215" s="776"/>
      <c r="S215" s="776"/>
      <c r="T215" s="776"/>
      <c r="U215" s="776"/>
      <c r="V215" s="776"/>
      <c r="W215" s="776"/>
      <c r="X215" s="776"/>
      <c r="Y215" s="776"/>
      <c r="Z215" s="776"/>
      <c r="AA215" s="776"/>
      <c r="AB215" s="776"/>
    </row>
    <row r="216" spans="1:28" ht="15.75">
      <c r="A216" s="775"/>
      <c r="B216" s="775"/>
      <c r="C216" s="775"/>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row>
    <row r="217" spans="1:28" ht="15.75">
      <c r="A217" s="775"/>
      <c r="B217" s="775"/>
      <c r="C217" s="775"/>
      <c r="D217" s="776"/>
      <c r="E217" s="776"/>
      <c r="F217" s="776"/>
      <c r="G217" s="776"/>
      <c r="H217" s="776"/>
      <c r="I217" s="776"/>
      <c r="J217" s="776"/>
      <c r="K217" s="776"/>
      <c r="L217" s="776"/>
      <c r="M217" s="776"/>
      <c r="N217" s="776"/>
      <c r="O217" s="776"/>
      <c r="P217" s="776"/>
      <c r="Q217" s="776"/>
      <c r="R217" s="776"/>
      <c r="S217" s="776"/>
      <c r="T217" s="776"/>
      <c r="U217" s="776"/>
      <c r="V217" s="776"/>
      <c r="W217" s="776"/>
      <c r="X217" s="776"/>
      <c r="Y217" s="776"/>
      <c r="Z217" s="776"/>
      <c r="AA217" s="776"/>
      <c r="AB217" s="776"/>
    </row>
    <row r="218" spans="1:28" ht="15.75">
      <c r="A218" s="775"/>
      <c r="B218" s="775"/>
      <c r="C218" s="775"/>
      <c r="D218" s="776"/>
      <c r="E218" s="776"/>
      <c r="F218" s="776"/>
      <c r="G218" s="776"/>
      <c r="H218" s="776"/>
      <c r="I218" s="776"/>
      <c r="J218" s="776"/>
      <c r="K218" s="776"/>
      <c r="L218" s="776"/>
      <c r="M218" s="776"/>
      <c r="N218" s="776"/>
      <c r="O218" s="776"/>
      <c r="P218" s="776"/>
      <c r="Q218" s="776"/>
      <c r="R218" s="776"/>
      <c r="S218" s="776"/>
      <c r="T218" s="776"/>
      <c r="U218" s="776"/>
      <c r="V218" s="776"/>
      <c r="W218" s="776"/>
      <c r="X218" s="776"/>
      <c r="Y218" s="776"/>
      <c r="Z218" s="776"/>
      <c r="AA218" s="776"/>
      <c r="AB218" s="776"/>
    </row>
    <row r="219" spans="1:28" ht="15.75">
      <c r="A219" s="775"/>
      <c r="B219" s="775"/>
      <c r="C219" s="775"/>
      <c r="D219" s="776"/>
      <c r="E219" s="776"/>
      <c r="F219" s="776"/>
      <c r="G219" s="776"/>
      <c r="H219" s="776"/>
      <c r="I219" s="776"/>
      <c r="J219" s="776"/>
      <c r="K219" s="776"/>
      <c r="L219" s="776"/>
      <c r="M219" s="776"/>
      <c r="N219" s="776"/>
      <c r="O219" s="776"/>
      <c r="P219" s="776"/>
      <c r="Q219" s="776"/>
      <c r="R219" s="776"/>
      <c r="S219" s="776"/>
      <c r="T219" s="776"/>
      <c r="U219" s="776"/>
      <c r="V219" s="776"/>
      <c r="W219" s="776"/>
      <c r="X219" s="776"/>
      <c r="Y219" s="776"/>
      <c r="Z219" s="776"/>
      <c r="AA219" s="776"/>
      <c r="AB219" s="776"/>
    </row>
    <row r="220" spans="1:28" ht="15.75">
      <c r="A220" s="775"/>
      <c r="B220" s="775"/>
      <c r="C220" s="775"/>
      <c r="D220" s="776"/>
      <c r="E220" s="776"/>
      <c r="F220" s="776"/>
      <c r="G220" s="776"/>
      <c r="H220" s="776"/>
      <c r="I220" s="776"/>
      <c r="J220" s="776"/>
      <c r="K220" s="776"/>
      <c r="L220" s="776"/>
      <c r="M220" s="776"/>
      <c r="N220" s="776"/>
      <c r="O220" s="776"/>
      <c r="P220" s="776"/>
      <c r="Q220" s="776"/>
      <c r="R220" s="776"/>
      <c r="S220" s="776"/>
      <c r="T220" s="776"/>
      <c r="U220" s="776"/>
      <c r="V220" s="776"/>
      <c r="W220" s="776"/>
      <c r="X220" s="776"/>
      <c r="Y220" s="776"/>
      <c r="Z220" s="776"/>
      <c r="AA220" s="776"/>
      <c r="AB220" s="776"/>
    </row>
    <row r="221" spans="1:28" ht="15.75">
      <c r="A221" s="775"/>
      <c r="B221" s="775"/>
      <c r="C221" s="775"/>
      <c r="D221" s="776"/>
      <c r="E221" s="776"/>
      <c r="F221" s="776"/>
      <c r="G221" s="776"/>
      <c r="H221" s="776"/>
      <c r="I221" s="776"/>
      <c r="J221" s="776"/>
      <c r="K221" s="776"/>
      <c r="L221" s="776"/>
      <c r="M221" s="776"/>
      <c r="N221" s="776"/>
      <c r="O221" s="776"/>
      <c r="P221" s="776"/>
      <c r="Q221" s="776"/>
      <c r="R221" s="776"/>
      <c r="S221" s="776"/>
      <c r="T221" s="776"/>
      <c r="U221" s="776"/>
      <c r="V221" s="776"/>
      <c r="W221" s="776"/>
      <c r="X221" s="776"/>
      <c r="Y221" s="776"/>
      <c r="Z221" s="776"/>
      <c r="AA221" s="776"/>
      <c r="AB221" s="776"/>
    </row>
    <row r="222" spans="1:28" ht="15.75">
      <c r="A222" s="775"/>
      <c r="B222" s="775"/>
      <c r="C222" s="775"/>
      <c r="D222" s="776"/>
      <c r="E222" s="776"/>
      <c r="F222" s="776"/>
      <c r="G222" s="776"/>
      <c r="H222" s="776"/>
      <c r="I222" s="776"/>
      <c r="J222" s="776"/>
      <c r="K222" s="776"/>
      <c r="L222" s="776"/>
      <c r="M222" s="776"/>
      <c r="N222" s="776"/>
      <c r="O222" s="776"/>
      <c r="P222" s="776"/>
      <c r="Q222" s="776"/>
      <c r="R222" s="776"/>
      <c r="S222" s="776"/>
      <c r="T222" s="776"/>
      <c r="U222" s="776"/>
      <c r="V222" s="776"/>
      <c r="W222" s="776"/>
      <c r="X222" s="776"/>
      <c r="Y222" s="776"/>
      <c r="Z222" s="776"/>
      <c r="AA222" s="776"/>
      <c r="AB222" s="776"/>
    </row>
    <row r="223" spans="1:28" ht="15.75">
      <c r="A223" s="775"/>
      <c r="B223" s="775"/>
      <c r="C223" s="775"/>
      <c r="D223" s="776"/>
      <c r="E223" s="776"/>
      <c r="F223" s="776"/>
      <c r="G223" s="776"/>
      <c r="H223" s="776"/>
      <c r="I223" s="776"/>
      <c r="J223" s="776"/>
      <c r="K223" s="776"/>
      <c r="L223" s="776"/>
      <c r="M223" s="776"/>
      <c r="N223" s="776"/>
      <c r="O223" s="776"/>
      <c r="P223" s="776"/>
      <c r="Q223" s="776"/>
      <c r="R223" s="776"/>
      <c r="S223" s="776"/>
      <c r="T223" s="776"/>
      <c r="U223" s="776"/>
      <c r="V223" s="776"/>
      <c r="W223" s="776"/>
      <c r="X223" s="776"/>
      <c r="Y223" s="776"/>
      <c r="Z223" s="776"/>
      <c r="AA223" s="776"/>
      <c r="AB223" s="776"/>
    </row>
    <row r="224" spans="1:28" ht="15.75">
      <c r="A224" s="775"/>
      <c r="B224" s="775"/>
      <c r="C224" s="775"/>
      <c r="D224" s="776"/>
      <c r="E224" s="776"/>
      <c r="F224" s="776"/>
      <c r="G224" s="776"/>
      <c r="H224" s="776"/>
      <c r="I224" s="776"/>
      <c r="J224" s="776"/>
      <c r="K224" s="776"/>
      <c r="L224" s="776"/>
      <c r="M224" s="776"/>
      <c r="N224" s="776"/>
      <c r="O224" s="776"/>
      <c r="P224" s="776"/>
      <c r="Q224" s="776"/>
      <c r="R224" s="776"/>
      <c r="S224" s="776"/>
      <c r="T224" s="776"/>
      <c r="U224" s="776"/>
      <c r="V224" s="776"/>
      <c r="W224" s="776"/>
      <c r="X224" s="776"/>
      <c r="Y224" s="776"/>
      <c r="Z224" s="776"/>
      <c r="AA224" s="776"/>
      <c r="AB224" s="776"/>
    </row>
    <row r="225" spans="1:28" ht="15.75">
      <c r="A225" s="775"/>
      <c r="B225" s="775"/>
      <c r="C225" s="775"/>
      <c r="D225" s="776"/>
      <c r="E225" s="776"/>
      <c r="F225" s="776"/>
      <c r="G225" s="776"/>
      <c r="H225" s="776"/>
      <c r="I225" s="776"/>
      <c r="J225" s="776"/>
      <c r="K225" s="776"/>
      <c r="L225" s="776"/>
      <c r="M225" s="776"/>
      <c r="N225" s="776"/>
      <c r="O225" s="776"/>
      <c r="P225" s="776"/>
      <c r="Q225" s="776"/>
      <c r="R225" s="776"/>
      <c r="S225" s="776"/>
      <c r="T225" s="776"/>
      <c r="U225" s="776"/>
      <c r="V225" s="776"/>
      <c r="W225" s="776"/>
      <c r="X225" s="776"/>
      <c r="Y225" s="776"/>
      <c r="Z225" s="776"/>
      <c r="AA225" s="776"/>
      <c r="AB225" s="776"/>
    </row>
    <row r="226" spans="1:28" ht="15.75">
      <c r="A226" s="775"/>
      <c r="B226" s="775"/>
      <c r="C226" s="775"/>
      <c r="D226" s="776"/>
      <c r="E226" s="776"/>
      <c r="F226" s="776"/>
      <c r="G226" s="776"/>
      <c r="H226" s="776"/>
      <c r="I226" s="776"/>
      <c r="J226" s="776"/>
      <c r="K226" s="776"/>
      <c r="L226" s="776"/>
      <c r="M226" s="776"/>
      <c r="N226" s="776"/>
      <c r="O226" s="776"/>
      <c r="P226" s="776"/>
      <c r="Q226" s="776"/>
      <c r="R226" s="776"/>
      <c r="S226" s="776"/>
      <c r="T226" s="776"/>
      <c r="U226" s="776"/>
      <c r="V226" s="776"/>
      <c r="W226" s="776"/>
      <c r="X226" s="776"/>
      <c r="Y226" s="776"/>
      <c r="Z226" s="776"/>
      <c r="AA226" s="776"/>
      <c r="AB226" s="776"/>
    </row>
    <row r="227" spans="1:28" ht="15.75">
      <c r="A227" s="775"/>
      <c r="B227" s="775"/>
      <c r="C227" s="775"/>
      <c r="D227" s="776"/>
      <c r="E227" s="776"/>
      <c r="F227" s="776"/>
      <c r="G227" s="776"/>
      <c r="H227" s="776"/>
      <c r="I227" s="776"/>
      <c r="J227" s="776"/>
      <c r="K227" s="776"/>
      <c r="L227" s="776"/>
      <c r="M227" s="776"/>
      <c r="N227" s="776"/>
      <c r="O227" s="776"/>
      <c r="P227" s="776"/>
      <c r="Q227" s="776"/>
      <c r="R227" s="776"/>
      <c r="S227" s="776"/>
      <c r="T227" s="776"/>
      <c r="U227" s="776"/>
      <c r="V227" s="776"/>
      <c r="W227" s="776"/>
      <c r="X227" s="776"/>
      <c r="Y227" s="776"/>
      <c r="Z227" s="776"/>
      <c r="AA227" s="776"/>
      <c r="AB227" s="776"/>
    </row>
    <row r="228" spans="1:28" ht="15.75">
      <c r="A228" s="775"/>
      <c r="B228" s="775"/>
      <c r="C228" s="775"/>
      <c r="D228" s="776"/>
      <c r="E228" s="776"/>
      <c r="F228" s="776"/>
      <c r="G228" s="776"/>
      <c r="H228" s="776"/>
      <c r="I228" s="776"/>
      <c r="J228" s="776"/>
      <c r="K228" s="776"/>
      <c r="L228" s="776"/>
      <c r="M228" s="776"/>
      <c r="N228" s="776"/>
      <c r="O228" s="776"/>
      <c r="P228" s="776"/>
      <c r="Q228" s="776"/>
      <c r="R228" s="776"/>
      <c r="S228" s="776"/>
      <c r="T228" s="776"/>
      <c r="U228" s="776"/>
      <c r="V228" s="776"/>
      <c r="W228" s="776"/>
      <c r="X228" s="776"/>
      <c r="Y228" s="776"/>
      <c r="Z228" s="776"/>
      <c r="AA228" s="776"/>
      <c r="AB228" s="776"/>
    </row>
    <row r="229" spans="1:28" ht="15.75">
      <c r="A229" s="775"/>
      <c r="B229" s="775"/>
      <c r="C229" s="775"/>
      <c r="D229" s="776"/>
      <c r="E229" s="776"/>
      <c r="F229" s="776"/>
      <c r="G229" s="776"/>
      <c r="H229" s="776"/>
      <c r="I229" s="776"/>
      <c r="J229" s="776"/>
      <c r="K229" s="776"/>
      <c r="L229" s="776"/>
      <c r="M229" s="776"/>
      <c r="N229" s="776"/>
      <c r="O229" s="776"/>
      <c r="P229" s="776"/>
      <c r="Q229" s="776"/>
      <c r="R229" s="776"/>
      <c r="S229" s="776"/>
      <c r="T229" s="776"/>
      <c r="U229" s="776"/>
      <c r="V229" s="776"/>
      <c r="W229" s="776"/>
      <c r="X229" s="776"/>
      <c r="Y229" s="776"/>
      <c r="Z229" s="776"/>
      <c r="AA229" s="776"/>
      <c r="AB229" s="776"/>
    </row>
    <row r="230" spans="1:28" ht="15.75">
      <c r="A230" s="775"/>
      <c r="B230" s="775"/>
      <c r="C230" s="775"/>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row>
    <row r="231" spans="1:28" ht="15.75">
      <c r="A231" s="775"/>
      <c r="B231" s="775"/>
      <c r="C231" s="775"/>
      <c r="D231" s="776"/>
      <c r="E231" s="776"/>
      <c r="F231" s="776"/>
      <c r="G231" s="776"/>
      <c r="H231" s="776"/>
      <c r="I231" s="776"/>
      <c r="J231" s="776"/>
      <c r="K231" s="776"/>
      <c r="L231" s="776"/>
      <c r="M231" s="776"/>
      <c r="N231" s="776"/>
      <c r="O231" s="776"/>
      <c r="P231" s="776"/>
      <c r="Q231" s="776"/>
      <c r="R231" s="776"/>
      <c r="S231" s="776"/>
      <c r="T231" s="776"/>
      <c r="U231" s="776"/>
      <c r="V231" s="776"/>
      <c r="W231" s="776"/>
      <c r="X231" s="776"/>
      <c r="Y231" s="776"/>
      <c r="Z231" s="776"/>
      <c r="AA231" s="776"/>
      <c r="AB231" s="776"/>
    </row>
    <row r="232" spans="1:28" ht="15.75">
      <c r="A232" s="775"/>
      <c r="B232" s="775"/>
      <c r="C232" s="775"/>
      <c r="D232" s="776"/>
      <c r="E232" s="776"/>
      <c r="F232" s="776"/>
      <c r="G232" s="776"/>
      <c r="H232" s="776"/>
      <c r="I232" s="776"/>
      <c r="J232" s="776"/>
      <c r="K232" s="776"/>
      <c r="L232" s="776"/>
      <c r="M232" s="776"/>
      <c r="N232" s="776"/>
      <c r="O232" s="776"/>
      <c r="P232" s="776"/>
      <c r="Q232" s="776"/>
      <c r="R232" s="776"/>
      <c r="S232" s="776"/>
      <c r="T232" s="776"/>
      <c r="U232" s="776"/>
      <c r="V232" s="776"/>
      <c r="W232" s="776"/>
      <c r="X232" s="776"/>
      <c r="Y232" s="776"/>
      <c r="Z232" s="776"/>
      <c r="AA232" s="776"/>
      <c r="AB232" s="776"/>
    </row>
    <row r="233" spans="1:28" ht="15.75">
      <c r="A233" s="775"/>
      <c r="B233" s="775"/>
      <c r="C233" s="775"/>
      <c r="D233" s="776"/>
      <c r="E233" s="776"/>
      <c r="F233" s="776"/>
      <c r="G233" s="776"/>
      <c r="H233" s="776"/>
      <c r="I233" s="776"/>
      <c r="J233" s="776"/>
      <c r="K233" s="776"/>
      <c r="L233" s="776"/>
      <c r="M233" s="776"/>
      <c r="N233" s="776"/>
      <c r="O233" s="776"/>
      <c r="P233" s="776"/>
      <c r="Q233" s="776"/>
      <c r="R233" s="776"/>
      <c r="S233" s="776"/>
      <c r="T233" s="776"/>
      <c r="U233" s="776"/>
      <c r="V233" s="776"/>
      <c r="W233" s="776"/>
      <c r="X233" s="776"/>
      <c r="Y233" s="776"/>
      <c r="Z233" s="776"/>
      <c r="AA233" s="776"/>
      <c r="AB233" s="776"/>
    </row>
    <row r="234" spans="1:28" ht="15.75">
      <c r="A234" s="775"/>
      <c r="B234" s="775"/>
      <c r="C234" s="775"/>
      <c r="D234" s="776"/>
      <c r="E234" s="776"/>
      <c r="F234" s="776"/>
      <c r="G234" s="776"/>
      <c r="H234" s="776"/>
      <c r="I234" s="776"/>
      <c r="J234" s="776"/>
      <c r="K234" s="776"/>
      <c r="L234" s="776"/>
      <c r="M234" s="776"/>
      <c r="N234" s="776"/>
      <c r="O234" s="776"/>
      <c r="P234" s="776"/>
      <c r="Q234" s="776"/>
      <c r="R234" s="776"/>
      <c r="S234" s="776"/>
      <c r="T234" s="776"/>
      <c r="U234" s="776"/>
      <c r="V234" s="776"/>
      <c r="W234" s="776"/>
      <c r="X234" s="776"/>
      <c r="Y234" s="776"/>
      <c r="Z234" s="776"/>
      <c r="AA234" s="776"/>
      <c r="AB234" s="776"/>
    </row>
    <row r="235" spans="1:28" ht="15.75">
      <c r="A235" s="775"/>
      <c r="B235" s="775"/>
      <c r="C235" s="775"/>
      <c r="D235" s="776"/>
      <c r="E235" s="776"/>
      <c r="F235" s="776"/>
      <c r="G235" s="776"/>
      <c r="H235" s="776"/>
      <c r="I235" s="776"/>
      <c r="J235" s="776"/>
      <c r="K235" s="776"/>
      <c r="L235" s="776"/>
      <c r="M235" s="776"/>
      <c r="N235" s="776"/>
      <c r="O235" s="776"/>
      <c r="P235" s="776"/>
      <c r="Q235" s="776"/>
      <c r="R235" s="776"/>
      <c r="S235" s="776"/>
      <c r="T235" s="776"/>
      <c r="U235" s="776"/>
      <c r="V235" s="776"/>
      <c r="W235" s="776"/>
      <c r="X235" s="776"/>
      <c r="Y235" s="776"/>
      <c r="Z235" s="776"/>
      <c r="AA235" s="776"/>
      <c r="AB235" s="776"/>
    </row>
    <row r="236" spans="1:28" ht="15.75">
      <c r="A236" s="775"/>
      <c r="B236" s="775"/>
      <c r="C236" s="775"/>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row>
    <row r="237" spans="1:28" ht="15.75">
      <c r="A237" s="775"/>
      <c r="B237" s="775"/>
      <c r="C237" s="775"/>
      <c r="D237" s="776"/>
      <c r="E237" s="776"/>
      <c r="F237" s="776"/>
      <c r="G237" s="776"/>
      <c r="H237" s="776"/>
      <c r="I237" s="776"/>
      <c r="J237" s="776"/>
      <c r="K237" s="776"/>
      <c r="L237" s="776"/>
      <c r="M237" s="776"/>
      <c r="N237" s="776"/>
      <c r="O237" s="776"/>
      <c r="P237" s="776"/>
      <c r="Q237" s="776"/>
      <c r="R237" s="776"/>
      <c r="S237" s="776"/>
      <c r="T237" s="776"/>
      <c r="U237" s="776"/>
      <c r="V237" s="776"/>
      <c r="W237" s="776"/>
      <c r="X237" s="776"/>
      <c r="Y237" s="776"/>
      <c r="Z237" s="776"/>
      <c r="AA237" s="776"/>
      <c r="AB237" s="776"/>
    </row>
    <row r="238" spans="1:28" ht="15.75">
      <c r="A238" s="775"/>
      <c r="B238" s="775"/>
      <c r="C238" s="775"/>
      <c r="D238" s="776"/>
      <c r="E238" s="776"/>
      <c r="F238" s="776"/>
      <c r="G238" s="776"/>
      <c r="H238" s="776"/>
      <c r="I238" s="776"/>
      <c r="J238" s="776"/>
      <c r="K238" s="776"/>
      <c r="L238" s="776"/>
      <c r="M238" s="776"/>
      <c r="N238" s="776"/>
      <c r="O238" s="776"/>
      <c r="P238" s="776"/>
      <c r="Q238" s="776"/>
      <c r="R238" s="776"/>
      <c r="S238" s="776"/>
      <c r="T238" s="776"/>
      <c r="U238" s="776"/>
      <c r="V238" s="776"/>
      <c r="W238" s="776"/>
      <c r="X238" s="776"/>
      <c r="Y238" s="776"/>
      <c r="Z238" s="776"/>
      <c r="AA238" s="776"/>
      <c r="AB238" s="776"/>
    </row>
    <row r="239" spans="1:28" ht="15.75">
      <c r="A239" s="775"/>
      <c r="B239" s="775"/>
      <c r="C239" s="775"/>
      <c r="D239" s="776"/>
      <c r="E239" s="776"/>
      <c r="F239" s="776"/>
      <c r="G239" s="776"/>
      <c r="H239" s="776"/>
      <c r="I239" s="776"/>
      <c r="J239" s="776"/>
      <c r="K239" s="776"/>
      <c r="L239" s="776"/>
      <c r="M239" s="776"/>
      <c r="N239" s="776"/>
      <c r="O239" s="776"/>
      <c r="P239" s="776"/>
      <c r="Q239" s="776"/>
      <c r="R239" s="776"/>
      <c r="S239" s="776"/>
      <c r="T239" s="776"/>
      <c r="U239" s="776"/>
      <c r="V239" s="776"/>
      <c r="W239" s="776"/>
      <c r="X239" s="776"/>
      <c r="Y239" s="776"/>
      <c r="Z239" s="776"/>
      <c r="AA239" s="776"/>
      <c r="AB239" s="776"/>
    </row>
    <row r="240" spans="1:28" ht="15.75">
      <c r="A240" s="775"/>
      <c r="B240" s="775"/>
      <c r="C240" s="775"/>
      <c r="D240" s="776"/>
      <c r="E240" s="776"/>
      <c r="F240" s="776"/>
      <c r="G240" s="776"/>
      <c r="H240" s="776"/>
      <c r="I240" s="776"/>
      <c r="J240" s="776"/>
      <c r="K240" s="776"/>
      <c r="L240" s="776"/>
      <c r="M240" s="776"/>
      <c r="N240" s="776"/>
      <c r="O240" s="776"/>
      <c r="P240" s="776"/>
      <c r="Q240" s="776"/>
      <c r="R240" s="776"/>
      <c r="S240" s="776"/>
      <c r="T240" s="776"/>
      <c r="U240" s="776"/>
      <c r="V240" s="776"/>
      <c r="W240" s="776"/>
      <c r="X240" s="776"/>
      <c r="Y240" s="776"/>
      <c r="Z240" s="776"/>
      <c r="AA240" s="776"/>
      <c r="AB240" s="776"/>
    </row>
    <row r="241" spans="1:28" ht="15.75">
      <c r="A241" s="775"/>
      <c r="B241" s="775"/>
      <c r="C241" s="775"/>
      <c r="D241" s="776"/>
      <c r="E241" s="776"/>
      <c r="F241" s="776"/>
      <c r="G241" s="776"/>
      <c r="H241" s="776"/>
      <c r="I241" s="776"/>
      <c r="J241" s="776"/>
      <c r="K241" s="776"/>
      <c r="L241" s="776"/>
      <c r="M241" s="776"/>
      <c r="N241" s="776"/>
      <c r="O241" s="776"/>
      <c r="P241" s="776"/>
      <c r="Q241" s="776"/>
      <c r="R241" s="776"/>
      <c r="S241" s="776"/>
      <c r="T241" s="776"/>
      <c r="U241" s="776"/>
      <c r="V241" s="776"/>
      <c r="W241" s="776"/>
      <c r="X241" s="776"/>
      <c r="Y241" s="776"/>
      <c r="Z241" s="776"/>
      <c r="AA241" s="776"/>
      <c r="AB241" s="776"/>
    </row>
    <row r="242" spans="1:28" ht="15.75">
      <c r="A242" s="775"/>
      <c r="B242" s="775"/>
      <c r="C242" s="775"/>
      <c r="D242" s="776"/>
      <c r="E242" s="776"/>
      <c r="F242" s="776"/>
      <c r="G242" s="776"/>
      <c r="H242" s="776"/>
      <c r="I242" s="776"/>
      <c r="J242" s="776"/>
      <c r="K242" s="776"/>
      <c r="L242" s="776"/>
      <c r="M242" s="776"/>
      <c r="N242" s="776"/>
      <c r="O242" s="776"/>
      <c r="P242" s="776"/>
      <c r="Q242" s="776"/>
      <c r="R242" s="776"/>
      <c r="S242" s="776"/>
      <c r="T242" s="776"/>
      <c r="U242" s="776"/>
      <c r="V242" s="776"/>
      <c r="W242" s="776"/>
      <c r="X242" s="776"/>
      <c r="Y242" s="776"/>
      <c r="Z242" s="776"/>
      <c r="AA242" s="776"/>
      <c r="AB242" s="776"/>
    </row>
    <row r="243" spans="1:28" ht="15.75">
      <c r="A243" s="775"/>
      <c r="B243" s="775"/>
      <c r="C243" s="775"/>
      <c r="D243" s="776"/>
      <c r="E243" s="776"/>
      <c r="F243" s="776"/>
      <c r="G243" s="776"/>
      <c r="H243" s="776"/>
      <c r="I243" s="776"/>
      <c r="J243" s="776"/>
      <c r="K243" s="776"/>
      <c r="L243" s="776"/>
      <c r="M243" s="776"/>
      <c r="N243" s="776"/>
      <c r="O243" s="776"/>
      <c r="P243" s="776"/>
      <c r="Q243" s="776"/>
      <c r="R243" s="776"/>
      <c r="S243" s="776"/>
      <c r="T243" s="776"/>
      <c r="U243" s="776"/>
      <c r="V243" s="776"/>
      <c r="W243" s="776"/>
      <c r="X243" s="776"/>
      <c r="Y243" s="776"/>
      <c r="Z243" s="776"/>
      <c r="AA243" s="776"/>
      <c r="AB243" s="776"/>
    </row>
    <row r="244" spans="1:28" ht="15.75">
      <c r="A244" s="775"/>
      <c r="B244" s="775"/>
      <c r="C244" s="775"/>
      <c r="D244" s="776"/>
      <c r="E244" s="776"/>
      <c r="F244" s="776"/>
      <c r="G244" s="776"/>
      <c r="H244" s="776"/>
      <c r="I244" s="776"/>
      <c r="J244" s="776"/>
      <c r="K244" s="776"/>
      <c r="L244" s="776"/>
      <c r="M244" s="776"/>
      <c r="N244" s="776"/>
      <c r="O244" s="776"/>
      <c r="P244" s="776"/>
      <c r="Q244" s="776"/>
      <c r="R244" s="776"/>
      <c r="S244" s="776"/>
      <c r="T244" s="776"/>
      <c r="U244" s="776"/>
      <c r="V244" s="776"/>
      <c r="W244" s="776"/>
      <c r="X244" s="776"/>
      <c r="Y244" s="776"/>
      <c r="Z244" s="776"/>
      <c r="AA244" s="776"/>
      <c r="AB244" s="776"/>
    </row>
    <row r="245" spans="1:28" ht="15.75">
      <c r="A245" s="775"/>
      <c r="B245" s="775"/>
      <c r="C245" s="775"/>
      <c r="D245" s="776"/>
      <c r="E245" s="776"/>
      <c r="F245" s="776"/>
      <c r="G245" s="776"/>
      <c r="H245" s="776"/>
      <c r="I245" s="776"/>
      <c r="J245" s="776"/>
      <c r="K245" s="776"/>
      <c r="L245" s="776"/>
      <c r="M245" s="776"/>
      <c r="N245" s="776"/>
      <c r="O245" s="776"/>
      <c r="P245" s="776"/>
      <c r="Q245" s="776"/>
      <c r="R245" s="776"/>
      <c r="S245" s="776"/>
      <c r="T245" s="776"/>
      <c r="U245" s="776"/>
      <c r="V245" s="776"/>
      <c r="W245" s="776"/>
      <c r="X245" s="776"/>
      <c r="Y245" s="776"/>
      <c r="Z245" s="776"/>
      <c r="AA245" s="776"/>
      <c r="AB245" s="776"/>
    </row>
    <row r="246" spans="1:28" ht="15.75">
      <c r="A246" s="775"/>
      <c r="B246" s="775"/>
      <c r="C246" s="775"/>
      <c r="D246" s="776"/>
      <c r="E246" s="776"/>
      <c r="F246" s="776"/>
      <c r="G246" s="776"/>
      <c r="H246" s="776"/>
      <c r="I246" s="776"/>
      <c r="J246" s="776"/>
      <c r="K246" s="776"/>
      <c r="L246" s="776"/>
      <c r="M246" s="776"/>
      <c r="N246" s="776"/>
      <c r="O246" s="776"/>
      <c r="P246" s="776"/>
      <c r="Q246" s="776"/>
      <c r="R246" s="776"/>
      <c r="S246" s="776"/>
      <c r="T246" s="776"/>
      <c r="U246" s="776"/>
      <c r="V246" s="776"/>
      <c r="W246" s="776"/>
      <c r="X246" s="776"/>
      <c r="Y246" s="776"/>
      <c r="Z246" s="776"/>
      <c r="AA246" s="776"/>
      <c r="AB246" s="776"/>
    </row>
    <row r="247" spans="1:28" ht="15.75">
      <c r="A247" s="775"/>
      <c r="B247" s="775"/>
      <c r="C247" s="775"/>
      <c r="D247" s="776"/>
      <c r="E247" s="776"/>
      <c r="F247" s="776"/>
      <c r="G247" s="776"/>
      <c r="H247" s="776"/>
      <c r="I247" s="776"/>
      <c r="J247" s="776"/>
      <c r="K247" s="776"/>
      <c r="L247" s="776"/>
      <c r="M247" s="776"/>
      <c r="N247" s="776"/>
      <c r="O247" s="776"/>
      <c r="P247" s="776"/>
      <c r="Q247" s="776"/>
      <c r="R247" s="776"/>
      <c r="S247" s="776"/>
      <c r="T247" s="776"/>
      <c r="U247" s="776"/>
      <c r="V247" s="776"/>
      <c r="W247" s="776"/>
      <c r="X247" s="776"/>
      <c r="Y247" s="776"/>
      <c r="Z247" s="776"/>
      <c r="AA247" s="776"/>
      <c r="AB247" s="776"/>
    </row>
    <row r="248" spans="1:28" ht="15.75">
      <c r="A248" s="775"/>
      <c r="B248" s="775"/>
      <c r="C248" s="775"/>
      <c r="D248" s="776"/>
      <c r="E248" s="776"/>
      <c r="F248" s="776"/>
      <c r="G248" s="776"/>
      <c r="H248" s="776"/>
      <c r="I248" s="776"/>
      <c r="J248" s="776"/>
      <c r="K248" s="776"/>
      <c r="L248" s="776"/>
      <c r="M248" s="776"/>
      <c r="N248" s="776"/>
      <c r="O248" s="776"/>
      <c r="P248" s="776"/>
      <c r="Q248" s="776"/>
      <c r="R248" s="776"/>
      <c r="S248" s="776"/>
      <c r="T248" s="776"/>
      <c r="U248" s="776"/>
      <c r="V248" s="776"/>
      <c r="W248" s="776"/>
      <c r="X248" s="776"/>
      <c r="Y248" s="776"/>
      <c r="Z248" s="776"/>
      <c r="AA248" s="776"/>
      <c r="AB248" s="776"/>
    </row>
    <row r="249" spans="1:28" ht="15.75">
      <c r="A249" s="775"/>
      <c r="B249" s="775"/>
      <c r="C249" s="775"/>
      <c r="D249" s="776"/>
      <c r="E249" s="776"/>
      <c r="F249" s="776"/>
      <c r="G249" s="776"/>
      <c r="H249" s="776"/>
      <c r="I249" s="776"/>
      <c r="J249" s="776"/>
      <c r="K249" s="776"/>
      <c r="L249" s="776"/>
      <c r="M249" s="776"/>
      <c r="N249" s="776"/>
      <c r="O249" s="776"/>
      <c r="P249" s="776"/>
      <c r="Q249" s="776"/>
      <c r="R249" s="776"/>
      <c r="S249" s="776"/>
      <c r="T249" s="776"/>
      <c r="U249" s="776"/>
      <c r="V249" s="776"/>
      <c r="W249" s="776"/>
      <c r="X249" s="776"/>
      <c r="Y249" s="776"/>
      <c r="Z249" s="776"/>
      <c r="AA249" s="776"/>
      <c r="AB249" s="776"/>
    </row>
    <row r="250" spans="1:28" ht="15.75">
      <c r="A250" s="775"/>
      <c r="B250" s="775"/>
      <c r="C250" s="775"/>
      <c r="D250" s="776"/>
      <c r="E250" s="776"/>
      <c r="F250" s="776"/>
      <c r="G250" s="776"/>
      <c r="H250" s="776"/>
      <c r="I250" s="776"/>
      <c r="J250" s="776"/>
      <c r="K250" s="776"/>
      <c r="L250" s="776"/>
      <c r="M250" s="776"/>
      <c r="N250" s="776"/>
      <c r="O250" s="776"/>
      <c r="P250" s="776"/>
      <c r="Q250" s="776"/>
      <c r="R250" s="776"/>
      <c r="S250" s="776"/>
      <c r="T250" s="776"/>
      <c r="U250" s="776"/>
      <c r="V250" s="776"/>
      <c r="W250" s="776"/>
      <c r="X250" s="776"/>
      <c r="Y250" s="776"/>
      <c r="Z250" s="776"/>
      <c r="AA250" s="776"/>
      <c r="AB250" s="776"/>
    </row>
    <row r="251" spans="1:28" ht="15.75">
      <c r="A251" s="775"/>
      <c r="B251" s="775"/>
      <c r="C251" s="775"/>
      <c r="D251" s="776"/>
      <c r="E251" s="776"/>
      <c r="F251" s="776"/>
      <c r="G251" s="776"/>
      <c r="H251" s="776"/>
      <c r="I251" s="776"/>
      <c r="J251" s="776"/>
      <c r="K251" s="776"/>
      <c r="L251" s="776"/>
      <c r="M251" s="776"/>
      <c r="N251" s="776"/>
      <c r="O251" s="776"/>
      <c r="P251" s="776"/>
      <c r="Q251" s="776"/>
      <c r="R251" s="776"/>
      <c r="S251" s="776"/>
      <c r="T251" s="776"/>
      <c r="U251" s="776"/>
      <c r="V251" s="776"/>
      <c r="W251" s="776"/>
      <c r="X251" s="776"/>
      <c r="Y251" s="776"/>
      <c r="Z251" s="776"/>
      <c r="AA251" s="776"/>
      <c r="AB251" s="776"/>
    </row>
    <row r="252" spans="1:28" ht="15.75">
      <c r="A252" s="775"/>
      <c r="B252" s="775"/>
      <c r="C252" s="775"/>
      <c r="D252" s="776"/>
      <c r="E252" s="776"/>
      <c r="F252" s="776"/>
      <c r="G252" s="776"/>
      <c r="H252" s="776"/>
      <c r="I252" s="776"/>
      <c r="J252" s="776"/>
      <c r="K252" s="776"/>
      <c r="L252" s="776"/>
      <c r="M252" s="776"/>
      <c r="N252" s="776"/>
      <c r="O252" s="776"/>
      <c r="P252" s="776"/>
      <c r="Q252" s="776"/>
      <c r="R252" s="776"/>
      <c r="S252" s="776"/>
      <c r="T252" s="776"/>
      <c r="U252" s="776"/>
      <c r="V252" s="776"/>
      <c r="W252" s="776"/>
      <c r="X252" s="776"/>
      <c r="Y252" s="776"/>
      <c r="Z252" s="776"/>
      <c r="AA252" s="776"/>
      <c r="AB252" s="776"/>
    </row>
    <row r="253" spans="1:28" ht="15.75">
      <c r="A253" s="775"/>
      <c r="B253" s="775"/>
      <c r="C253" s="775"/>
      <c r="D253" s="776"/>
      <c r="E253" s="776"/>
      <c r="F253" s="776"/>
      <c r="G253" s="776"/>
      <c r="H253" s="776"/>
      <c r="I253" s="776"/>
      <c r="J253" s="776"/>
      <c r="K253" s="776"/>
      <c r="L253" s="776"/>
      <c r="M253" s="776"/>
      <c r="N253" s="776"/>
      <c r="O253" s="776"/>
      <c r="P253" s="776"/>
      <c r="Q253" s="776"/>
      <c r="R253" s="776"/>
      <c r="S253" s="776"/>
      <c r="T253" s="776"/>
      <c r="U253" s="776"/>
      <c r="V253" s="776"/>
      <c r="W253" s="776"/>
      <c r="X253" s="776"/>
      <c r="Y253" s="776"/>
      <c r="Z253" s="776"/>
      <c r="AA253" s="776"/>
      <c r="AB253" s="776"/>
    </row>
    <row r="254" spans="1:28" ht="15.75">
      <c r="A254" s="775"/>
      <c r="B254" s="775"/>
      <c r="C254" s="775"/>
      <c r="D254" s="776"/>
      <c r="E254" s="776"/>
      <c r="F254" s="776"/>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row>
    <row r="255" spans="1:28" ht="15.75">
      <c r="A255" s="775"/>
      <c r="B255" s="775"/>
      <c r="C255" s="775"/>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row>
    <row r="256" spans="1:28" ht="15.75">
      <c r="A256" s="775"/>
      <c r="B256" s="775"/>
      <c r="C256" s="775"/>
      <c r="D256" s="776"/>
      <c r="E256" s="776"/>
      <c r="F256" s="776"/>
      <c r="G256" s="776"/>
      <c r="H256" s="776"/>
      <c r="I256" s="776"/>
      <c r="J256" s="776"/>
      <c r="K256" s="776"/>
      <c r="L256" s="776"/>
      <c r="M256" s="776"/>
      <c r="N256" s="776"/>
      <c r="O256" s="776"/>
      <c r="P256" s="776"/>
      <c r="Q256" s="776"/>
      <c r="R256" s="776"/>
      <c r="S256" s="776"/>
      <c r="T256" s="776"/>
      <c r="U256" s="776"/>
      <c r="V256" s="776"/>
      <c r="W256" s="776"/>
      <c r="X256" s="776"/>
      <c r="Y256" s="776"/>
      <c r="Z256" s="776"/>
      <c r="AA256" s="776"/>
      <c r="AB256" s="776"/>
    </row>
    <row r="257" spans="1:28" ht="15.75">
      <c r="A257" s="775"/>
      <c r="B257" s="775"/>
      <c r="C257" s="775"/>
      <c r="D257" s="776"/>
      <c r="E257" s="776"/>
      <c r="F257" s="776"/>
      <c r="G257" s="776"/>
      <c r="H257" s="776"/>
      <c r="I257" s="776"/>
      <c r="J257" s="776"/>
      <c r="K257" s="776"/>
      <c r="L257" s="776"/>
      <c r="M257" s="776"/>
      <c r="N257" s="776"/>
      <c r="O257" s="776"/>
      <c r="P257" s="776"/>
      <c r="Q257" s="776"/>
      <c r="R257" s="776"/>
      <c r="S257" s="776"/>
      <c r="T257" s="776"/>
      <c r="U257" s="776"/>
      <c r="V257" s="776"/>
      <c r="W257" s="776"/>
      <c r="X257" s="776"/>
      <c r="Y257" s="776"/>
      <c r="Z257" s="776"/>
      <c r="AA257" s="776"/>
      <c r="AB257" s="776"/>
    </row>
    <row r="258" spans="1:28" ht="15.75">
      <c r="A258" s="775"/>
      <c r="B258" s="775"/>
      <c r="C258" s="775"/>
      <c r="D258" s="776"/>
      <c r="E258" s="776"/>
      <c r="F258" s="776"/>
      <c r="G258" s="776"/>
      <c r="H258" s="776"/>
      <c r="I258" s="776"/>
      <c r="J258" s="776"/>
      <c r="K258" s="776"/>
      <c r="L258" s="776"/>
      <c r="M258" s="776"/>
      <c r="N258" s="776"/>
      <c r="O258" s="776"/>
      <c r="P258" s="776"/>
      <c r="Q258" s="776"/>
      <c r="R258" s="776"/>
      <c r="S258" s="776"/>
      <c r="T258" s="776"/>
      <c r="U258" s="776"/>
      <c r="V258" s="776"/>
      <c r="W258" s="776"/>
      <c r="X258" s="776"/>
      <c r="Y258" s="776"/>
      <c r="Z258" s="776"/>
      <c r="AA258" s="776"/>
      <c r="AB258" s="776"/>
    </row>
    <row r="259" spans="1:28" ht="15.75">
      <c r="A259" s="775"/>
      <c r="B259" s="775"/>
      <c r="C259" s="775"/>
      <c r="D259" s="776"/>
      <c r="E259" s="776"/>
      <c r="F259" s="776"/>
      <c r="G259" s="776"/>
      <c r="H259" s="776"/>
      <c r="I259" s="776"/>
      <c r="J259" s="776"/>
      <c r="K259" s="776"/>
      <c r="L259" s="776"/>
      <c r="M259" s="776"/>
      <c r="N259" s="776"/>
      <c r="O259" s="776"/>
      <c r="P259" s="776"/>
      <c r="Q259" s="776"/>
      <c r="R259" s="776"/>
      <c r="S259" s="776"/>
      <c r="T259" s="776"/>
      <c r="U259" s="776"/>
      <c r="V259" s="776"/>
      <c r="W259" s="776"/>
      <c r="X259" s="776"/>
      <c r="Y259" s="776"/>
      <c r="Z259" s="776"/>
      <c r="AA259" s="776"/>
      <c r="AB259" s="776"/>
    </row>
    <row r="260" spans="1:28" ht="15.75">
      <c r="A260" s="775"/>
      <c r="B260" s="775"/>
      <c r="C260" s="775"/>
      <c r="D260" s="776"/>
      <c r="E260" s="776"/>
      <c r="F260" s="776"/>
      <c r="G260" s="776"/>
      <c r="H260" s="776"/>
      <c r="I260" s="776"/>
      <c r="J260" s="776"/>
      <c r="K260" s="776"/>
      <c r="L260" s="776"/>
      <c r="M260" s="776"/>
      <c r="N260" s="776"/>
      <c r="O260" s="776"/>
      <c r="P260" s="776"/>
      <c r="Q260" s="776"/>
      <c r="R260" s="776"/>
      <c r="S260" s="776"/>
      <c r="T260" s="776"/>
      <c r="U260" s="776"/>
      <c r="V260" s="776"/>
      <c r="W260" s="776"/>
      <c r="X260" s="776"/>
      <c r="Y260" s="776"/>
      <c r="Z260" s="776"/>
      <c r="AA260" s="776"/>
      <c r="AB260" s="776"/>
    </row>
    <row r="261" spans="1:28" ht="15.75">
      <c r="A261" s="775"/>
      <c r="B261" s="775"/>
      <c r="C261" s="775"/>
      <c r="D261" s="776"/>
      <c r="E261" s="776"/>
      <c r="F261" s="776"/>
      <c r="G261" s="776"/>
      <c r="H261" s="776"/>
      <c r="I261" s="776"/>
      <c r="J261" s="776"/>
      <c r="K261" s="776"/>
      <c r="L261" s="776"/>
      <c r="M261" s="776"/>
      <c r="N261" s="776"/>
      <c r="O261" s="776"/>
      <c r="P261" s="776"/>
      <c r="Q261" s="776"/>
      <c r="R261" s="776"/>
      <c r="S261" s="776"/>
      <c r="T261" s="776"/>
      <c r="U261" s="776"/>
      <c r="V261" s="776"/>
      <c r="W261" s="776"/>
      <c r="X261" s="776"/>
      <c r="Y261" s="776"/>
      <c r="Z261" s="776"/>
      <c r="AA261" s="776"/>
      <c r="AB261" s="776"/>
    </row>
    <row r="262" spans="1:28" ht="15.75">
      <c r="A262" s="775"/>
      <c r="B262" s="775"/>
      <c r="C262" s="775"/>
      <c r="D262" s="776"/>
      <c r="E262" s="776"/>
      <c r="F262" s="776"/>
      <c r="G262" s="776"/>
      <c r="H262" s="776"/>
      <c r="I262" s="776"/>
      <c r="J262" s="776"/>
      <c r="K262" s="776"/>
      <c r="L262" s="776"/>
      <c r="M262" s="776"/>
      <c r="N262" s="776"/>
      <c r="O262" s="776"/>
      <c r="P262" s="776"/>
      <c r="Q262" s="776"/>
      <c r="R262" s="776"/>
      <c r="S262" s="776"/>
      <c r="T262" s="776"/>
      <c r="U262" s="776"/>
      <c r="V262" s="776"/>
      <c r="W262" s="776"/>
      <c r="X262" s="776"/>
      <c r="Y262" s="776"/>
      <c r="Z262" s="776"/>
      <c r="AA262" s="776"/>
      <c r="AB262" s="776"/>
    </row>
    <row r="263" spans="1:28" ht="15.75">
      <c r="A263" s="775"/>
      <c r="B263" s="775"/>
      <c r="C263" s="775"/>
      <c r="D263" s="776"/>
      <c r="E263" s="776"/>
      <c r="F263" s="776"/>
      <c r="G263" s="776"/>
      <c r="H263" s="776"/>
      <c r="I263" s="776"/>
      <c r="J263" s="776"/>
      <c r="K263" s="776"/>
      <c r="L263" s="776"/>
      <c r="M263" s="776"/>
      <c r="N263" s="776"/>
      <c r="O263" s="776"/>
      <c r="P263" s="776"/>
      <c r="Q263" s="776"/>
      <c r="R263" s="776"/>
      <c r="S263" s="776"/>
      <c r="T263" s="776"/>
      <c r="U263" s="776"/>
      <c r="V263" s="776"/>
      <c r="W263" s="776"/>
      <c r="X263" s="776"/>
      <c r="Y263" s="776"/>
      <c r="Z263" s="776"/>
      <c r="AA263" s="776"/>
      <c r="AB263" s="776"/>
    </row>
    <row r="264" spans="1:28" ht="15.75">
      <c r="A264" s="775"/>
      <c r="B264" s="775"/>
      <c r="C264" s="775"/>
      <c r="D264" s="776"/>
      <c r="E264" s="776"/>
      <c r="F264" s="776"/>
      <c r="G264" s="776"/>
      <c r="H264" s="776"/>
      <c r="I264" s="776"/>
      <c r="J264" s="776"/>
      <c r="K264" s="776"/>
      <c r="L264" s="776"/>
      <c r="M264" s="776"/>
      <c r="N264" s="776"/>
      <c r="O264" s="776"/>
      <c r="P264" s="776"/>
      <c r="Q264" s="776"/>
      <c r="R264" s="776"/>
      <c r="S264" s="776"/>
      <c r="T264" s="776"/>
      <c r="U264" s="776"/>
      <c r="V264" s="776"/>
      <c r="W264" s="776"/>
      <c r="X264" s="776"/>
      <c r="Y264" s="776"/>
      <c r="Z264" s="776"/>
      <c r="AA264" s="776"/>
      <c r="AB264" s="776"/>
    </row>
    <row r="265" spans="1:28" ht="15.75">
      <c r="A265" s="775"/>
      <c r="B265" s="775"/>
      <c r="C265" s="775"/>
      <c r="D265" s="776"/>
      <c r="E265" s="776"/>
      <c r="F265" s="776"/>
      <c r="G265" s="776"/>
      <c r="H265" s="776"/>
      <c r="I265" s="776"/>
      <c r="J265" s="776"/>
      <c r="K265" s="776"/>
      <c r="L265" s="776"/>
      <c r="M265" s="776"/>
      <c r="N265" s="776"/>
      <c r="O265" s="776"/>
      <c r="P265" s="776"/>
      <c r="Q265" s="776"/>
      <c r="R265" s="776"/>
      <c r="S265" s="776"/>
      <c r="T265" s="776"/>
      <c r="U265" s="776"/>
      <c r="V265" s="776"/>
      <c r="W265" s="776"/>
      <c r="X265" s="776"/>
      <c r="Y265" s="776"/>
      <c r="Z265" s="776"/>
      <c r="AA265" s="776"/>
      <c r="AB265" s="776"/>
    </row>
    <row r="266" spans="1:28" ht="15.75">
      <c r="A266" s="775"/>
      <c r="B266" s="775"/>
      <c r="C266" s="775"/>
      <c r="D266" s="776"/>
      <c r="E266" s="776"/>
      <c r="F266" s="776"/>
      <c r="G266" s="776"/>
      <c r="H266" s="776"/>
      <c r="I266" s="776"/>
      <c r="J266" s="776"/>
      <c r="K266" s="776"/>
      <c r="L266" s="776"/>
      <c r="M266" s="776"/>
      <c r="N266" s="776"/>
      <c r="O266" s="776"/>
      <c r="P266" s="776"/>
      <c r="Q266" s="776"/>
      <c r="R266" s="776"/>
      <c r="S266" s="776"/>
      <c r="T266" s="776"/>
      <c r="U266" s="776"/>
      <c r="V266" s="776"/>
      <c r="W266" s="776"/>
      <c r="X266" s="776"/>
      <c r="Y266" s="776"/>
      <c r="Z266" s="776"/>
      <c r="AA266" s="776"/>
      <c r="AB266" s="776"/>
    </row>
    <row r="267" spans="1:28" ht="15.75">
      <c r="A267" s="775"/>
      <c r="B267" s="775"/>
      <c r="C267" s="775"/>
      <c r="D267" s="776"/>
      <c r="E267" s="776"/>
      <c r="F267" s="776"/>
      <c r="G267" s="776"/>
      <c r="H267" s="776"/>
      <c r="I267" s="776"/>
      <c r="J267" s="776"/>
      <c r="K267" s="776"/>
      <c r="L267" s="776"/>
      <c r="M267" s="776"/>
      <c r="N267" s="776"/>
      <c r="O267" s="776"/>
      <c r="P267" s="776"/>
      <c r="Q267" s="776"/>
      <c r="R267" s="776"/>
      <c r="S267" s="776"/>
      <c r="T267" s="776"/>
      <c r="U267" s="776"/>
      <c r="V267" s="776"/>
      <c r="W267" s="776"/>
      <c r="X267" s="776"/>
      <c r="Y267" s="776"/>
      <c r="Z267" s="776"/>
      <c r="AA267" s="776"/>
      <c r="AB267" s="776"/>
    </row>
    <row r="268" spans="1:28" ht="15.75">
      <c r="A268" s="775"/>
      <c r="B268" s="775"/>
      <c r="C268" s="775"/>
      <c r="D268" s="776"/>
      <c r="E268" s="776"/>
      <c r="F268" s="776"/>
      <c r="G268" s="776"/>
      <c r="H268" s="776"/>
      <c r="I268" s="776"/>
      <c r="J268" s="776"/>
      <c r="K268" s="776"/>
      <c r="L268" s="776"/>
      <c r="M268" s="776"/>
      <c r="N268" s="776"/>
      <c r="O268" s="776"/>
      <c r="P268" s="776"/>
      <c r="Q268" s="776"/>
      <c r="R268" s="776"/>
      <c r="S268" s="776"/>
      <c r="T268" s="776"/>
      <c r="U268" s="776"/>
      <c r="V268" s="776"/>
      <c r="W268" s="776"/>
      <c r="X268" s="776"/>
      <c r="Y268" s="776"/>
      <c r="Z268" s="776"/>
      <c r="AA268" s="776"/>
      <c r="AB268" s="776"/>
    </row>
    <row r="269" spans="1:28" ht="15.75">
      <c r="A269" s="775"/>
      <c r="B269" s="775"/>
      <c r="C269" s="775"/>
      <c r="D269" s="776"/>
      <c r="E269" s="776"/>
      <c r="F269" s="776"/>
      <c r="G269" s="776"/>
      <c r="H269" s="776"/>
      <c r="I269" s="776"/>
      <c r="J269" s="776"/>
      <c r="K269" s="776"/>
      <c r="L269" s="776"/>
      <c r="M269" s="776"/>
      <c r="N269" s="776"/>
      <c r="O269" s="776"/>
      <c r="P269" s="776"/>
      <c r="Q269" s="776"/>
      <c r="R269" s="776"/>
      <c r="S269" s="776"/>
      <c r="T269" s="776"/>
      <c r="U269" s="776"/>
      <c r="V269" s="776"/>
      <c r="W269" s="776"/>
      <c r="X269" s="776"/>
      <c r="Y269" s="776"/>
      <c r="Z269" s="776"/>
      <c r="AA269" s="776"/>
      <c r="AB269" s="776"/>
    </row>
    <row r="270" spans="1:28" ht="15.75">
      <c r="A270" s="775"/>
      <c r="B270" s="775"/>
      <c r="C270" s="775"/>
      <c r="D270" s="776"/>
      <c r="E270" s="776"/>
      <c r="F270" s="776"/>
      <c r="G270" s="776"/>
      <c r="H270" s="776"/>
      <c r="I270" s="776"/>
      <c r="J270" s="776"/>
      <c r="K270" s="776"/>
      <c r="L270" s="776"/>
      <c r="M270" s="776"/>
      <c r="N270" s="776"/>
      <c r="O270" s="776"/>
      <c r="P270" s="776"/>
      <c r="Q270" s="776"/>
      <c r="R270" s="776"/>
      <c r="S270" s="776"/>
      <c r="T270" s="776"/>
      <c r="U270" s="776"/>
      <c r="V270" s="776"/>
      <c r="W270" s="776"/>
      <c r="X270" s="776"/>
      <c r="Y270" s="776"/>
      <c r="Z270" s="776"/>
      <c r="AA270" s="776"/>
      <c r="AB270" s="776"/>
    </row>
    <row r="271" spans="1:28" ht="15.75">
      <c r="A271" s="775"/>
      <c r="B271" s="775"/>
      <c r="C271" s="775"/>
      <c r="D271" s="776"/>
      <c r="E271" s="776"/>
      <c r="F271" s="776"/>
      <c r="G271" s="776"/>
      <c r="H271" s="776"/>
      <c r="I271" s="776"/>
      <c r="J271" s="776"/>
      <c r="K271" s="776"/>
      <c r="L271" s="776"/>
      <c r="M271" s="776"/>
      <c r="N271" s="776"/>
      <c r="O271" s="776"/>
      <c r="P271" s="776"/>
      <c r="Q271" s="776"/>
      <c r="R271" s="776"/>
      <c r="S271" s="776"/>
      <c r="T271" s="776"/>
      <c r="U271" s="776"/>
      <c r="V271" s="776"/>
      <c r="W271" s="776"/>
      <c r="X271" s="776"/>
      <c r="Y271" s="776"/>
      <c r="Z271" s="776"/>
      <c r="AA271" s="776"/>
      <c r="AB271" s="776"/>
    </row>
    <row r="272" spans="1:28" ht="15.75">
      <c r="A272" s="775"/>
      <c r="B272" s="775"/>
      <c r="C272" s="775"/>
      <c r="D272" s="776"/>
      <c r="E272" s="776"/>
      <c r="F272" s="776"/>
      <c r="G272" s="776"/>
      <c r="H272" s="776"/>
      <c r="I272" s="776"/>
      <c r="J272" s="776"/>
      <c r="K272" s="776"/>
      <c r="L272" s="776"/>
      <c r="M272" s="776"/>
      <c r="N272" s="776"/>
      <c r="O272" s="776"/>
      <c r="P272" s="776"/>
      <c r="Q272" s="776"/>
      <c r="R272" s="776"/>
      <c r="S272" s="776"/>
      <c r="T272" s="776"/>
      <c r="U272" s="776"/>
      <c r="V272" s="776"/>
      <c r="W272" s="776"/>
      <c r="X272" s="776"/>
      <c r="Y272" s="776"/>
      <c r="Z272" s="776"/>
      <c r="AA272" s="776"/>
      <c r="AB272" s="776"/>
    </row>
    <row r="273" spans="1:28" ht="15.75">
      <c r="A273" s="775"/>
      <c r="B273" s="775"/>
      <c r="C273" s="775"/>
      <c r="D273" s="776"/>
      <c r="E273" s="776"/>
      <c r="F273" s="776"/>
      <c r="G273" s="776"/>
      <c r="H273" s="776"/>
      <c r="I273" s="776"/>
      <c r="J273" s="776"/>
      <c r="K273" s="776"/>
      <c r="L273" s="776"/>
      <c r="M273" s="776"/>
      <c r="N273" s="776"/>
      <c r="O273" s="776"/>
      <c r="P273" s="776"/>
      <c r="Q273" s="776"/>
      <c r="R273" s="776"/>
      <c r="S273" s="776"/>
      <c r="T273" s="776"/>
      <c r="U273" s="776"/>
      <c r="V273" s="776"/>
      <c r="W273" s="776"/>
      <c r="X273" s="776"/>
      <c r="Y273" s="776"/>
      <c r="Z273" s="776"/>
      <c r="AA273" s="776"/>
      <c r="AB273" s="776"/>
    </row>
    <row r="274" spans="1:28" ht="15.75">
      <c r="A274" s="775"/>
      <c r="B274" s="775"/>
      <c r="C274" s="775"/>
      <c r="D274" s="776"/>
      <c r="E274" s="776"/>
      <c r="F274" s="776"/>
      <c r="G274" s="776"/>
      <c r="H274" s="776"/>
      <c r="I274" s="776"/>
      <c r="J274" s="776"/>
      <c r="K274" s="776"/>
      <c r="L274" s="776"/>
      <c r="M274" s="776"/>
      <c r="N274" s="776"/>
      <c r="O274" s="776"/>
      <c r="P274" s="776"/>
      <c r="Q274" s="776"/>
      <c r="R274" s="776"/>
      <c r="S274" s="776"/>
      <c r="T274" s="776"/>
      <c r="U274" s="776"/>
      <c r="V274" s="776"/>
      <c r="W274" s="776"/>
      <c r="X274" s="776"/>
      <c r="Y274" s="776"/>
      <c r="Z274" s="776"/>
      <c r="AA274" s="776"/>
      <c r="AB274" s="776"/>
    </row>
    <row r="275" spans="1:28" ht="15.75">
      <c r="A275" s="775"/>
      <c r="B275" s="775"/>
      <c r="C275" s="775"/>
      <c r="D275" s="776"/>
      <c r="E275" s="776"/>
      <c r="F275" s="776"/>
      <c r="G275" s="776"/>
      <c r="H275" s="776"/>
      <c r="I275" s="776"/>
      <c r="J275" s="776"/>
      <c r="K275" s="776"/>
      <c r="L275" s="776"/>
      <c r="M275" s="776"/>
      <c r="N275" s="776"/>
      <c r="O275" s="776"/>
      <c r="P275" s="776"/>
      <c r="Q275" s="776"/>
      <c r="R275" s="776"/>
      <c r="S275" s="776"/>
      <c r="T275" s="776"/>
      <c r="U275" s="776"/>
      <c r="V275" s="776"/>
      <c r="W275" s="776"/>
      <c r="X275" s="776"/>
      <c r="Y275" s="776"/>
      <c r="Z275" s="776"/>
      <c r="AA275" s="776"/>
      <c r="AB275" s="776"/>
    </row>
    <row r="276" spans="1:28" ht="15.75">
      <c r="A276" s="775"/>
      <c r="B276" s="775"/>
      <c r="C276" s="775"/>
      <c r="D276" s="776"/>
      <c r="E276" s="776"/>
      <c r="F276" s="776"/>
      <c r="G276" s="776"/>
      <c r="H276" s="776"/>
      <c r="I276" s="776"/>
      <c r="J276" s="776"/>
      <c r="K276" s="776"/>
      <c r="L276" s="776"/>
      <c r="M276" s="776"/>
      <c r="N276" s="776"/>
      <c r="O276" s="776"/>
      <c r="P276" s="776"/>
      <c r="Q276" s="776"/>
      <c r="R276" s="776"/>
      <c r="S276" s="776"/>
      <c r="T276" s="776"/>
      <c r="U276" s="776"/>
      <c r="V276" s="776"/>
      <c r="W276" s="776"/>
      <c r="X276" s="776"/>
      <c r="Y276" s="776"/>
      <c r="Z276" s="776"/>
      <c r="AA276" s="776"/>
      <c r="AB276" s="776"/>
    </row>
    <row r="277" spans="1:28" ht="15.75">
      <c r="A277" s="775"/>
      <c r="B277" s="775"/>
      <c r="C277" s="775"/>
      <c r="D277" s="776"/>
      <c r="E277" s="776"/>
      <c r="F277" s="776"/>
      <c r="G277" s="776"/>
      <c r="H277" s="776"/>
      <c r="I277" s="776"/>
      <c r="J277" s="776"/>
      <c r="K277" s="776"/>
      <c r="L277" s="776"/>
      <c r="M277" s="776"/>
      <c r="N277" s="776"/>
      <c r="O277" s="776"/>
      <c r="P277" s="776"/>
      <c r="Q277" s="776"/>
      <c r="R277" s="776"/>
      <c r="S277" s="776"/>
      <c r="T277" s="776"/>
      <c r="U277" s="776"/>
      <c r="V277" s="776"/>
      <c r="W277" s="776"/>
      <c r="X277" s="776"/>
      <c r="Y277" s="776"/>
      <c r="Z277" s="776"/>
      <c r="AA277" s="776"/>
      <c r="AB277" s="776"/>
    </row>
    <row r="278" spans="1:28" ht="15.75">
      <c r="A278" s="775"/>
      <c r="B278" s="775"/>
      <c r="C278" s="775"/>
      <c r="D278" s="776"/>
      <c r="E278" s="776"/>
      <c r="F278" s="776"/>
      <c r="G278" s="776"/>
      <c r="H278" s="776"/>
      <c r="I278" s="776"/>
      <c r="J278" s="776"/>
      <c r="K278" s="776"/>
      <c r="L278" s="776"/>
      <c r="M278" s="776"/>
      <c r="N278" s="776"/>
      <c r="O278" s="776"/>
      <c r="P278" s="776"/>
      <c r="Q278" s="776"/>
      <c r="R278" s="776"/>
      <c r="S278" s="776"/>
      <c r="T278" s="776"/>
      <c r="U278" s="776"/>
      <c r="V278" s="776"/>
      <c r="W278" s="776"/>
      <c r="X278" s="776"/>
      <c r="Y278" s="776"/>
      <c r="Z278" s="776"/>
      <c r="AA278" s="776"/>
      <c r="AB278" s="776"/>
    </row>
    <row r="279" spans="1:28" ht="15.75">
      <c r="A279" s="775"/>
      <c r="B279" s="775"/>
      <c r="C279" s="775"/>
      <c r="D279" s="776"/>
      <c r="E279" s="776"/>
      <c r="F279" s="776"/>
      <c r="G279" s="776"/>
      <c r="H279" s="776"/>
      <c r="I279" s="776"/>
      <c r="J279" s="776"/>
      <c r="K279" s="776"/>
      <c r="L279" s="776"/>
      <c r="M279" s="776"/>
      <c r="N279" s="776"/>
      <c r="O279" s="776"/>
      <c r="P279" s="776"/>
      <c r="Q279" s="776"/>
      <c r="R279" s="776"/>
      <c r="S279" s="776"/>
      <c r="T279" s="776"/>
      <c r="U279" s="776"/>
      <c r="V279" s="776"/>
      <c r="W279" s="776"/>
      <c r="X279" s="776"/>
      <c r="Y279" s="776"/>
      <c r="Z279" s="776"/>
      <c r="AA279" s="776"/>
      <c r="AB279" s="776"/>
    </row>
    <row r="280" spans="1:28" ht="15.75">
      <c r="A280" s="775"/>
      <c r="B280" s="775"/>
      <c r="C280" s="775"/>
      <c r="D280" s="776"/>
      <c r="E280" s="776"/>
      <c r="F280" s="776"/>
      <c r="G280" s="776"/>
      <c r="H280" s="776"/>
      <c r="I280" s="776"/>
      <c r="J280" s="776"/>
      <c r="K280" s="776"/>
      <c r="L280" s="776"/>
      <c r="M280" s="776"/>
      <c r="N280" s="776"/>
      <c r="O280" s="776"/>
      <c r="P280" s="776"/>
      <c r="Q280" s="776"/>
      <c r="R280" s="776"/>
      <c r="S280" s="776"/>
      <c r="T280" s="776"/>
      <c r="U280" s="776"/>
      <c r="V280" s="776"/>
      <c r="W280" s="776"/>
      <c r="X280" s="776"/>
      <c r="Y280" s="776"/>
      <c r="Z280" s="776"/>
      <c r="AA280" s="776"/>
      <c r="AB280" s="776"/>
    </row>
    <row r="281" spans="1:28" ht="15.75">
      <c r="A281" s="775"/>
      <c r="B281" s="775"/>
      <c r="C281" s="775"/>
      <c r="D281" s="776"/>
      <c r="E281" s="776"/>
      <c r="F281" s="776"/>
      <c r="G281" s="776"/>
      <c r="H281" s="776"/>
      <c r="I281" s="776"/>
      <c r="J281" s="776"/>
      <c r="K281" s="776"/>
      <c r="L281" s="776"/>
      <c r="M281" s="776"/>
      <c r="N281" s="776"/>
      <c r="O281" s="776"/>
      <c r="P281" s="776"/>
      <c r="Q281" s="776"/>
      <c r="R281" s="776"/>
      <c r="S281" s="776"/>
      <c r="T281" s="776"/>
      <c r="U281" s="776"/>
      <c r="V281" s="776"/>
      <c r="W281" s="776"/>
      <c r="X281" s="776"/>
      <c r="Y281" s="776"/>
      <c r="Z281" s="776"/>
      <c r="AA281" s="776"/>
      <c r="AB281" s="776"/>
    </row>
    <row r="282" spans="1:28" ht="15.75">
      <c r="A282" s="775"/>
      <c r="B282" s="775"/>
      <c r="C282" s="775"/>
      <c r="D282" s="776"/>
      <c r="E282" s="776"/>
      <c r="F282" s="776"/>
      <c r="G282" s="776"/>
      <c r="H282" s="776"/>
      <c r="I282" s="776"/>
      <c r="J282" s="776"/>
      <c r="K282" s="776"/>
      <c r="L282" s="776"/>
      <c r="M282" s="776"/>
      <c r="N282" s="776"/>
      <c r="O282" s="776"/>
      <c r="P282" s="776"/>
      <c r="Q282" s="776"/>
      <c r="R282" s="776"/>
      <c r="S282" s="776"/>
      <c r="T282" s="776"/>
      <c r="U282" s="776"/>
      <c r="V282" s="776"/>
      <c r="W282" s="776"/>
      <c r="X282" s="776"/>
      <c r="Y282" s="776"/>
      <c r="Z282" s="776"/>
      <c r="AA282" s="776"/>
      <c r="AB282" s="776"/>
    </row>
    <row r="283" spans="1:28" ht="15.75">
      <c r="A283" s="775"/>
      <c r="B283" s="775"/>
      <c r="C283" s="775"/>
      <c r="D283" s="776"/>
      <c r="E283" s="776"/>
      <c r="F283" s="776"/>
      <c r="G283" s="776"/>
      <c r="H283" s="776"/>
      <c r="I283" s="776"/>
      <c r="J283" s="776"/>
      <c r="K283" s="776"/>
      <c r="L283" s="776"/>
      <c r="M283" s="776"/>
      <c r="N283" s="776"/>
      <c r="O283" s="776"/>
      <c r="P283" s="776"/>
      <c r="Q283" s="776"/>
      <c r="R283" s="776"/>
      <c r="S283" s="776"/>
      <c r="T283" s="776"/>
      <c r="U283" s="776"/>
      <c r="V283" s="776"/>
      <c r="W283" s="776"/>
      <c r="X283" s="776"/>
      <c r="Y283" s="776"/>
      <c r="Z283" s="776"/>
      <c r="AA283" s="776"/>
      <c r="AB283" s="776"/>
    </row>
    <row r="284" spans="1:28" ht="15.75">
      <c r="A284" s="775"/>
      <c r="B284" s="775"/>
      <c r="C284" s="775"/>
      <c r="D284" s="776"/>
      <c r="E284" s="776"/>
      <c r="F284" s="776"/>
      <c r="G284" s="776"/>
      <c r="H284" s="776"/>
      <c r="I284" s="776"/>
      <c r="J284" s="776"/>
      <c r="K284" s="776"/>
      <c r="L284" s="776"/>
      <c r="M284" s="776"/>
      <c r="N284" s="776"/>
      <c r="O284" s="776"/>
      <c r="P284" s="776"/>
      <c r="Q284" s="776"/>
      <c r="R284" s="776"/>
      <c r="S284" s="776"/>
      <c r="T284" s="776"/>
      <c r="U284" s="776"/>
      <c r="V284" s="776"/>
      <c r="W284" s="776"/>
      <c r="X284" s="776"/>
      <c r="Y284" s="776"/>
      <c r="Z284" s="776"/>
      <c r="AA284" s="776"/>
      <c r="AB284" s="776"/>
    </row>
    <row r="285" spans="1:28" ht="15.75">
      <c r="A285" s="775"/>
      <c r="B285" s="775"/>
      <c r="C285" s="775"/>
      <c r="D285" s="776"/>
      <c r="E285" s="776"/>
      <c r="F285" s="776"/>
      <c r="G285" s="776"/>
      <c r="H285" s="776"/>
      <c r="I285" s="776"/>
      <c r="J285" s="776"/>
      <c r="K285" s="776"/>
      <c r="L285" s="776"/>
      <c r="M285" s="776"/>
      <c r="N285" s="776"/>
      <c r="O285" s="776"/>
      <c r="P285" s="776"/>
      <c r="Q285" s="776"/>
      <c r="R285" s="776"/>
      <c r="S285" s="776"/>
      <c r="T285" s="776"/>
      <c r="U285" s="776"/>
      <c r="V285" s="776"/>
      <c r="W285" s="776"/>
      <c r="X285" s="776"/>
      <c r="Y285" s="776"/>
      <c r="Z285" s="776"/>
      <c r="AA285" s="776"/>
      <c r="AB285" s="776"/>
    </row>
    <row r="286" spans="1:28" ht="15.75">
      <c r="A286" s="775"/>
      <c r="B286" s="775"/>
      <c r="C286" s="775"/>
      <c r="D286" s="776"/>
      <c r="E286" s="776"/>
      <c r="F286" s="776"/>
      <c r="G286" s="776"/>
      <c r="H286" s="776"/>
      <c r="I286" s="776"/>
      <c r="J286" s="776"/>
      <c r="K286" s="776"/>
      <c r="L286" s="776"/>
      <c r="M286" s="776"/>
      <c r="N286" s="776"/>
      <c r="O286" s="776"/>
      <c r="P286" s="776"/>
      <c r="Q286" s="776"/>
      <c r="R286" s="776"/>
      <c r="S286" s="776"/>
      <c r="T286" s="776"/>
      <c r="U286" s="776"/>
      <c r="V286" s="776"/>
      <c r="W286" s="776"/>
      <c r="X286" s="776"/>
      <c r="Y286" s="776"/>
      <c r="Z286" s="776"/>
      <c r="AA286" s="776"/>
      <c r="AB286" s="776"/>
    </row>
    <row r="287" spans="1:28" ht="15.75">
      <c r="A287" s="775"/>
      <c r="B287" s="775"/>
      <c r="C287" s="775"/>
      <c r="D287" s="776"/>
      <c r="E287" s="776"/>
      <c r="F287" s="776"/>
      <c r="G287" s="776"/>
      <c r="H287" s="776"/>
      <c r="I287" s="776"/>
      <c r="J287" s="776"/>
      <c r="K287" s="776"/>
      <c r="L287" s="776"/>
      <c r="M287" s="776"/>
      <c r="N287" s="776"/>
      <c r="O287" s="776"/>
      <c r="P287" s="776"/>
      <c r="Q287" s="776"/>
      <c r="R287" s="776"/>
      <c r="S287" s="776"/>
      <c r="T287" s="776"/>
      <c r="U287" s="776"/>
      <c r="V287" s="776"/>
      <c r="W287" s="776"/>
      <c r="X287" s="776"/>
      <c r="Y287" s="776"/>
      <c r="Z287" s="776"/>
      <c r="AA287" s="776"/>
      <c r="AB287" s="776"/>
    </row>
    <row r="288" spans="1:28" ht="15.75">
      <c r="A288" s="775"/>
      <c r="B288" s="775"/>
      <c r="C288" s="775"/>
      <c r="D288" s="776"/>
      <c r="E288" s="776"/>
      <c r="F288" s="776"/>
      <c r="G288" s="776"/>
      <c r="H288" s="776"/>
      <c r="I288" s="776"/>
      <c r="J288" s="776"/>
      <c r="K288" s="776"/>
      <c r="L288" s="776"/>
      <c r="M288" s="776"/>
      <c r="N288" s="776"/>
      <c r="O288" s="776"/>
      <c r="P288" s="776"/>
      <c r="Q288" s="776"/>
      <c r="R288" s="776"/>
      <c r="S288" s="776"/>
      <c r="T288" s="776"/>
      <c r="U288" s="776"/>
      <c r="V288" s="776"/>
      <c r="W288" s="776"/>
      <c r="X288" s="776"/>
      <c r="Y288" s="776"/>
      <c r="Z288" s="776"/>
      <c r="AA288" s="776"/>
      <c r="AB288" s="776"/>
    </row>
    <row r="289" spans="1:28" ht="15.75">
      <c r="A289" s="775"/>
      <c r="B289" s="775"/>
      <c r="C289" s="775"/>
      <c r="D289" s="776"/>
      <c r="E289" s="776"/>
      <c r="F289" s="776"/>
      <c r="G289" s="776"/>
      <c r="H289" s="776"/>
      <c r="I289" s="776"/>
      <c r="J289" s="776"/>
      <c r="K289" s="776"/>
      <c r="L289" s="776"/>
      <c r="M289" s="776"/>
      <c r="N289" s="776"/>
      <c r="O289" s="776"/>
      <c r="P289" s="776"/>
      <c r="Q289" s="776"/>
      <c r="R289" s="776"/>
      <c r="S289" s="776"/>
      <c r="T289" s="776"/>
      <c r="U289" s="776"/>
      <c r="V289" s="776"/>
      <c r="W289" s="776"/>
      <c r="X289" s="776"/>
      <c r="Y289" s="776"/>
      <c r="Z289" s="776"/>
      <c r="AA289" s="776"/>
      <c r="AB289" s="776"/>
    </row>
    <row r="290" spans="1:28" ht="15.75">
      <c r="A290" s="775"/>
      <c r="B290" s="775"/>
      <c r="C290" s="775"/>
      <c r="D290" s="776"/>
      <c r="E290" s="776"/>
      <c r="F290" s="776"/>
      <c r="G290" s="776"/>
      <c r="H290" s="776"/>
      <c r="I290" s="776"/>
      <c r="J290" s="776"/>
      <c r="K290" s="776"/>
      <c r="L290" s="776"/>
      <c r="M290" s="776"/>
      <c r="N290" s="776"/>
      <c r="O290" s="776"/>
      <c r="P290" s="776"/>
      <c r="Q290" s="776"/>
      <c r="R290" s="776"/>
      <c r="S290" s="776"/>
      <c r="T290" s="776"/>
      <c r="U290" s="776"/>
      <c r="V290" s="776"/>
      <c r="W290" s="776"/>
      <c r="X290" s="776"/>
      <c r="Y290" s="776"/>
      <c r="Z290" s="776"/>
      <c r="AA290" s="776"/>
      <c r="AB290" s="776"/>
    </row>
    <row r="291" spans="1:28" ht="15.75">
      <c r="A291" s="775"/>
      <c r="B291" s="775"/>
      <c r="C291" s="775"/>
      <c r="D291" s="776"/>
      <c r="E291" s="776"/>
      <c r="F291" s="776"/>
      <c r="G291" s="776"/>
      <c r="H291" s="776"/>
      <c r="I291" s="776"/>
      <c r="J291" s="776"/>
      <c r="K291" s="776"/>
      <c r="L291" s="776"/>
      <c r="M291" s="776"/>
      <c r="N291" s="776"/>
      <c r="O291" s="776"/>
      <c r="P291" s="776"/>
      <c r="Q291" s="776"/>
      <c r="R291" s="776"/>
      <c r="S291" s="776"/>
      <c r="T291" s="776"/>
      <c r="U291" s="776"/>
      <c r="V291" s="776"/>
      <c r="W291" s="776"/>
      <c r="X291" s="776"/>
      <c r="Y291" s="776"/>
      <c r="Z291" s="776"/>
      <c r="AA291" s="776"/>
      <c r="AB291" s="776"/>
    </row>
    <row r="292" spans="1:28" ht="15.75">
      <c r="A292" s="775"/>
      <c r="B292" s="775"/>
      <c r="C292" s="775"/>
      <c r="D292" s="776"/>
      <c r="E292" s="776"/>
      <c r="F292" s="776"/>
      <c r="G292" s="776"/>
      <c r="H292" s="776"/>
      <c r="I292" s="776"/>
      <c r="J292" s="776"/>
      <c r="K292" s="776"/>
      <c r="L292" s="776"/>
      <c r="M292" s="776"/>
      <c r="N292" s="776"/>
      <c r="O292" s="776"/>
      <c r="P292" s="776"/>
      <c r="Q292" s="776"/>
      <c r="R292" s="776"/>
      <c r="S292" s="776"/>
      <c r="T292" s="776"/>
      <c r="U292" s="776"/>
      <c r="V292" s="776"/>
      <c r="W292" s="776"/>
      <c r="X292" s="776"/>
      <c r="Y292" s="776"/>
      <c r="Z292" s="776"/>
      <c r="AA292" s="776"/>
      <c r="AB292" s="776"/>
    </row>
    <row r="293" spans="1:28" ht="15.75">
      <c r="A293" s="775"/>
      <c r="B293" s="775"/>
      <c r="C293" s="775"/>
      <c r="D293" s="776"/>
      <c r="E293" s="776"/>
      <c r="F293" s="776"/>
      <c r="G293" s="776"/>
      <c r="H293" s="776"/>
      <c r="I293" s="776"/>
      <c r="J293" s="776"/>
      <c r="K293" s="776"/>
      <c r="L293" s="776"/>
      <c r="M293" s="776"/>
      <c r="N293" s="776"/>
      <c r="O293" s="776"/>
      <c r="P293" s="776"/>
      <c r="Q293" s="776"/>
      <c r="R293" s="776"/>
      <c r="S293" s="776"/>
      <c r="T293" s="776"/>
      <c r="U293" s="776"/>
      <c r="V293" s="776"/>
      <c r="W293" s="776"/>
      <c r="X293" s="776"/>
      <c r="Y293" s="776"/>
      <c r="Z293" s="776"/>
      <c r="AA293" s="776"/>
      <c r="AB293" s="776"/>
    </row>
    <row r="294" spans="1:28" ht="15.75">
      <c r="A294" s="775"/>
      <c r="B294" s="775"/>
      <c r="C294" s="775"/>
      <c r="D294" s="776"/>
      <c r="E294" s="776"/>
      <c r="F294" s="776"/>
      <c r="G294" s="776"/>
      <c r="H294" s="776"/>
      <c r="I294" s="776"/>
      <c r="J294" s="776"/>
      <c r="K294" s="776"/>
      <c r="L294" s="776"/>
      <c r="M294" s="776"/>
      <c r="N294" s="776"/>
      <c r="O294" s="776"/>
      <c r="P294" s="776"/>
      <c r="Q294" s="776"/>
      <c r="R294" s="776"/>
      <c r="S294" s="776"/>
      <c r="T294" s="776"/>
      <c r="U294" s="776"/>
      <c r="V294" s="776"/>
      <c r="W294" s="776"/>
      <c r="X294" s="776"/>
      <c r="Y294" s="776"/>
      <c r="Z294" s="776"/>
      <c r="AA294" s="776"/>
      <c r="AB294" s="776"/>
    </row>
    <row r="295" spans="1:28" ht="15.75">
      <c r="A295" s="775"/>
      <c r="B295" s="775"/>
      <c r="C295" s="775"/>
      <c r="D295" s="776"/>
      <c r="E295" s="776"/>
      <c r="F295" s="776"/>
      <c r="G295" s="776"/>
      <c r="H295" s="776"/>
      <c r="I295" s="776"/>
      <c r="J295" s="776"/>
      <c r="K295" s="776"/>
      <c r="L295" s="776"/>
      <c r="M295" s="776"/>
      <c r="N295" s="776"/>
      <c r="O295" s="776"/>
      <c r="P295" s="776"/>
      <c r="Q295" s="776"/>
      <c r="R295" s="776"/>
      <c r="S295" s="776"/>
      <c r="T295" s="776"/>
      <c r="U295" s="776"/>
      <c r="V295" s="776"/>
      <c r="W295" s="776"/>
      <c r="X295" s="776"/>
      <c r="Y295" s="776"/>
      <c r="Z295" s="776"/>
      <c r="AA295" s="776"/>
      <c r="AB295" s="776"/>
    </row>
    <row r="296" spans="1:28" ht="15.75">
      <c r="A296" s="775"/>
      <c r="B296" s="775"/>
      <c r="C296" s="775"/>
      <c r="D296" s="776"/>
      <c r="E296" s="776"/>
      <c r="F296" s="776"/>
      <c r="G296" s="776"/>
      <c r="H296" s="776"/>
      <c r="I296" s="776"/>
      <c r="J296" s="776"/>
      <c r="K296" s="776"/>
      <c r="L296" s="776"/>
      <c r="M296" s="776"/>
      <c r="N296" s="776"/>
      <c r="O296" s="776"/>
      <c r="P296" s="776"/>
      <c r="Q296" s="776"/>
      <c r="R296" s="776"/>
      <c r="S296" s="776"/>
      <c r="T296" s="776"/>
      <c r="U296" s="776"/>
      <c r="V296" s="776"/>
      <c r="W296" s="776"/>
      <c r="X296" s="776"/>
      <c r="Y296" s="776"/>
      <c r="Z296" s="776"/>
      <c r="AA296" s="776"/>
      <c r="AB296" s="776"/>
    </row>
    <row r="297" spans="1:28" ht="15.75">
      <c r="A297" s="775"/>
      <c r="B297" s="775"/>
      <c r="C297" s="775"/>
      <c r="D297" s="776"/>
      <c r="E297" s="776"/>
      <c r="F297" s="776"/>
      <c r="G297" s="776"/>
      <c r="H297" s="776"/>
      <c r="I297" s="776"/>
      <c r="J297" s="776"/>
      <c r="K297" s="776"/>
      <c r="L297" s="776"/>
      <c r="M297" s="776"/>
      <c r="N297" s="776"/>
      <c r="O297" s="776"/>
      <c r="P297" s="776"/>
      <c r="Q297" s="776"/>
      <c r="R297" s="776"/>
      <c r="S297" s="776"/>
      <c r="T297" s="776"/>
      <c r="U297" s="776"/>
      <c r="V297" s="776"/>
      <c r="W297" s="776"/>
      <c r="X297" s="776"/>
      <c r="Y297" s="776"/>
      <c r="Z297" s="776"/>
      <c r="AA297" s="776"/>
      <c r="AB297" s="776"/>
    </row>
    <row r="298" spans="1:28" ht="15.75">
      <c r="A298" s="775"/>
      <c r="B298" s="775"/>
      <c r="C298" s="775"/>
      <c r="D298" s="776"/>
      <c r="E298" s="776"/>
      <c r="F298" s="776"/>
      <c r="G298" s="776"/>
      <c r="H298" s="776"/>
      <c r="I298" s="776"/>
      <c r="J298" s="776"/>
      <c r="K298" s="776"/>
      <c r="L298" s="776"/>
      <c r="M298" s="776"/>
      <c r="N298" s="776"/>
      <c r="O298" s="776"/>
      <c r="P298" s="776"/>
      <c r="Q298" s="776"/>
      <c r="R298" s="776"/>
      <c r="S298" s="776"/>
      <c r="T298" s="776"/>
      <c r="U298" s="776"/>
      <c r="V298" s="776"/>
      <c r="W298" s="776"/>
      <c r="X298" s="776"/>
      <c r="Y298" s="776"/>
      <c r="Z298" s="776"/>
      <c r="AA298" s="776"/>
      <c r="AB298" s="776"/>
    </row>
    <row r="299" spans="1:28" ht="15.75">
      <c r="A299" s="775"/>
      <c r="B299" s="775"/>
      <c r="C299" s="775"/>
      <c r="D299" s="776"/>
      <c r="E299" s="776"/>
      <c r="F299" s="776"/>
      <c r="G299" s="776"/>
      <c r="H299" s="776"/>
      <c r="I299" s="776"/>
      <c r="J299" s="776"/>
      <c r="K299" s="776"/>
      <c r="L299" s="776"/>
      <c r="M299" s="776"/>
      <c r="N299" s="776"/>
      <c r="O299" s="776"/>
      <c r="P299" s="776"/>
      <c r="Q299" s="776"/>
      <c r="R299" s="776"/>
      <c r="S299" s="776"/>
      <c r="T299" s="776"/>
      <c r="U299" s="776"/>
      <c r="V299" s="776"/>
      <c r="W299" s="776"/>
      <c r="X299" s="776"/>
      <c r="Y299" s="776"/>
      <c r="Z299" s="776"/>
      <c r="AA299" s="776"/>
      <c r="AB299" s="776"/>
    </row>
    <row r="300" spans="1:28" ht="15.75">
      <c r="B300" s="775"/>
      <c r="C300" s="775"/>
      <c r="D300" s="776"/>
      <c r="E300" s="776"/>
      <c r="F300" s="776"/>
      <c r="G300" s="776"/>
      <c r="H300" s="776"/>
      <c r="I300" s="776"/>
      <c r="J300" s="776"/>
      <c r="K300" s="776"/>
      <c r="L300" s="776"/>
      <c r="M300" s="776"/>
      <c r="N300" s="776"/>
      <c r="O300" s="776"/>
      <c r="P300" s="776"/>
      <c r="Q300" s="776"/>
      <c r="R300" s="776"/>
      <c r="S300" s="776"/>
      <c r="T300" s="776"/>
      <c r="U300" s="776"/>
      <c r="V300" s="776"/>
      <c r="W300" s="776"/>
      <c r="X300" s="776"/>
      <c r="Y300" s="776"/>
      <c r="Z300" s="776"/>
      <c r="AA300" s="776"/>
      <c r="AB300" s="776"/>
    </row>
    <row r="301" spans="1:28" ht="15.75">
      <c r="B301" s="775"/>
      <c r="C301" s="775"/>
      <c r="D301" s="776"/>
      <c r="E301" s="776"/>
      <c r="F301" s="776"/>
      <c r="G301" s="776"/>
      <c r="H301" s="776"/>
      <c r="I301" s="776"/>
      <c r="J301" s="776"/>
      <c r="K301" s="776"/>
      <c r="L301" s="776"/>
      <c r="M301" s="776"/>
      <c r="N301" s="776"/>
      <c r="O301" s="776"/>
      <c r="P301" s="776"/>
      <c r="Q301" s="776"/>
      <c r="R301" s="776"/>
      <c r="S301" s="776"/>
      <c r="T301" s="776"/>
      <c r="U301" s="776"/>
      <c r="V301" s="776"/>
      <c r="W301" s="776"/>
      <c r="X301" s="776"/>
      <c r="Y301" s="776"/>
      <c r="Z301" s="776"/>
      <c r="AA301" s="776"/>
      <c r="AB301" s="776"/>
    </row>
    <row r="321" spans="1:6">
      <c r="A321" s="777"/>
    </row>
    <row r="322" spans="1:6">
      <c r="A322" s="777"/>
    </row>
    <row r="323" spans="1:6">
      <c r="A323" s="777"/>
      <c r="B323" s="777"/>
      <c r="C323" s="777"/>
      <c r="D323" s="778"/>
      <c r="E323" s="778"/>
      <c r="F323" s="778"/>
    </row>
    <row r="324" spans="1:6">
      <c r="A324" s="777"/>
      <c r="B324" s="777"/>
      <c r="C324" s="777"/>
      <c r="D324" s="778"/>
      <c r="E324" s="778"/>
      <c r="F324" s="778"/>
    </row>
    <row r="325" spans="1:6">
      <c r="A325" s="777"/>
      <c r="B325" s="777"/>
      <c r="C325" s="777"/>
      <c r="D325" s="778"/>
      <c r="E325" s="778"/>
      <c r="F325" s="778"/>
    </row>
    <row r="326" spans="1:6">
      <c r="A326" s="777"/>
      <c r="B326" s="777"/>
      <c r="C326" s="777"/>
      <c r="D326" s="778"/>
      <c r="E326" s="778"/>
      <c r="F326" s="778"/>
    </row>
    <row r="327" spans="1:6">
      <c r="A327" s="777"/>
      <c r="B327" s="777"/>
      <c r="C327" s="777"/>
      <c r="D327" s="778"/>
      <c r="E327" s="778"/>
      <c r="F327" s="778"/>
    </row>
    <row r="328" spans="1:6">
      <c r="A328" s="777"/>
      <c r="B328" s="777"/>
      <c r="C328" s="777"/>
      <c r="D328" s="778"/>
      <c r="E328" s="778"/>
      <c r="F328" s="778"/>
    </row>
    <row r="329" spans="1:6">
      <c r="A329" s="777"/>
      <c r="B329" s="777"/>
      <c r="C329" s="777"/>
      <c r="D329" s="778"/>
      <c r="E329" s="778"/>
      <c r="F329" s="778"/>
    </row>
    <row r="330" spans="1:6">
      <c r="B330" s="777"/>
      <c r="C330" s="777"/>
      <c r="D330" s="778"/>
      <c r="E330" s="778"/>
      <c r="F330" s="778"/>
    </row>
    <row r="331" spans="1:6">
      <c r="B331" s="777"/>
      <c r="C331" s="777"/>
      <c r="D331" s="778"/>
      <c r="E331" s="778"/>
      <c r="F331" s="778"/>
    </row>
  </sheetData>
  <mergeCells count="2">
    <mergeCell ref="A1:J1"/>
    <mergeCell ref="A3:J3"/>
  </mergeCells>
  <phoneticPr fontId="0" type="noConversion"/>
  <printOptions horizontalCentered="1"/>
  <pageMargins left="0.75" right="0.5" top="1" bottom="0.5" header="0.5" footer="0.5"/>
  <pageSetup scale="56" fitToWidth="3" fitToHeight="3" orientation="landscape" r:id="rId1"/>
  <headerFooter alignWithMargins="0"/>
  <rowBreaks count="2" manualBreakCount="2">
    <brk id="63" max="17" man="1"/>
    <brk id="119" max="17" man="1"/>
  </rowBreaks>
  <ignoredErrors>
    <ignoredError sqref="O48 O93 Q93 O118 Q118 H163 D167:D169 D171" evalError="1"/>
    <ignoredError sqref="P118 F144 F145:F158 C52 P48" formula="1"/>
    <ignoredError sqref="Q48 P93" evalError="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U318"/>
  <sheetViews>
    <sheetView zoomScaleNormal="100" workbookViewId="0"/>
  </sheetViews>
  <sheetFormatPr defaultRowHeight="12.75"/>
  <cols>
    <col min="1" max="1" width="9.28515625" bestFit="1" customWidth="1"/>
    <col min="2" max="2" width="27.5703125" customWidth="1"/>
    <col min="3" max="3" width="15.140625" customWidth="1"/>
    <col min="4" max="4" width="13" style="284" customWidth="1"/>
    <col min="5" max="5" width="13.42578125" customWidth="1"/>
    <col min="6" max="6" width="12.7109375" customWidth="1"/>
    <col min="7" max="7" width="12.85546875" customWidth="1"/>
    <col min="8" max="9" width="9.85546875" style="779" customWidth="1"/>
    <col min="10" max="10" width="11.28515625" style="779" customWidth="1"/>
    <col min="11" max="11" width="11.5703125" style="779" customWidth="1"/>
    <col min="12" max="12" width="12.42578125" style="779" customWidth="1"/>
    <col min="13" max="14" width="12.28515625" customWidth="1"/>
    <col min="15" max="15" width="12.85546875" customWidth="1"/>
    <col min="16" max="16" width="12.42578125" customWidth="1"/>
    <col min="17" max="17" width="12" customWidth="1"/>
    <col min="18" max="18" width="12.5703125" customWidth="1"/>
    <col min="19" max="19" width="11.28515625" customWidth="1"/>
    <col min="20" max="20" width="10.28515625" customWidth="1"/>
    <col min="21" max="21" width="12" customWidth="1"/>
    <col min="22" max="22" width="12.5703125" customWidth="1"/>
    <col min="23" max="23" width="11.28515625" customWidth="1"/>
    <col min="24" max="24" width="10.28515625" customWidth="1"/>
    <col min="25" max="25" width="12" customWidth="1"/>
    <col min="26" max="26" width="12.5703125" customWidth="1"/>
    <col min="27" max="27" width="11.28515625" customWidth="1"/>
    <col min="28" max="28" width="10.28515625" customWidth="1"/>
    <col min="29" max="29" width="12" customWidth="1"/>
    <col min="30" max="30" width="12.5703125" customWidth="1"/>
    <col min="31" max="31" width="11.28515625" customWidth="1"/>
    <col min="32" max="32" width="10.28515625" customWidth="1"/>
    <col min="33" max="33" width="12" style="856" customWidth="1"/>
    <col min="34" max="34" width="12.5703125" style="856" customWidth="1"/>
    <col min="35" max="35" width="11.28515625" style="856" customWidth="1"/>
    <col min="36" max="36" width="10.28515625" style="856" customWidth="1"/>
    <col min="37" max="37" width="12" style="856" customWidth="1"/>
    <col min="38" max="38" width="12.5703125" style="856" customWidth="1"/>
    <col min="39" max="39" width="11.28515625" style="856" customWidth="1"/>
    <col min="40" max="40" width="10.28515625" style="856" customWidth="1"/>
    <col min="41" max="41" width="12" style="856" customWidth="1"/>
    <col min="42" max="42" width="12.5703125" style="856" customWidth="1"/>
    <col min="43" max="43" width="11.28515625" style="856" customWidth="1"/>
    <col min="44" max="44" width="10.28515625" style="856" customWidth="1"/>
    <col min="45" max="45" width="12" style="880" customWidth="1"/>
    <col min="46" max="46" width="12.5703125" style="880" customWidth="1"/>
    <col min="47" max="47" width="11.28515625" style="880" customWidth="1"/>
    <col min="48" max="48" width="10.28515625" style="880" customWidth="1"/>
    <col min="49" max="49" width="12" style="1000" customWidth="1"/>
    <col min="50" max="50" width="12.5703125" style="1000" customWidth="1"/>
    <col min="51" max="51" width="11.28515625" style="1000" customWidth="1"/>
    <col min="52" max="52" width="10.28515625" style="1000" customWidth="1"/>
    <col min="53" max="53" width="13.7109375" bestFit="1" customWidth="1"/>
    <col min="54" max="54" width="21.85546875" customWidth="1"/>
    <col min="55" max="55" width="18.42578125" customWidth="1"/>
    <col min="56" max="57" width="9.7109375" bestFit="1" customWidth="1"/>
  </cols>
  <sheetData>
    <row r="1" spans="1:55" ht="18">
      <c r="C1" s="494" t="str">
        <f>'ATT H-3D'!A4</f>
        <v>Delmarva Power &amp; Light Company</v>
      </c>
      <c r="D1" s="824"/>
      <c r="E1" s="824"/>
      <c r="F1" s="824"/>
      <c r="G1" s="824"/>
      <c r="H1" s="824"/>
      <c r="I1" s="824"/>
      <c r="J1" s="824"/>
      <c r="K1" s="824"/>
      <c r="L1" s="824"/>
      <c r="M1" s="289"/>
      <c r="N1" s="289"/>
      <c r="O1" s="289"/>
      <c r="P1" s="289"/>
      <c r="Q1" s="289"/>
      <c r="R1" s="289"/>
      <c r="S1" s="289"/>
      <c r="T1" s="289"/>
      <c r="U1" s="289"/>
      <c r="V1" s="289"/>
      <c r="W1" s="289"/>
      <c r="X1" s="289"/>
      <c r="Y1" s="289"/>
      <c r="Z1" s="289"/>
      <c r="AA1" s="289"/>
      <c r="AB1" s="289"/>
      <c r="AC1" s="289"/>
      <c r="AD1" s="289"/>
      <c r="AE1" s="289"/>
      <c r="AF1" s="289"/>
      <c r="AG1" s="857"/>
      <c r="AH1" s="857"/>
      <c r="AI1" s="857"/>
      <c r="AJ1" s="857"/>
      <c r="AK1" s="857"/>
      <c r="AL1" s="857"/>
      <c r="AM1" s="857"/>
      <c r="AN1" s="857"/>
      <c r="AO1" s="857"/>
      <c r="AP1" s="857"/>
      <c r="AQ1" s="857"/>
      <c r="AR1" s="857"/>
      <c r="AS1" s="881"/>
      <c r="AT1" s="881"/>
      <c r="AU1" s="881"/>
      <c r="AV1" s="881"/>
      <c r="AW1" s="1001"/>
      <c r="AX1" s="1001"/>
      <c r="AY1" s="1001"/>
      <c r="AZ1" s="1001"/>
      <c r="BA1" s="289"/>
      <c r="BB1" s="289"/>
      <c r="BC1" s="289"/>
    </row>
    <row r="3" spans="1:55" ht="15.75">
      <c r="C3" s="825" t="s">
        <v>492</v>
      </c>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c r="AM3" s="825"/>
      <c r="AN3" s="825"/>
      <c r="AO3" s="825"/>
      <c r="AP3" s="825"/>
      <c r="AQ3" s="825"/>
      <c r="AR3" s="825"/>
      <c r="AS3" s="825"/>
      <c r="AT3" s="825"/>
      <c r="AU3" s="825"/>
      <c r="AV3" s="825"/>
      <c r="AW3" s="825"/>
      <c r="AX3" s="825"/>
      <c r="AY3" s="825"/>
      <c r="AZ3" s="825"/>
      <c r="BA3" s="825"/>
      <c r="BB3" s="825"/>
      <c r="BC3" s="825"/>
    </row>
    <row r="5" spans="1:55">
      <c r="C5" s="305"/>
    </row>
    <row r="8" spans="1:55">
      <c r="A8">
        <v>1</v>
      </c>
      <c r="C8" t="s">
        <v>301</v>
      </c>
    </row>
    <row r="10" spans="1:55">
      <c r="A10">
        <v>2</v>
      </c>
      <c r="C10" s="329" t="s">
        <v>451</v>
      </c>
    </row>
    <row r="11" spans="1:55">
      <c r="A11">
        <v>3</v>
      </c>
      <c r="C11" s="329"/>
      <c r="D11" s="284" t="s">
        <v>300</v>
      </c>
    </row>
    <row r="12" spans="1:55">
      <c r="A12">
        <v>4</v>
      </c>
      <c r="C12" s="284" t="s">
        <v>68</v>
      </c>
      <c r="D12" s="284">
        <f>+'ATT H-3D'!A271</f>
        <v>160</v>
      </c>
      <c r="E12" s="509" t="str">
        <f>+'ATT H-3D'!C271</f>
        <v>Net Plant Carrying Charge without Depreciation</v>
      </c>
      <c r="H12" s="780"/>
      <c r="I12" s="780"/>
      <c r="J12" s="780"/>
      <c r="K12" s="780"/>
      <c r="L12" s="818">
        <f>+'ATT H-3D'!H271</f>
        <v>0.10772176481255294</v>
      </c>
    </row>
    <row r="13" spans="1:55">
      <c r="A13">
        <v>5</v>
      </c>
      <c r="C13" s="284" t="s">
        <v>182</v>
      </c>
      <c r="D13" s="284">
        <f>+'ATT H-3D'!A281</f>
        <v>167</v>
      </c>
      <c r="E13" s="509" t="str">
        <f>+'ATT H-3D'!C281</f>
        <v>Net Plant Carrying Charge per 100 Basis Point increase in ROE without Depreciation</v>
      </c>
      <c r="H13" s="780"/>
      <c r="I13" s="780"/>
      <c r="J13" s="780"/>
      <c r="K13" s="780"/>
      <c r="L13" s="818">
        <f>+'ATT H-3D'!H281</f>
        <v>0.11392455481845215</v>
      </c>
    </row>
    <row r="14" spans="1:55">
      <c r="A14">
        <v>6</v>
      </c>
      <c r="C14" s="284" t="s">
        <v>46</v>
      </c>
      <c r="E14" t="s">
        <v>285</v>
      </c>
      <c r="H14" s="780"/>
      <c r="I14" s="780"/>
      <c r="J14" s="780"/>
      <c r="K14" s="780"/>
      <c r="L14" s="819">
        <f>+L13-L12</f>
        <v>6.2027900058992114E-3</v>
      </c>
    </row>
    <row r="15" spans="1:55">
      <c r="H15" s="780"/>
      <c r="I15" s="780"/>
      <c r="J15" s="780"/>
      <c r="K15" s="780"/>
      <c r="L15" s="819"/>
    </row>
    <row r="16" spans="1:55">
      <c r="A16">
        <v>7</v>
      </c>
      <c r="C16" s="329" t="s">
        <v>283</v>
      </c>
      <c r="H16" s="780"/>
      <c r="I16" s="780"/>
      <c r="J16" s="780"/>
      <c r="K16" s="780"/>
      <c r="L16" s="819"/>
    </row>
    <row r="17" spans="1:68">
      <c r="C17" s="329"/>
      <c r="H17" s="780"/>
      <c r="I17" s="780"/>
      <c r="J17" s="780"/>
      <c r="K17" s="780"/>
      <c r="L17" s="819"/>
    </row>
    <row r="18" spans="1:68">
      <c r="A18">
        <v>8</v>
      </c>
      <c r="C18" s="284" t="s">
        <v>69</v>
      </c>
      <c r="D18" s="284">
        <f>+'ATT H-3D'!A272</f>
        <v>161</v>
      </c>
      <c r="E18" s="509" t="str">
        <f>+'ATT H-3D'!C272</f>
        <v>Net Plant Carrying Charge without Depreciation, Return, nor Income Taxes</v>
      </c>
      <c r="H18" s="780"/>
      <c r="I18" s="780"/>
      <c r="J18" s="780"/>
      <c r="K18" s="780"/>
      <c r="L18" s="820">
        <f>+'ATT H-3D'!H272</f>
        <v>2.7412697597086012E-2</v>
      </c>
    </row>
    <row r="19" spans="1:68">
      <c r="C19" s="284"/>
      <c r="E19" s="509"/>
      <c r="H19" s="780"/>
      <c r="I19" s="780"/>
      <c r="J19" s="780"/>
      <c r="K19" s="780"/>
      <c r="L19" s="780"/>
      <c r="N19" s="781"/>
    </row>
    <row r="20" spans="1:68" ht="15.75">
      <c r="C20" s="680"/>
    </row>
    <row r="21" spans="1:68">
      <c r="A21">
        <v>9</v>
      </c>
      <c r="C21" s="309" t="s">
        <v>519</v>
      </c>
    </row>
    <row r="22" spans="1:68">
      <c r="A22">
        <v>10</v>
      </c>
      <c r="C22" s="309" t="s">
        <v>398</v>
      </c>
    </row>
    <row r="23" spans="1:68" ht="25.5" customHeight="1" thickBot="1">
      <c r="A23">
        <v>11</v>
      </c>
      <c r="C23" s="1254" t="s">
        <v>802</v>
      </c>
      <c r="D23" s="1255"/>
      <c r="E23" s="1255"/>
      <c r="F23" s="1255"/>
      <c r="G23" s="1255"/>
      <c r="H23" s="1255"/>
      <c r="I23" s="1255"/>
      <c r="J23" s="1255"/>
      <c r="K23" s="1255"/>
      <c r="L23" s="1255"/>
      <c r="M23" s="1255"/>
      <c r="N23" s="1255"/>
      <c r="O23" s="1255"/>
      <c r="P23" s="1255"/>
      <c r="Q23" s="1255"/>
      <c r="R23" s="1255"/>
      <c r="S23" s="1255"/>
      <c r="T23" s="1255"/>
      <c r="U23" s="1255"/>
      <c r="V23" s="1255"/>
      <c r="W23" s="1255"/>
      <c r="X23" s="1255"/>
      <c r="Y23" s="1255"/>
      <c r="Z23" s="1255"/>
      <c r="AA23" s="1255"/>
      <c r="AB23" s="1255"/>
      <c r="AC23" s="1255"/>
      <c r="AD23" s="1255"/>
      <c r="AE23" s="1255"/>
      <c r="AF23" s="1255"/>
      <c r="AG23" s="1255"/>
      <c r="AH23" s="1255"/>
      <c r="AI23" s="1255"/>
      <c r="AJ23" s="1255"/>
      <c r="AK23" s="1255"/>
      <c r="AL23" s="1255"/>
      <c r="AM23" s="1255"/>
      <c r="AN23" s="1255"/>
      <c r="AO23" s="1255"/>
      <c r="AP23" s="1255"/>
      <c r="AQ23" s="1255"/>
      <c r="AR23" s="1255"/>
      <c r="AS23" s="1255"/>
      <c r="AT23" s="1255"/>
      <c r="AU23" s="1255"/>
      <c r="AV23" s="1255"/>
      <c r="AW23" s="1255"/>
      <c r="AX23" s="1255"/>
      <c r="AY23" s="1255"/>
      <c r="AZ23" s="1255"/>
      <c r="BA23" s="1255"/>
      <c r="BB23" s="501"/>
      <c r="BC23" s="501"/>
      <c r="BD23" s="2"/>
      <c r="BE23" s="2"/>
      <c r="BF23" s="2"/>
      <c r="BG23" s="2"/>
      <c r="BH23" s="2"/>
      <c r="BI23" s="2"/>
      <c r="BJ23" s="2"/>
      <c r="BK23" s="2"/>
      <c r="BL23" s="2"/>
      <c r="BM23" s="2"/>
      <c r="BN23" s="2"/>
      <c r="BO23" s="2"/>
      <c r="BP23" s="2"/>
    </row>
    <row r="24" spans="1:68">
      <c r="C24" s="681" t="s">
        <v>279</v>
      </c>
      <c r="D24" s="782"/>
      <c r="E24" s="1258" t="s">
        <v>149</v>
      </c>
      <c r="F24" s="1259"/>
      <c r="G24" s="1259"/>
      <c r="H24" s="1260"/>
      <c r="I24" s="1258" t="s">
        <v>423</v>
      </c>
      <c r="J24" s="1259"/>
      <c r="K24" s="1259"/>
      <c r="L24" s="1260"/>
      <c r="M24" s="1258" t="s">
        <v>424</v>
      </c>
      <c r="N24" s="1259"/>
      <c r="O24" s="1259"/>
      <c r="P24" s="1260"/>
      <c r="Q24" s="840" t="s">
        <v>621</v>
      </c>
      <c r="R24" s="841"/>
      <c r="S24" s="841"/>
      <c r="T24" s="842"/>
      <c r="U24" s="840" t="s">
        <v>622</v>
      </c>
      <c r="V24" s="841"/>
      <c r="W24" s="841"/>
      <c r="X24" s="842"/>
      <c r="Y24" s="840" t="s">
        <v>623</v>
      </c>
      <c r="Z24" s="841"/>
      <c r="AA24" s="841"/>
      <c r="AB24" s="842"/>
      <c r="AC24" s="840" t="s">
        <v>23</v>
      </c>
      <c r="AD24" s="841"/>
      <c r="AE24" s="841"/>
      <c r="AF24" s="842"/>
      <c r="AG24" s="840" t="s">
        <v>701</v>
      </c>
      <c r="AH24" s="841"/>
      <c r="AI24" s="841"/>
      <c r="AJ24" s="842"/>
      <c r="AK24" s="840" t="s">
        <v>702</v>
      </c>
      <c r="AL24" s="841"/>
      <c r="AM24" s="841"/>
      <c r="AN24" s="842"/>
      <c r="AO24" s="840" t="s">
        <v>703</v>
      </c>
      <c r="AP24" s="841"/>
      <c r="AQ24" s="841"/>
      <c r="AR24" s="842"/>
      <c r="AS24" s="840" t="s">
        <v>723</v>
      </c>
      <c r="AT24" s="841"/>
      <c r="AU24" s="841"/>
      <c r="AV24" s="842"/>
      <c r="AW24" s="840" t="s">
        <v>771</v>
      </c>
      <c r="AX24" s="841"/>
      <c r="AY24" s="841"/>
      <c r="AZ24" s="842"/>
      <c r="BA24" s="630"/>
      <c r="BB24" s="450"/>
      <c r="BC24" s="476"/>
    </row>
    <row r="25" spans="1:68" ht="38.25">
      <c r="A25">
        <v>12</v>
      </c>
      <c r="B25" s="783" t="s">
        <v>687</v>
      </c>
      <c r="C25" s="470" t="s">
        <v>551</v>
      </c>
      <c r="D25" s="455" t="s">
        <v>26</v>
      </c>
      <c r="E25" s="583" t="s">
        <v>282</v>
      </c>
      <c r="F25" s="653"/>
      <c r="G25" s="653"/>
      <c r="H25" s="654"/>
      <c r="I25" s="583" t="s">
        <v>281</v>
      </c>
      <c r="J25" s="653"/>
      <c r="K25" s="653"/>
      <c r="L25" s="654"/>
      <c r="M25" s="583" t="s">
        <v>281</v>
      </c>
      <c r="N25" s="653"/>
      <c r="O25" s="653"/>
      <c r="P25" s="654"/>
      <c r="Q25" s="854" t="s">
        <v>281</v>
      </c>
      <c r="R25" s="348"/>
      <c r="S25" s="348"/>
      <c r="T25" s="655"/>
      <c r="U25" s="854" t="s">
        <v>281</v>
      </c>
      <c r="V25" s="348"/>
      <c r="W25" s="348"/>
      <c r="X25" s="655"/>
      <c r="Y25" s="854" t="s">
        <v>281</v>
      </c>
      <c r="Z25" s="348"/>
      <c r="AA25" s="348"/>
      <c r="AB25" s="655"/>
      <c r="AC25" s="854" t="s">
        <v>281</v>
      </c>
      <c r="AD25" s="348"/>
      <c r="AE25" s="348"/>
      <c r="AF25" s="655"/>
      <c r="AG25" s="854" t="s">
        <v>282</v>
      </c>
      <c r="AH25" s="348"/>
      <c r="AI25" s="348"/>
      <c r="AJ25" s="655"/>
      <c r="AK25" s="854" t="s">
        <v>282</v>
      </c>
      <c r="AL25" s="348"/>
      <c r="AM25" s="348"/>
      <c r="AN25" s="655"/>
      <c r="AO25" s="854" t="s">
        <v>281</v>
      </c>
      <c r="AP25" s="348"/>
      <c r="AQ25" s="348"/>
      <c r="AR25" s="655"/>
      <c r="AS25" s="854" t="s">
        <v>281</v>
      </c>
      <c r="AT25" s="348"/>
      <c r="AU25" s="348"/>
      <c r="AV25" s="655"/>
      <c r="AW25" s="854" t="s">
        <v>281</v>
      </c>
      <c r="AX25" s="348"/>
      <c r="AY25" s="348"/>
      <c r="AZ25" s="655"/>
      <c r="BA25" s="295"/>
      <c r="BB25" s="419"/>
      <c r="BC25" s="417"/>
    </row>
    <row r="26" spans="1:68">
      <c r="A26">
        <v>13</v>
      </c>
      <c r="B26" t="s">
        <v>688</v>
      </c>
      <c r="C26" s="470" t="s">
        <v>277</v>
      </c>
      <c r="D26" s="455"/>
      <c r="E26" s="583">
        <v>35</v>
      </c>
      <c r="F26" s="454"/>
      <c r="G26" s="454"/>
      <c r="H26" s="784"/>
      <c r="I26" s="583">
        <v>35</v>
      </c>
      <c r="J26" s="454"/>
      <c r="K26" s="454"/>
      <c r="L26" s="784"/>
      <c r="M26" s="583">
        <v>35</v>
      </c>
      <c r="N26" s="454"/>
      <c r="O26" s="454"/>
      <c r="P26" s="455"/>
      <c r="Q26" s="583">
        <v>35</v>
      </c>
      <c r="R26" s="454"/>
      <c r="S26" s="454"/>
      <c r="T26" s="455"/>
      <c r="U26" s="583">
        <v>35</v>
      </c>
      <c r="V26" s="454"/>
      <c r="W26" s="454"/>
      <c r="X26" s="455"/>
      <c r="Y26" s="583">
        <v>35</v>
      </c>
      <c r="Z26" s="454"/>
      <c r="AA26" s="454"/>
      <c r="AB26" s="455"/>
      <c r="AC26" s="583">
        <v>35</v>
      </c>
      <c r="AD26" s="454"/>
      <c r="AE26" s="454"/>
      <c r="AF26" s="455"/>
      <c r="AG26" s="583">
        <v>35</v>
      </c>
      <c r="AH26" s="454"/>
      <c r="AI26" s="454"/>
      <c r="AJ26" s="455"/>
      <c r="AK26" s="583">
        <v>35</v>
      </c>
      <c r="AL26" s="454"/>
      <c r="AM26" s="454"/>
      <c r="AN26" s="455"/>
      <c r="AO26" s="583">
        <v>35</v>
      </c>
      <c r="AP26" s="454"/>
      <c r="AQ26" s="454"/>
      <c r="AR26" s="455"/>
      <c r="AS26" s="583">
        <v>35</v>
      </c>
      <c r="AT26" s="454"/>
      <c r="AU26" s="454"/>
      <c r="AV26" s="455"/>
      <c r="AW26" s="583">
        <v>35</v>
      </c>
      <c r="AX26" s="454"/>
      <c r="AY26" s="454"/>
      <c r="AZ26" s="455"/>
      <c r="BA26" s="295"/>
      <c r="BB26" s="419"/>
      <c r="BC26" s="417"/>
    </row>
    <row r="27" spans="1:68" ht="51">
      <c r="A27">
        <v>14</v>
      </c>
      <c r="B27" s="785" t="s">
        <v>689</v>
      </c>
      <c r="C27" s="470" t="s">
        <v>278</v>
      </c>
      <c r="D27" s="455" t="s">
        <v>26</v>
      </c>
      <c r="E27" s="583" t="s">
        <v>281</v>
      </c>
      <c r="F27" s="454"/>
      <c r="G27" s="454"/>
      <c r="H27" s="784"/>
      <c r="I27" s="583" t="s">
        <v>281</v>
      </c>
      <c r="J27" s="454"/>
      <c r="K27" s="454"/>
      <c r="L27" s="784"/>
      <c r="M27" s="583" t="s">
        <v>281</v>
      </c>
      <c r="N27" s="454"/>
      <c r="O27" s="454"/>
      <c r="P27" s="455"/>
      <c r="Q27" s="583" t="s">
        <v>281</v>
      </c>
      <c r="R27" s="454"/>
      <c r="S27" s="454"/>
      <c r="T27" s="455"/>
      <c r="U27" s="583" t="s">
        <v>281</v>
      </c>
      <c r="V27" s="454"/>
      <c r="W27" s="454"/>
      <c r="X27" s="455"/>
      <c r="Y27" s="583" t="s">
        <v>281</v>
      </c>
      <c r="Z27" s="454"/>
      <c r="AA27" s="454"/>
      <c r="AB27" s="455"/>
      <c r="AC27" s="583" t="s">
        <v>281</v>
      </c>
      <c r="AD27" s="454"/>
      <c r="AE27" s="454"/>
      <c r="AF27" s="455"/>
      <c r="AG27" s="583" t="s">
        <v>281</v>
      </c>
      <c r="AH27" s="454"/>
      <c r="AI27" s="454"/>
      <c r="AJ27" s="455"/>
      <c r="AK27" s="583" t="s">
        <v>281</v>
      </c>
      <c r="AL27" s="454"/>
      <c r="AM27" s="454"/>
      <c r="AN27" s="455"/>
      <c r="AO27" s="583" t="s">
        <v>281</v>
      </c>
      <c r="AP27" s="454"/>
      <c r="AQ27" s="454"/>
      <c r="AR27" s="455"/>
      <c r="AS27" s="583" t="s">
        <v>281</v>
      </c>
      <c r="AT27" s="454"/>
      <c r="AU27" s="454"/>
      <c r="AV27" s="455"/>
      <c r="AW27" s="583" t="s">
        <v>281</v>
      </c>
      <c r="AX27" s="454"/>
      <c r="AY27" s="454"/>
      <c r="AZ27" s="455"/>
      <c r="BA27" s="295"/>
      <c r="BB27" s="419"/>
      <c r="BC27" s="417"/>
    </row>
    <row r="28" spans="1:68" ht="25.5">
      <c r="A28">
        <v>15</v>
      </c>
      <c r="B28" s="785" t="s">
        <v>690</v>
      </c>
      <c r="C28" s="470" t="s">
        <v>477</v>
      </c>
      <c r="D28" s="455"/>
      <c r="E28" s="583">
        <v>150</v>
      </c>
      <c r="F28" s="454"/>
      <c r="G28" s="454"/>
      <c r="H28" s="784"/>
      <c r="I28" s="583">
        <v>150</v>
      </c>
      <c r="J28" s="454"/>
      <c r="K28" s="454"/>
      <c r="L28" s="784"/>
      <c r="M28" s="583">
        <v>150</v>
      </c>
      <c r="N28" s="454"/>
      <c r="O28" s="454"/>
      <c r="P28" s="455"/>
      <c r="Q28" s="583">
        <v>150</v>
      </c>
      <c r="R28" s="454"/>
      <c r="S28" s="454"/>
      <c r="T28" s="455"/>
      <c r="U28" s="583">
        <v>150</v>
      </c>
      <c r="V28" s="454"/>
      <c r="W28" s="454"/>
      <c r="X28" s="455"/>
      <c r="Y28" s="583">
        <v>150</v>
      </c>
      <c r="Z28" s="454"/>
      <c r="AA28" s="454"/>
      <c r="AB28" s="455"/>
      <c r="AC28" s="583">
        <v>150</v>
      </c>
      <c r="AD28" s="454"/>
      <c r="AE28" s="454"/>
      <c r="AF28" s="455"/>
      <c r="AG28" s="583">
        <v>0</v>
      </c>
      <c r="AH28" s="454"/>
      <c r="AI28" s="454"/>
      <c r="AJ28" s="455"/>
      <c r="AK28" s="583">
        <v>0</v>
      </c>
      <c r="AL28" s="454"/>
      <c r="AM28" s="454"/>
      <c r="AN28" s="455"/>
      <c r="AO28" s="583">
        <v>150</v>
      </c>
      <c r="AP28" s="454"/>
      <c r="AQ28" s="454"/>
      <c r="AR28" s="455"/>
      <c r="AS28" s="583">
        <v>0</v>
      </c>
      <c r="AT28" s="454"/>
      <c r="AU28" s="454"/>
      <c r="AV28" s="455"/>
      <c r="AW28" s="583">
        <v>0</v>
      </c>
      <c r="AX28" s="454"/>
      <c r="AY28" s="454"/>
      <c r="AZ28" s="455"/>
      <c r="BA28" s="295"/>
      <c r="BB28" s="419"/>
      <c r="BC28" s="417"/>
    </row>
    <row r="29" spans="1:68" ht="38.25">
      <c r="A29">
        <v>16</v>
      </c>
      <c r="B29" s="785" t="s">
        <v>0</v>
      </c>
      <c r="C29" s="470" t="s">
        <v>1</v>
      </c>
      <c r="D29" s="455"/>
      <c r="E29" s="786">
        <f>+$L$12</f>
        <v>0.10772176481255294</v>
      </c>
      <c r="F29" s="295"/>
      <c r="G29" s="853"/>
      <c r="H29" s="787"/>
      <c r="I29" s="786">
        <f>+$L$12</f>
        <v>0.10772176481255294</v>
      </c>
      <c r="J29" s="295"/>
      <c r="K29" s="853"/>
      <c r="L29" s="787"/>
      <c r="M29" s="786">
        <f>+$L$12</f>
        <v>0.10772176481255294</v>
      </c>
      <c r="N29" s="454"/>
      <c r="O29" s="454"/>
      <c r="P29" s="455"/>
      <c r="Q29" s="786">
        <f>+$L$12</f>
        <v>0.10772176481255294</v>
      </c>
      <c r="R29" s="295"/>
      <c r="S29" s="295"/>
      <c r="T29" s="417"/>
      <c r="U29" s="786">
        <f>+$L$12</f>
        <v>0.10772176481255294</v>
      </c>
      <c r="V29" s="295"/>
      <c r="W29" s="295"/>
      <c r="X29" s="417"/>
      <c r="Y29" s="786">
        <f>+$L$12</f>
        <v>0.10772176481255294</v>
      </c>
      <c r="Z29" s="295"/>
      <c r="AA29" s="295"/>
      <c r="AB29" s="417"/>
      <c r="AC29" s="786">
        <f>+$L$12</f>
        <v>0.10772176481255294</v>
      </c>
      <c r="AD29" s="295"/>
      <c r="AE29" s="295"/>
      <c r="AF29" s="417"/>
      <c r="AG29" s="786">
        <f>+$L$12</f>
        <v>0.10772176481255294</v>
      </c>
      <c r="AH29" s="295"/>
      <c r="AI29" s="295"/>
      <c r="AJ29" s="417"/>
      <c r="AK29" s="786">
        <f>+$L$12</f>
        <v>0.10772176481255294</v>
      </c>
      <c r="AL29" s="295"/>
      <c r="AM29" s="295"/>
      <c r="AN29" s="417"/>
      <c r="AO29" s="786">
        <f>+$L$12</f>
        <v>0.10772176481255294</v>
      </c>
      <c r="AP29" s="295"/>
      <c r="AQ29" s="295"/>
      <c r="AR29" s="417"/>
      <c r="AS29" s="786">
        <f>+$L$12</f>
        <v>0.10772176481255294</v>
      </c>
      <c r="AT29" s="295"/>
      <c r="AU29" s="295"/>
      <c r="AV29" s="417"/>
      <c r="AW29" s="786">
        <f>+$L$12</f>
        <v>0.10772176481255294</v>
      </c>
      <c r="AX29" s="295"/>
      <c r="AY29" s="295"/>
      <c r="AZ29" s="417"/>
      <c r="BA29" s="295"/>
      <c r="BB29" s="419"/>
      <c r="BC29" s="417"/>
    </row>
    <row r="30" spans="1:68" ht="25.5">
      <c r="A30">
        <v>17</v>
      </c>
      <c r="B30" s="788" t="s">
        <v>2</v>
      </c>
      <c r="C30" s="470" t="s">
        <v>284</v>
      </c>
      <c r="D30" s="729"/>
      <c r="E30" s="789">
        <f>+$L14*E28/100+E29</f>
        <v>0.11702594982140176</v>
      </c>
      <c r="F30" s="790"/>
      <c r="G30" s="790"/>
      <c r="H30" s="791"/>
      <c r="I30" s="789">
        <f>+$L14*I28/100+I29</f>
        <v>0.11702594982140176</v>
      </c>
      <c r="J30" s="790"/>
      <c r="K30" s="790"/>
      <c r="L30" s="791"/>
      <c r="M30" s="789">
        <f>+$L14*M28/100+M29</f>
        <v>0.11702594982140176</v>
      </c>
      <c r="N30" s="295"/>
      <c r="O30" s="295"/>
      <c r="P30" s="417"/>
      <c r="Q30" s="789">
        <f>+$L14*Q28/100+Q29</f>
        <v>0.11702594982140176</v>
      </c>
      <c r="R30" s="295"/>
      <c r="S30" s="295"/>
      <c r="T30" s="417"/>
      <c r="U30" s="789">
        <f>+$L14*U28/100+U29</f>
        <v>0.11702594982140176</v>
      </c>
      <c r="V30" s="295"/>
      <c r="W30" s="295"/>
      <c r="X30" s="417"/>
      <c r="Y30" s="789">
        <f>+$L14*Y28/100+Y29</f>
        <v>0.11702594982140176</v>
      </c>
      <c r="Z30" s="295"/>
      <c r="AA30" s="295"/>
      <c r="AB30" s="417"/>
      <c r="AC30" s="789">
        <f>+$L14*AC28/100+AC29</f>
        <v>0.11702594982140176</v>
      </c>
      <c r="AD30" s="295"/>
      <c r="AE30" s="295"/>
      <c r="AF30" s="417"/>
      <c r="AG30" s="789">
        <f>+$L14*AG28/100+AG29</f>
        <v>0.10772176481255294</v>
      </c>
      <c r="AH30" s="295"/>
      <c r="AI30" s="295"/>
      <c r="AJ30" s="417"/>
      <c r="AK30" s="789">
        <f>+$L14*AK28/100+AK29</f>
        <v>0.10772176481255294</v>
      </c>
      <c r="AL30" s="295"/>
      <c r="AM30" s="295"/>
      <c r="AN30" s="417"/>
      <c r="AO30" s="789">
        <f>+$L14*AO28/100+AO29</f>
        <v>0.11702594982140176</v>
      </c>
      <c r="AP30" s="295"/>
      <c r="AQ30" s="295"/>
      <c r="AR30" s="417"/>
      <c r="AS30" s="789">
        <f>+$L14*AS28/100+AS29</f>
        <v>0.10772176481255294</v>
      </c>
      <c r="AT30" s="295"/>
      <c r="AU30" s="295"/>
      <c r="AV30" s="417"/>
      <c r="AW30" s="789">
        <f>+$L14*AW28/100+AW29</f>
        <v>0.10772176481255294</v>
      </c>
      <c r="AX30" s="295"/>
      <c r="AY30" s="295"/>
      <c r="AZ30" s="417"/>
      <c r="BA30" s="295"/>
      <c r="BB30" s="419"/>
      <c r="BC30" s="417"/>
    </row>
    <row r="31" spans="1:68" ht="26.25">
      <c r="A31">
        <v>18</v>
      </c>
      <c r="B31" s="792" t="s">
        <v>3</v>
      </c>
      <c r="C31" s="470" t="s">
        <v>290</v>
      </c>
      <c r="D31" s="455"/>
      <c r="E31" s="796">
        <v>14689101</v>
      </c>
      <c r="F31" s="794"/>
      <c r="G31" s="794"/>
      <c r="H31" s="795"/>
      <c r="I31" s="793">
        <v>3099104</v>
      </c>
      <c r="J31" s="794"/>
      <c r="K31" s="794"/>
      <c r="L31" s="795"/>
      <c r="M31" s="796">
        <v>2418717</v>
      </c>
      <c r="N31" s="797"/>
      <c r="O31" s="797"/>
      <c r="P31" s="787"/>
      <c r="Q31" s="796">
        <v>6414723</v>
      </c>
      <c r="R31" s="797"/>
      <c r="S31" s="797"/>
      <c r="T31" s="787"/>
      <c r="U31" s="796">
        <f>8379558</f>
        <v>8379558</v>
      </c>
      <c r="V31" s="797"/>
      <c r="W31" s="797"/>
      <c r="X31" s="787"/>
      <c r="Y31" s="796">
        <v>14504530</v>
      </c>
      <c r="Z31" s="797"/>
      <c r="AA31" s="797"/>
      <c r="AB31" s="787"/>
      <c r="AC31" s="796">
        <v>6681345</v>
      </c>
      <c r="AD31" s="797"/>
      <c r="AE31" s="797"/>
      <c r="AF31" s="787"/>
      <c r="AG31" s="796">
        <v>217662</v>
      </c>
      <c r="AH31" s="797"/>
      <c r="AI31" s="797"/>
      <c r="AJ31" s="787"/>
      <c r="AK31" s="796">
        <v>5055041</v>
      </c>
      <c r="AL31" s="797"/>
      <c r="AM31" s="797"/>
      <c r="AN31" s="787"/>
      <c r="AO31" s="796">
        <v>16372433</v>
      </c>
      <c r="AP31" s="797"/>
      <c r="AQ31" s="797"/>
      <c r="AR31" s="787"/>
      <c r="AS31" s="796">
        <v>10567349</v>
      </c>
      <c r="AT31" s="797"/>
      <c r="AU31" s="797"/>
      <c r="AV31" s="787"/>
      <c r="AW31" s="796">
        <v>7246743</v>
      </c>
      <c r="AX31" s="797"/>
      <c r="AY31" s="797"/>
      <c r="AZ31" s="787"/>
      <c r="BA31" s="295"/>
      <c r="BB31" s="419"/>
      <c r="BC31" s="417"/>
    </row>
    <row r="32" spans="1:68">
      <c r="A32">
        <v>19</v>
      </c>
      <c r="B32" s="799" t="s">
        <v>4</v>
      </c>
      <c r="C32" s="419" t="s">
        <v>291</v>
      </c>
      <c r="D32" s="455"/>
      <c r="E32" s="798">
        <f>IF(E31=0,0,E31/E26)</f>
        <v>419688.6</v>
      </c>
      <c r="F32" s="797"/>
      <c r="G32" s="797"/>
      <c r="H32" s="787"/>
      <c r="I32" s="798">
        <f>IF(I31=0,0,I31/I26)</f>
        <v>88545.828571428574</v>
      </c>
      <c r="J32" s="797"/>
      <c r="K32" s="797"/>
      <c r="L32" s="787"/>
      <c r="M32" s="798">
        <f>IF(M31=0,0,M31/M26)</f>
        <v>69106.2</v>
      </c>
      <c r="N32" s="797"/>
      <c r="O32" s="797"/>
      <c r="P32" s="787"/>
      <c r="Q32" s="798">
        <f>+Q31/Q26</f>
        <v>183277.8</v>
      </c>
      <c r="R32" s="797"/>
      <c r="S32" s="797"/>
      <c r="T32" s="787"/>
      <c r="U32" s="798">
        <f>+U31/U26</f>
        <v>239415.94285714286</v>
      </c>
      <c r="V32" s="797"/>
      <c r="W32" s="797"/>
      <c r="X32" s="787"/>
      <c r="Y32" s="798">
        <f>+Y31/Y26</f>
        <v>414415.14285714284</v>
      </c>
      <c r="Z32" s="797"/>
      <c r="AA32" s="797"/>
      <c r="AB32" s="787"/>
      <c r="AC32" s="798">
        <f>+AC31/AC26</f>
        <v>190895.57142857142</v>
      </c>
      <c r="AD32" s="797"/>
      <c r="AE32" s="797"/>
      <c r="AF32" s="787"/>
      <c r="AG32" s="798">
        <f>+AG31/AG26</f>
        <v>6218.9142857142861</v>
      </c>
      <c r="AH32" s="797"/>
      <c r="AI32" s="797"/>
      <c r="AJ32" s="787"/>
      <c r="AK32" s="798">
        <f>+AK31/AK26</f>
        <v>144429.74285714285</v>
      </c>
      <c r="AL32" s="797"/>
      <c r="AM32" s="797"/>
      <c r="AN32" s="787"/>
      <c r="AO32" s="798">
        <f>+AO31/AO26</f>
        <v>467783.8</v>
      </c>
      <c r="AP32" s="797"/>
      <c r="AQ32" s="797"/>
      <c r="AR32" s="787"/>
      <c r="AS32" s="798">
        <f>+AS31/AS26</f>
        <v>301924.25714285712</v>
      </c>
      <c r="AT32" s="797"/>
      <c r="AU32" s="797"/>
      <c r="AV32" s="787"/>
      <c r="AW32" s="798">
        <f>+AW31/AW26</f>
        <v>207049.8</v>
      </c>
      <c r="AX32" s="797"/>
      <c r="AY32" s="797"/>
      <c r="AZ32" s="787"/>
      <c r="BA32" s="295"/>
      <c r="BB32" s="419"/>
      <c r="BC32" s="417"/>
    </row>
    <row r="33" spans="1:73" s="2" customFormat="1" ht="27" customHeight="1">
      <c r="A33" s="2">
        <f>+A32+1</f>
        <v>20</v>
      </c>
      <c r="B33" s="788" t="s">
        <v>5</v>
      </c>
      <c r="C33" s="1256" t="s">
        <v>682</v>
      </c>
      <c r="D33" s="1257"/>
      <c r="E33" s="800">
        <v>6</v>
      </c>
      <c r="F33" s="801"/>
      <c r="G33" s="801"/>
      <c r="H33" s="802"/>
      <c r="I33" s="800">
        <v>6</v>
      </c>
      <c r="J33" s="801"/>
      <c r="K33" s="801"/>
      <c r="L33" s="802"/>
      <c r="M33" s="800">
        <v>6</v>
      </c>
      <c r="N33" s="803"/>
      <c r="O33" s="803"/>
      <c r="P33" s="804"/>
      <c r="Q33" s="796">
        <v>6</v>
      </c>
      <c r="R33" s="803"/>
      <c r="S33" s="803"/>
      <c r="T33" s="804"/>
      <c r="U33" s="796">
        <v>12</v>
      </c>
      <c r="V33" s="803"/>
      <c r="W33" s="803"/>
      <c r="X33" s="804"/>
      <c r="Y33" s="796">
        <v>9</v>
      </c>
      <c r="Z33" s="803"/>
      <c r="AA33" s="803"/>
      <c r="AB33" s="804"/>
      <c r="AC33" s="796">
        <v>8</v>
      </c>
      <c r="AD33" s="803"/>
      <c r="AE33" s="803"/>
      <c r="AF33" s="804"/>
      <c r="AG33" s="796">
        <v>6</v>
      </c>
      <c r="AH33" s="803"/>
      <c r="AI33" s="803"/>
      <c r="AJ33" s="804"/>
      <c r="AK33" s="796">
        <v>6</v>
      </c>
      <c r="AL33" s="803"/>
      <c r="AM33" s="803"/>
      <c r="AN33" s="804"/>
      <c r="AO33" s="796">
        <v>12</v>
      </c>
      <c r="AP33" s="803"/>
      <c r="AQ33" s="803"/>
      <c r="AR33" s="804"/>
      <c r="AS33" s="796">
        <v>4</v>
      </c>
      <c r="AT33" s="803"/>
      <c r="AU33" s="803"/>
      <c r="AV33" s="804"/>
      <c r="AW33" s="796">
        <v>5</v>
      </c>
      <c r="AX33" s="803"/>
      <c r="AY33" s="803"/>
      <c r="AZ33" s="804"/>
      <c r="BA33" s="296"/>
      <c r="BB33" s="470"/>
      <c r="BC33" s="477"/>
    </row>
    <row r="34" spans="1:73" ht="13.5" thickBot="1">
      <c r="C34" s="422"/>
      <c r="D34" s="805"/>
      <c r="E34" s="806"/>
      <c r="F34" s="807"/>
      <c r="G34" s="807"/>
      <c r="H34" s="808"/>
      <c r="I34" s="806"/>
      <c r="J34" s="807"/>
      <c r="K34" s="807"/>
      <c r="L34" s="808"/>
      <c r="M34" s="806"/>
      <c r="N34" s="807"/>
      <c r="O34" s="807"/>
      <c r="P34" s="808"/>
      <c r="Q34" s="806"/>
      <c r="R34" s="807"/>
      <c r="S34" s="807"/>
      <c r="T34" s="808"/>
      <c r="U34" s="806"/>
      <c r="V34" s="807"/>
      <c r="W34" s="807"/>
      <c r="X34" s="808"/>
      <c r="Y34" s="806"/>
      <c r="Z34" s="807"/>
      <c r="AA34" s="807"/>
      <c r="AB34" s="808"/>
      <c r="AC34" s="806"/>
      <c r="AD34" s="807"/>
      <c r="AE34" s="807"/>
      <c r="AF34" s="808"/>
      <c r="AG34" s="806"/>
      <c r="AH34" s="807"/>
      <c r="AI34" s="807"/>
      <c r="AJ34" s="808"/>
      <c r="AK34" s="806"/>
      <c r="AL34" s="807"/>
      <c r="AM34" s="807"/>
      <c r="AN34" s="808"/>
      <c r="AO34" s="806"/>
      <c r="AP34" s="807"/>
      <c r="AQ34" s="807"/>
      <c r="AR34" s="808"/>
      <c r="AS34" s="806"/>
      <c r="AT34" s="807"/>
      <c r="AU34" s="807"/>
      <c r="AV34" s="808"/>
      <c r="AW34" s="806"/>
      <c r="AX34" s="807"/>
      <c r="AY34" s="807"/>
      <c r="AZ34" s="808"/>
      <c r="BA34" s="418"/>
      <c r="BB34" s="422"/>
      <c r="BC34" s="423"/>
    </row>
    <row r="35" spans="1:73">
      <c r="C35" s="450"/>
      <c r="D35" s="457" t="s">
        <v>280</v>
      </c>
      <c r="E35" s="452" t="s">
        <v>293</v>
      </c>
      <c r="F35" s="452" t="s">
        <v>294</v>
      </c>
      <c r="G35" s="452" t="s">
        <v>295</v>
      </c>
      <c r="H35" s="809" t="s">
        <v>292</v>
      </c>
      <c r="I35" s="877" t="s">
        <v>293</v>
      </c>
      <c r="J35" s="877" t="s">
        <v>294</v>
      </c>
      <c r="K35" s="877" t="s">
        <v>295</v>
      </c>
      <c r="L35" s="809" t="s">
        <v>292</v>
      </c>
      <c r="M35" s="451" t="s">
        <v>293</v>
      </c>
      <c r="N35" s="452" t="s">
        <v>294</v>
      </c>
      <c r="O35" s="452" t="s">
        <v>295</v>
      </c>
      <c r="P35" s="453" t="s">
        <v>292</v>
      </c>
      <c r="Q35" s="451" t="s">
        <v>293</v>
      </c>
      <c r="R35" s="452" t="s">
        <v>294</v>
      </c>
      <c r="S35" s="452" t="s">
        <v>295</v>
      </c>
      <c r="T35" s="453" t="s">
        <v>292</v>
      </c>
      <c r="U35" s="451" t="s">
        <v>293</v>
      </c>
      <c r="V35" s="452" t="s">
        <v>294</v>
      </c>
      <c r="W35" s="452" t="s">
        <v>295</v>
      </c>
      <c r="X35" s="453" t="s">
        <v>292</v>
      </c>
      <c r="Y35" s="451" t="s">
        <v>293</v>
      </c>
      <c r="Z35" s="452" t="s">
        <v>294</v>
      </c>
      <c r="AA35" s="452" t="s">
        <v>295</v>
      </c>
      <c r="AB35" s="453" t="s">
        <v>292</v>
      </c>
      <c r="AC35" s="451" t="s">
        <v>293</v>
      </c>
      <c r="AD35" s="452" t="s">
        <v>294</v>
      </c>
      <c r="AE35" s="452" t="s">
        <v>295</v>
      </c>
      <c r="AF35" s="453" t="s">
        <v>292</v>
      </c>
      <c r="AG35" s="858" t="s">
        <v>293</v>
      </c>
      <c r="AH35" s="859" t="s">
        <v>294</v>
      </c>
      <c r="AI35" s="859" t="s">
        <v>295</v>
      </c>
      <c r="AJ35" s="860" t="s">
        <v>292</v>
      </c>
      <c r="AK35" s="858" t="s">
        <v>293</v>
      </c>
      <c r="AL35" s="859" t="s">
        <v>294</v>
      </c>
      <c r="AM35" s="859" t="s">
        <v>295</v>
      </c>
      <c r="AN35" s="860" t="s">
        <v>292</v>
      </c>
      <c r="AO35" s="858" t="s">
        <v>293</v>
      </c>
      <c r="AP35" s="859" t="s">
        <v>294</v>
      </c>
      <c r="AQ35" s="859" t="s">
        <v>295</v>
      </c>
      <c r="AR35" s="860" t="s">
        <v>292</v>
      </c>
      <c r="AS35" s="882" t="s">
        <v>293</v>
      </c>
      <c r="AT35" s="883" t="s">
        <v>294</v>
      </c>
      <c r="AU35" s="883" t="s">
        <v>295</v>
      </c>
      <c r="AV35" s="884" t="s">
        <v>292</v>
      </c>
      <c r="AW35" s="1002" t="s">
        <v>293</v>
      </c>
      <c r="AX35" s="1003" t="s">
        <v>294</v>
      </c>
      <c r="AY35" s="1003" t="s">
        <v>295</v>
      </c>
      <c r="AZ35" s="1004" t="s">
        <v>292</v>
      </c>
      <c r="BA35" s="469" t="s">
        <v>181</v>
      </c>
      <c r="BB35" s="537" t="s">
        <v>298</v>
      </c>
      <c r="BC35" s="810" t="s">
        <v>299</v>
      </c>
    </row>
    <row r="36" spans="1:73" hidden="1">
      <c r="A36">
        <f>+A33+1</f>
        <v>21</v>
      </c>
      <c r="C36" s="419" t="str">
        <f>+C29</f>
        <v>Base FCR</v>
      </c>
      <c r="D36" s="458">
        <v>2008</v>
      </c>
      <c r="E36" s="459"/>
      <c r="F36" s="797"/>
      <c r="G36" s="459">
        <v>0</v>
      </c>
      <c r="H36" s="787">
        <v>0</v>
      </c>
      <c r="I36" s="459"/>
      <c r="J36" s="797"/>
      <c r="K36" s="459">
        <v>0</v>
      </c>
      <c r="L36" s="787">
        <v>0</v>
      </c>
      <c r="M36" s="459"/>
      <c r="N36" s="797"/>
      <c r="O36" s="459">
        <v>0</v>
      </c>
      <c r="P36" s="787">
        <v>0</v>
      </c>
      <c r="Q36" s="419"/>
      <c r="R36" s="295"/>
      <c r="S36" s="295"/>
      <c r="T36" s="787"/>
      <c r="U36" s="419"/>
      <c r="V36" s="295"/>
      <c r="W36" s="295"/>
      <c r="X36" s="787"/>
      <c r="Y36" s="419"/>
      <c r="Z36" s="295"/>
      <c r="AA36" s="295"/>
      <c r="AB36" s="787"/>
      <c r="AC36" s="419"/>
      <c r="AD36" s="295"/>
      <c r="AE36" s="295"/>
      <c r="AF36" s="787"/>
      <c r="AG36" s="419"/>
      <c r="AH36" s="295"/>
      <c r="AI36" s="295"/>
      <c r="AJ36" s="787"/>
      <c r="AK36" s="419"/>
      <c r="AL36" s="295"/>
      <c r="AM36" s="295"/>
      <c r="AN36" s="787"/>
      <c r="AO36" s="419"/>
      <c r="AP36" s="295"/>
      <c r="AQ36" s="295"/>
      <c r="AR36" s="787"/>
      <c r="AS36" s="419"/>
      <c r="AT36" s="295"/>
      <c r="AU36" s="295"/>
      <c r="AV36" s="787"/>
      <c r="AW36" s="419"/>
      <c r="AX36" s="295"/>
      <c r="AY36" s="295"/>
      <c r="AZ36" s="787"/>
      <c r="BA36" s="811">
        <v>11906709.865205778</v>
      </c>
      <c r="BB36" s="295"/>
      <c r="BC36" s="460">
        <f>+BA36</f>
        <v>11906709.865205778</v>
      </c>
    </row>
    <row r="37" spans="1:73" hidden="1">
      <c r="A37">
        <f>+A36+1</f>
        <v>22</v>
      </c>
      <c r="C37" s="419" t="s">
        <v>478</v>
      </c>
      <c r="D37" s="458">
        <v>2008</v>
      </c>
      <c r="E37" s="459"/>
      <c r="F37" s="797"/>
      <c r="G37" s="459">
        <v>0</v>
      </c>
      <c r="H37" s="787">
        <v>0</v>
      </c>
      <c r="I37" s="459"/>
      <c r="J37" s="797"/>
      <c r="K37" s="459">
        <v>0</v>
      </c>
      <c r="L37" s="787">
        <v>0</v>
      </c>
      <c r="M37" s="459"/>
      <c r="N37" s="797"/>
      <c r="O37" s="459">
        <v>0</v>
      </c>
      <c r="P37" s="787">
        <v>0</v>
      </c>
      <c r="Q37" s="419"/>
      <c r="R37" s="295"/>
      <c r="S37" s="295"/>
      <c r="T37" s="787"/>
      <c r="U37" s="419"/>
      <c r="V37" s="295"/>
      <c r="W37" s="295"/>
      <c r="X37" s="787"/>
      <c r="Y37" s="419"/>
      <c r="Z37" s="295"/>
      <c r="AA37" s="295"/>
      <c r="AB37" s="787"/>
      <c r="AC37" s="419"/>
      <c r="AD37" s="295"/>
      <c r="AE37" s="295"/>
      <c r="AF37" s="787"/>
      <c r="AG37" s="419"/>
      <c r="AH37" s="295"/>
      <c r="AI37" s="295"/>
      <c r="AJ37" s="787"/>
      <c r="AK37" s="419"/>
      <c r="AL37" s="295"/>
      <c r="AM37" s="295"/>
      <c r="AN37" s="787"/>
      <c r="AO37" s="419"/>
      <c r="AP37" s="295"/>
      <c r="AQ37" s="295"/>
      <c r="AR37" s="787"/>
      <c r="AS37" s="419"/>
      <c r="AT37" s="295"/>
      <c r="AU37" s="295"/>
      <c r="AV37" s="787"/>
      <c r="AW37" s="419"/>
      <c r="AX37" s="295"/>
      <c r="AY37" s="295"/>
      <c r="AZ37" s="787"/>
      <c r="BA37" s="811">
        <v>11906709.865205778</v>
      </c>
      <c r="BB37" s="461">
        <f>+BA37</f>
        <v>11906709.865205778</v>
      </c>
      <c r="BC37" s="417"/>
    </row>
    <row r="38" spans="1:73" hidden="1">
      <c r="A38">
        <f t="shared" ref="A38:A77" si="0">+A37+1</f>
        <v>23</v>
      </c>
      <c r="C38" s="419" t="str">
        <f>+C36</f>
        <v>Base FCR</v>
      </c>
      <c r="D38" s="458">
        <f t="shared" ref="D38:D75" si="1">+D36+1</f>
        <v>2009</v>
      </c>
      <c r="E38" s="459">
        <v>14689101</v>
      </c>
      <c r="F38" s="797">
        <v>209844.3</v>
      </c>
      <c r="G38" s="459">
        <v>14479256.699999999</v>
      </c>
      <c r="H38" s="787">
        <v>2027345.7502079715</v>
      </c>
      <c r="I38" s="459">
        <v>3099104</v>
      </c>
      <c r="J38" s="797">
        <v>44272.914285714287</v>
      </c>
      <c r="K38" s="459">
        <v>3054831.0857142857</v>
      </c>
      <c r="L38" s="787">
        <v>427729.05733662838</v>
      </c>
      <c r="M38" s="459">
        <v>2418717</v>
      </c>
      <c r="N38" s="797">
        <v>34553.1</v>
      </c>
      <c r="O38" s="459">
        <v>2384163.9</v>
      </c>
      <c r="P38" s="787">
        <v>333824.08024192724</v>
      </c>
      <c r="Q38" s="462"/>
      <c r="R38" s="797"/>
      <c r="S38" s="459"/>
      <c r="T38" s="787"/>
      <c r="U38" s="462"/>
      <c r="V38" s="797"/>
      <c r="W38" s="459"/>
      <c r="X38" s="787"/>
      <c r="Y38" s="462"/>
      <c r="Z38" s="797"/>
      <c r="AA38" s="459"/>
      <c r="AB38" s="787"/>
      <c r="AC38" s="462"/>
      <c r="AD38" s="797"/>
      <c r="AE38" s="459"/>
      <c r="AF38" s="787"/>
      <c r="AG38" s="462"/>
      <c r="AH38" s="797"/>
      <c r="AI38" s="459"/>
      <c r="AJ38" s="787"/>
      <c r="AK38" s="462"/>
      <c r="AL38" s="797"/>
      <c r="AM38" s="459"/>
      <c r="AN38" s="787"/>
      <c r="AO38" s="462"/>
      <c r="AP38" s="797"/>
      <c r="AQ38" s="459"/>
      <c r="AR38" s="787"/>
      <c r="AS38" s="462"/>
      <c r="AT38" s="797"/>
      <c r="AU38" s="459"/>
      <c r="AV38" s="787"/>
      <c r="AW38" s="462"/>
      <c r="AX38" s="797"/>
      <c r="AY38" s="459"/>
      <c r="AZ38" s="787"/>
      <c r="BA38" s="811">
        <v>11906709.865205778</v>
      </c>
      <c r="BB38" s="295"/>
      <c r="BC38" s="460">
        <f>+BA38</f>
        <v>11906709.865205778</v>
      </c>
      <c r="BQ38" s="667"/>
      <c r="BR38" s="667"/>
      <c r="BS38" s="667"/>
      <c r="BT38" s="667"/>
      <c r="BU38" s="667"/>
    </row>
    <row r="39" spans="1:73" hidden="1">
      <c r="A39">
        <f t="shared" si="0"/>
        <v>24</v>
      </c>
      <c r="C39" s="419" t="str">
        <f>+C37</f>
        <v>W Increased ROE</v>
      </c>
      <c r="D39" s="458">
        <f t="shared" si="1"/>
        <v>2009</v>
      </c>
      <c r="E39" s="459">
        <v>14689101</v>
      </c>
      <c r="F39" s="797">
        <v>209844.3</v>
      </c>
      <c r="G39" s="459">
        <v>14479256.699999999</v>
      </c>
      <c r="H39" s="787">
        <v>2170869.4430184173</v>
      </c>
      <c r="I39" s="459">
        <v>3099104</v>
      </c>
      <c r="J39" s="797">
        <v>44272.914285714287</v>
      </c>
      <c r="K39" s="459">
        <v>3054831.0857142857</v>
      </c>
      <c r="L39" s="787">
        <v>458009.66133571754</v>
      </c>
      <c r="M39" s="459">
        <v>2418717</v>
      </c>
      <c r="N39" s="797">
        <v>34553.1</v>
      </c>
      <c r="O39" s="459">
        <v>2384163.9</v>
      </c>
      <c r="P39" s="787">
        <v>357456.78558607347</v>
      </c>
      <c r="Q39" s="462"/>
      <c r="R39" s="797"/>
      <c r="S39" s="459"/>
      <c r="T39" s="787"/>
      <c r="U39" s="462"/>
      <c r="V39" s="797"/>
      <c r="W39" s="459"/>
      <c r="X39" s="787"/>
      <c r="Y39" s="462"/>
      <c r="Z39" s="797"/>
      <c r="AA39" s="459"/>
      <c r="AB39" s="787"/>
      <c r="AC39" s="462"/>
      <c r="AD39" s="797"/>
      <c r="AE39" s="459"/>
      <c r="AF39" s="787"/>
      <c r="AG39" s="462"/>
      <c r="AH39" s="797"/>
      <c r="AI39" s="459"/>
      <c r="AJ39" s="787"/>
      <c r="AK39" s="462"/>
      <c r="AL39" s="797"/>
      <c r="AM39" s="459"/>
      <c r="AN39" s="787"/>
      <c r="AO39" s="462"/>
      <c r="AP39" s="797"/>
      <c r="AQ39" s="459"/>
      <c r="AR39" s="787"/>
      <c r="AS39" s="462"/>
      <c r="AT39" s="797"/>
      <c r="AU39" s="459"/>
      <c r="AV39" s="787"/>
      <c r="AW39" s="462"/>
      <c r="AX39" s="797"/>
      <c r="AY39" s="459"/>
      <c r="AZ39" s="787"/>
      <c r="BA39" s="811">
        <v>11906709.865205778</v>
      </c>
      <c r="BB39" s="461">
        <f>+BA39</f>
        <v>11906709.865205778</v>
      </c>
      <c r="BC39" s="417"/>
      <c r="BQ39" s="667"/>
      <c r="BR39" s="667"/>
      <c r="BS39" s="667"/>
      <c r="BT39" s="667"/>
      <c r="BU39" s="667"/>
    </row>
    <row r="40" spans="1:73" hidden="1">
      <c r="A40">
        <f t="shared" si="0"/>
        <v>25</v>
      </c>
      <c r="C40" s="419" t="str">
        <f t="shared" ref="C40:C75" si="2">+C38</f>
        <v>Base FCR</v>
      </c>
      <c r="D40" s="458">
        <f t="shared" si="1"/>
        <v>2010</v>
      </c>
      <c r="E40" s="459">
        <v>14479256.699999999</v>
      </c>
      <c r="F40" s="459">
        <v>419688.6</v>
      </c>
      <c r="G40" s="459">
        <v>14059568.1</v>
      </c>
      <c r="H40" s="787">
        <v>2184508.8487526681</v>
      </c>
      <c r="I40" s="462">
        <v>3054831.0857142857</v>
      </c>
      <c r="J40" s="459">
        <v>88545.828571428574</v>
      </c>
      <c r="K40" s="459">
        <v>2966285.2571428572</v>
      </c>
      <c r="L40" s="787">
        <v>460887.30080927268</v>
      </c>
      <c r="M40" s="462">
        <v>2384163.9</v>
      </c>
      <c r="N40" s="459">
        <v>69106.2</v>
      </c>
      <c r="O40" s="459">
        <v>2315057.7000000002</v>
      </c>
      <c r="P40" s="787">
        <v>359702.65907549456</v>
      </c>
      <c r="Q40" s="462">
        <v>6414723</v>
      </c>
      <c r="R40" s="797">
        <v>91638.9</v>
      </c>
      <c r="S40" s="459">
        <v>6323084.0999999996</v>
      </c>
      <c r="T40" s="787">
        <v>932508.31708739861</v>
      </c>
      <c r="U40" s="462">
        <v>8379558</v>
      </c>
      <c r="V40" s="797">
        <v>0</v>
      </c>
      <c r="W40" s="459">
        <v>8379558</v>
      </c>
      <c r="X40" s="787">
        <v>1114347.6726665786</v>
      </c>
      <c r="Y40" s="462">
        <v>14504530</v>
      </c>
      <c r="Z40" s="797">
        <v>103603.78571428571</v>
      </c>
      <c r="AA40" s="459">
        <v>14400926.214285715</v>
      </c>
      <c r="AB40" s="787">
        <v>2018697.4709817434</v>
      </c>
      <c r="AC40" s="462"/>
      <c r="AD40" s="797"/>
      <c r="AE40" s="459"/>
      <c r="AF40" s="787"/>
      <c r="AG40" s="462"/>
      <c r="AH40" s="797"/>
      <c r="AI40" s="459"/>
      <c r="AJ40" s="787"/>
      <c r="AK40" s="462"/>
      <c r="AL40" s="797"/>
      <c r="AM40" s="459"/>
      <c r="AN40" s="787"/>
      <c r="AO40" s="462"/>
      <c r="AP40" s="797"/>
      <c r="AQ40" s="459"/>
      <c r="AR40" s="787"/>
      <c r="AS40" s="462"/>
      <c r="AT40" s="797"/>
      <c r="AU40" s="459"/>
      <c r="AV40" s="787"/>
      <c r="AW40" s="462"/>
      <c r="AX40" s="797"/>
      <c r="AY40" s="459"/>
      <c r="AZ40" s="787"/>
      <c r="BA40" s="811">
        <v>11906709.865205778</v>
      </c>
      <c r="BB40" s="295"/>
      <c r="BC40" s="460">
        <f>+BA40</f>
        <v>11906709.865205778</v>
      </c>
      <c r="BQ40" s="667"/>
      <c r="BR40" s="667"/>
      <c r="BS40" s="667"/>
      <c r="BT40" s="667"/>
      <c r="BU40" s="667"/>
    </row>
    <row r="41" spans="1:73" hidden="1">
      <c r="A41">
        <f t="shared" si="0"/>
        <v>26</v>
      </c>
      <c r="C41" s="419" t="str">
        <f t="shared" si="2"/>
        <v>W Increased ROE</v>
      </c>
      <c r="D41" s="458">
        <f t="shared" si="1"/>
        <v>2010</v>
      </c>
      <c r="E41" s="459">
        <v>14479256.699999999</v>
      </c>
      <c r="F41" s="459">
        <v>419688.6</v>
      </c>
      <c r="G41" s="459">
        <v>14059568.1</v>
      </c>
      <c r="H41" s="787">
        <v>2323872.4345251299</v>
      </c>
      <c r="I41" s="462">
        <v>3054831.0857142857</v>
      </c>
      <c r="J41" s="459">
        <v>88545.828571428574</v>
      </c>
      <c r="K41" s="459">
        <v>2966285.2571428572</v>
      </c>
      <c r="L41" s="787">
        <v>490290.20614172157</v>
      </c>
      <c r="M41" s="462">
        <v>2384163.9</v>
      </c>
      <c r="N41" s="459">
        <v>69106.2</v>
      </c>
      <c r="O41" s="459">
        <v>2315057.7000000002</v>
      </c>
      <c r="P41" s="787">
        <v>382650.35846763657</v>
      </c>
      <c r="Q41" s="462">
        <v>6414723</v>
      </c>
      <c r="R41" s="797">
        <v>91638.9</v>
      </c>
      <c r="S41" s="459">
        <v>6323084.0999999996</v>
      </c>
      <c r="T41" s="787">
        <v>999766.33878652658</v>
      </c>
      <c r="U41" s="462">
        <v>8379558</v>
      </c>
      <c r="V41" s="797">
        <v>0</v>
      </c>
      <c r="W41" s="459">
        <v>8379558</v>
      </c>
      <c r="X41" s="787">
        <v>1203480.2043362272</v>
      </c>
      <c r="Y41" s="462">
        <v>14504530</v>
      </c>
      <c r="Z41" s="797">
        <v>103603.78571428571</v>
      </c>
      <c r="AA41" s="459">
        <v>14400926.214285715</v>
      </c>
      <c r="AB41" s="787">
        <v>2171878.7022432368</v>
      </c>
      <c r="AC41" s="462"/>
      <c r="AD41" s="797"/>
      <c r="AE41" s="459"/>
      <c r="AF41" s="787"/>
      <c r="AG41" s="462"/>
      <c r="AH41" s="797"/>
      <c r="AI41" s="459"/>
      <c r="AJ41" s="787"/>
      <c r="AK41" s="462"/>
      <c r="AL41" s="797"/>
      <c r="AM41" s="459"/>
      <c r="AN41" s="787"/>
      <c r="AO41" s="462"/>
      <c r="AP41" s="797"/>
      <c r="AQ41" s="459"/>
      <c r="AR41" s="787"/>
      <c r="AS41" s="462"/>
      <c r="AT41" s="797"/>
      <c r="AU41" s="459"/>
      <c r="AV41" s="787"/>
      <c r="AW41" s="462"/>
      <c r="AX41" s="797"/>
      <c r="AY41" s="459"/>
      <c r="AZ41" s="787"/>
      <c r="BA41" s="811">
        <v>11906709.865205778</v>
      </c>
      <c r="BB41" s="461">
        <f>+BA41</f>
        <v>11906709.865205778</v>
      </c>
      <c r="BC41" s="417"/>
      <c r="BQ41" s="667"/>
      <c r="BR41" s="667"/>
      <c r="BS41" s="667"/>
      <c r="BT41" s="667"/>
      <c r="BU41" s="667"/>
    </row>
    <row r="42" spans="1:73" hidden="1">
      <c r="A42">
        <f t="shared" si="0"/>
        <v>27</v>
      </c>
      <c r="C42" s="419" t="str">
        <f t="shared" si="2"/>
        <v>Base FCR</v>
      </c>
      <c r="D42" s="458">
        <f t="shared" si="1"/>
        <v>2011</v>
      </c>
      <c r="E42" s="459">
        <v>14059568.1</v>
      </c>
      <c r="F42" s="459">
        <v>419688.6</v>
      </c>
      <c r="G42" s="459">
        <v>13639879.5</v>
      </c>
      <c r="H42" s="885">
        <v>2165363.6335302796</v>
      </c>
      <c r="I42" s="459">
        <v>2966285.2571428572</v>
      </c>
      <c r="J42" s="459">
        <v>88545.828571428574</v>
      </c>
      <c r="K42" s="459">
        <v>2877739.4285714286</v>
      </c>
      <c r="L42" s="787">
        <v>456848.04659782955</v>
      </c>
      <c r="M42" s="462">
        <v>2315057.7000000002</v>
      </c>
      <c r="N42" s="459">
        <v>69106.2</v>
      </c>
      <c r="O42" s="459">
        <v>2245951.5</v>
      </c>
      <c r="P42" s="787">
        <v>356550.19538646087</v>
      </c>
      <c r="Q42" s="462">
        <v>6323084.0999999996</v>
      </c>
      <c r="R42" s="459">
        <v>183277.8</v>
      </c>
      <c r="S42" s="459">
        <v>6139806.2999999998</v>
      </c>
      <c r="T42" s="787">
        <v>969069.68097826838</v>
      </c>
      <c r="U42" s="462">
        <v>8379558</v>
      </c>
      <c r="V42" s="459">
        <v>239415.94285714286</v>
      </c>
      <c r="W42" s="459">
        <v>8140142.0571428575</v>
      </c>
      <c r="X42" s="787">
        <v>1281217.1375483493</v>
      </c>
      <c r="Y42" s="462">
        <v>14400926.214285715</v>
      </c>
      <c r="Z42" s="459">
        <v>414415.14285714284</v>
      </c>
      <c r="AA42" s="459">
        <v>13986511.071428571</v>
      </c>
      <c r="AB42" s="787">
        <v>2204453.1841453887</v>
      </c>
      <c r="AC42" s="462">
        <v>6681345</v>
      </c>
      <c r="AD42" s="459">
        <v>63631.857142857138</v>
      </c>
      <c r="AE42" s="459">
        <v>6617713.1428571427</v>
      </c>
      <c r="AF42" s="787">
        <v>416530.15475828311</v>
      </c>
      <c r="AG42" s="459"/>
      <c r="AH42" s="797"/>
      <c r="AI42" s="459"/>
      <c r="AJ42" s="787"/>
      <c r="AK42" s="459"/>
      <c r="AL42" s="797"/>
      <c r="AM42" s="459"/>
      <c r="AN42" s="787"/>
      <c r="AO42" s="459"/>
      <c r="AP42" s="797"/>
      <c r="AQ42" s="459"/>
      <c r="AR42" s="787"/>
      <c r="AS42" s="459"/>
      <c r="AT42" s="797"/>
      <c r="AU42" s="459"/>
      <c r="AV42" s="787"/>
      <c r="AW42" s="459"/>
      <c r="AX42" s="797"/>
      <c r="AY42" s="459"/>
      <c r="AZ42" s="787"/>
      <c r="BA42" s="811">
        <v>11906709.865205778</v>
      </c>
      <c r="BB42" s="295"/>
      <c r="BC42" s="460">
        <v>11906709.865205778</v>
      </c>
      <c r="BQ42" s="667"/>
      <c r="BR42" s="667"/>
      <c r="BS42" s="667"/>
      <c r="BT42" s="667"/>
      <c r="BU42" s="667"/>
    </row>
    <row r="43" spans="1:73" hidden="1">
      <c r="A43">
        <f t="shared" si="0"/>
        <v>28</v>
      </c>
      <c r="C43" s="419" t="str">
        <f t="shared" si="2"/>
        <v>W Increased ROE</v>
      </c>
      <c r="D43" s="458">
        <f t="shared" si="1"/>
        <v>2011</v>
      </c>
      <c r="E43" s="459">
        <v>14059568.1</v>
      </c>
      <c r="F43" s="459">
        <v>419688.6</v>
      </c>
      <c r="G43" s="459">
        <v>13639879.5</v>
      </c>
      <c r="H43" s="885">
        <v>2299493.7392377472</v>
      </c>
      <c r="I43" s="459">
        <v>2966285.2571428572</v>
      </c>
      <c r="J43" s="459">
        <v>88545.828571428574</v>
      </c>
      <c r="K43" s="459">
        <v>2877739.4285714286</v>
      </c>
      <c r="L43" s="787">
        <v>485146.79320719896</v>
      </c>
      <c r="M43" s="462">
        <v>2315057.7000000002</v>
      </c>
      <c r="N43" s="459">
        <v>69106.2</v>
      </c>
      <c r="O43" s="459">
        <v>2245951.5</v>
      </c>
      <c r="P43" s="787">
        <v>378636.14652032865</v>
      </c>
      <c r="Q43" s="462">
        <v>6323084.0999999996</v>
      </c>
      <c r="R43" s="459">
        <v>183277.8</v>
      </c>
      <c r="S43" s="459">
        <v>6139806.2999999998</v>
      </c>
      <c r="T43" s="787">
        <v>1029446.5243398519</v>
      </c>
      <c r="U43" s="462">
        <v>8379558</v>
      </c>
      <c r="V43" s="459">
        <v>239415.94285714286</v>
      </c>
      <c r="W43" s="459">
        <v>8140142.0571428575</v>
      </c>
      <c r="X43" s="787">
        <v>1361264.6273079454</v>
      </c>
      <c r="Y43" s="462">
        <v>14400926.214285715</v>
      </c>
      <c r="Z43" s="459">
        <v>414415.14285714284</v>
      </c>
      <c r="AA43" s="459">
        <v>13986511.071428571</v>
      </c>
      <c r="AB43" s="787">
        <v>2341991.9511476466</v>
      </c>
      <c r="AC43" s="462">
        <v>6681345</v>
      </c>
      <c r="AD43" s="797">
        <v>63631.857142857138</v>
      </c>
      <c r="AE43" s="459">
        <v>6617713.1428571427</v>
      </c>
      <c r="AF43" s="787">
        <v>443645.33086721686</v>
      </c>
      <c r="AG43" s="462"/>
      <c r="AH43" s="797"/>
      <c r="AI43" s="459"/>
      <c r="AJ43" s="787"/>
      <c r="AK43" s="462"/>
      <c r="AL43" s="797"/>
      <c r="AM43" s="459"/>
      <c r="AN43" s="787"/>
      <c r="AO43" s="462"/>
      <c r="AP43" s="797"/>
      <c r="AQ43" s="459"/>
      <c r="AR43" s="787"/>
      <c r="AS43" s="462"/>
      <c r="AT43" s="797"/>
      <c r="AU43" s="459"/>
      <c r="AV43" s="787"/>
      <c r="AW43" s="462"/>
      <c r="AX43" s="797"/>
      <c r="AY43" s="459"/>
      <c r="AZ43" s="787"/>
      <c r="BA43" s="811">
        <v>12708000.492262214</v>
      </c>
      <c r="BB43" s="461">
        <v>12708000.492262214</v>
      </c>
      <c r="BC43" s="417"/>
      <c r="BD43" s="852"/>
      <c r="BQ43" s="667"/>
      <c r="BR43" s="667"/>
      <c r="BS43" s="667"/>
      <c r="BT43" s="667"/>
      <c r="BU43" s="667"/>
    </row>
    <row r="44" spans="1:73" hidden="1">
      <c r="A44">
        <f t="shared" si="0"/>
        <v>29</v>
      </c>
      <c r="C44" s="419" t="str">
        <f t="shared" si="2"/>
        <v>Base FCR</v>
      </c>
      <c r="D44" s="458">
        <f t="shared" si="1"/>
        <v>2012</v>
      </c>
      <c r="E44" s="459">
        <v>13639879.5</v>
      </c>
      <c r="F44" s="459">
        <v>419688.6</v>
      </c>
      <c r="G44" s="459">
        <v>13220190.9</v>
      </c>
      <c r="H44" s="885">
        <v>2127592.4368447736</v>
      </c>
      <c r="I44" s="459">
        <v>2877739.4285714286</v>
      </c>
      <c r="J44" s="459">
        <v>88545.828571428574</v>
      </c>
      <c r="K44" s="459">
        <v>2789193.6</v>
      </c>
      <c r="L44" s="787">
        <v>448879.08602407901</v>
      </c>
      <c r="M44" s="462">
        <v>2245951.5</v>
      </c>
      <c r="N44" s="459">
        <v>69106.2</v>
      </c>
      <c r="O44" s="459">
        <v>2176845.2999999998</v>
      </c>
      <c r="P44" s="787">
        <v>350330.76537957491</v>
      </c>
      <c r="Q44" s="462">
        <v>6139806.2999999998</v>
      </c>
      <c r="R44" s="459">
        <v>183277.8</v>
      </c>
      <c r="S44" s="459">
        <v>5956528.5</v>
      </c>
      <c r="T44" s="787">
        <v>952796.02832038235</v>
      </c>
      <c r="U44" s="462">
        <v>8140142.0571428575</v>
      </c>
      <c r="V44" s="459">
        <v>239415.94285714286</v>
      </c>
      <c r="W44" s="459">
        <v>7900726.1142857149</v>
      </c>
      <c r="X44" s="787">
        <v>1260103.204222504</v>
      </c>
      <c r="Y44" s="462">
        <v>13986511.071428571</v>
      </c>
      <c r="Z44" s="459">
        <v>414415.14285714284</v>
      </c>
      <c r="AA44" s="459">
        <v>13572095.928571427</v>
      </c>
      <c r="AB44" s="787">
        <v>2167781.2542672637</v>
      </c>
      <c r="AC44" s="462">
        <v>6617713.1428571427</v>
      </c>
      <c r="AD44" s="459">
        <v>190895.57142857142</v>
      </c>
      <c r="AE44" s="459">
        <v>6426817.5714285709</v>
      </c>
      <c r="AF44" s="787">
        <v>1021169.9957520708</v>
      </c>
      <c r="AG44" s="462">
        <v>217662</v>
      </c>
      <c r="AH44" s="459">
        <v>3109.4571428571426</v>
      </c>
      <c r="AI44" s="459">
        <v>214552.54285714286</v>
      </c>
      <c r="AJ44" s="787">
        <v>19278.196040402228</v>
      </c>
      <c r="AK44" s="462">
        <v>5055041</v>
      </c>
      <c r="AL44" s="862">
        <v>72214.871428571423</v>
      </c>
      <c r="AM44" s="459">
        <v>4982826.1285714284</v>
      </c>
      <c r="AN44" s="863">
        <v>447722.02492980356</v>
      </c>
      <c r="AO44" s="462">
        <v>16372433</v>
      </c>
      <c r="AP44" s="862">
        <v>0</v>
      </c>
      <c r="AQ44" s="459">
        <v>16372433</v>
      </c>
      <c r="AR44" s="863">
        <v>176261.58194120065</v>
      </c>
      <c r="AS44" s="462"/>
      <c r="AT44" s="862"/>
      <c r="AU44" s="459"/>
      <c r="AV44" s="863"/>
      <c r="AW44" s="462"/>
      <c r="AX44" s="862"/>
      <c r="AY44" s="459"/>
      <c r="AZ44" s="863"/>
      <c r="BA44" s="811">
        <v>14133541.233374584</v>
      </c>
      <c r="BB44" s="295"/>
      <c r="BC44" s="460">
        <v>14133541.233374584</v>
      </c>
      <c r="BQ44" s="667"/>
      <c r="BR44" s="667"/>
      <c r="BS44" s="667"/>
      <c r="BT44" s="667"/>
      <c r="BU44" s="667"/>
    </row>
    <row r="45" spans="1:73" hidden="1">
      <c r="A45">
        <f t="shared" si="0"/>
        <v>30</v>
      </c>
      <c r="C45" s="419" t="str">
        <f t="shared" si="2"/>
        <v>W Increased ROE</v>
      </c>
      <c r="D45" s="458">
        <f t="shared" si="1"/>
        <v>2012</v>
      </c>
      <c r="E45" s="459">
        <v>13639879.5</v>
      </c>
      <c r="F45" s="459">
        <v>419688.6</v>
      </c>
      <c r="G45" s="459">
        <v>13220190.9</v>
      </c>
      <c r="H45" s="885">
        <v>2265406.2326637851</v>
      </c>
      <c r="I45" s="459">
        <v>2877739.4285714286</v>
      </c>
      <c r="J45" s="459">
        <v>88545.828571428574</v>
      </c>
      <c r="K45" s="459">
        <v>2789193.6</v>
      </c>
      <c r="L45" s="787">
        <v>477955.01693897182</v>
      </c>
      <c r="M45" s="462">
        <v>2245951.5</v>
      </c>
      <c r="N45" s="459">
        <v>69106.2</v>
      </c>
      <c r="O45" s="459">
        <v>2176845.2999999998</v>
      </c>
      <c r="P45" s="787">
        <v>373023.27534202754</v>
      </c>
      <c r="Q45" s="462">
        <v>6139806.2999999998</v>
      </c>
      <c r="R45" s="459">
        <v>183277.8</v>
      </c>
      <c r="S45" s="459">
        <v>5956528.5</v>
      </c>
      <c r="T45" s="787">
        <v>1014889.8217231028</v>
      </c>
      <c r="U45" s="462">
        <v>8140142.0571428575</v>
      </c>
      <c r="V45" s="459">
        <v>239415.94285714286</v>
      </c>
      <c r="W45" s="459">
        <v>7900726.1142857149</v>
      </c>
      <c r="X45" s="787">
        <v>1342464.2732700096</v>
      </c>
      <c r="Y45" s="462">
        <v>13986511.071428571</v>
      </c>
      <c r="Z45" s="459">
        <v>414415.14285714284</v>
      </c>
      <c r="AA45" s="459">
        <v>13572095.928571427</v>
      </c>
      <c r="AB45" s="787">
        <v>2309263.4818148389</v>
      </c>
      <c r="AC45" s="462">
        <v>6617713.1428571427</v>
      </c>
      <c r="AD45" s="459">
        <v>190895.57142857142</v>
      </c>
      <c r="AE45" s="459">
        <v>6426817.5714285709</v>
      </c>
      <c r="AF45" s="787">
        <v>1088166.3145839639</v>
      </c>
      <c r="AG45" s="462">
        <v>217662</v>
      </c>
      <c r="AH45" s="459">
        <v>3109.4571428571426</v>
      </c>
      <c r="AI45" s="459">
        <v>214552.54285714286</v>
      </c>
      <c r="AJ45" s="787">
        <v>19278.196040402228</v>
      </c>
      <c r="AK45" s="462">
        <v>5055041</v>
      </c>
      <c r="AL45" s="862">
        <v>72214.871428571423</v>
      </c>
      <c r="AM45" s="459">
        <v>4982826.1285714284</v>
      </c>
      <c r="AN45" s="863">
        <v>447722.02492980356</v>
      </c>
      <c r="AO45" s="462">
        <v>16372433</v>
      </c>
      <c r="AP45" s="862">
        <v>0</v>
      </c>
      <c r="AQ45" s="459">
        <v>16372433</v>
      </c>
      <c r="AR45" s="863">
        <v>190484.44223364955</v>
      </c>
      <c r="AS45" s="462"/>
      <c r="AT45" s="886"/>
      <c r="AU45" s="459"/>
      <c r="AV45" s="863"/>
      <c r="AW45" s="462"/>
      <c r="AX45" s="886"/>
      <c r="AY45" s="459"/>
      <c r="AZ45" s="863"/>
      <c r="BA45" s="811">
        <v>15106780.567413883</v>
      </c>
      <c r="BB45" s="461">
        <v>15106780.567413883</v>
      </c>
      <c r="BC45" s="417"/>
      <c r="BD45" s="852"/>
      <c r="BF45" s="667"/>
      <c r="BQ45" s="667"/>
      <c r="BR45" s="667"/>
      <c r="BS45" s="667"/>
      <c r="BT45" s="667"/>
      <c r="BU45" s="667"/>
    </row>
    <row r="46" spans="1:73" hidden="1">
      <c r="A46">
        <f t="shared" si="0"/>
        <v>31</v>
      </c>
      <c r="C46" s="419" t="str">
        <f t="shared" si="2"/>
        <v>Base FCR</v>
      </c>
      <c r="D46" s="458">
        <f t="shared" si="1"/>
        <v>2013</v>
      </c>
      <c r="E46" s="459">
        <v>13220190.9</v>
      </c>
      <c r="F46" s="459">
        <v>419688.6</v>
      </c>
      <c r="G46" s="459">
        <v>12800502.300000001</v>
      </c>
      <c r="H46" s="885">
        <v>2138771.9232177455</v>
      </c>
      <c r="I46" s="459">
        <v>2789193.6</v>
      </c>
      <c r="J46" s="459">
        <v>88545.828571428574</v>
      </c>
      <c r="K46" s="459">
        <v>2700647.7714285715</v>
      </c>
      <c r="L46" s="787">
        <v>451237.73213430878</v>
      </c>
      <c r="M46" s="462">
        <v>2176845.2999999998</v>
      </c>
      <c r="N46" s="459">
        <v>69106.2</v>
      </c>
      <c r="O46" s="459">
        <v>2107739.0999999996</v>
      </c>
      <c r="P46" s="787">
        <v>352171.58693438454</v>
      </c>
      <c r="Q46" s="462">
        <v>5956528.5</v>
      </c>
      <c r="R46" s="459">
        <v>183277.8</v>
      </c>
      <c r="S46" s="459">
        <v>5773250.7000000002</v>
      </c>
      <c r="T46" s="787">
        <v>958614.4833991488</v>
      </c>
      <c r="U46" s="462">
        <v>7900726.1142857149</v>
      </c>
      <c r="V46" s="459">
        <v>239415.94285714286</v>
      </c>
      <c r="W46" s="459">
        <v>7661310.1714285724</v>
      </c>
      <c r="X46" s="787">
        <v>1268315.4532850536</v>
      </c>
      <c r="Y46" s="462">
        <v>13572095.928571427</v>
      </c>
      <c r="Z46" s="459">
        <v>414415.14285714284</v>
      </c>
      <c r="AA46" s="459">
        <v>13157680.785714284</v>
      </c>
      <c r="AB46" s="787">
        <v>2181466.8632372082</v>
      </c>
      <c r="AC46" s="462">
        <v>6426817.5714285709</v>
      </c>
      <c r="AD46" s="459">
        <v>190895.57142857142</v>
      </c>
      <c r="AE46" s="459">
        <v>6235921.9999999991</v>
      </c>
      <c r="AF46" s="787">
        <v>1028368.1380392306</v>
      </c>
      <c r="AG46" s="462">
        <v>214552.54285714286</v>
      </c>
      <c r="AH46" s="459">
        <v>6218.9142857142861</v>
      </c>
      <c r="AI46" s="459">
        <v>208333.62857142859</v>
      </c>
      <c r="AJ46" s="787">
        <v>34197.727784508228</v>
      </c>
      <c r="AK46" s="462">
        <v>4982826.1285714284</v>
      </c>
      <c r="AL46" s="459">
        <v>144429.74285714285</v>
      </c>
      <c r="AM46" s="459">
        <v>4838396.3857142851</v>
      </c>
      <c r="AN46" s="787">
        <v>794217.2545392774</v>
      </c>
      <c r="AO46" s="462">
        <v>16372433</v>
      </c>
      <c r="AP46" s="459">
        <v>467783.8</v>
      </c>
      <c r="AQ46" s="459">
        <v>15904649.199999999</v>
      </c>
      <c r="AR46" s="787">
        <v>2603748.1989399111</v>
      </c>
      <c r="AS46" s="462">
        <v>10567349</v>
      </c>
      <c r="AT46" s="862">
        <v>201282.83809523808</v>
      </c>
      <c r="AU46" s="459">
        <v>10366066.161904762</v>
      </c>
      <c r="AV46" s="863">
        <v>1245390.1931422888</v>
      </c>
      <c r="AW46" s="462"/>
      <c r="AX46" s="862"/>
      <c r="AY46" s="459"/>
      <c r="AZ46" s="863"/>
      <c r="BA46" s="811">
        <v>23442695.082597896</v>
      </c>
      <c r="BB46" s="295"/>
      <c r="BC46" s="460">
        <f>+BA46</f>
        <v>23442695.082597896</v>
      </c>
      <c r="BQ46" s="667"/>
      <c r="BR46" s="667"/>
      <c r="BS46" s="667"/>
      <c r="BT46" s="667"/>
      <c r="BU46" s="667"/>
    </row>
    <row r="47" spans="1:73" hidden="1">
      <c r="A47">
        <f t="shared" si="0"/>
        <v>32</v>
      </c>
      <c r="C47" s="419" t="str">
        <f t="shared" si="2"/>
        <v>W Increased ROE</v>
      </c>
      <c r="D47" s="458">
        <f t="shared" si="1"/>
        <v>2013</v>
      </c>
      <c r="E47" s="459">
        <v>13220190.9</v>
      </c>
      <c r="F47" s="459">
        <v>419688.6</v>
      </c>
      <c r="G47" s="459">
        <v>12800502.300000001</v>
      </c>
      <c r="H47" s="885">
        <v>2272417.4509916049</v>
      </c>
      <c r="I47" s="459">
        <v>2789193.6</v>
      </c>
      <c r="J47" s="459">
        <v>88545.828571428574</v>
      </c>
      <c r="K47" s="459">
        <v>2700647.7714285715</v>
      </c>
      <c r="L47" s="787">
        <v>479434.24257467396</v>
      </c>
      <c r="M47" s="462">
        <v>2176845.2999999998</v>
      </c>
      <c r="N47" s="459">
        <v>69106.2</v>
      </c>
      <c r="O47" s="459">
        <v>2107739.0999999996</v>
      </c>
      <c r="P47" s="787">
        <v>374177.74714804266</v>
      </c>
      <c r="Q47" s="462">
        <v>5956528.5</v>
      </c>
      <c r="R47" s="459">
        <v>183277.8</v>
      </c>
      <c r="S47" s="459">
        <v>5773250.7000000002</v>
      </c>
      <c r="T47" s="787">
        <v>1018890.9568288126</v>
      </c>
      <c r="U47" s="462">
        <v>7900726.1142857149</v>
      </c>
      <c r="V47" s="459">
        <v>239415.94285714286</v>
      </c>
      <c r="W47" s="459">
        <v>7661310.1714285724</v>
      </c>
      <c r="X47" s="787">
        <v>1348304.489441846</v>
      </c>
      <c r="Y47" s="462">
        <v>13572095.928571427</v>
      </c>
      <c r="Z47" s="459">
        <v>414415.14285714284</v>
      </c>
      <c r="AA47" s="459">
        <v>13157680.785714284</v>
      </c>
      <c r="AB47" s="787">
        <v>2318841.56554766</v>
      </c>
      <c r="AC47" s="462">
        <v>6426817.5714285709</v>
      </c>
      <c r="AD47" s="459">
        <v>190895.57142857142</v>
      </c>
      <c r="AE47" s="459">
        <v>6235921.9999999991</v>
      </c>
      <c r="AF47" s="787">
        <v>1093475.199255619</v>
      </c>
      <c r="AG47" s="462">
        <v>214552.54285714286</v>
      </c>
      <c r="AH47" s="459">
        <v>6218.9142857142861</v>
      </c>
      <c r="AI47" s="459">
        <v>208333.62857142859</v>
      </c>
      <c r="AJ47" s="787">
        <v>34197.727784508228</v>
      </c>
      <c r="AK47" s="462">
        <v>4982826.1285714284</v>
      </c>
      <c r="AL47" s="459">
        <v>144429.74285714285</v>
      </c>
      <c r="AM47" s="459">
        <v>4838396.3857142851</v>
      </c>
      <c r="AN47" s="787">
        <v>794217.2545392774</v>
      </c>
      <c r="AO47" s="462">
        <v>16372433</v>
      </c>
      <c r="AP47" s="459">
        <v>467783.8</v>
      </c>
      <c r="AQ47" s="459">
        <v>15904649.199999999</v>
      </c>
      <c r="AR47" s="787">
        <v>2769803.0291782599</v>
      </c>
      <c r="AS47" s="462">
        <v>10567349</v>
      </c>
      <c r="AT47" s="862">
        <v>201282.83809523808</v>
      </c>
      <c r="AU47" s="459">
        <v>10366066.161904762</v>
      </c>
      <c r="AV47" s="863">
        <v>1245390.1931422888</v>
      </c>
      <c r="AW47" s="462"/>
      <c r="AX47" s="862"/>
      <c r="AY47" s="459"/>
      <c r="AZ47" s="863"/>
      <c r="BA47" s="811">
        <v>24109183.424690232</v>
      </c>
      <c r="BB47" s="461">
        <f>+BA47</f>
        <v>24109183.424690232</v>
      </c>
      <c r="BC47" s="417"/>
      <c r="BD47" s="852"/>
      <c r="BE47" s="852"/>
      <c r="BQ47" s="667"/>
      <c r="BR47" s="667"/>
      <c r="BS47" s="667"/>
      <c r="BT47" s="667"/>
      <c r="BU47" s="667"/>
    </row>
    <row r="48" spans="1:73" hidden="1">
      <c r="A48">
        <f t="shared" si="0"/>
        <v>33</v>
      </c>
      <c r="C48" s="419" t="str">
        <f t="shared" si="2"/>
        <v>Base FCR</v>
      </c>
      <c r="D48" s="458">
        <f t="shared" si="1"/>
        <v>2014</v>
      </c>
      <c r="E48" s="459">
        <v>12800502.300000001</v>
      </c>
      <c r="F48" s="459">
        <v>419688.6</v>
      </c>
      <c r="G48" s="459">
        <v>12380813.700000001</v>
      </c>
      <c r="H48" s="885">
        <v>1875792.5659522433</v>
      </c>
      <c r="I48" s="459">
        <v>2700647.7714285715</v>
      </c>
      <c r="J48" s="459">
        <v>88545.828571428574</v>
      </c>
      <c r="K48" s="459">
        <v>2612101.942857143</v>
      </c>
      <c r="L48" s="787">
        <v>395754.39261482796</v>
      </c>
      <c r="M48" s="462">
        <v>2107739.0999999996</v>
      </c>
      <c r="N48" s="459">
        <v>69106.2</v>
      </c>
      <c r="O48" s="459">
        <v>2038632.8999999997</v>
      </c>
      <c r="P48" s="787">
        <v>308869.23357272247</v>
      </c>
      <c r="Q48" s="462">
        <v>5773250.7000000002</v>
      </c>
      <c r="R48" s="459">
        <v>183277.8</v>
      </c>
      <c r="S48" s="459">
        <v>5589972.9000000004</v>
      </c>
      <c r="T48" s="787">
        <v>840712.91747176717</v>
      </c>
      <c r="U48" s="462">
        <v>7661310.1714285724</v>
      </c>
      <c r="V48" s="459">
        <v>239415.94285714286</v>
      </c>
      <c r="W48" s="459">
        <v>7421894.2285714298</v>
      </c>
      <c r="X48" s="787">
        <v>1112302.8049784042</v>
      </c>
      <c r="Y48" s="462">
        <v>13157680.785714284</v>
      </c>
      <c r="Z48" s="459">
        <v>414415.14285714284</v>
      </c>
      <c r="AA48" s="459">
        <v>12743265.64285714</v>
      </c>
      <c r="AB48" s="787">
        <v>1913146.9783702842</v>
      </c>
      <c r="AC48" s="462">
        <v>6235921.9999999991</v>
      </c>
      <c r="AD48" s="459">
        <v>190895.57142857142</v>
      </c>
      <c r="AE48" s="459">
        <v>6045026.4285714272</v>
      </c>
      <c r="AF48" s="787">
        <v>901849.40452994336</v>
      </c>
      <c r="AG48" s="462">
        <v>208333.62857142859</v>
      </c>
      <c r="AH48" s="459">
        <v>6218.9142857142861</v>
      </c>
      <c r="AI48" s="459">
        <v>202114.71428571432</v>
      </c>
      <c r="AJ48" s="787">
        <v>29989.568152247564</v>
      </c>
      <c r="AK48" s="462">
        <v>4838396.3857142851</v>
      </c>
      <c r="AL48" s="459">
        <v>144429.74285714285</v>
      </c>
      <c r="AM48" s="459">
        <v>4693966.6428571418</v>
      </c>
      <c r="AN48" s="787">
        <v>696485.82013353554</v>
      </c>
      <c r="AO48" s="462">
        <v>15904649.199999999</v>
      </c>
      <c r="AP48" s="459">
        <v>467783.8</v>
      </c>
      <c r="AQ48" s="459">
        <v>15436865.399999999</v>
      </c>
      <c r="AR48" s="787">
        <v>2283309.1342363888</v>
      </c>
      <c r="AS48" s="462">
        <v>10366066.161904762</v>
      </c>
      <c r="AT48" s="459">
        <v>301924.25714285712</v>
      </c>
      <c r="AU48" s="459">
        <v>10064141.904761905</v>
      </c>
      <c r="AV48" s="787">
        <v>1485565.1144016958</v>
      </c>
      <c r="AW48" s="462"/>
      <c r="AX48" s="459"/>
      <c r="AY48" s="459"/>
      <c r="AZ48" s="787"/>
      <c r="BA48" s="811">
        <v>11843777.934414061</v>
      </c>
      <c r="BB48" s="295"/>
      <c r="BC48" s="460">
        <v>11843777.934414061</v>
      </c>
      <c r="BQ48" s="667"/>
      <c r="BR48" s="667"/>
      <c r="BS48" s="667"/>
      <c r="BT48" s="667"/>
      <c r="BU48" s="667"/>
    </row>
    <row r="49" spans="1:73" hidden="1">
      <c r="A49">
        <f t="shared" si="0"/>
        <v>34</v>
      </c>
      <c r="C49" s="419" t="str">
        <f t="shared" si="2"/>
        <v>W Increased ROE</v>
      </c>
      <c r="D49" s="458">
        <f t="shared" si="1"/>
        <v>2014</v>
      </c>
      <c r="E49" s="459">
        <v>12800502.300000001</v>
      </c>
      <c r="F49" s="459">
        <v>419688.6</v>
      </c>
      <c r="G49" s="459">
        <v>12380813.700000001</v>
      </c>
      <c r="H49" s="885">
        <v>1998346.362561645</v>
      </c>
      <c r="I49" s="459">
        <v>2700647.7714285715</v>
      </c>
      <c r="J49" s="459">
        <v>88545.828571428574</v>
      </c>
      <c r="K49" s="459">
        <v>2612101.942857143</v>
      </c>
      <c r="L49" s="787">
        <v>421610.77152374701</v>
      </c>
      <c r="M49" s="462">
        <v>2107739.0999999996</v>
      </c>
      <c r="N49" s="459">
        <v>69106.2</v>
      </c>
      <c r="O49" s="459">
        <v>2038632.8999999997</v>
      </c>
      <c r="P49" s="787">
        <v>329049.02206173225</v>
      </c>
      <c r="Q49" s="462">
        <v>5773250.7000000002</v>
      </c>
      <c r="R49" s="459">
        <v>183277.8</v>
      </c>
      <c r="S49" s="459">
        <v>5589972.9000000004</v>
      </c>
      <c r="T49" s="787">
        <v>896046.30818732781</v>
      </c>
      <c r="U49" s="462">
        <v>7661310.1714285724</v>
      </c>
      <c r="V49" s="459">
        <v>239415.94285714286</v>
      </c>
      <c r="W49" s="459">
        <v>7421894.2285714298</v>
      </c>
      <c r="X49" s="787">
        <v>1185769.8110884174</v>
      </c>
      <c r="Y49" s="462">
        <v>13157680.785714284</v>
      </c>
      <c r="Z49" s="459">
        <v>414415.14285714284</v>
      </c>
      <c r="AA49" s="459">
        <v>12743265.64285714</v>
      </c>
      <c r="AB49" s="787">
        <v>2039288.5732263871</v>
      </c>
      <c r="AC49" s="462">
        <v>6235921.9999999991</v>
      </c>
      <c r="AD49" s="459">
        <v>190895.57142857142</v>
      </c>
      <c r="AE49" s="459">
        <v>6045026.4285714272</v>
      </c>
      <c r="AF49" s="787">
        <v>961687.22758236527</v>
      </c>
      <c r="AG49" s="462">
        <v>208333.62857142859</v>
      </c>
      <c r="AH49" s="459">
        <v>6218.9142857142861</v>
      </c>
      <c r="AI49" s="459">
        <v>202114.71428571432</v>
      </c>
      <c r="AJ49" s="787">
        <v>29989.568152247564</v>
      </c>
      <c r="AK49" s="462">
        <v>4838396.3857142851</v>
      </c>
      <c r="AL49" s="459">
        <v>144429.74285714285</v>
      </c>
      <c r="AM49" s="459">
        <v>4693966.6428571418</v>
      </c>
      <c r="AN49" s="787">
        <v>696485.82013353554</v>
      </c>
      <c r="AO49" s="462">
        <v>15904649.199999999</v>
      </c>
      <c r="AP49" s="459">
        <v>467783.8</v>
      </c>
      <c r="AQ49" s="459">
        <v>15436865.399999999</v>
      </c>
      <c r="AR49" s="787">
        <v>2436113.8293363811</v>
      </c>
      <c r="AS49" s="462">
        <v>10366066.161904762</v>
      </c>
      <c r="AT49" s="459">
        <v>301924.25714285712</v>
      </c>
      <c r="AU49" s="459">
        <v>10064141.904761905</v>
      </c>
      <c r="AV49" s="787">
        <v>1485565.1144016958</v>
      </c>
      <c r="AW49" s="462"/>
      <c r="AX49" s="459"/>
      <c r="AY49" s="459"/>
      <c r="AZ49" s="787"/>
      <c r="BA49" s="811">
        <v>12479952.408255482</v>
      </c>
      <c r="BB49" s="461">
        <v>12479952.408255482</v>
      </c>
      <c r="BC49" s="417"/>
      <c r="BD49" s="852"/>
      <c r="BE49" s="852"/>
      <c r="BQ49" s="667"/>
      <c r="BR49" s="667"/>
      <c r="BS49" s="667"/>
      <c r="BT49" s="667"/>
      <c r="BU49" s="667"/>
    </row>
    <row r="50" spans="1:73" hidden="1">
      <c r="A50">
        <f t="shared" si="0"/>
        <v>35</v>
      </c>
      <c r="C50" s="419" t="str">
        <f t="shared" si="2"/>
        <v>Base FCR</v>
      </c>
      <c r="D50" s="458">
        <f t="shared" si="1"/>
        <v>2015</v>
      </c>
      <c r="E50" s="459">
        <v>12380813.700000001</v>
      </c>
      <c r="F50" s="459">
        <v>419688.6</v>
      </c>
      <c r="G50" s="459">
        <v>11961125.100000001</v>
      </c>
      <c r="H50" s="885">
        <v>1790570.9998638085</v>
      </c>
      <c r="I50" s="459">
        <v>2612101.942857143</v>
      </c>
      <c r="J50" s="459">
        <v>88545.828571428574</v>
      </c>
      <c r="K50" s="459">
        <v>2523556.1142857145</v>
      </c>
      <c r="L50" s="787">
        <v>377774.3612738403</v>
      </c>
      <c r="M50" s="462">
        <v>2038632.8999999997</v>
      </c>
      <c r="N50" s="459">
        <v>69106.2</v>
      </c>
      <c r="O50" s="459">
        <v>1969526.6999999997</v>
      </c>
      <c r="P50" s="787">
        <v>294836.59463418426</v>
      </c>
      <c r="Q50" s="462">
        <v>5589972.9000000004</v>
      </c>
      <c r="R50" s="459">
        <v>183277.8</v>
      </c>
      <c r="S50" s="459">
        <v>5406695.1000000006</v>
      </c>
      <c r="T50" s="787">
        <v>802947.19498190633</v>
      </c>
      <c r="U50" s="462">
        <v>7421894.2285714298</v>
      </c>
      <c r="V50" s="459">
        <v>239415.94285714286</v>
      </c>
      <c r="W50" s="459">
        <v>7182478.2857142873</v>
      </c>
      <c r="X50" s="787">
        <v>1062610.4991359408</v>
      </c>
      <c r="Y50" s="462">
        <v>12743265.64285714</v>
      </c>
      <c r="Z50" s="459">
        <v>414415.14285714284</v>
      </c>
      <c r="AA50" s="459">
        <v>12328850.499999996</v>
      </c>
      <c r="AB50" s="787">
        <v>1827443.0996504473</v>
      </c>
      <c r="AC50" s="462">
        <v>6045026.4285714272</v>
      </c>
      <c r="AD50" s="459">
        <v>190895.57142857142</v>
      </c>
      <c r="AE50" s="459">
        <v>5854130.8571428554</v>
      </c>
      <c r="AF50" s="787">
        <v>861846.24634098168</v>
      </c>
      <c r="AG50" s="462">
        <v>202114.71428571432</v>
      </c>
      <c r="AH50" s="459">
        <v>6218.9142857142861</v>
      </c>
      <c r="AI50" s="459">
        <v>195895.80000000005</v>
      </c>
      <c r="AJ50" s="787">
        <v>28670.824301038905</v>
      </c>
      <c r="AK50" s="462">
        <v>4693966.6428571418</v>
      </c>
      <c r="AL50" s="459">
        <v>144429.74285714285</v>
      </c>
      <c r="AM50" s="459">
        <v>4549536.8999999985</v>
      </c>
      <c r="AN50" s="787">
        <v>665858.95721599518</v>
      </c>
      <c r="AO50" s="462">
        <v>15436865.399999999</v>
      </c>
      <c r="AP50" s="459">
        <v>467783.8</v>
      </c>
      <c r="AQ50" s="459">
        <v>14969081.599999998</v>
      </c>
      <c r="AR50" s="787">
        <v>2183412.5837475401</v>
      </c>
      <c r="AS50" s="462">
        <v>10064141.904761905</v>
      </c>
      <c r="AT50" s="459">
        <v>301924.25714285712</v>
      </c>
      <c r="AU50" s="459">
        <v>9762217.6476190481</v>
      </c>
      <c r="AV50" s="787">
        <v>1420786.5919879982</v>
      </c>
      <c r="AW50" s="462">
        <v>6694564.4199999999</v>
      </c>
      <c r="AX50" s="862">
        <v>111576.07366666666</v>
      </c>
      <c r="AY50" s="459">
        <v>6582988.3463333333</v>
      </c>
      <c r="AZ50" s="863">
        <v>614566.82005260792</v>
      </c>
      <c r="BA50" s="811">
        <v>11931324.773186289</v>
      </c>
      <c r="BB50" s="295"/>
      <c r="BC50" s="460">
        <v>11931324.773186289</v>
      </c>
      <c r="BQ50" s="667"/>
      <c r="BR50" s="667"/>
      <c r="BS50" s="667"/>
      <c r="BT50" s="667"/>
      <c r="BU50" s="667"/>
    </row>
    <row r="51" spans="1:73" hidden="1">
      <c r="A51">
        <f t="shared" si="0"/>
        <v>36</v>
      </c>
      <c r="C51" s="419" t="str">
        <f t="shared" si="2"/>
        <v>W Increased ROE</v>
      </c>
      <c r="D51" s="458">
        <f t="shared" si="1"/>
        <v>2015</v>
      </c>
      <c r="E51" s="459">
        <v>12380813.700000001</v>
      </c>
      <c r="F51" s="459">
        <v>419688.6</v>
      </c>
      <c r="G51" s="459">
        <v>11961125.100000001</v>
      </c>
      <c r="H51" s="885">
        <v>1910863.7187810787</v>
      </c>
      <c r="I51" s="459">
        <v>2612101.942857143</v>
      </c>
      <c r="J51" s="459">
        <v>88545.828571428574</v>
      </c>
      <c r="K51" s="459">
        <v>2523556.1142857145</v>
      </c>
      <c r="L51" s="787">
        <v>403153.69840055669</v>
      </c>
      <c r="M51" s="462">
        <v>2038632.8999999997</v>
      </c>
      <c r="N51" s="459">
        <v>69106.2</v>
      </c>
      <c r="O51" s="459">
        <v>1969526.6999999997</v>
      </c>
      <c r="P51" s="787">
        <v>314644.07258817361</v>
      </c>
      <c r="Q51" s="462">
        <v>5589972.9000000004</v>
      </c>
      <c r="R51" s="459">
        <v>183277.8</v>
      </c>
      <c r="S51" s="459">
        <v>5406695.1000000006</v>
      </c>
      <c r="T51" s="787">
        <v>857322.18466708926</v>
      </c>
      <c r="U51" s="462">
        <v>7421894.2285714298</v>
      </c>
      <c r="V51" s="459">
        <v>239415.94285714286</v>
      </c>
      <c r="W51" s="459">
        <v>7182478.2857142873</v>
      </c>
      <c r="X51" s="787">
        <v>1134844.493373893</v>
      </c>
      <c r="Y51" s="462">
        <v>12743265.64285714</v>
      </c>
      <c r="Z51" s="459">
        <v>414415.14285714284</v>
      </c>
      <c r="AA51" s="459">
        <v>12328850.499999996</v>
      </c>
      <c r="AB51" s="787">
        <v>1951434.0231940481</v>
      </c>
      <c r="AC51" s="462">
        <v>6045026.4285714272</v>
      </c>
      <c r="AD51" s="459">
        <v>190895.57142857142</v>
      </c>
      <c r="AE51" s="459">
        <v>5854130.8571428554</v>
      </c>
      <c r="AF51" s="787">
        <v>920721.08560699713</v>
      </c>
      <c r="AG51" s="462">
        <v>202114.71428571432</v>
      </c>
      <c r="AH51" s="459">
        <v>6218.9142857142861</v>
      </c>
      <c r="AI51" s="459">
        <v>195895.80000000005</v>
      </c>
      <c r="AJ51" s="787">
        <v>28670.824301038905</v>
      </c>
      <c r="AK51" s="462">
        <v>4693966.6428571418</v>
      </c>
      <c r="AL51" s="459">
        <v>144429.74285714285</v>
      </c>
      <c r="AM51" s="459">
        <v>4549536.8999999985</v>
      </c>
      <c r="AN51" s="787">
        <v>665858.95721599518</v>
      </c>
      <c r="AO51" s="462">
        <v>15436865.399999999</v>
      </c>
      <c r="AP51" s="459">
        <v>467783.8</v>
      </c>
      <c r="AQ51" s="459">
        <v>14969081.599999998</v>
      </c>
      <c r="AR51" s="787">
        <v>2333956.2416646769</v>
      </c>
      <c r="AS51" s="462">
        <v>10064141.904761905</v>
      </c>
      <c r="AT51" s="459">
        <v>301924.25714285712</v>
      </c>
      <c r="AU51" s="459">
        <v>9762217.6476190481</v>
      </c>
      <c r="AV51" s="787">
        <v>1420786.5919879982</v>
      </c>
      <c r="AW51" s="462">
        <v>6694564.4199999999</v>
      </c>
      <c r="AX51" s="862">
        <v>111576.07366666666</v>
      </c>
      <c r="AY51" s="459">
        <v>6582988.3463333333</v>
      </c>
      <c r="AZ51" s="863">
        <v>614566.82005260792</v>
      </c>
      <c r="BA51" s="811">
        <v>12556822.711834155</v>
      </c>
      <c r="BB51" s="461">
        <v>12556822.711834155</v>
      </c>
      <c r="BC51" s="417"/>
      <c r="BD51" s="852"/>
      <c r="BE51" s="852"/>
      <c r="BQ51" s="667"/>
      <c r="BR51" s="667"/>
      <c r="BS51" s="667"/>
      <c r="BT51" s="667"/>
      <c r="BU51" s="667"/>
    </row>
    <row r="52" spans="1:73">
      <c r="A52">
        <f t="shared" si="0"/>
        <v>37</v>
      </c>
      <c r="C52" s="419" t="str">
        <f t="shared" si="2"/>
        <v>Base FCR</v>
      </c>
      <c r="D52" s="458">
        <f t="shared" si="1"/>
        <v>2016</v>
      </c>
      <c r="E52" s="459">
        <f>+G51</f>
        <v>11961125.100000001</v>
      </c>
      <c r="F52" s="459">
        <f>+E$32</f>
        <v>419688.6</v>
      </c>
      <c r="G52" s="459">
        <f t="shared" ref="G52:G75" si="3">+E52-F52</f>
        <v>11541436.500000002</v>
      </c>
      <c r="H52" s="885">
        <f>+E$29*G52+F52</f>
        <v>1662952.5082520144</v>
      </c>
      <c r="I52" s="459">
        <f>+K51</f>
        <v>2523556.1142857145</v>
      </c>
      <c r="J52" s="459">
        <f>+I$32</f>
        <v>88545.828571428574</v>
      </c>
      <c r="K52" s="459">
        <f t="shared" ref="K52:K75" si="4">+I52-J52</f>
        <v>2435010.2857142859</v>
      </c>
      <c r="L52" s="787">
        <f>+I$29*K52+J52</f>
        <v>350849.43388529017</v>
      </c>
      <c r="M52" s="462">
        <f>+O51</f>
        <v>1969526.6999999997</v>
      </c>
      <c r="N52" s="459">
        <f>+M$32</f>
        <v>69106.2</v>
      </c>
      <c r="O52" s="459">
        <f t="shared" ref="O52:O75" si="5">+M52-N52</f>
        <v>1900420.4999999998</v>
      </c>
      <c r="P52" s="787">
        <f>+M$29*O52+N52</f>
        <v>273822.85014595423</v>
      </c>
      <c r="Q52" s="462">
        <f>+S51</f>
        <v>5406695.1000000006</v>
      </c>
      <c r="R52" s="459">
        <f>+Q$32</f>
        <v>183277.8</v>
      </c>
      <c r="S52" s="459">
        <f t="shared" ref="S52:S75" si="6">+Q52-R52</f>
        <v>5223417.3000000007</v>
      </c>
      <c r="T52" s="787">
        <f>+Q$29*S52+R52</f>
        <v>745953.52990842029</v>
      </c>
      <c r="U52" s="462">
        <f>+W51</f>
        <v>7182478.2857142873</v>
      </c>
      <c r="V52" s="459">
        <f>+U$32</f>
        <v>239415.94285714286</v>
      </c>
      <c r="W52" s="459">
        <f t="shared" ref="W52:W75" si="7">+U52-V52</f>
        <v>6943062.3428571448</v>
      </c>
      <c r="X52" s="787">
        <f>+U$29*W52+V52</f>
        <v>987334.87163329299</v>
      </c>
      <c r="Y52" s="462">
        <f>+AA51</f>
        <v>12328850.499999996</v>
      </c>
      <c r="Z52" s="459">
        <f>+Y$32</f>
        <v>414415.14285714284</v>
      </c>
      <c r="AA52" s="459">
        <f t="shared" ref="AA52:AA75" si="8">+Y52-Z52</f>
        <v>11914435.357142853</v>
      </c>
      <c r="AB52" s="787">
        <f>+Y$29*AA52+Z52</f>
        <v>1697859.1462736502</v>
      </c>
      <c r="AC52" s="462">
        <f>+AE51</f>
        <v>5854130.8571428554</v>
      </c>
      <c r="AD52" s="459">
        <f>+AC$32</f>
        <v>190895.57142857142</v>
      </c>
      <c r="AE52" s="459">
        <f t="shared" ref="AE52:AE75" si="9">+AC52-AD52</f>
        <v>5663235.2857142836</v>
      </c>
      <c r="AF52" s="787">
        <f>+AC$29*AE52+AD52</f>
        <v>800949.27095443662</v>
      </c>
      <c r="AG52" s="462">
        <f>+AI51</f>
        <v>195895.80000000005</v>
      </c>
      <c r="AH52" s="459">
        <f>+AG$32</f>
        <v>6218.9142857142861</v>
      </c>
      <c r="AI52" s="459">
        <f t="shared" ref="AI52:AI75" si="10">+AG52-AH52</f>
        <v>189676.88571428577</v>
      </c>
      <c r="AJ52" s="787">
        <f>+AG$29*AI52+AH52</f>
        <v>26651.243159006062</v>
      </c>
      <c r="AK52" s="462">
        <f>+AM51</f>
        <v>4549536.8999999985</v>
      </c>
      <c r="AL52" s="459">
        <f>+AK$32</f>
        <v>144429.74285714285</v>
      </c>
      <c r="AM52" s="459">
        <f t="shared" ref="AM52:AM75" si="11">+AK52-AL52</f>
        <v>4405107.1571428552</v>
      </c>
      <c r="AN52" s="787">
        <f>+AK$29*AM52+AL52</f>
        <v>618955.66001297918</v>
      </c>
      <c r="AO52" s="462">
        <f>+AQ51</f>
        <v>14969081.599999998</v>
      </c>
      <c r="AP52" s="459">
        <f>+AO$32</f>
        <v>467783.8</v>
      </c>
      <c r="AQ52" s="459">
        <f t="shared" ref="AQ52:AQ75" si="12">+AO52-AP52</f>
        <v>14501297.799999997</v>
      </c>
      <c r="AR52" s="787">
        <f>+AO$29*AQ52+AP52</f>
        <v>2029889.191088391</v>
      </c>
      <c r="AS52" s="462">
        <f>+AU51</f>
        <v>9762217.6476190481</v>
      </c>
      <c r="AT52" s="459">
        <f>+AS$32</f>
        <v>301924.25714285712</v>
      </c>
      <c r="AU52" s="459">
        <f t="shared" ref="AU52:AU75" si="13">+AS52-AT52</f>
        <v>9460293.3904761914</v>
      </c>
      <c r="AV52" s="787">
        <f>+AS$29*AU52+AT52</f>
        <v>1321003.7568094824</v>
      </c>
      <c r="AW52" s="462">
        <f>+AY51</f>
        <v>6582988.3463333333</v>
      </c>
      <c r="AX52" s="459">
        <f>+AW$32</f>
        <v>207049.8</v>
      </c>
      <c r="AY52" s="459">
        <f t="shared" ref="AY52:AY75" si="14">+AW52-AX52</f>
        <v>6375938.5463333335</v>
      </c>
      <c r="AZ52" s="787">
        <f>+AW$29*AY52+AX52</f>
        <v>893877.15254740999</v>
      </c>
      <c r="BA52" s="811">
        <f t="shared" ref="BA52:BA75" si="15">H52+L52+P52+T52+X52+AB52+AF52+AJ52+AN52+AR52+AV52</f>
        <v>10516221.462122917</v>
      </c>
      <c r="BB52" s="295"/>
      <c r="BC52" s="460">
        <f>+BA52</f>
        <v>10516221.462122917</v>
      </c>
      <c r="BQ52" s="667"/>
      <c r="BR52" s="667"/>
      <c r="BS52" s="667"/>
      <c r="BT52" s="667"/>
      <c r="BU52" s="667"/>
    </row>
    <row r="53" spans="1:73">
      <c r="A53">
        <f t="shared" si="0"/>
        <v>38</v>
      </c>
      <c r="C53" s="419" t="str">
        <f t="shared" si="2"/>
        <v>W Increased ROE</v>
      </c>
      <c r="D53" s="458">
        <f t="shared" si="1"/>
        <v>2016</v>
      </c>
      <c r="E53" s="459">
        <f>+E52</f>
        <v>11961125.100000001</v>
      </c>
      <c r="F53" s="459">
        <f>+F52</f>
        <v>419688.6</v>
      </c>
      <c r="G53" s="459">
        <f t="shared" si="3"/>
        <v>11541436.500000002</v>
      </c>
      <c r="H53" s="885">
        <f>+E$30*G53+F53</f>
        <v>1770336.1687158947</v>
      </c>
      <c r="I53" s="459">
        <f>+I52</f>
        <v>2523556.1142857145</v>
      </c>
      <c r="J53" s="459">
        <f>+J52</f>
        <v>88545.828571428574</v>
      </c>
      <c r="K53" s="459">
        <f t="shared" si="4"/>
        <v>2435010.2857142859</v>
      </c>
      <c r="L53" s="787">
        <f>+I$30*K53+J53</f>
        <v>373505.22008202574</v>
      </c>
      <c r="M53" s="462">
        <f>+M52</f>
        <v>1969526.6999999997</v>
      </c>
      <c r="N53" s="459">
        <f>+N52</f>
        <v>69106.2</v>
      </c>
      <c r="O53" s="459">
        <f t="shared" si="5"/>
        <v>1900420.4999999998</v>
      </c>
      <c r="P53" s="787">
        <f>+M$30*O53+N53</f>
        <v>291504.71407256322</v>
      </c>
      <c r="Q53" s="462">
        <f>+Q52</f>
        <v>5406695.1000000006</v>
      </c>
      <c r="R53" s="459">
        <f>+R52</f>
        <v>183277.8</v>
      </c>
      <c r="S53" s="459">
        <f t="shared" si="6"/>
        <v>5223417.3000000007</v>
      </c>
      <c r="T53" s="787">
        <f>+Q$30*S53+R53</f>
        <v>794553.17084604199</v>
      </c>
      <c r="U53" s="462">
        <f>+U52</f>
        <v>7182478.2857142873</v>
      </c>
      <c r="V53" s="459">
        <f>+V52</f>
        <v>239415.94285714286</v>
      </c>
      <c r="W53" s="459">
        <f t="shared" si="7"/>
        <v>6943062.3428571448</v>
      </c>
      <c r="X53" s="787">
        <f>+U$30*W53+V53</f>
        <v>1051934.4081992072</v>
      </c>
      <c r="Y53" s="462">
        <f>+Y52</f>
        <v>12328850.499999996</v>
      </c>
      <c r="Z53" s="459">
        <f>+Z52</f>
        <v>414415.14285714284</v>
      </c>
      <c r="AA53" s="459">
        <f t="shared" si="8"/>
        <v>11914435.357142853</v>
      </c>
      <c r="AB53" s="787">
        <f>+Y$30*AA53+Z53</f>
        <v>1808713.2571124774</v>
      </c>
      <c r="AC53" s="462">
        <f>+AC52</f>
        <v>5854130.8571428554</v>
      </c>
      <c r="AD53" s="459">
        <f>+AD52</f>
        <v>190895.57142857142</v>
      </c>
      <c r="AE53" s="459">
        <f t="shared" si="9"/>
        <v>5663235.2857142836</v>
      </c>
      <c r="AF53" s="787">
        <f>+AC$30*AE53+AD53</f>
        <v>853641.05980136292</v>
      </c>
      <c r="AG53" s="462">
        <f>+AG52</f>
        <v>195895.80000000005</v>
      </c>
      <c r="AH53" s="459">
        <f>+AH52</f>
        <v>6218.9142857142861</v>
      </c>
      <c r="AI53" s="459">
        <f t="shared" si="10"/>
        <v>189676.88571428577</v>
      </c>
      <c r="AJ53" s="787">
        <f>+AG$30*AI53+AH53</f>
        <v>26651.243159006062</v>
      </c>
      <c r="AK53" s="462">
        <f>+AK52</f>
        <v>4549536.8999999985</v>
      </c>
      <c r="AL53" s="459">
        <f>+AL52</f>
        <v>144429.74285714285</v>
      </c>
      <c r="AM53" s="459">
        <f t="shared" si="11"/>
        <v>4405107.1571428552</v>
      </c>
      <c r="AN53" s="787">
        <f>+AK$30*AM53+AL53</f>
        <v>618955.66001297918</v>
      </c>
      <c r="AO53" s="462">
        <f>+AO52</f>
        <v>14969081.599999998</v>
      </c>
      <c r="AP53" s="459">
        <f>+AP52</f>
        <v>467783.8</v>
      </c>
      <c r="AQ53" s="459">
        <f t="shared" si="12"/>
        <v>14501297.799999997</v>
      </c>
      <c r="AR53" s="787">
        <f>+AO$30*AQ53+AP53</f>
        <v>2164811.9486880032</v>
      </c>
      <c r="AS53" s="462">
        <f>+AS52</f>
        <v>9762217.6476190481</v>
      </c>
      <c r="AT53" s="459">
        <f>+AT52</f>
        <v>301924.25714285712</v>
      </c>
      <c r="AU53" s="459">
        <f t="shared" si="13"/>
        <v>9460293.3904761914</v>
      </c>
      <c r="AV53" s="787">
        <f>+AS$30*AU53+AT53</f>
        <v>1321003.7568094824</v>
      </c>
      <c r="AW53" s="462">
        <f>+AW52</f>
        <v>6582988.3463333333</v>
      </c>
      <c r="AX53" s="459">
        <f>+AX52</f>
        <v>207049.8</v>
      </c>
      <c r="AY53" s="459">
        <f t="shared" si="14"/>
        <v>6375938.5463333335</v>
      </c>
      <c r="AZ53" s="787">
        <f>+AW$30*AY53+AX53</f>
        <v>893877.15254740999</v>
      </c>
      <c r="BA53" s="811">
        <f t="shared" si="15"/>
        <v>11075610.607499043</v>
      </c>
      <c r="BB53" s="461">
        <f>+BA53</f>
        <v>11075610.607499043</v>
      </c>
      <c r="BC53" s="417"/>
      <c r="BD53" s="852"/>
      <c r="BQ53" s="667"/>
      <c r="BR53" s="667"/>
      <c r="BS53" s="667"/>
      <c r="BT53" s="667"/>
      <c r="BU53" s="667"/>
    </row>
    <row r="54" spans="1:73">
      <c r="A54">
        <f t="shared" si="0"/>
        <v>39</v>
      </c>
      <c r="C54" s="419" t="str">
        <f t="shared" si="2"/>
        <v>Base FCR</v>
      </c>
      <c r="D54" s="458">
        <f t="shared" si="1"/>
        <v>2017</v>
      </c>
      <c r="E54" s="459">
        <f>+G53</f>
        <v>11541436.500000002</v>
      </c>
      <c r="F54" s="459">
        <f>+E$32</f>
        <v>419688.6</v>
      </c>
      <c r="G54" s="459">
        <f t="shared" si="3"/>
        <v>11121747.900000002</v>
      </c>
      <c r="H54" s="885">
        <f>+E$29*G54+F54</f>
        <v>1617742.9115883047</v>
      </c>
      <c r="I54" s="459">
        <f>+K53</f>
        <v>2435010.2857142859</v>
      </c>
      <c r="J54" s="459">
        <f>+I$32</f>
        <v>88545.828571428574</v>
      </c>
      <c r="K54" s="459">
        <f t="shared" si="4"/>
        <v>2346464.4571428574</v>
      </c>
      <c r="L54" s="787">
        <f>+I$29*K54+J54</f>
        <v>341311.12096478615</v>
      </c>
      <c r="M54" s="462">
        <f>+O53</f>
        <v>1900420.4999999998</v>
      </c>
      <c r="N54" s="459">
        <f>+M$32</f>
        <v>69106.2</v>
      </c>
      <c r="O54" s="459">
        <f t="shared" si="5"/>
        <v>1831314.2999999998</v>
      </c>
      <c r="P54" s="787">
        <f>+M$29*O54+N54</f>
        <v>266378.60832246498</v>
      </c>
      <c r="Q54" s="462">
        <f>+S53</f>
        <v>5223417.3000000007</v>
      </c>
      <c r="R54" s="459">
        <f>+Q$32</f>
        <v>183277.8</v>
      </c>
      <c r="S54" s="459">
        <f t="shared" si="6"/>
        <v>5040139.5000000009</v>
      </c>
      <c r="T54" s="787">
        <f>+Q$29*S54+R54</f>
        <v>726210.52184145828</v>
      </c>
      <c r="U54" s="462">
        <f>+W53</f>
        <v>6943062.3428571448</v>
      </c>
      <c r="V54" s="459">
        <f>+U$32</f>
        <v>239415.94285714286</v>
      </c>
      <c r="W54" s="459">
        <f t="shared" si="7"/>
        <v>6703646.4000000022</v>
      </c>
      <c r="X54" s="787">
        <f>+U$29*W54+V54</f>
        <v>961544.56374446035</v>
      </c>
      <c r="Y54" s="462">
        <f>+AA53</f>
        <v>11914435.357142853</v>
      </c>
      <c r="Z54" s="459">
        <f>+Y$32</f>
        <v>414415.14285714284</v>
      </c>
      <c r="AA54" s="459">
        <f t="shared" si="8"/>
        <v>11500020.214285709</v>
      </c>
      <c r="AB54" s="787">
        <f>+Y$29*AA54+Z54</f>
        <v>1653217.6157200327</v>
      </c>
      <c r="AC54" s="462">
        <f>+AE53</f>
        <v>5663235.2857142836</v>
      </c>
      <c r="AD54" s="459">
        <f>+AC$32</f>
        <v>190895.57142857142</v>
      </c>
      <c r="AE54" s="459">
        <f t="shared" si="9"/>
        <v>5472339.7142857118</v>
      </c>
      <c r="AF54" s="787">
        <f>+AC$29*AE54+AD54</f>
        <v>780385.6631052501</v>
      </c>
      <c r="AG54" s="462">
        <f>+AI53</f>
        <v>189676.88571428577</v>
      </c>
      <c r="AH54" s="459">
        <f>+AG$32</f>
        <v>6218.9142857142861</v>
      </c>
      <c r="AI54" s="459">
        <f t="shared" si="10"/>
        <v>183457.9714285715</v>
      </c>
      <c r="AJ54" s="787">
        <f>+AG$29*AI54+AH54</f>
        <v>25981.330736930922</v>
      </c>
      <c r="AK54" s="462">
        <f>+AM53</f>
        <v>4405107.1571428552</v>
      </c>
      <c r="AL54" s="459">
        <f>+AK$32</f>
        <v>144429.74285714285</v>
      </c>
      <c r="AM54" s="459">
        <f t="shared" si="11"/>
        <v>4260677.4142857119</v>
      </c>
      <c r="AN54" s="787">
        <f>+AK$29*AM54+AL54</f>
        <v>603397.43322098453</v>
      </c>
      <c r="AO54" s="462">
        <f>+AQ53</f>
        <v>14501297.799999997</v>
      </c>
      <c r="AP54" s="459">
        <f>+AO$32</f>
        <v>467783.8</v>
      </c>
      <c r="AQ54" s="459">
        <f t="shared" si="12"/>
        <v>14033513.999999996</v>
      </c>
      <c r="AR54" s="787">
        <f>+AO$29*AQ54+AP54</f>
        <v>1979498.6946016687</v>
      </c>
      <c r="AS54" s="462">
        <f>+AU53</f>
        <v>9460293.3904761914</v>
      </c>
      <c r="AT54" s="459">
        <f>+AS$32</f>
        <v>301924.25714285712</v>
      </c>
      <c r="AU54" s="459">
        <f t="shared" si="13"/>
        <v>9158369.1333333347</v>
      </c>
      <c r="AV54" s="787">
        <f>+AS$29*AU54+AT54</f>
        <v>1288479.9429903349</v>
      </c>
      <c r="AW54" s="462">
        <f>+AY53</f>
        <v>6375938.5463333335</v>
      </c>
      <c r="AX54" s="459">
        <f>+AW$32</f>
        <v>207049.8</v>
      </c>
      <c r="AY54" s="459">
        <f t="shared" si="14"/>
        <v>6168888.7463333337</v>
      </c>
      <c r="AZ54" s="787">
        <f>+AW$29*AY54+AX54</f>
        <v>871573.38268732396</v>
      </c>
      <c r="BA54" s="811">
        <f t="shared" si="15"/>
        <v>10244148.406836675</v>
      </c>
      <c r="BB54" s="295"/>
      <c r="BC54" s="460">
        <f>+BA54</f>
        <v>10244148.406836675</v>
      </c>
      <c r="BQ54" s="667"/>
      <c r="BR54" s="667"/>
      <c r="BS54" s="667"/>
      <c r="BT54" s="667"/>
      <c r="BU54" s="667"/>
    </row>
    <row r="55" spans="1:73">
      <c r="A55">
        <f t="shared" si="0"/>
        <v>40</v>
      </c>
      <c r="C55" s="419" t="str">
        <f t="shared" si="2"/>
        <v>W Increased ROE</v>
      </c>
      <c r="D55" s="458">
        <f t="shared" si="1"/>
        <v>2017</v>
      </c>
      <c r="E55" s="459">
        <f>+E54</f>
        <v>11541436.500000002</v>
      </c>
      <c r="F55" s="459">
        <f>+F54</f>
        <v>419688.6</v>
      </c>
      <c r="G55" s="459">
        <f t="shared" si="3"/>
        <v>11121747.900000002</v>
      </c>
      <c r="H55" s="885">
        <f>+E$30*G55+F55</f>
        <v>1721221.7116716807</v>
      </c>
      <c r="I55" s="459">
        <f>+I54</f>
        <v>2435010.2857142859</v>
      </c>
      <c r="J55" s="459">
        <f>+J54</f>
        <v>88545.828571428574</v>
      </c>
      <c r="K55" s="459">
        <f t="shared" si="4"/>
        <v>2346464.4571428574</v>
      </c>
      <c r="L55" s="787">
        <f>+I$30*K55+J55</f>
        <v>363143.06039073132</v>
      </c>
      <c r="M55" s="462">
        <f>+M54</f>
        <v>1900420.4999999998</v>
      </c>
      <c r="N55" s="459">
        <f>+N54</f>
        <v>69106.2</v>
      </c>
      <c r="O55" s="459">
        <f t="shared" si="5"/>
        <v>1831314.2999999998</v>
      </c>
      <c r="P55" s="787">
        <f>+M$30*O55+N55</f>
        <v>283417.49537901545</v>
      </c>
      <c r="Q55" s="462">
        <f>+Q54</f>
        <v>5223417.3000000007</v>
      </c>
      <c r="R55" s="459">
        <f>+R54</f>
        <v>183277.8</v>
      </c>
      <c r="S55" s="459">
        <f t="shared" si="6"/>
        <v>5040139.5000000009</v>
      </c>
      <c r="T55" s="787">
        <f>+Q$30*S55+R55</f>
        <v>773104.91221986501</v>
      </c>
      <c r="U55" s="462">
        <f>+U54</f>
        <v>6943062.3428571448</v>
      </c>
      <c r="V55" s="459">
        <f>+V54</f>
        <v>239415.94285714286</v>
      </c>
      <c r="W55" s="459">
        <f t="shared" si="7"/>
        <v>6703646.4000000022</v>
      </c>
      <c r="X55" s="787">
        <f>+U$30*W55+V55</f>
        <v>1023916.5300839636</v>
      </c>
      <c r="Y55" s="462">
        <f>+Y54</f>
        <v>11914435.357142853</v>
      </c>
      <c r="Z55" s="459">
        <f>+Z54</f>
        <v>414415.14285714284</v>
      </c>
      <c r="AA55" s="459">
        <f t="shared" si="8"/>
        <v>11500020.214285709</v>
      </c>
      <c r="AB55" s="787">
        <f>+Y$30*AA55+Z55</f>
        <v>1760215.9313992481</v>
      </c>
      <c r="AC55" s="462">
        <f>+AC54</f>
        <v>5663235.2857142836</v>
      </c>
      <c r="AD55" s="459">
        <f>+AD54</f>
        <v>190895.57142857142</v>
      </c>
      <c r="AE55" s="459">
        <f t="shared" si="9"/>
        <v>5472339.7142857118</v>
      </c>
      <c r="AF55" s="787">
        <f>+AC$30*AE55+AD55</f>
        <v>831301.32423823513</v>
      </c>
      <c r="AG55" s="462">
        <f>+AG54</f>
        <v>189676.88571428577</v>
      </c>
      <c r="AH55" s="459">
        <f>+AH54</f>
        <v>6218.9142857142861</v>
      </c>
      <c r="AI55" s="459">
        <f t="shared" si="10"/>
        <v>183457.9714285715</v>
      </c>
      <c r="AJ55" s="787">
        <f>+AG$30*AI55+AH55</f>
        <v>25981.330736930922</v>
      </c>
      <c r="AK55" s="462">
        <f>+AK54</f>
        <v>4405107.1571428552</v>
      </c>
      <c r="AL55" s="459">
        <f>+AL54</f>
        <v>144429.74285714285</v>
      </c>
      <c r="AM55" s="459">
        <f t="shared" si="11"/>
        <v>4260677.4142857119</v>
      </c>
      <c r="AN55" s="787">
        <f>+AK$30*AM55+AL55</f>
        <v>603397.43322098453</v>
      </c>
      <c r="AO55" s="462">
        <f>+AO54</f>
        <v>14501297.799999997</v>
      </c>
      <c r="AP55" s="459">
        <f>+AP54</f>
        <v>467783.8</v>
      </c>
      <c r="AQ55" s="459">
        <f t="shared" si="12"/>
        <v>14033513.999999996</v>
      </c>
      <c r="AR55" s="787">
        <f>+AO$30*AQ55+AP55</f>
        <v>2110069.1051819385</v>
      </c>
      <c r="AS55" s="462">
        <f>+AS54</f>
        <v>9460293.3904761914</v>
      </c>
      <c r="AT55" s="459">
        <f>+AT54</f>
        <v>301924.25714285712</v>
      </c>
      <c r="AU55" s="459">
        <f t="shared" si="13"/>
        <v>9158369.1333333347</v>
      </c>
      <c r="AV55" s="787">
        <f>+AS$30*AU55+AT55</f>
        <v>1288479.9429903349</v>
      </c>
      <c r="AW55" s="462">
        <f>+AW54</f>
        <v>6375938.5463333335</v>
      </c>
      <c r="AX55" s="459">
        <f>+AX54</f>
        <v>207049.8</v>
      </c>
      <c r="AY55" s="459">
        <f t="shared" si="14"/>
        <v>6168888.7463333337</v>
      </c>
      <c r="AZ55" s="787">
        <f>+AW$30*AY55+AX55</f>
        <v>871573.38268732396</v>
      </c>
      <c r="BA55" s="811">
        <f t="shared" si="15"/>
        <v>10784248.777512928</v>
      </c>
      <c r="BB55" s="461">
        <f>+BA55</f>
        <v>10784248.777512928</v>
      </c>
      <c r="BC55" s="417"/>
      <c r="BQ55" s="667"/>
      <c r="BR55" s="667"/>
      <c r="BS55" s="667"/>
      <c r="BT55" s="667"/>
      <c r="BU55" s="667"/>
    </row>
    <row r="56" spans="1:73">
      <c r="A56">
        <f t="shared" si="0"/>
        <v>41</v>
      </c>
      <c r="C56" s="419" t="str">
        <f t="shared" si="2"/>
        <v>Base FCR</v>
      </c>
      <c r="D56" s="458">
        <f t="shared" si="1"/>
        <v>2018</v>
      </c>
      <c r="E56" s="459">
        <f>+G55</f>
        <v>11121747.900000002</v>
      </c>
      <c r="F56" s="459">
        <f>+E$32</f>
        <v>419688.6</v>
      </c>
      <c r="G56" s="459">
        <f t="shared" si="3"/>
        <v>10702059.300000003</v>
      </c>
      <c r="H56" s="885">
        <f>+E$29*G56+F56</f>
        <v>1572533.3149245954</v>
      </c>
      <c r="I56" s="459">
        <f>+K55</f>
        <v>2346464.4571428574</v>
      </c>
      <c r="J56" s="459">
        <f>+I$32</f>
        <v>88545.828571428574</v>
      </c>
      <c r="K56" s="459">
        <f t="shared" si="4"/>
        <v>2257918.6285714288</v>
      </c>
      <c r="L56" s="787">
        <f>+I$29*K56+J56</f>
        <v>331772.80804428214</v>
      </c>
      <c r="M56" s="462">
        <f>+O55</f>
        <v>1831314.2999999998</v>
      </c>
      <c r="N56" s="459">
        <f>+M$32</f>
        <v>69106.2</v>
      </c>
      <c r="O56" s="459">
        <f t="shared" si="5"/>
        <v>1762208.0999999999</v>
      </c>
      <c r="P56" s="787">
        <f>+M$29*O56+N56</f>
        <v>258934.36649897578</v>
      </c>
      <c r="Q56" s="462">
        <f>+S55</f>
        <v>5040139.5000000009</v>
      </c>
      <c r="R56" s="459">
        <f>+Q$32</f>
        <v>183277.8</v>
      </c>
      <c r="S56" s="459">
        <f t="shared" si="6"/>
        <v>4856861.7000000011</v>
      </c>
      <c r="T56" s="787">
        <f>+Q$29*S56+R56</f>
        <v>706467.51377449615</v>
      </c>
      <c r="U56" s="462">
        <f>+W55</f>
        <v>6703646.4000000022</v>
      </c>
      <c r="V56" s="459">
        <f>+U$32</f>
        <v>239415.94285714286</v>
      </c>
      <c r="W56" s="459">
        <f t="shared" si="7"/>
        <v>6464230.4571428597</v>
      </c>
      <c r="X56" s="787">
        <f>+U$29*W56+V56</f>
        <v>935754.25585562759</v>
      </c>
      <c r="Y56" s="462">
        <f>+AA55</f>
        <v>11500020.214285709</v>
      </c>
      <c r="Z56" s="459">
        <f>+Y$32</f>
        <v>414415.14285714284</v>
      </c>
      <c r="AA56" s="459">
        <f t="shared" si="8"/>
        <v>11085605.071428565</v>
      </c>
      <c r="AB56" s="787">
        <f>+Y$29*AA56+Z56</f>
        <v>1608576.0851664147</v>
      </c>
      <c r="AC56" s="462">
        <f>+AE55</f>
        <v>5472339.7142857118</v>
      </c>
      <c r="AD56" s="459">
        <f>+AC$32</f>
        <v>190895.57142857142</v>
      </c>
      <c r="AE56" s="459">
        <f t="shared" si="9"/>
        <v>5281444.1428571399</v>
      </c>
      <c r="AF56" s="787">
        <f>+AC$29*AE56+AD56</f>
        <v>759822.05525606358</v>
      </c>
      <c r="AG56" s="462">
        <f>+AI55</f>
        <v>183457.9714285715</v>
      </c>
      <c r="AH56" s="459">
        <f>+AG$32</f>
        <v>6218.9142857142861</v>
      </c>
      <c r="AI56" s="459">
        <f t="shared" si="10"/>
        <v>177239.05714285723</v>
      </c>
      <c r="AJ56" s="787">
        <f>+AG$29*AI56+AH56</f>
        <v>25311.418314855786</v>
      </c>
      <c r="AK56" s="462">
        <f>+AM55</f>
        <v>4260677.4142857119</v>
      </c>
      <c r="AL56" s="459">
        <f>+AK$32</f>
        <v>144429.74285714285</v>
      </c>
      <c r="AM56" s="459">
        <f t="shared" si="11"/>
        <v>4116247.6714285691</v>
      </c>
      <c r="AN56" s="787">
        <f>+AK$29*AM56+AL56</f>
        <v>587839.20642898988</v>
      </c>
      <c r="AO56" s="462">
        <f>+AQ55</f>
        <v>14033513.999999996</v>
      </c>
      <c r="AP56" s="459">
        <f>+AO$32</f>
        <v>467783.8</v>
      </c>
      <c r="AQ56" s="459">
        <f t="shared" si="12"/>
        <v>13565730.199999996</v>
      </c>
      <c r="AR56" s="787">
        <f>+AO$29*AQ56+AP56</f>
        <v>1929108.1981149463</v>
      </c>
      <c r="AS56" s="462">
        <f>+AU55</f>
        <v>9158369.1333333347</v>
      </c>
      <c r="AT56" s="459">
        <f>+AS$32</f>
        <v>301924.25714285712</v>
      </c>
      <c r="AU56" s="459">
        <f t="shared" si="13"/>
        <v>8856444.876190478</v>
      </c>
      <c r="AV56" s="787">
        <f>+AS$29*AU56+AT56</f>
        <v>1255956.1291711873</v>
      </c>
      <c r="AW56" s="462">
        <f>+AY55</f>
        <v>6168888.7463333337</v>
      </c>
      <c r="AX56" s="459">
        <f>+AW$32</f>
        <v>207049.8</v>
      </c>
      <c r="AY56" s="459">
        <f t="shared" si="14"/>
        <v>5961838.9463333338</v>
      </c>
      <c r="AZ56" s="787">
        <f>+AW$29*AY56+AX56</f>
        <v>849269.6128272377</v>
      </c>
      <c r="BA56" s="811">
        <f t="shared" si="15"/>
        <v>9972075.3515504338</v>
      </c>
      <c r="BB56" s="295"/>
      <c r="BC56" s="460">
        <f>+BA56</f>
        <v>9972075.3515504338</v>
      </c>
      <c r="BQ56" s="667"/>
      <c r="BR56" s="667"/>
      <c r="BS56" s="667"/>
      <c r="BT56" s="667"/>
      <c r="BU56" s="667"/>
    </row>
    <row r="57" spans="1:73">
      <c r="A57">
        <f t="shared" si="0"/>
        <v>42</v>
      </c>
      <c r="C57" s="419" t="str">
        <f t="shared" si="2"/>
        <v>W Increased ROE</v>
      </c>
      <c r="D57" s="458">
        <f t="shared" si="1"/>
        <v>2018</v>
      </c>
      <c r="E57" s="459">
        <f>+E56</f>
        <v>11121747.900000002</v>
      </c>
      <c r="F57" s="459">
        <f>+F56</f>
        <v>419688.6</v>
      </c>
      <c r="G57" s="459">
        <f t="shared" si="3"/>
        <v>10702059.300000003</v>
      </c>
      <c r="H57" s="885">
        <f>+E$30*G57+F57</f>
        <v>1672107.2546274662</v>
      </c>
      <c r="I57" s="459">
        <f>+I56</f>
        <v>2346464.4571428574</v>
      </c>
      <c r="J57" s="459">
        <f>+J56</f>
        <v>88545.828571428574</v>
      </c>
      <c r="K57" s="459">
        <f t="shared" si="4"/>
        <v>2257918.6285714288</v>
      </c>
      <c r="L57" s="787">
        <f>+I$30*K57+J57</f>
        <v>352780.9006994369</v>
      </c>
      <c r="M57" s="462">
        <f>+M56</f>
        <v>1831314.2999999998</v>
      </c>
      <c r="N57" s="459">
        <f>+N56</f>
        <v>69106.2</v>
      </c>
      <c r="O57" s="459">
        <f t="shared" si="5"/>
        <v>1762208.0999999999</v>
      </c>
      <c r="P57" s="787">
        <f>+M$30*O57+N57</f>
        <v>275330.27668546769</v>
      </c>
      <c r="Q57" s="462">
        <f>+Q56</f>
        <v>5040139.5000000009</v>
      </c>
      <c r="R57" s="459">
        <f>+R56</f>
        <v>183277.8</v>
      </c>
      <c r="S57" s="459">
        <f t="shared" si="6"/>
        <v>4856861.7000000011</v>
      </c>
      <c r="T57" s="787">
        <f>+Q$30*S57+R57</f>
        <v>751656.65359368804</v>
      </c>
      <c r="U57" s="462">
        <f>+U56</f>
        <v>6703646.4000000022</v>
      </c>
      <c r="V57" s="459">
        <f>+V56</f>
        <v>239415.94285714286</v>
      </c>
      <c r="W57" s="459">
        <f t="shared" si="7"/>
        <v>6464230.4571428597</v>
      </c>
      <c r="X57" s="787">
        <f>+U$30*W57+V57</f>
        <v>995898.65196872014</v>
      </c>
      <c r="Y57" s="462">
        <f>+Y56</f>
        <v>11500020.214285709</v>
      </c>
      <c r="Z57" s="459">
        <f>+Z56</f>
        <v>414415.14285714284</v>
      </c>
      <c r="AA57" s="459">
        <f t="shared" si="8"/>
        <v>11085605.071428565</v>
      </c>
      <c r="AB57" s="787">
        <f>+Y$30*AA57+Z57</f>
        <v>1711718.6056860192</v>
      </c>
      <c r="AC57" s="462">
        <f>+AC56</f>
        <v>5472339.7142857118</v>
      </c>
      <c r="AD57" s="459">
        <f>+AD56</f>
        <v>190895.57142857142</v>
      </c>
      <c r="AE57" s="459">
        <f t="shared" si="9"/>
        <v>5281444.1428571399</v>
      </c>
      <c r="AF57" s="787">
        <f>+AC$30*AE57+AD57</f>
        <v>808961.58867510734</v>
      </c>
      <c r="AG57" s="462">
        <f>+AG56</f>
        <v>183457.9714285715</v>
      </c>
      <c r="AH57" s="459">
        <f>+AH56</f>
        <v>6218.9142857142861</v>
      </c>
      <c r="AI57" s="459">
        <f t="shared" si="10"/>
        <v>177239.05714285723</v>
      </c>
      <c r="AJ57" s="787">
        <f>+AG$30*AI57+AH57</f>
        <v>25311.418314855786</v>
      </c>
      <c r="AK57" s="462">
        <f>+AK56</f>
        <v>4260677.4142857119</v>
      </c>
      <c r="AL57" s="459">
        <f>+AL56</f>
        <v>144429.74285714285</v>
      </c>
      <c r="AM57" s="459">
        <f t="shared" si="11"/>
        <v>4116247.6714285691</v>
      </c>
      <c r="AN57" s="787">
        <f>+AK$30*AM57+AL57</f>
        <v>587839.20642898988</v>
      </c>
      <c r="AO57" s="462">
        <f>+AO56</f>
        <v>14033513.999999996</v>
      </c>
      <c r="AP57" s="459">
        <f>+AP56</f>
        <v>467783.8</v>
      </c>
      <c r="AQ57" s="459">
        <f t="shared" si="12"/>
        <v>13565730.199999996</v>
      </c>
      <c r="AR57" s="787">
        <f>+AO$30*AQ57+AP57</f>
        <v>2055326.261675874</v>
      </c>
      <c r="AS57" s="462">
        <f>+AS56</f>
        <v>9158369.1333333347</v>
      </c>
      <c r="AT57" s="459">
        <f>+AT56</f>
        <v>301924.25714285712</v>
      </c>
      <c r="AU57" s="459">
        <f t="shared" si="13"/>
        <v>8856444.876190478</v>
      </c>
      <c r="AV57" s="787">
        <f>+AS$30*AU57+AT57</f>
        <v>1255956.1291711873</v>
      </c>
      <c r="AW57" s="462">
        <f>+AW56</f>
        <v>6168888.7463333337</v>
      </c>
      <c r="AX57" s="459">
        <f>+AX56</f>
        <v>207049.8</v>
      </c>
      <c r="AY57" s="459">
        <f t="shared" si="14"/>
        <v>5961838.9463333338</v>
      </c>
      <c r="AZ57" s="787">
        <f>+AW$30*AY57+AX57</f>
        <v>849269.6128272377</v>
      </c>
      <c r="BA57" s="811">
        <f t="shared" si="15"/>
        <v>10492886.947526813</v>
      </c>
      <c r="BB57" s="461">
        <f>+BA57</f>
        <v>10492886.947526813</v>
      </c>
      <c r="BC57" s="417"/>
      <c r="BQ57" s="667"/>
      <c r="BR57" s="667"/>
      <c r="BS57" s="667"/>
      <c r="BT57" s="667"/>
      <c r="BU57" s="667"/>
    </row>
    <row r="58" spans="1:73">
      <c r="A58">
        <f t="shared" si="0"/>
        <v>43</v>
      </c>
      <c r="C58" s="419" t="str">
        <f t="shared" si="2"/>
        <v>Base FCR</v>
      </c>
      <c r="D58" s="458">
        <f t="shared" si="1"/>
        <v>2019</v>
      </c>
      <c r="E58" s="459">
        <f>+G57</f>
        <v>10702059.300000003</v>
      </c>
      <c r="F58" s="459">
        <f>+E$32</f>
        <v>419688.6</v>
      </c>
      <c r="G58" s="459">
        <f t="shared" si="3"/>
        <v>10282370.700000003</v>
      </c>
      <c r="H58" s="885">
        <f>+E$29*G58+F58</f>
        <v>1527323.7182608857</v>
      </c>
      <c r="I58" s="459">
        <f>+K57</f>
        <v>2257918.6285714288</v>
      </c>
      <c r="J58" s="459">
        <f>+I$32</f>
        <v>88545.828571428574</v>
      </c>
      <c r="K58" s="459">
        <f t="shared" si="4"/>
        <v>2169372.8000000003</v>
      </c>
      <c r="L58" s="787">
        <f>+I$29*K58+J58</f>
        <v>322234.49512377806</v>
      </c>
      <c r="M58" s="462">
        <f>+O57</f>
        <v>1762208.0999999999</v>
      </c>
      <c r="N58" s="459">
        <f>+M$32</f>
        <v>69106.2</v>
      </c>
      <c r="O58" s="459">
        <f t="shared" si="5"/>
        <v>1693101.9</v>
      </c>
      <c r="P58" s="787">
        <f>+M$29*O58+N58</f>
        <v>251490.12467548653</v>
      </c>
      <c r="Q58" s="462">
        <f>+S57</f>
        <v>4856861.7000000011</v>
      </c>
      <c r="R58" s="459">
        <f>+Q$32</f>
        <v>183277.8</v>
      </c>
      <c r="S58" s="459">
        <f t="shared" si="6"/>
        <v>4673583.9000000013</v>
      </c>
      <c r="T58" s="787">
        <f>+Q$29*S58+R58</f>
        <v>686724.50570753403</v>
      </c>
      <c r="U58" s="462">
        <f>+W57</f>
        <v>6464230.4571428597</v>
      </c>
      <c r="V58" s="459">
        <f>+U$32</f>
        <v>239415.94285714286</v>
      </c>
      <c r="W58" s="459">
        <f t="shared" si="7"/>
        <v>6224814.5142857172</v>
      </c>
      <c r="X58" s="787">
        <f>+U$29*W58+V58</f>
        <v>909963.94796679483</v>
      </c>
      <c r="Y58" s="462">
        <f>+AA57</f>
        <v>11085605.071428565</v>
      </c>
      <c r="Z58" s="459">
        <f>+Y$32</f>
        <v>414415.14285714284</v>
      </c>
      <c r="AA58" s="459">
        <f t="shared" si="8"/>
        <v>10671189.928571422</v>
      </c>
      <c r="AB58" s="787">
        <f>+Y$29*AA58+Z58</f>
        <v>1563934.5546127972</v>
      </c>
      <c r="AC58" s="462">
        <f>+AE57</f>
        <v>5281444.1428571399</v>
      </c>
      <c r="AD58" s="459">
        <f>+AC$32</f>
        <v>190895.57142857142</v>
      </c>
      <c r="AE58" s="459">
        <f t="shared" si="9"/>
        <v>5090548.5714285681</v>
      </c>
      <c r="AF58" s="787">
        <f>+AC$29*AE58+AD58</f>
        <v>739258.44740687707</v>
      </c>
      <c r="AG58" s="462">
        <f>+AI57</f>
        <v>177239.05714285723</v>
      </c>
      <c r="AH58" s="459">
        <f>+AG$32</f>
        <v>6218.9142857142861</v>
      </c>
      <c r="AI58" s="459">
        <f t="shared" si="10"/>
        <v>171020.14285714296</v>
      </c>
      <c r="AJ58" s="787">
        <f>+AG$29*AI58+AH58</f>
        <v>24641.505892780646</v>
      </c>
      <c r="AK58" s="462">
        <f>+AM57</f>
        <v>4116247.6714285691</v>
      </c>
      <c r="AL58" s="459">
        <f>+AK$32</f>
        <v>144429.74285714285</v>
      </c>
      <c r="AM58" s="459">
        <f t="shared" si="11"/>
        <v>3971817.9285714263</v>
      </c>
      <c r="AN58" s="787">
        <f>+AK$29*AM58+AL58</f>
        <v>572280.97963699524</v>
      </c>
      <c r="AO58" s="462">
        <f>+AQ57</f>
        <v>13565730.199999996</v>
      </c>
      <c r="AP58" s="459">
        <f>+AO$32</f>
        <v>467783.8</v>
      </c>
      <c r="AQ58" s="459">
        <f t="shared" si="12"/>
        <v>13097946.399999995</v>
      </c>
      <c r="AR58" s="787">
        <f>+AO$29*AQ58+AP58</f>
        <v>1878717.701628224</v>
      </c>
      <c r="AS58" s="462">
        <f>+AU57</f>
        <v>8856444.876190478</v>
      </c>
      <c r="AT58" s="459">
        <f>+AS$32</f>
        <v>301924.25714285712</v>
      </c>
      <c r="AU58" s="459">
        <f t="shared" si="13"/>
        <v>8554520.6190476213</v>
      </c>
      <c r="AV58" s="787">
        <f>+AS$29*AU58+AT58</f>
        <v>1223432.3153520396</v>
      </c>
      <c r="AW58" s="462">
        <f>+AY57</f>
        <v>5961838.9463333338</v>
      </c>
      <c r="AX58" s="459">
        <f>+AW$32</f>
        <v>207049.8</v>
      </c>
      <c r="AY58" s="459">
        <f t="shared" si="14"/>
        <v>5754789.146333334</v>
      </c>
      <c r="AZ58" s="787">
        <f>+AW$29*AY58+AX58</f>
        <v>826965.84296715166</v>
      </c>
      <c r="BA58" s="811">
        <f t="shared" si="15"/>
        <v>9700002.2962641921</v>
      </c>
      <c r="BB58" s="295"/>
      <c r="BC58" s="460">
        <f>+BA58</f>
        <v>9700002.2962641921</v>
      </c>
      <c r="BQ58" s="667"/>
      <c r="BR58" s="667"/>
      <c r="BS58" s="667"/>
      <c r="BT58" s="667"/>
      <c r="BU58" s="667"/>
    </row>
    <row r="59" spans="1:73">
      <c r="A59">
        <f t="shared" si="0"/>
        <v>44</v>
      </c>
      <c r="C59" s="419" t="str">
        <f t="shared" si="2"/>
        <v>W Increased ROE</v>
      </c>
      <c r="D59" s="458">
        <f t="shared" si="1"/>
        <v>2019</v>
      </c>
      <c r="E59" s="459">
        <f>+E58</f>
        <v>10702059.300000003</v>
      </c>
      <c r="F59" s="459">
        <f>+F58</f>
        <v>419688.6</v>
      </c>
      <c r="G59" s="459">
        <f t="shared" si="3"/>
        <v>10282370.700000003</v>
      </c>
      <c r="H59" s="885">
        <f>+E$30*G59+F59</f>
        <v>1622992.7975832522</v>
      </c>
      <c r="I59" s="459">
        <f>+I58</f>
        <v>2257918.6285714288</v>
      </c>
      <c r="J59" s="459">
        <f>+J58</f>
        <v>88545.828571428574</v>
      </c>
      <c r="K59" s="459">
        <f t="shared" si="4"/>
        <v>2169372.8000000003</v>
      </c>
      <c r="L59" s="787">
        <f>+I$30*K59+J59</f>
        <v>342418.74100814248</v>
      </c>
      <c r="M59" s="462">
        <f>+M58</f>
        <v>1762208.0999999999</v>
      </c>
      <c r="N59" s="459">
        <f>+N58</f>
        <v>69106.2</v>
      </c>
      <c r="O59" s="459">
        <f t="shared" si="5"/>
        <v>1693101.9</v>
      </c>
      <c r="P59" s="787">
        <f>+M$30*O59+N59</f>
        <v>267243.05799191998</v>
      </c>
      <c r="Q59" s="462">
        <f>+Q58</f>
        <v>4856861.7000000011</v>
      </c>
      <c r="R59" s="459">
        <f>+R58</f>
        <v>183277.8</v>
      </c>
      <c r="S59" s="459">
        <f t="shared" si="6"/>
        <v>4673583.9000000013</v>
      </c>
      <c r="T59" s="787">
        <f>+Q$30*S59+R59</f>
        <v>730208.3949675113</v>
      </c>
      <c r="U59" s="462">
        <f>+U58</f>
        <v>6464230.4571428597</v>
      </c>
      <c r="V59" s="459">
        <f>+V58</f>
        <v>239415.94285714286</v>
      </c>
      <c r="W59" s="459">
        <f t="shared" si="7"/>
        <v>6224814.5142857172</v>
      </c>
      <c r="X59" s="787">
        <f>+U$30*W59+V59</f>
        <v>967880.77385347662</v>
      </c>
      <c r="Y59" s="462">
        <f>+Y58</f>
        <v>11085605.071428565</v>
      </c>
      <c r="Z59" s="459">
        <f>+Z58</f>
        <v>414415.14285714284</v>
      </c>
      <c r="AA59" s="459">
        <f t="shared" si="8"/>
        <v>10671189.928571422</v>
      </c>
      <c r="AB59" s="787">
        <f>+Y$30*AA59+Z59</f>
        <v>1663221.2799727898</v>
      </c>
      <c r="AC59" s="462">
        <f>+AC58</f>
        <v>5281444.1428571399</v>
      </c>
      <c r="AD59" s="459">
        <f>+AD58</f>
        <v>190895.57142857142</v>
      </c>
      <c r="AE59" s="459">
        <f t="shared" si="9"/>
        <v>5090548.5714285681</v>
      </c>
      <c r="AF59" s="787">
        <f>+AC$30*AE59+AD59</f>
        <v>786621.85311197932</v>
      </c>
      <c r="AG59" s="462">
        <f>+AG58</f>
        <v>177239.05714285723</v>
      </c>
      <c r="AH59" s="459">
        <f>+AH58</f>
        <v>6218.9142857142861</v>
      </c>
      <c r="AI59" s="459">
        <f t="shared" si="10"/>
        <v>171020.14285714296</v>
      </c>
      <c r="AJ59" s="787">
        <f>+AG$30*AI59+AH59</f>
        <v>24641.505892780646</v>
      </c>
      <c r="AK59" s="462">
        <f>+AK58</f>
        <v>4116247.6714285691</v>
      </c>
      <c r="AL59" s="459">
        <f>+AL58</f>
        <v>144429.74285714285</v>
      </c>
      <c r="AM59" s="459">
        <f t="shared" si="11"/>
        <v>3971817.9285714263</v>
      </c>
      <c r="AN59" s="787">
        <f>+AK$30*AM59+AL59</f>
        <v>572280.97963699524</v>
      </c>
      <c r="AO59" s="462">
        <f>+AO58</f>
        <v>13565730.199999996</v>
      </c>
      <c r="AP59" s="459">
        <f>+AP58</f>
        <v>467783.8</v>
      </c>
      <c r="AQ59" s="459">
        <f t="shared" si="12"/>
        <v>13097946.399999995</v>
      </c>
      <c r="AR59" s="787">
        <f>+AO$30*AQ59+AP59</f>
        <v>2000583.4181698093</v>
      </c>
      <c r="AS59" s="462">
        <f>+AS58</f>
        <v>8856444.876190478</v>
      </c>
      <c r="AT59" s="459">
        <f>+AT58</f>
        <v>301924.25714285712</v>
      </c>
      <c r="AU59" s="459">
        <f t="shared" si="13"/>
        <v>8554520.6190476213</v>
      </c>
      <c r="AV59" s="787">
        <f>+AS$30*AU59+AT59</f>
        <v>1223432.3153520396</v>
      </c>
      <c r="AW59" s="462">
        <f>+AW58</f>
        <v>5961838.9463333338</v>
      </c>
      <c r="AX59" s="459">
        <f>+AX58</f>
        <v>207049.8</v>
      </c>
      <c r="AY59" s="459">
        <f t="shared" si="14"/>
        <v>5754789.146333334</v>
      </c>
      <c r="AZ59" s="787">
        <f>+AW$30*AY59+AX59</f>
        <v>826965.84296715166</v>
      </c>
      <c r="BA59" s="811">
        <f t="shared" si="15"/>
        <v>10201525.117540697</v>
      </c>
      <c r="BB59" s="461">
        <f>+BA59</f>
        <v>10201525.117540697</v>
      </c>
      <c r="BC59" s="417"/>
      <c r="BQ59" s="667"/>
      <c r="BR59" s="667"/>
      <c r="BS59" s="667"/>
      <c r="BT59" s="667"/>
      <c r="BU59" s="667"/>
    </row>
    <row r="60" spans="1:73">
      <c r="A60">
        <f t="shared" si="0"/>
        <v>45</v>
      </c>
      <c r="C60" s="419" t="str">
        <f t="shared" si="2"/>
        <v>Base FCR</v>
      </c>
      <c r="D60" s="458">
        <f t="shared" si="1"/>
        <v>2020</v>
      </c>
      <c r="E60" s="459">
        <f>+G59</f>
        <v>10282370.700000003</v>
      </c>
      <c r="F60" s="459">
        <f>+E$32</f>
        <v>419688.6</v>
      </c>
      <c r="G60" s="459">
        <f t="shared" si="3"/>
        <v>9862682.1000000034</v>
      </c>
      <c r="H60" s="885">
        <f>+E$29*G60+F60</f>
        <v>1482114.121597176</v>
      </c>
      <c r="I60" s="459">
        <f>+K59</f>
        <v>2169372.8000000003</v>
      </c>
      <c r="J60" s="459">
        <f>+I$32</f>
        <v>88545.828571428574</v>
      </c>
      <c r="K60" s="459">
        <f t="shared" si="4"/>
        <v>2080826.9714285717</v>
      </c>
      <c r="L60" s="787">
        <f>+I$29*K60+J60</f>
        <v>312696.18220327399</v>
      </c>
      <c r="M60" s="462">
        <f>+O59</f>
        <v>1693101.9</v>
      </c>
      <c r="N60" s="459">
        <f>+M$32</f>
        <v>69106.2</v>
      </c>
      <c r="O60" s="459">
        <f t="shared" si="5"/>
        <v>1623995.7</v>
      </c>
      <c r="P60" s="787">
        <f>+M$29*O60+N60</f>
        <v>244045.88285199727</v>
      </c>
      <c r="Q60" s="462">
        <f>+S59</f>
        <v>4673583.9000000013</v>
      </c>
      <c r="R60" s="459">
        <f>+Q$32</f>
        <v>183277.8</v>
      </c>
      <c r="S60" s="459">
        <f t="shared" si="6"/>
        <v>4490306.1000000015</v>
      </c>
      <c r="T60" s="787">
        <f>+Q$29*S60+R60</f>
        <v>666981.49764057202</v>
      </c>
      <c r="U60" s="462">
        <f>+W59</f>
        <v>6224814.5142857172</v>
      </c>
      <c r="V60" s="459">
        <f>+U$32</f>
        <v>239415.94285714286</v>
      </c>
      <c r="W60" s="459">
        <f t="shared" si="7"/>
        <v>5985398.5714285746</v>
      </c>
      <c r="X60" s="787">
        <f>+U$29*W60+V60</f>
        <v>884173.64007796219</v>
      </c>
      <c r="Y60" s="462">
        <f>+AA59</f>
        <v>10671189.928571422</v>
      </c>
      <c r="Z60" s="459">
        <f>+Y$32</f>
        <v>414415.14285714284</v>
      </c>
      <c r="AA60" s="459">
        <f t="shared" si="8"/>
        <v>10256774.785714278</v>
      </c>
      <c r="AB60" s="787">
        <f>+Y$29*AA60+Z60</f>
        <v>1519293.0240591792</v>
      </c>
      <c r="AC60" s="462">
        <f>+AE59</f>
        <v>5090548.5714285681</v>
      </c>
      <c r="AD60" s="459">
        <f>+AC$32</f>
        <v>190895.57142857142</v>
      </c>
      <c r="AE60" s="459">
        <f t="shared" si="9"/>
        <v>4899652.9999999963</v>
      </c>
      <c r="AF60" s="787">
        <f>+AC$29*AE60+AD60</f>
        <v>718694.83955769055</v>
      </c>
      <c r="AG60" s="462">
        <f>+AI59</f>
        <v>171020.14285714296</v>
      </c>
      <c r="AH60" s="459">
        <f>+AG$32</f>
        <v>6218.9142857142861</v>
      </c>
      <c r="AI60" s="459">
        <f t="shared" si="10"/>
        <v>164801.22857142868</v>
      </c>
      <c r="AJ60" s="787">
        <f>+AG$29*AI60+AH60</f>
        <v>23971.593470705506</v>
      </c>
      <c r="AK60" s="462">
        <f>+AM59</f>
        <v>3971817.9285714263</v>
      </c>
      <c r="AL60" s="459">
        <f>+AK$32</f>
        <v>144429.74285714285</v>
      </c>
      <c r="AM60" s="459">
        <f t="shared" si="11"/>
        <v>3827388.1857142835</v>
      </c>
      <c r="AN60" s="787">
        <f>+AK$29*AM60+AL60</f>
        <v>556722.75284500059</v>
      </c>
      <c r="AO60" s="462">
        <f>+AQ59</f>
        <v>13097946.399999995</v>
      </c>
      <c r="AP60" s="459">
        <f>+AO$32</f>
        <v>467783.8</v>
      </c>
      <c r="AQ60" s="459">
        <f t="shared" si="12"/>
        <v>12630162.599999994</v>
      </c>
      <c r="AR60" s="787">
        <f>+AO$29*AQ60+AP60</f>
        <v>1828327.2051415015</v>
      </c>
      <c r="AS60" s="462">
        <f>+AU59</f>
        <v>8554520.6190476213</v>
      </c>
      <c r="AT60" s="459">
        <f>+AS$32</f>
        <v>301924.25714285712</v>
      </c>
      <c r="AU60" s="459">
        <f t="shared" si="13"/>
        <v>8252596.3619047645</v>
      </c>
      <c r="AV60" s="787">
        <f>+AS$29*AU60+AT60</f>
        <v>1190908.5015328922</v>
      </c>
      <c r="AW60" s="462">
        <f>+AY59</f>
        <v>5754789.146333334</v>
      </c>
      <c r="AX60" s="459">
        <f>+AW$32</f>
        <v>207049.8</v>
      </c>
      <c r="AY60" s="459">
        <f t="shared" si="14"/>
        <v>5547739.3463333342</v>
      </c>
      <c r="AZ60" s="787">
        <f>+AW$29*AY60+AX60</f>
        <v>804662.07310706563</v>
      </c>
      <c r="BA60" s="811">
        <f t="shared" si="15"/>
        <v>9427929.2409779504</v>
      </c>
      <c r="BB60" s="295"/>
      <c r="BC60" s="460">
        <f>+BA60</f>
        <v>9427929.2409779504</v>
      </c>
      <c r="BQ60" s="667"/>
      <c r="BR60" s="667"/>
      <c r="BS60" s="667"/>
      <c r="BT60" s="667"/>
      <c r="BU60" s="667"/>
    </row>
    <row r="61" spans="1:73">
      <c r="A61">
        <f t="shared" si="0"/>
        <v>46</v>
      </c>
      <c r="C61" s="419" t="str">
        <f t="shared" si="2"/>
        <v>W Increased ROE</v>
      </c>
      <c r="D61" s="458">
        <f t="shared" si="1"/>
        <v>2020</v>
      </c>
      <c r="E61" s="459">
        <f>+E60</f>
        <v>10282370.700000003</v>
      </c>
      <c r="F61" s="459">
        <f>+F60</f>
        <v>419688.6</v>
      </c>
      <c r="G61" s="459">
        <f t="shared" si="3"/>
        <v>9862682.1000000034</v>
      </c>
      <c r="H61" s="885">
        <f>+E$30*G61+F61</f>
        <v>1573878.3405390377</v>
      </c>
      <c r="I61" s="459">
        <f>+I60</f>
        <v>2169372.8000000003</v>
      </c>
      <c r="J61" s="459">
        <f>+J60</f>
        <v>88545.828571428574</v>
      </c>
      <c r="K61" s="459">
        <f t="shared" si="4"/>
        <v>2080826.9714285717</v>
      </c>
      <c r="L61" s="787">
        <f>+I$30*K61+J61</f>
        <v>332056.58131684799</v>
      </c>
      <c r="M61" s="462">
        <f>+M60</f>
        <v>1693101.9</v>
      </c>
      <c r="N61" s="459">
        <f>+N60</f>
        <v>69106.2</v>
      </c>
      <c r="O61" s="459">
        <f t="shared" si="5"/>
        <v>1623995.7</v>
      </c>
      <c r="P61" s="787">
        <f>+M$30*O61+N61</f>
        <v>259155.83929837222</v>
      </c>
      <c r="Q61" s="462">
        <f>+Q60</f>
        <v>4673583.9000000013</v>
      </c>
      <c r="R61" s="459">
        <f>+R60</f>
        <v>183277.8</v>
      </c>
      <c r="S61" s="459">
        <f t="shared" si="6"/>
        <v>4490306.1000000015</v>
      </c>
      <c r="T61" s="787">
        <f>+Q$30*S61+R61</f>
        <v>708760.13634133432</v>
      </c>
      <c r="U61" s="462">
        <f>+U60</f>
        <v>6224814.5142857172</v>
      </c>
      <c r="V61" s="459">
        <f>+V60</f>
        <v>239415.94285714286</v>
      </c>
      <c r="W61" s="459">
        <f t="shared" si="7"/>
        <v>5985398.5714285746</v>
      </c>
      <c r="X61" s="787">
        <f>+U$30*W61+V61</f>
        <v>939862.895738233</v>
      </c>
      <c r="Y61" s="462">
        <f>+Y60</f>
        <v>10671189.928571422</v>
      </c>
      <c r="Z61" s="459">
        <f>+Z60</f>
        <v>414415.14285714284</v>
      </c>
      <c r="AA61" s="459">
        <f t="shared" si="8"/>
        <v>10256774.785714278</v>
      </c>
      <c r="AB61" s="787">
        <f>+Y$30*AA61+Z61</f>
        <v>1614723.9542595609</v>
      </c>
      <c r="AC61" s="462">
        <f>+AC60</f>
        <v>5090548.5714285681</v>
      </c>
      <c r="AD61" s="459">
        <f>+AD60</f>
        <v>190895.57142857142</v>
      </c>
      <c r="AE61" s="459">
        <f t="shared" si="9"/>
        <v>4899652.9999999963</v>
      </c>
      <c r="AF61" s="787">
        <f>+AC$30*AE61+AD61</f>
        <v>764282.11754885153</v>
      </c>
      <c r="AG61" s="462">
        <f>+AG60</f>
        <v>171020.14285714296</v>
      </c>
      <c r="AH61" s="459">
        <f>+AH60</f>
        <v>6218.9142857142861</v>
      </c>
      <c r="AI61" s="459">
        <f t="shared" si="10"/>
        <v>164801.22857142868</v>
      </c>
      <c r="AJ61" s="787">
        <f>+AG$30*AI61+AH61</f>
        <v>23971.593470705506</v>
      </c>
      <c r="AK61" s="462">
        <f>+AK60</f>
        <v>3971817.9285714263</v>
      </c>
      <c r="AL61" s="459">
        <f>+AL60</f>
        <v>144429.74285714285</v>
      </c>
      <c r="AM61" s="459">
        <f t="shared" si="11"/>
        <v>3827388.1857142835</v>
      </c>
      <c r="AN61" s="787">
        <f>+AK$30*AM61+AL61</f>
        <v>556722.75284500059</v>
      </c>
      <c r="AO61" s="462">
        <f>+AO60</f>
        <v>13097946.399999995</v>
      </c>
      <c r="AP61" s="459">
        <f>+AP60</f>
        <v>467783.8</v>
      </c>
      <c r="AQ61" s="459">
        <f t="shared" si="12"/>
        <v>12630162.599999994</v>
      </c>
      <c r="AR61" s="787">
        <f>+AO$30*AQ61+AP61</f>
        <v>1945840.5746637445</v>
      </c>
      <c r="AS61" s="462">
        <f>+AS60</f>
        <v>8554520.6190476213</v>
      </c>
      <c r="AT61" s="459">
        <f>+AT60</f>
        <v>301924.25714285712</v>
      </c>
      <c r="AU61" s="459">
        <f t="shared" si="13"/>
        <v>8252596.3619047645</v>
      </c>
      <c r="AV61" s="787">
        <f>+AS$30*AU61+AT61</f>
        <v>1190908.5015328922</v>
      </c>
      <c r="AW61" s="462">
        <f>+AW60</f>
        <v>5754789.146333334</v>
      </c>
      <c r="AX61" s="459">
        <f>+AX60</f>
        <v>207049.8</v>
      </c>
      <c r="AY61" s="459">
        <f t="shared" si="14"/>
        <v>5547739.3463333342</v>
      </c>
      <c r="AZ61" s="787">
        <f>+AW$30*AY61+AX61</f>
        <v>804662.07310706563</v>
      </c>
      <c r="BA61" s="811">
        <f t="shared" si="15"/>
        <v>9910163.2875545807</v>
      </c>
      <c r="BB61" s="461">
        <f>+BA61</f>
        <v>9910163.2875545807</v>
      </c>
      <c r="BC61" s="417"/>
      <c r="BQ61" s="667"/>
      <c r="BR61" s="667"/>
      <c r="BS61" s="667"/>
      <c r="BT61" s="667"/>
      <c r="BU61" s="667"/>
    </row>
    <row r="62" spans="1:73">
      <c r="A62">
        <f t="shared" si="0"/>
        <v>47</v>
      </c>
      <c r="C62" s="419" t="str">
        <f t="shared" si="2"/>
        <v>Base FCR</v>
      </c>
      <c r="D62" s="458">
        <f t="shared" si="1"/>
        <v>2021</v>
      </c>
      <c r="E62" s="459">
        <f>+G61</f>
        <v>9862682.1000000034</v>
      </c>
      <c r="F62" s="459">
        <f>+E$32</f>
        <v>419688.6</v>
      </c>
      <c r="G62" s="459">
        <f t="shared" si="3"/>
        <v>9442993.5000000037</v>
      </c>
      <c r="H62" s="885">
        <f>+E$29*G62+F62</f>
        <v>1436904.5249334665</v>
      </c>
      <c r="I62" s="459">
        <f>+K61</f>
        <v>2080826.9714285717</v>
      </c>
      <c r="J62" s="459">
        <f>+I$32</f>
        <v>88545.828571428574</v>
      </c>
      <c r="K62" s="459">
        <f t="shared" si="4"/>
        <v>1992281.1428571432</v>
      </c>
      <c r="L62" s="787">
        <f>+I$29*K62+J62</f>
        <v>303157.86928276997</v>
      </c>
      <c r="M62" s="462">
        <f>+O61</f>
        <v>1623995.7</v>
      </c>
      <c r="N62" s="459">
        <f>+M$32</f>
        <v>69106.2</v>
      </c>
      <c r="O62" s="459">
        <f t="shared" si="5"/>
        <v>1554889.5</v>
      </c>
      <c r="P62" s="787">
        <f>+M$29*O62+N62</f>
        <v>236601.64102850802</v>
      </c>
      <c r="Q62" s="462">
        <f>+S61</f>
        <v>4490306.1000000015</v>
      </c>
      <c r="R62" s="459">
        <f>+Q$32</f>
        <v>183277.8</v>
      </c>
      <c r="S62" s="459">
        <f t="shared" si="6"/>
        <v>4307028.3000000017</v>
      </c>
      <c r="T62" s="787">
        <f>+Q$29*S62+R62</f>
        <v>647238.4895736099</v>
      </c>
      <c r="U62" s="462">
        <f>+W61</f>
        <v>5985398.5714285746</v>
      </c>
      <c r="V62" s="459">
        <f>+U$32</f>
        <v>239415.94285714286</v>
      </c>
      <c r="W62" s="459">
        <f t="shared" si="7"/>
        <v>5745982.6285714321</v>
      </c>
      <c r="X62" s="787">
        <f>+U$29*W62+V62</f>
        <v>858383.33218912943</v>
      </c>
      <c r="Y62" s="462">
        <f>+AA61</f>
        <v>10256774.785714278</v>
      </c>
      <c r="Z62" s="459">
        <f>+Y$32</f>
        <v>414415.14285714284</v>
      </c>
      <c r="AA62" s="459">
        <f t="shared" si="8"/>
        <v>9842359.6428571343</v>
      </c>
      <c r="AB62" s="787">
        <f>+Y$29*AA62+Z62</f>
        <v>1474651.4935055617</v>
      </c>
      <c r="AC62" s="462">
        <f>+AE61</f>
        <v>4899652.9999999963</v>
      </c>
      <c r="AD62" s="459">
        <f>+AC$32</f>
        <v>190895.57142857142</v>
      </c>
      <c r="AE62" s="459">
        <f t="shared" si="9"/>
        <v>4708757.4285714244</v>
      </c>
      <c r="AF62" s="787">
        <f>+AC$29*AE62+AD62</f>
        <v>698131.23170850403</v>
      </c>
      <c r="AG62" s="462">
        <f>+AI61</f>
        <v>164801.22857142868</v>
      </c>
      <c r="AH62" s="459">
        <f>+AG$32</f>
        <v>6218.9142857142861</v>
      </c>
      <c r="AI62" s="459">
        <f t="shared" si="10"/>
        <v>158582.31428571441</v>
      </c>
      <c r="AJ62" s="787">
        <f>+AG$29*AI62+AH62</f>
        <v>23301.681048630369</v>
      </c>
      <c r="AK62" s="462">
        <f>+AM61</f>
        <v>3827388.1857142835</v>
      </c>
      <c r="AL62" s="459">
        <f>+AK$32</f>
        <v>144429.74285714285</v>
      </c>
      <c r="AM62" s="459">
        <f t="shared" si="11"/>
        <v>3682958.4428571407</v>
      </c>
      <c r="AN62" s="787">
        <f>+AK$29*AM62+AL62</f>
        <v>541164.52605300595</v>
      </c>
      <c r="AO62" s="462">
        <f>+AQ61</f>
        <v>12630162.599999994</v>
      </c>
      <c r="AP62" s="459">
        <f>+AO$32</f>
        <v>467783.8</v>
      </c>
      <c r="AQ62" s="459">
        <f t="shared" si="12"/>
        <v>12162378.799999993</v>
      </c>
      <c r="AR62" s="787">
        <f>+AO$29*AQ62+AP62</f>
        <v>1777936.7086547792</v>
      </c>
      <c r="AS62" s="462">
        <f>+AU61</f>
        <v>8252596.3619047645</v>
      </c>
      <c r="AT62" s="459">
        <f>+AS$32</f>
        <v>301924.25714285712</v>
      </c>
      <c r="AU62" s="459">
        <f t="shared" si="13"/>
        <v>7950672.1047619078</v>
      </c>
      <c r="AV62" s="787">
        <f>+AS$29*AU62+AT62</f>
        <v>1158384.6877137446</v>
      </c>
      <c r="AW62" s="462">
        <f>+AY61</f>
        <v>5547739.3463333342</v>
      </c>
      <c r="AX62" s="459">
        <f>+AW$32</f>
        <v>207049.8</v>
      </c>
      <c r="AY62" s="459">
        <f t="shared" si="14"/>
        <v>5340689.5463333344</v>
      </c>
      <c r="AZ62" s="787">
        <f>+AW$29*AY62+AX62</f>
        <v>782358.3032469796</v>
      </c>
      <c r="BA62" s="811">
        <f t="shared" si="15"/>
        <v>9155856.1856917106</v>
      </c>
      <c r="BB62" s="295"/>
      <c r="BC62" s="460">
        <f>+BA62</f>
        <v>9155856.1856917106</v>
      </c>
      <c r="BQ62" s="667"/>
      <c r="BR62" s="667"/>
      <c r="BS62" s="667"/>
      <c r="BT62" s="667"/>
      <c r="BU62" s="667"/>
    </row>
    <row r="63" spans="1:73">
      <c r="A63">
        <f t="shared" si="0"/>
        <v>48</v>
      </c>
      <c r="C63" s="419" t="str">
        <f t="shared" si="2"/>
        <v>W Increased ROE</v>
      </c>
      <c r="D63" s="458">
        <f t="shared" si="1"/>
        <v>2021</v>
      </c>
      <c r="E63" s="459">
        <f>+E62</f>
        <v>9862682.1000000034</v>
      </c>
      <c r="F63" s="459">
        <f>+F62</f>
        <v>419688.6</v>
      </c>
      <c r="G63" s="459">
        <f t="shared" si="3"/>
        <v>9442993.5000000037</v>
      </c>
      <c r="H63" s="885">
        <f>+E$30*G63+F63</f>
        <v>1524763.8834948232</v>
      </c>
      <c r="I63" s="459">
        <f>+I62</f>
        <v>2080826.9714285717</v>
      </c>
      <c r="J63" s="459">
        <f>+J62</f>
        <v>88545.828571428574</v>
      </c>
      <c r="K63" s="459">
        <f t="shared" si="4"/>
        <v>1992281.1428571432</v>
      </c>
      <c r="L63" s="787">
        <f>+I$30*K63+J63</f>
        <v>321694.42162555351</v>
      </c>
      <c r="M63" s="462">
        <f>+M62</f>
        <v>1623995.7</v>
      </c>
      <c r="N63" s="459">
        <f>+N62</f>
        <v>69106.2</v>
      </c>
      <c r="O63" s="459">
        <f t="shared" si="5"/>
        <v>1554889.5</v>
      </c>
      <c r="P63" s="787">
        <f>+M$30*O63+N63</f>
        <v>251068.62060482445</v>
      </c>
      <c r="Q63" s="462">
        <f>+Q62</f>
        <v>4490306.1000000015</v>
      </c>
      <c r="R63" s="459">
        <f>+R62</f>
        <v>183277.8</v>
      </c>
      <c r="S63" s="459">
        <f t="shared" si="6"/>
        <v>4307028.3000000017</v>
      </c>
      <c r="T63" s="787">
        <f>+Q$30*S63+R63</f>
        <v>687311.87771515758</v>
      </c>
      <c r="U63" s="462">
        <f>+U62</f>
        <v>5985398.5714285746</v>
      </c>
      <c r="V63" s="459">
        <f>+V62</f>
        <v>239415.94285714286</v>
      </c>
      <c r="W63" s="459">
        <f t="shared" si="7"/>
        <v>5745982.6285714321</v>
      </c>
      <c r="X63" s="787">
        <f>+U$30*W63+V63</f>
        <v>911845.01762298949</v>
      </c>
      <c r="Y63" s="462">
        <f>+Y62</f>
        <v>10256774.785714278</v>
      </c>
      <c r="Z63" s="459">
        <f>+Z62</f>
        <v>414415.14285714284</v>
      </c>
      <c r="AA63" s="459">
        <f t="shared" si="8"/>
        <v>9842359.6428571343</v>
      </c>
      <c r="AB63" s="787">
        <f>+Y$30*AA63+Z63</f>
        <v>1566226.6285463315</v>
      </c>
      <c r="AC63" s="462">
        <f>+AC62</f>
        <v>4899652.9999999963</v>
      </c>
      <c r="AD63" s="459">
        <f>+AD62</f>
        <v>190895.57142857142</v>
      </c>
      <c r="AE63" s="459">
        <f t="shared" si="9"/>
        <v>4708757.4285714244</v>
      </c>
      <c r="AF63" s="787">
        <f>+AC$30*AE63+AD63</f>
        <v>741942.38198572374</v>
      </c>
      <c r="AG63" s="462">
        <f>+AG62</f>
        <v>164801.22857142868</v>
      </c>
      <c r="AH63" s="459">
        <f>+AH62</f>
        <v>6218.9142857142861</v>
      </c>
      <c r="AI63" s="459">
        <f t="shared" si="10"/>
        <v>158582.31428571441</v>
      </c>
      <c r="AJ63" s="787">
        <f>+AG$30*AI63+AH63</f>
        <v>23301.681048630369</v>
      </c>
      <c r="AK63" s="462">
        <f>+AK62</f>
        <v>3827388.1857142835</v>
      </c>
      <c r="AL63" s="459">
        <f>+AL62</f>
        <v>144429.74285714285</v>
      </c>
      <c r="AM63" s="459">
        <f t="shared" si="11"/>
        <v>3682958.4428571407</v>
      </c>
      <c r="AN63" s="787">
        <f>+AK$30*AM63+AL63</f>
        <v>541164.52605300595</v>
      </c>
      <c r="AO63" s="462">
        <f>+AO62</f>
        <v>12630162.599999994</v>
      </c>
      <c r="AP63" s="459">
        <f>+AP62</f>
        <v>467783.8</v>
      </c>
      <c r="AQ63" s="459">
        <f t="shared" si="12"/>
        <v>12162378.799999993</v>
      </c>
      <c r="AR63" s="787">
        <f>+AO$30*AQ63+AP63</f>
        <v>1891097.7311576798</v>
      </c>
      <c r="AS63" s="462">
        <f>+AS62</f>
        <v>8252596.3619047645</v>
      </c>
      <c r="AT63" s="459">
        <f>+AT62</f>
        <v>301924.25714285712</v>
      </c>
      <c r="AU63" s="459">
        <f t="shared" si="13"/>
        <v>7950672.1047619078</v>
      </c>
      <c r="AV63" s="787">
        <f>+AS$30*AU63+AT63</f>
        <v>1158384.6877137446</v>
      </c>
      <c r="AW63" s="462">
        <f>+AW62</f>
        <v>5547739.3463333342</v>
      </c>
      <c r="AX63" s="459">
        <f>+AX62</f>
        <v>207049.8</v>
      </c>
      <c r="AY63" s="459">
        <f t="shared" si="14"/>
        <v>5340689.5463333344</v>
      </c>
      <c r="AZ63" s="787">
        <f>+AW$30*AY63+AX63</f>
        <v>782358.3032469796</v>
      </c>
      <c r="BA63" s="811">
        <f t="shared" si="15"/>
        <v>9618801.4575684648</v>
      </c>
      <c r="BB63" s="461">
        <f>+BA63</f>
        <v>9618801.4575684648</v>
      </c>
      <c r="BC63" s="417"/>
      <c r="BQ63" s="667"/>
      <c r="BR63" s="667"/>
      <c r="BS63" s="667"/>
      <c r="BT63" s="667"/>
      <c r="BU63" s="667"/>
    </row>
    <row r="64" spans="1:73">
      <c r="A64">
        <f t="shared" si="0"/>
        <v>49</v>
      </c>
      <c r="C64" s="419" t="str">
        <f t="shared" si="2"/>
        <v>Base FCR</v>
      </c>
      <c r="D64" s="458">
        <f t="shared" si="1"/>
        <v>2022</v>
      </c>
      <c r="E64" s="459">
        <f>+G63</f>
        <v>9442993.5000000037</v>
      </c>
      <c r="F64" s="459">
        <f>+E$32</f>
        <v>419688.6</v>
      </c>
      <c r="G64" s="459">
        <f t="shared" si="3"/>
        <v>9023304.9000000041</v>
      </c>
      <c r="H64" s="885">
        <f>+E$29*G64+F64</f>
        <v>1391694.928269757</v>
      </c>
      <c r="I64" s="459">
        <f>+K63</f>
        <v>1992281.1428571432</v>
      </c>
      <c r="J64" s="459">
        <f>+I$32</f>
        <v>88545.828571428574</v>
      </c>
      <c r="K64" s="459">
        <f t="shared" si="4"/>
        <v>1903735.3142857146</v>
      </c>
      <c r="L64" s="787">
        <f>+I$29*K64+J64</f>
        <v>293619.55636226584</v>
      </c>
      <c r="M64" s="462">
        <f>+O63</f>
        <v>1554889.5</v>
      </c>
      <c r="N64" s="459">
        <f>+M$32</f>
        <v>69106.2</v>
      </c>
      <c r="O64" s="459">
        <f t="shared" si="5"/>
        <v>1485783.3</v>
      </c>
      <c r="P64" s="787">
        <f>+M$29*O64+N64</f>
        <v>229157.39920501877</v>
      </c>
      <c r="Q64" s="462">
        <f>+S63</f>
        <v>4307028.3000000017</v>
      </c>
      <c r="R64" s="459">
        <f>+Q$32</f>
        <v>183277.8</v>
      </c>
      <c r="S64" s="459">
        <f t="shared" si="6"/>
        <v>4123750.5000000019</v>
      </c>
      <c r="T64" s="787">
        <f>+Q$29*S64+R64</f>
        <v>627495.48150664777</v>
      </c>
      <c r="U64" s="462">
        <f>+W63</f>
        <v>5745982.6285714321</v>
      </c>
      <c r="V64" s="459">
        <f>+U$32</f>
        <v>239415.94285714286</v>
      </c>
      <c r="W64" s="459">
        <f t="shared" si="7"/>
        <v>5506566.6857142895</v>
      </c>
      <c r="X64" s="787">
        <f>+U$29*W64+V64</f>
        <v>832593.02430029667</v>
      </c>
      <c r="Y64" s="462">
        <f>+AA63</f>
        <v>9842359.6428571343</v>
      </c>
      <c r="Z64" s="459">
        <f>+Y$32</f>
        <v>414415.14285714284</v>
      </c>
      <c r="AA64" s="459">
        <f t="shared" si="8"/>
        <v>9427944.4999999907</v>
      </c>
      <c r="AB64" s="787">
        <f>+Y$29*AA64+Z64</f>
        <v>1430009.9629519437</v>
      </c>
      <c r="AC64" s="462">
        <f>+AE63</f>
        <v>4708757.4285714244</v>
      </c>
      <c r="AD64" s="459">
        <f>+AC$32</f>
        <v>190895.57142857142</v>
      </c>
      <c r="AE64" s="459">
        <f t="shared" si="9"/>
        <v>4517861.8571428526</v>
      </c>
      <c r="AF64" s="787">
        <f>+AC$29*AE64+AD64</f>
        <v>677567.62385931751</v>
      </c>
      <c r="AG64" s="462">
        <f>+AI63</f>
        <v>158582.31428571441</v>
      </c>
      <c r="AH64" s="459">
        <f>+AG$32</f>
        <v>6218.9142857142861</v>
      </c>
      <c r="AI64" s="459">
        <f t="shared" si="10"/>
        <v>152363.40000000014</v>
      </c>
      <c r="AJ64" s="787">
        <f>+AG$29*AI64+AH64</f>
        <v>22631.768626555229</v>
      </c>
      <c r="AK64" s="462">
        <f>+AM63</f>
        <v>3682958.4428571407</v>
      </c>
      <c r="AL64" s="459">
        <f>+AK$32</f>
        <v>144429.74285714285</v>
      </c>
      <c r="AM64" s="459">
        <f t="shared" si="11"/>
        <v>3538528.6999999979</v>
      </c>
      <c r="AN64" s="787">
        <f>+AK$29*AM64+AL64</f>
        <v>525606.2992610113</v>
      </c>
      <c r="AO64" s="462">
        <f>+AQ63</f>
        <v>12162378.799999993</v>
      </c>
      <c r="AP64" s="459">
        <f>+AO$32</f>
        <v>467783.8</v>
      </c>
      <c r="AQ64" s="459">
        <f t="shared" si="12"/>
        <v>11694594.999999993</v>
      </c>
      <c r="AR64" s="787">
        <f>+AO$29*AQ64+AP64</f>
        <v>1727546.2121680568</v>
      </c>
      <c r="AS64" s="462">
        <f>+AU63</f>
        <v>7950672.1047619078</v>
      </c>
      <c r="AT64" s="459">
        <f>+AS$32</f>
        <v>301924.25714285712</v>
      </c>
      <c r="AU64" s="459">
        <f t="shared" si="13"/>
        <v>7648747.8476190511</v>
      </c>
      <c r="AV64" s="787">
        <f>+AS$29*AU64+AT64</f>
        <v>1125860.8738945972</v>
      </c>
      <c r="AW64" s="462">
        <f>+AY63</f>
        <v>5340689.5463333344</v>
      </c>
      <c r="AX64" s="459">
        <f>+AW$32</f>
        <v>207049.8</v>
      </c>
      <c r="AY64" s="459">
        <f t="shared" si="14"/>
        <v>5133639.7463333346</v>
      </c>
      <c r="AZ64" s="787">
        <f>+AW$29*AY64+AX64</f>
        <v>760054.53338689334</v>
      </c>
      <c r="BA64" s="811">
        <f t="shared" si="15"/>
        <v>8883783.130405467</v>
      </c>
      <c r="BB64" s="295"/>
      <c r="BC64" s="460">
        <f>+BA64</f>
        <v>8883783.130405467</v>
      </c>
      <c r="BQ64" s="667"/>
      <c r="BR64" s="667"/>
      <c r="BS64" s="667"/>
      <c r="BT64" s="667"/>
      <c r="BU64" s="667"/>
    </row>
    <row r="65" spans="1:73">
      <c r="A65">
        <f t="shared" si="0"/>
        <v>50</v>
      </c>
      <c r="C65" s="419" t="str">
        <f t="shared" si="2"/>
        <v>W Increased ROE</v>
      </c>
      <c r="D65" s="458">
        <f t="shared" si="1"/>
        <v>2022</v>
      </c>
      <c r="E65" s="459">
        <f>+E64</f>
        <v>9442993.5000000037</v>
      </c>
      <c r="F65" s="459">
        <f>+F64</f>
        <v>419688.6</v>
      </c>
      <c r="G65" s="459">
        <f t="shared" si="3"/>
        <v>9023304.9000000041</v>
      </c>
      <c r="H65" s="885">
        <f>+E$30*G65+F65</f>
        <v>1475649.4264506092</v>
      </c>
      <c r="I65" s="459">
        <f>+I64</f>
        <v>1992281.1428571432</v>
      </c>
      <c r="J65" s="459">
        <f>+J64</f>
        <v>88545.828571428574</v>
      </c>
      <c r="K65" s="459">
        <f t="shared" si="4"/>
        <v>1903735.3142857146</v>
      </c>
      <c r="L65" s="787">
        <f>+I$30*K65+J65</f>
        <v>311332.26193425909</v>
      </c>
      <c r="M65" s="462">
        <f>+M64</f>
        <v>1554889.5</v>
      </c>
      <c r="N65" s="459">
        <f>+N64</f>
        <v>69106.2</v>
      </c>
      <c r="O65" s="459">
        <f t="shared" si="5"/>
        <v>1485783.3</v>
      </c>
      <c r="P65" s="787">
        <f>+M$30*O65+N65</f>
        <v>242981.40191127674</v>
      </c>
      <c r="Q65" s="462">
        <f>+Q64</f>
        <v>4307028.3000000017</v>
      </c>
      <c r="R65" s="459">
        <f>+R64</f>
        <v>183277.8</v>
      </c>
      <c r="S65" s="459">
        <f t="shared" si="6"/>
        <v>4123750.5000000019</v>
      </c>
      <c r="T65" s="787">
        <f>+Q$30*S65+R65</f>
        <v>665863.6190889806</v>
      </c>
      <c r="U65" s="462">
        <f>+U64</f>
        <v>5745982.6285714321</v>
      </c>
      <c r="V65" s="459">
        <f>+V64</f>
        <v>239415.94285714286</v>
      </c>
      <c r="W65" s="459">
        <f t="shared" si="7"/>
        <v>5506566.6857142895</v>
      </c>
      <c r="X65" s="787">
        <f>+U$30*W65+V65</f>
        <v>883827.13950774586</v>
      </c>
      <c r="Y65" s="462">
        <f>+Y64</f>
        <v>9842359.6428571343</v>
      </c>
      <c r="Z65" s="459">
        <f>+Z64</f>
        <v>414415.14285714284</v>
      </c>
      <c r="AA65" s="459">
        <f t="shared" si="8"/>
        <v>9427944.4999999907</v>
      </c>
      <c r="AB65" s="787">
        <f>+Y$30*AA65+Z65</f>
        <v>1517729.3028331026</v>
      </c>
      <c r="AC65" s="462">
        <f>+AC64</f>
        <v>4708757.4285714244</v>
      </c>
      <c r="AD65" s="459">
        <f>+AD64</f>
        <v>190895.57142857142</v>
      </c>
      <c r="AE65" s="459">
        <f t="shared" si="9"/>
        <v>4517861.8571428526</v>
      </c>
      <c r="AF65" s="787">
        <f>+AC$30*AE65+AD65</f>
        <v>719602.64642259595</v>
      </c>
      <c r="AG65" s="462">
        <f>+AG64</f>
        <v>158582.31428571441</v>
      </c>
      <c r="AH65" s="459">
        <f>+AH64</f>
        <v>6218.9142857142861</v>
      </c>
      <c r="AI65" s="459">
        <f t="shared" si="10"/>
        <v>152363.40000000014</v>
      </c>
      <c r="AJ65" s="787">
        <f>+AG$30*AI65+AH65</f>
        <v>22631.768626555229</v>
      </c>
      <c r="AK65" s="462">
        <f>+AK64</f>
        <v>3682958.4428571407</v>
      </c>
      <c r="AL65" s="459">
        <f>+AL64</f>
        <v>144429.74285714285</v>
      </c>
      <c r="AM65" s="459">
        <f t="shared" si="11"/>
        <v>3538528.6999999979</v>
      </c>
      <c r="AN65" s="787">
        <f>+AK$30*AM65+AL65</f>
        <v>525606.2992610113</v>
      </c>
      <c r="AO65" s="462">
        <f>+AO64</f>
        <v>12162378.799999993</v>
      </c>
      <c r="AP65" s="459">
        <f>+AP64</f>
        <v>467783.8</v>
      </c>
      <c r="AQ65" s="459">
        <f t="shared" si="12"/>
        <v>11694594.999999993</v>
      </c>
      <c r="AR65" s="787">
        <f>+AO$30*AQ65+AP65</f>
        <v>1836354.8876516151</v>
      </c>
      <c r="AS65" s="462">
        <f>+AS64</f>
        <v>7950672.1047619078</v>
      </c>
      <c r="AT65" s="459">
        <f>+AT64</f>
        <v>301924.25714285712</v>
      </c>
      <c r="AU65" s="459">
        <f t="shared" si="13"/>
        <v>7648747.8476190511</v>
      </c>
      <c r="AV65" s="787">
        <f>+AS$30*AU65+AT65</f>
        <v>1125860.8738945972</v>
      </c>
      <c r="AW65" s="462">
        <f>+AW64</f>
        <v>5340689.5463333344</v>
      </c>
      <c r="AX65" s="459">
        <f>+AX64</f>
        <v>207049.8</v>
      </c>
      <c r="AY65" s="459">
        <f t="shared" si="14"/>
        <v>5133639.7463333346</v>
      </c>
      <c r="AZ65" s="787">
        <f>+AW$30*AY65+AX65</f>
        <v>760054.53338689334</v>
      </c>
      <c r="BA65" s="811">
        <f t="shared" si="15"/>
        <v>9327439.627582347</v>
      </c>
      <c r="BB65" s="461">
        <f>+BA65</f>
        <v>9327439.627582347</v>
      </c>
      <c r="BC65" s="417"/>
      <c r="BQ65" s="667"/>
      <c r="BR65" s="667"/>
      <c r="BS65" s="667"/>
      <c r="BT65" s="667"/>
      <c r="BU65" s="667"/>
    </row>
    <row r="66" spans="1:73">
      <c r="A66">
        <f t="shared" si="0"/>
        <v>51</v>
      </c>
      <c r="C66" s="419" t="str">
        <f t="shared" si="2"/>
        <v>Base FCR</v>
      </c>
      <c r="D66" s="458">
        <f t="shared" si="1"/>
        <v>2023</v>
      </c>
      <c r="E66" s="459">
        <f>+G65</f>
        <v>9023304.9000000041</v>
      </c>
      <c r="F66" s="459">
        <f>+E$32</f>
        <v>419688.6</v>
      </c>
      <c r="G66" s="459">
        <f t="shared" si="3"/>
        <v>8603616.3000000045</v>
      </c>
      <c r="H66" s="885">
        <f>+E$29*G66+F66</f>
        <v>1346485.3316060472</v>
      </c>
      <c r="I66" s="459">
        <f>+K65</f>
        <v>1903735.3142857146</v>
      </c>
      <c r="J66" s="459">
        <f>+I$32</f>
        <v>88545.828571428574</v>
      </c>
      <c r="K66" s="459">
        <f t="shared" si="4"/>
        <v>1815189.4857142861</v>
      </c>
      <c r="L66" s="787">
        <f>+I$29*K66+J66</f>
        <v>284081.24344176182</v>
      </c>
      <c r="M66" s="462">
        <f>+O65</f>
        <v>1485783.3</v>
      </c>
      <c r="N66" s="459">
        <f>+M$32</f>
        <v>69106.2</v>
      </c>
      <c r="O66" s="459">
        <f t="shared" si="5"/>
        <v>1416677.1</v>
      </c>
      <c r="P66" s="787">
        <f>+M$29*O66+N66</f>
        <v>221713.15738152957</v>
      </c>
      <c r="Q66" s="462">
        <f>+S65</f>
        <v>4123750.5000000019</v>
      </c>
      <c r="R66" s="459">
        <f>+Q$32</f>
        <v>183277.8</v>
      </c>
      <c r="S66" s="459">
        <f t="shared" si="6"/>
        <v>3940472.700000002</v>
      </c>
      <c r="T66" s="787">
        <f>+Q$29*S66+R66</f>
        <v>607752.47343968577</v>
      </c>
      <c r="U66" s="462">
        <f>+W65</f>
        <v>5506566.6857142895</v>
      </c>
      <c r="V66" s="459">
        <f>+U$32</f>
        <v>239415.94285714286</v>
      </c>
      <c r="W66" s="459">
        <f t="shared" si="7"/>
        <v>5267150.742857147</v>
      </c>
      <c r="X66" s="787">
        <f>+U$29*W66+V66</f>
        <v>806802.71641146403</v>
      </c>
      <c r="Y66" s="462">
        <f>+AA65</f>
        <v>9427944.4999999907</v>
      </c>
      <c r="Z66" s="459">
        <f>+Y$32</f>
        <v>414415.14285714284</v>
      </c>
      <c r="AA66" s="459">
        <f t="shared" si="8"/>
        <v>9013529.357142847</v>
      </c>
      <c r="AB66" s="787">
        <f>+Y$29*AA66+Z66</f>
        <v>1385368.4323983262</v>
      </c>
      <c r="AC66" s="462">
        <f>+AE65</f>
        <v>4517861.8571428526</v>
      </c>
      <c r="AD66" s="459">
        <f>+AC$32</f>
        <v>190895.57142857142</v>
      </c>
      <c r="AE66" s="459">
        <f t="shared" si="9"/>
        <v>4326966.2857142808</v>
      </c>
      <c r="AF66" s="787">
        <f>+AC$29*AE66+AD66</f>
        <v>657004.01601013099</v>
      </c>
      <c r="AG66" s="462">
        <f>+AI65</f>
        <v>152363.40000000014</v>
      </c>
      <c r="AH66" s="459">
        <f>+AG$32</f>
        <v>6218.9142857142861</v>
      </c>
      <c r="AI66" s="459">
        <f t="shared" si="10"/>
        <v>146144.48571428587</v>
      </c>
      <c r="AJ66" s="787">
        <f>+AG$29*AI66+AH66</f>
        <v>21961.856204480093</v>
      </c>
      <c r="AK66" s="462">
        <f>+AM65</f>
        <v>3538528.6999999979</v>
      </c>
      <c r="AL66" s="459">
        <f>+AK$32</f>
        <v>144429.74285714285</v>
      </c>
      <c r="AM66" s="459">
        <f t="shared" si="11"/>
        <v>3394098.957142855</v>
      </c>
      <c r="AN66" s="787">
        <f>+AK$29*AM66+AL66</f>
        <v>510048.07246901665</v>
      </c>
      <c r="AO66" s="462">
        <f>+AQ65</f>
        <v>11694594.999999993</v>
      </c>
      <c r="AP66" s="459">
        <f>+AO$32</f>
        <v>467783.8</v>
      </c>
      <c r="AQ66" s="459">
        <f t="shared" si="12"/>
        <v>11226811.199999992</v>
      </c>
      <c r="AR66" s="787">
        <f>+AO$29*AQ66+AP66</f>
        <v>1677155.7156813345</v>
      </c>
      <c r="AS66" s="462">
        <f>+AU65</f>
        <v>7648747.8476190511</v>
      </c>
      <c r="AT66" s="459">
        <f>+AS$32</f>
        <v>301924.25714285712</v>
      </c>
      <c r="AU66" s="459">
        <f t="shared" si="13"/>
        <v>7346823.5904761944</v>
      </c>
      <c r="AV66" s="787">
        <f>+AS$29*AU66+AT66</f>
        <v>1093337.0600754495</v>
      </c>
      <c r="AW66" s="462">
        <f>+AY65</f>
        <v>5133639.7463333346</v>
      </c>
      <c r="AX66" s="459">
        <f>+AW$32</f>
        <v>207049.8</v>
      </c>
      <c r="AY66" s="459">
        <f t="shared" si="14"/>
        <v>4926589.9463333348</v>
      </c>
      <c r="AZ66" s="787">
        <f>+AW$29*AY66+AX66</f>
        <v>737750.76352680731</v>
      </c>
      <c r="BA66" s="811">
        <f t="shared" si="15"/>
        <v>8611710.0751192253</v>
      </c>
      <c r="BB66" s="295"/>
      <c r="BC66" s="460">
        <f>+BA66</f>
        <v>8611710.0751192253</v>
      </c>
      <c r="BQ66" s="667"/>
      <c r="BR66" s="667"/>
      <c r="BS66" s="667"/>
      <c r="BT66" s="667"/>
      <c r="BU66" s="667"/>
    </row>
    <row r="67" spans="1:73">
      <c r="A67">
        <f t="shared" si="0"/>
        <v>52</v>
      </c>
      <c r="C67" s="419" t="str">
        <f t="shared" si="2"/>
        <v>W Increased ROE</v>
      </c>
      <c r="D67" s="458">
        <f t="shared" si="1"/>
        <v>2023</v>
      </c>
      <c r="E67" s="459">
        <f>+E66</f>
        <v>9023304.9000000041</v>
      </c>
      <c r="F67" s="459">
        <f>+F66</f>
        <v>419688.6</v>
      </c>
      <c r="G67" s="459">
        <f t="shared" si="3"/>
        <v>8603616.3000000045</v>
      </c>
      <c r="H67" s="885">
        <f>+E$30*G67+F67</f>
        <v>1426534.9694063948</v>
      </c>
      <c r="I67" s="459">
        <f>+I66</f>
        <v>1903735.3142857146</v>
      </c>
      <c r="J67" s="459">
        <f>+J66</f>
        <v>88545.828571428574</v>
      </c>
      <c r="K67" s="459">
        <f t="shared" si="4"/>
        <v>1815189.4857142861</v>
      </c>
      <c r="L67" s="787">
        <f>+I$30*K67+J67</f>
        <v>300970.10224296467</v>
      </c>
      <c r="M67" s="462">
        <f>+M66</f>
        <v>1485783.3</v>
      </c>
      <c r="N67" s="459">
        <f>+N66</f>
        <v>69106.2</v>
      </c>
      <c r="O67" s="459">
        <f t="shared" si="5"/>
        <v>1416677.1</v>
      </c>
      <c r="P67" s="787">
        <f>+M$30*O67+N67</f>
        <v>234894.18321772898</v>
      </c>
      <c r="Q67" s="462">
        <f>+Q66</f>
        <v>4123750.5000000019</v>
      </c>
      <c r="R67" s="459">
        <f>+R66</f>
        <v>183277.8</v>
      </c>
      <c r="S67" s="459">
        <f t="shared" si="6"/>
        <v>3940472.700000002</v>
      </c>
      <c r="T67" s="787">
        <f>+Q$30*S67+R67</f>
        <v>644415.36046280374</v>
      </c>
      <c r="U67" s="462">
        <f>+U66</f>
        <v>5506566.6857142895</v>
      </c>
      <c r="V67" s="459">
        <f>+V66</f>
        <v>239415.94285714286</v>
      </c>
      <c r="W67" s="459">
        <f t="shared" si="7"/>
        <v>5267150.742857147</v>
      </c>
      <c r="X67" s="787">
        <f>+U$30*W67+V67</f>
        <v>855809.26139250235</v>
      </c>
      <c r="Y67" s="462">
        <f>+Y66</f>
        <v>9427944.4999999907</v>
      </c>
      <c r="Z67" s="459">
        <f>+Z66</f>
        <v>414415.14285714284</v>
      </c>
      <c r="AA67" s="459">
        <f t="shared" si="8"/>
        <v>9013529.357142847</v>
      </c>
      <c r="AB67" s="787">
        <f>+Y$30*AA67+Z67</f>
        <v>1469231.9771198733</v>
      </c>
      <c r="AC67" s="462">
        <f>+AC66</f>
        <v>4517861.8571428526</v>
      </c>
      <c r="AD67" s="459">
        <f>+AD66</f>
        <v>190895.57142857142</v>
      </c>
      <c r="AE67" s="459">
        <f t="shared" si="9"/>
        <v>4326966.2857142808</v>
      </c>
      <c r="AF67" s="787">
        <f>+AC$30*AE67+AD67</f>
        <v>697262.91085946793</v>
      </c>
      <c r="AG67" s="462">
        <f>+AG66</f>
        <v>152363.40000000014</v>
      </c>
      <c r="AH67" s="459">
        <f>+AH66</f>
        <v>6218.9142857142861</v>
      </c>
      <c r="AI67" s="459">
        <f t="shared" si="10"/>
        <v>146144.48571428587</v>
      </c>
      <c r="AJ67" s="787">
        <f>+AG$30*AI67+AH67</f>
        <v>21961.856204480093</v>
      </c>
      <c r="AK67" s="462">
        <f>+AK66</f>
        <v>3538528.6999999979</v>
      </c>
      <c r="AL67" s="459">
        <f>+AL66</f>
        <v>144429.74285714285</v>
      </c>
      <c r="AM67" s="459">
        <f t="shared" si="11"/>
        <v>3394098.957142855</v>
      </c>
      <c r="AN67" s="787">
        <f>+AK$30*AM67+AL67</f>
        <v>510048.07246901665</v>
      </c>
      <c r="AO67" s="462">
        <f>+AO66</f>
        <v>11694594.999999993</v>
      </c>
      <c r="AP67" s="459">
        <f>+AP66</f>
        <v>467783.8</v>
      </c>
      <c r="AQ67" s="459">
        <f t="shared" si="12"/>
        <v>11226811.199999992</v>
      </c>
      <c r="AR67" s="787">
        <f>+AO$30*AQ67+AP67</f>
        <v>1781612.0441455503</v>
      </c>
      <c r="AS67" s="462">
        <f>+AS66</f>
        <v>7648747.8476190511</v>
      </c>
      <c r="AT67" s="459">
        <f>+AT66</f>
        <v>301924.25714285712</v>
      </c>
      <c r="AU67" s="459">
        <f t="shared" si="13"/>
        <v>7346823.5904761944</v>
      </c>
      <c r="AV67" s="787">
        <f>+AS$30*AU67+AT67</f>
        <v>1093337.0600754495</v>
      </c>
      <c r="AW67" s="462">
        <f>+AW66</f>
        <v>5133639.7463333346</v>
      </c>
      <c r="AX67" s="459">
        <f>+AX66</f>
        <v>207049.8</v>
      </c>
      <c r="AY67" s="459">
        <f t="shared" si="14"/>
        <v>4926589.9463333348</v>
      </c>
      <c r="AZ67" s="787">
        <f>+AW$30*AY67+AX67</f>
        <v>737750.76352680731</v>
      </c>
      <c r="BA67" s="811">
        <f t="shared" si="15"/>
        <v>9036077.7975962311</v>
      </c>
      <c r="BB67" s="461">
        <f>+BA67</f>
        <v>9036077.7975962311</v>
      </c>
      <c r="BC67" s="417"/>
      <c r="BQ67" s="667"/>
      <c r="BR67" s="667"/>
      <c r="BS67" s="667"/>
      <c r="BT67" s="667"/>
      <c r="BU67" s="667"/>
    </row>
    <row r="68" spans="1:73">
      <c r="A68">
        <f t="shared" si="0"/>
        <v>53</v>
      </c>
      <c r="C68" s="419" t="str">
        <f t="shared" si="2"/>
        <v>Base FCR</v>
      </c>
      <c r="D68" s="458">
        <f t="shared" si="1"/>
        <v>2024</v>
      </c>
      <c r="E68" s="459">
        <f>+G67</f>
        <v>8603616.3000000045</v>
      </c>
      <c r="F68" s="459">
        <f>+E$32</f>
        <v>419688.6</v>
      </c>
      <c r="G68" s="459">
        <f t="shared" si="3"/>
        <v>8183927.7000000048</v>
      </c>
      <c r="H68" s="885">
        <f>+E$29*G68+F68</f>
        <v>1301275.734942338</v>
      </c>
      <c r="I68" s="459">
        <f>+K67</f>
        <v>1815189.4857142861</v>
      </c>
      <c r="J68" s="459">
        <f>+I$32</f>
        <v>88545.828571428574</v>
      </c>
      <c r="K68" s="459">
        <f t="shared" si="4"/>
        <v>1726643.6571428576</v>
      </c>
      <c r="L68" s="787">
        <f>+I$29*K68+J68</f>
        <v>274542.9305212578</v>
      </c>
      <c r="M68" s="462">
        <f>+O67</f>
        <v>1416677.1</v>
      </c>
      <c r="N68" s="459">
        <f>+M$32</f>
        <v>69106.2</v>
      </c>
      <c r="O68" s="459">
        <f t="shared" si="5"/>
        <v>1347570.9000000001</v>
      </c>
      <c r="P68" s="787">
        <f>+M$29*O68+N68</f>
        <v>214268.91555804032</v>
      </c>
      <c r="Q68" s="462">
        <f>+S67</f>
        <v>3940472.700000002</v>
      </c>
      <c r="R68" s="459">
        <f>+Q$32</f>
        <v>183277.8</v>
      </c>
      <c r="S68" s="459">
        <f t="shared" si="6"/>
        <v>3757194.9000000022</v>
      </c>
      <c r="T68" s="787">
        <f>+Q$29*S68+R68</f>
        <v>588009.46537272353</v>
      </c>
      <c r="U68" s="462">
        <f>+W67</f>
        <v>5267150.742857147</v>
      </c>
      <c r="V68" s="459">
        <f>+U$32</f>
        <v>239415.94285714286</v>
      </c>
      <c r="W68" s="459">
        <f t="shared" si="7"/>
        <v>5027734.8000000045</v>
      </c>
      <c r="X68" s="787">
        <f>+U$29*W68+V68</f>
        <v>781012.40852263127</v>
      </c>
      <c r="Y68" s="462">
        <f>+AA67</f>
        <v>9013529.357142847</v>
      </c>
      <c r="Z68" s="459">
        <f>+Y$32</f>
        <v>414415.14285714284</v>
      </c>
      <c r="AA68" s="459">
        <f t="shared" si="8"/>
        <v>8599114.2142857034</v>
      </c>
      <c r="AB68" s="787">
        <f>+Y$29*AA68+Z68</f>
        <v>1340726.9018447082</v>
      </c>
      <c r="AC68" s="462">
        <f>+AE67</f>
        <v>4326966.2857142808</v>
      </c>
      <c r="AD68" s="459">
        <f>+AC$32</f>
        <v>190895.57142857142</v>
      </c>
      <c r="AE68" s="459">
        <f t="shared" si="9"/>
        <v>4136070.7142857094</v>
      </c>
      <c r="AF68" s="787">
        <f>+AC$29*AE68+AD68</f>
        <v>636440.40816094447</v>
      </c>
      <c r="AG68" s="462">
        <f>+AI67</f>
        <v>146144.48571428587</v>
      </c>
      <c r="AH68" s="459">
        <f>+AG$32</f>
        <v>6218.9142857142861</v>
      </c>
      <c r="AI68" s="459">
        <f t="shared" si="10"/>
        <v>139925.57142857159</v>
      </c>
      <c r="AJ68" s="787">
        <f>+AG$29*AI68+AH68</f>
        <v>21291.943782404953</v>
      </c>
      <c r="AK68" s="462">
        <f>+AM67</f>
        <v>3394098.957142855</v>
      </c>
      <c r="AL68" s="459">
        <f>+AK$32</f>
        <v>144429.74285714285</v>
      </c>
      <c r="AM68" s="459">
        <f t="shared" si="11"/>
        <v>3249669.2142857122</v>
      </c>
      <c r="AN68" s="787">
        <f>+AK$29*AM68+AL68</f>
        <v>494489.84567702201</v>
      </c>
      <c r="AO68" s="462">
        <f>+AQ67</f>
        <v>11226811.199999992</v>
      </c>
      <c r="AP68" s="459">
        <f>+AO$32</f>
        <v>467783.8</v>
      </c>
      <c r="AQ68" s="459">
        <f t="shared" si="12"/>
        <v>10759027.399999991</v>
      </c>
      <c r="AR68" s="787">
        <f>+AO$29*AQ68+AP68</f>
        <v>1626765.219194612</v>
      </c>
      <c r="AS68" s="462">
        <f>+AU67</f>
        <v>7346823.5904761944</v>
      </c>
      <c r="AT68" s="459">
        <f>+AS$32</f>
        <v>301924.25714285712</v>
      </c>
      <c r="AU68" s="459">
        <f t="shared" si="13"/>
        <v>7044899.3333333377</v>
      </c>
      <c r="AV68" s="787">
        <f>+AS$29*AU68+AT68</f>
        <v>1060813.2462563019</v>
      </c>
      <c r="AW68" s="462">
        <f>+AY67</f>
        <v>4926589.9463333348</v>
      </c>
      <c r="AX68" s="459">
        <f>+AW$32</f>
        <v>207049.8</v>
      </c>
      <c r="AY68" s="459">
        <f t="shared" si="14"/>
        <v>4719540.146333335</v>
      </c>
      <c r="AZ68" s="787">
        <f>+AW$29*AY68+AX68</f>
        <v>715446.99366672116</v>
      </c>
      <c r="BA68" s="811">
        <f t="shared" si="15"/>
        <v>8339637.0198329845</v>
      </c>
      <c r="BB68" s="295"/>
      <c r="BC68" s="460">
        <f>+BA68</f>
        <v>8339637.0198329845</v>
      </c>
      <c r="BQ68" s="667"/>
      <c r="BR68" s="667"/>
      <c r="BS68" s="667"/>
      <c r="BT68" s="667"/>
      <c r="BU68" s="667"/>
    </row>
    <row r="69" spans="1:73">
      <c r="A69">
        <f t="shared" si="0"/>
        <v>54</v>
      </c>
      <c r="C69" s="419" t="str">
        <f t="shared" si="2"/>
        <v>W Increased ROE</v>
      </c>
      <c r="D69" s="458">
        <f t="shared" si="1"/>
        <v>2024</v>
      </c>
      <c r="E69" s="459">
        <f>+E68</f>
        <v>8603616.3000000045</v>
      </c>
      <c r="F69" s="459">
        <f>+F68</f>
        <v>419688.6</v>
      </c>
      <c r="G69" s="459">
        <f t="shared" si="3"/>
        <v>8183927.7000000048</v>
      </c>
      <c r="H69" s="885">
        <f>+E$30*G69+F69</f>
        <v>1377420.5123621803</v>
      </c>
      <c r="I69" s="459">
        <f>+I68</f>
        <v>1815189.4857142861</v>
      </c>
      <c r="J69" s="459">
        <f>+J68</f>
        <v>88545.828571428574</v>
      </c>
      <c r="K69" s="459">
        <f t="shared" si="4"/>
        <v>1726643.6571428576</v>
      </c>
      <c r="L69" s="787">
        <f>+I$30*K69+J69</f>
        <v>290607.94255167025</v>
      </c>
      <c r="M69" s="462">
        <f>+M68</f>
        <v>1416677.1</v>
      </c>
      <c r="N69" s="459">
        <f>+N68</f>
        <v>69106.2</v>
      </c>
      <c r="O69" s="459">
        <f t="shared" si="5"/>
        <v>1347570.9000000001</v>
      </c>
      <c r="P69" s="787">
        <f>+M$30*O69+N69</f>
        <v>226806.96452418121</v>
      </c>
      <c r="Q69" s="462">
        <f>+Q68</f>
        <v>3940472.700000002</v>
      </c>
      <c r="R69" s="459">
        <f>+R68</f>
        <v>183277.8</v>
      </c>
      <c r="S69" s="459">
        <f t="shared" si="6"/>
        <v>3757194.9000000022</v>
      </c>
      <c r="T69" s="787">
        <f>+Q$30*S69+R69</f>
        <v>622967.10183662688</v>
      </c>
      <c r="U69" s="462">
        <f>+U68</f>
        <v>5267150.742857147</v>
      </c>
      <c r="V69" s="459">
        <f>+V68</f>
        <v>239415.94285714286</v>
      </c>
      <c r="W69" s="459">
        <f t="shared" si="7"/>
        <v>5027734.8000000045</v>
      </c>
      <c r="X69" s="787">
        <f>+U$30*W69+V69</f>
        <v>827791.38327725884</v>
      </c>
      <c r="Y69" s="462">
        <f>+Y68</f>
        <v>9013529.357142847</v>
      </c>
      <c r="Z69" s="459">
        <f>+Z68</f>
        <v>414415.14285714284</v>
      </c>
      <c r="AA69" s="459">
        <f t="shared" si="8"/>
        <v>8599114.2142857034</v>
      </c>
      <c r="AB69" s="787">
        <f>+Y$30*AA69+Z69</f>
        <v>1420734.6514066441</v>
      </c>
      <c r="AC69" s="462">
        <f>+AC68</f>
        <v>4326966.2857142808</v>
      </c>
      <c r="AD69" s="459">
        <f>+AD68</f>
        <v>190895.57142857142</v>
      </c>
      <c r="AE69" s="459">
        <f t="shared" si="9"/>
        <v>4136070.7142857094</v>
      </c>
      <c r="AF69" s="787">
        <f>+AC$30*AE69+AD69</f>
        <v>674923.17529634014</v>
      </c>
      <c r="AG69" s="462">
        <f>+AG68</f>
        <v>146144.48571428587</v>
      </c>
      <c r="AH69" s="459">
        <f>+AH68</f>
        <v>6218.9142857142861</v>
      </c>
      <c r="AI69" s="459">
        <f t="shared" si="10"/>
        <v>139925.57142857159</v>
      </c>
      <c r="AJ69" s="787">
        <f>+AG$30*AI69+AH69</f>
        <v>21291.943782404953</v>
      </c>
      <c r="AK69" s="462">
        <f>+AK68</f>
        <v>3394098.957142855</v>
      </c>
      <c r="AL69" s="459">
        <f>+AL68</f>
        <v>144429.74285714285</v>
      </c>
      <c r="AM69" s="459">
        <f t="shared" si="11"/>
        <v>3249669.2142857122</v>
      </c>
      <c r="AN69" s="787">
        <f>+AK$30*AM69+AL69</f>
        <v>494489.84567702201</v>
      </c>
      <c r="AO69" s="462">
        <f>+AO68</f>
        <v>11226811.199999992</v>
      </c>
      <c r="AP69" s="459">
        <f>+AP68</f>
        <v>467783.8</v>
      </c>
      <c r="AQ69" s="459">
        <f t="shared" si="12"/>
        <v>10759027.399999991</v>
      </c>
      <c r="AR69" s="787">
        <f>+AO$30*AQ69+AP69</f>
        <v>1726869.2006394856</v>
      </c>
      <c r="AS69" s="462">
        <f>+AS68</f>
        <v>7346823.5904761944</v>
      </c>
      <c r="AT69" s="459">
        <f>+AT68</f>
        <v>301924.25714285712</v>
      </c>
      <c r="AU69" s="459">
        <f t="shared" si="13"/>
        <v>7044899.3333333377</v>
      </c>
      <c r="AV69" s="787">
        <f>+AS$30*AU69+AT69</f>
        <v>1060813.2462563019</v>
      </c>
      <c r="AW69" s="462">
        <f>+AW68</f>
        <v>4926589.9463333348</v>
      </c>
      <c r="AX69" s="459">
        <f>+AX68</f>
        <v>207049.8</v>
      </c>
      <c r="AY69" s="459">
        <f t="shared" si="14"/>
        <v>4719540.146333335</v>
      </c>
      <c r="AZ69" s="787">
        <f>+AW$30*AY69+AX69</f>
        <v>715446.99366672116</v>
      </c>
      <c r="BA69" s="811">
        <f t="shared" si="15"/>
        <v>8744715.9676101152</v>
      </c>
      <c r="BB69" s="461">
        <f>+BA69</f>
        <v>8744715.9676101152</v>
      </c>
      <c r="BC69" s="417"/>
      <c r="BQ69" s="667"/>
      <c r="BR69" s="667"/>
      <c r="BS69" s="667"/>
      <c r="BT69" s="667"/>
      <c r="BU69" s="667"/>
    </row>
    <row r="70" spans="1:73">
      <c r="A70">
        <f t="shared" si="0"/>
        <v>55</v>
      </c>
      <c r="C70" s="419" t="str">
        <f t="shared" si="2"/>
        <v>Base FCR</v>
      </c>
      <c r="D70" s="458">
        <f t="shared" si="1"/>
        <v>2025</v>
      </c>
      <c r="E70" s="459">
        <f>+G69</f>
        <v>8183927.7000000048</v>
      </c>
      <c r="F70" s="459">
        <f>+E$32</f>
        <v>419688.6</v>
      </c>
      <c r="G70" s="459">
        <f t="shared" si="3"/>
        <v>7764239.1000000052</v>
      </c>
      <c r="H70" s="885">
        <f>+E$29*G70+F70</f>
        <v>1256066.1382786282</v>
      </c>
      <c r="I70" s="459">
        <f>+K69</f>
        <v>1726643.6571428576</v>
      </c>
      <c r="J70" s="459">
        <f>+I$32</f>
        <v>88545.828571428574</v>
      </c>
      <c r="K70" s="459">
        <f t="shared" si="4"/>
        <v>1638097.828571429</v>
      </c>
      <c r="L70" s="787">
        <f>+I$29*K70+J70</f>
        <v>265004.61760075367</v>
      </c>
      <c r="M70" s="462">
        <f>+O69</f>
        <v>1347570.9000000001</v>
      </c>
      <c r="N70" s="459">
        <f>+M$32</f>
        <v>69106.2</v>
      </c>
      <c r="O70" s="459">
        <f t="shared" si="5"/>
        <v>1278464.7000000002</v>
      </c>
      <c r="P70" s="787">
        <f>+M$29*O70+N70</f>
        <v>206824.67373455106</v>
      </c>
      <c r="Q70" s="462">
        <f>+S69</f>
        <v>3757194.9000000022</v>
      </c>
      <c r="R70" s="459">
        <f>+Q$32</f>
        <v>183277.8</v>
      </c>
      <c r="S70" s="459">
        <f t="shared" si="6"/>
        <v>3573917.1000000024</v>
      </c>
      <c r="T70" s="787">
        <f>+Q$29*S70+R70</f>
        <v>568266.45730576152</v>
      </c>
      <c r="U70" s="462">
        <f>+W69</f>
        <v>5027734.8000000045</v>
      </c>
      <c r="V70" s="459">
        <f>+U$32</f>
        <v>239415.94285714286</v>
      </c>
      <c r="W70" s="459">
        <f t="shared" si="7"/>
        <v>4788318.8571428619</v>
      </c>
      <c r="X70" s="787">
        <f>+U$29*W70+V70</f>
        <v>755222.10063379852</v>
      </c>
      <c r="Y70" s="462">
        <f>+AA69</f>
        <v>8599114.2142857034</v>
      </c>
      <c r="Z70" s="459">
        <f>+Y$32</f>
        <v>414415.14285714284</v>
      </c>
      <c r="AA70" s="459">
        <f t="shared" si="8"/>
        <v>8184699.0714285607</v>
      </c>
      <c r="AB70" s="787">
        <f>+Y$29*AA70+Z70</f>
        <v>1296085.3712910907</v>
      </c>
      <c r="AC70" s="462">
        <f>+AE69</f>
        <v>4136070.7142857094</v>
      </c>
      <c r="AD70" s="459">
        <f>+AC$32</f>
        <v>190895.57142857142</v>
      </c>
      <c r="AE70" s="459">
        <f t="shared" si="9"/>
        <v>3945175.1428571381</v>
      </c>
      <c r="AF70" s="787">
        <f>+AC$29*AE70+AD70</f>
        <v>615876.80031175795</v>
      </c>
      <c r="AG70" s="462">
        <f>+AI69</f>
        <v>139925.57142857159</v>
      </c>
      <c r="AH70" s="459">
        <f>+AG$32</f>
        <v>6218.9142857142861</v>
      </c>
      <c r="AI70" s="459">
        <f t="shared" si="10"/>
        <v>133706.65714285732</v>
      </c>
      <c r="AJ70" s="787">
        <f>+AG$29*AI70+AH70</f>
        <v>20622.031360329813</v>
      </c>
      <c r="AK70" s="462">
        <f>+AM69</f>
        <v>3249669.2142857122</v>
      </c>
      <c r="AL70" s="459">
        <f>+AK$32</f>
        <v>144429.74285714285</v>
      </c>
      <c r="AM70" s="459">
        <f t="shared" si="11"/>
        <v>3105239.4714285694</v>
      </c>
      <c r="AN70" s="787">
        <f>+AK$29*AM70+AL70</f>
        <v>478931.61888502736</v>
      </c>
      <c r="AO70" s="462">
        <f>+AQ69</f>
        <v>10759027.399999991</v>
      </c>
      <c r="AP70" s="459">
        <f>+AO$32</f>
        <v>467783.8</v>
      </c>
      <c r="AQ70" s="459">
        <f t="shared" si="12"/>
        <v>10291243.59999999</v>
      </c>
      <c r="AR70" s="787">
        <f>+AO$29*AQ70+AP70</f>
        <v>1576374.7227078897</v>
      </c>
      <c r="AS70" s="462">
        <f>+AU69</f>
        <v>7044899.3333333377</v>
      </c>
      <c r="AT70" s="459">
        <f>+AS$32</f>
        <v>301924.25714285712</v>
      </c>
      <c r="AU70" s="459">
        <f t="shared" si="13"/>
        <v>6742975.076190481</v>
      </c>
      <c r="AV70" s="787">
        <f>+AS$29*AU70+AT70</f>
        <v>1028289.4324371545</v>
      </c>
      <c r="AW70" s="462">
        <f>+AY69</f>
        <v>4719540.146333335</v>
      </c>
      <c r="AX70" s="459">
        <f>+AW$32</f>
        <v>207049.8</v>
      </c>
      <c r="AY70" s="459">
        <f t="shared" si="14"/>
        <v>4512490.3463333352</v>
      </c>
      <c r="AZ70" s="787">
        <f>+AW$29*AY70+AX70</f>
        <v>693143.22380663501</v>
      </c>
      <c r="BA70" s="811">
        <f t="shared" si="15"/>
        <v>8067563.9645467438</v>
      </c>
      <c r="BB70" s="295"/>
      <c r="BC70" s="460">
        <f>+BA70</f>
        <v>8067563.9645467438</v>
      </c>
      <c r="BQ70" s="667"/>
      <c r="BR70" s="667"/>
      <c r="BS70" s="667"/>
      <c r="BT70" s="667"/>
      <c r="BU70" s="667"/>
    </row>
    <row r="71" spans="1:73">
      <c r="A71">
        <f t="shared" si="0"/>
        <v>56</v>
      </c>
      <c r="C71" s="419" t="str">
        <f t="shared" si="2"/>
        <v>W Increased ROE</v>
      </c>
      <c r="D71" s="458">
        <f t="shared" si="1"/>
        <v>2025</v>
      </c>
      <c r="E71" s="459">
        <f>+E70</f>
        <v>8183927.7000000048</v>
      </c>
      <c r="F71" s="459">
        <f>+F70</f>
        <v>419688.6</v>
      </c>
      <c r="G71" s="459">
        <f t="shared" si="3"/>
        <v>7764239.1000000052</v>
      </c>
      <c r="H71" s="885">
        <f>+E$30*G71+F71</f>
        <v>1328306.0553179663</v>
      </c>
      <c r="I71" s="459">
        <f>+I70</f>
        <v>1726643.6571428576</v>
      </c>
      <c r="J71" s="459">
        <f>+J70</f>
        <v>88545.828571428574</v>
      </c>
      <c r="K71" s="459">
        <f t="shared" si="4"/>
        <v>1638097.828571429</v>
      </c>
      <c r="L71" s="787">
        <f>+I$30*K71+J71</f>
        <v>280245.78286037582</v>
      </c>
      <c r="M71" s="462">
        <f>+M70</f>
        <v>1347570.9000000001</v>
      </c>
      <c r="N71" s="459">
        <f>+N70</f>
        <v>69106.2</v>
      </c>
      <c r="O71" s="459">
        <f t="shared" si="5"/>
        <v>1278464.7000000002</v>
      </c>
      <c r="P71" s="787">
        <f>+M$30*O71+N71</f>
        <v>218719.74583063344</v>
      </c>
      <c r="Q71" s="462">
        <f>+Q70</f>
        <v>3757194.9000000022</v>
      </c>
      <c r="R71" s="459">
        <f>+R70</f>
        <v>183277.8</v>
      </c>
      <c r="S71" s="459">
        <f t="shared" si="6"/>
        <v>3573917.1000000024</v>
      </c>
      <c r="T71" s="787">
        <f>+Q$30*S71+R71</f>
        <v>601518.84321044991</v>
      </c>
      <c r="U71" s="462">
        <f>+U70</f>
        <v>5027734.8000000045</v>
      </c>
      <c r="V71" s="459">
        <f>+V70</f>
        <v>239415.94285714286</v>
      </c>
      <c r="W71" s="459">
        <f t="shared" si="7"/>
        <v>4788318.8571428619</v>
      </c>
      <c r="X71" s="787">
        <f>+U$30*W71+V71</f>
        <v>799773.50516201521</v>
      </c>
      <c r="Y71" s="462">
        <f>+Y70</f>
        <v>8599114.2142857034</v>
      </c>
      <c r="Z71" s="459">
        <f>+Z70</f>
        <v>414415.14285714284</v>
      </c>
      <c r="AA71" s="459">
        <f t="shared" si="8"/>
        <v>8184699.0714285607</v>
      </c>
      <c r="AB71" s="787">
        <f>+Y$30*AA71+Z71</f>
        <v>1372237.325693415</v>
      </c>
      <c r="AC71" s="462">
        <f>+AC70</f>
        <v>4136070.7142857094</v>
      </c>
      <c r="AD71" s="459">
        <f>+AD70</f>
        <v>190895.57142857142</v>
      </c>
      <c r="AE71" s="459">
        <f t="shared" si="9"/>
        <v>3945175.1428571381</v>
      </c>
      <c r="AF71" s="787">
        <f>+AC$30*AE71+AD71</f>
        <v>652583.43973321235</v>
      </c>
      <c r="AG71" s="462">
        <f>+AG70</f>
        <v>139925.57142857159</v>
      </c>
      <c r="AH71" s="459">
        <f>+AH70</f>
        <v>6218.9142857142861</v>
      </c>
      <c r="AI71" s="459">
        <f t="shared" si="10"/>
        <v>133706.65714285732</v>
      </c>
      <c r="AJ71" s="787">
        <f>+AG$30*AI71+AH71</f>
        <v>20622.031360329813</v>
      </c>
      <c r="AK71" s="462">
        <f>+AK70</f>
        <v>3249669.2142857122</v>
      </c>
      <c r="AL71" s="459">
        <f>+AL70</f>
        <v>144429.74285714285</v>
      </c>
      <c r="AM71" s="459">
        <f t="shared" si="11"/>
        <v>3105239.4714285694</v>
      </c>
      <c r="AN71" s="787">
        <f>+AK$30*AM71+AL71</f>
        <v>478931.61888502736</v>
      </c>
      <c r="AO71" s="462">
        <f>+AO70</f>
        <v>10759027.399999991</v>
      </c>
      <c r="AP71" s="459">
        <f>+AP70</f>
        <v>467783.8</v>
      </c>
      <c r="AQ71" s="459">
        <f t="shared" si="12"/>
        <v>10291243.59999999</v>
      </c>
      <c r="AR71" s="787">
        <f>+AO$30*AQ71+AP71</f>
        <v>1672126.3571334209</v>
      </c>
      <c r="AS71" s="462">
        <f>+AS70</f>
        <v>7044899.3333333377</v>
      </c>
      <c r="AT71" s="459">
        <f>+AT70</f>
        <v>301924.25714285712</v>
      </c>
      <c r="AU71" s="459">
        <f t="shared" si="13"/>
        <v>6742975.076190481</v>
      </c>
      <c r="AV71" s="787">
        <f>+AS$30*AU71+AT71</f>
        <v>1028289.4324371545</v>
      </c>
      <c r="AW71" s="462">
        <f>+AW70</f>
        <v>4719540.146333335</v>
      </c>
      <c r="AX71" s="459">
        <f>+AX70</f>
        <v>207049.8</v>
      </c>
      <c r="AY71" s="459">
        <f t="shared" si="14"/>
        <v>4512490.3463333352</v>
      </c>
      <c r="AZ71" s="787">
        <f>+AW$30*AY71+AX71</f>
        <v>693143.22380663501</v>
      </c>
      <c r="BA71" s="811">
        <f t="shared" si="15"/>
        <v>8453354.1376240011</v>
      </c>
      <c r="BB71" s="461">
        <f>+BA71</f>
        <v>8453354.1376240011</v>
      </c>
      <c r="BC71" s="417"/>
      <c r="BQ71" s="667"/>
      <c r="BR71" s="667"/>
      <c r="BS71" s="667"/>
      <c r="BT71" s="667"/>
      <c r="BU71" s="667"/>
    </row>
    <row r="72" spans="1:73">
      <c r="A72">
        <f t="shared" si="0"/>
        <v>57</v>
      </c>
      <c r="C72" s="419" t="str">
        <f t="shared" si="2"/>
        <v>Base FCR</v>
      </c>
      <c r="D72" s="458">
        <f t="shared" si="1"/>
        <v>2026</v>
      </c>
      <c r="E72" s="459">
        <f>+G71</f>
        <v>7764239.1000000052</v>
      </c>
      <c r="F72" s="459">
        <f>+E$32</f>
        <v>419688.6</v>
      </c>
      <c r="G72" s="459">
        <f t="shared" si="3"/>
        <v>7344550.5000000056</v>
      </c>
      <c r="H72" s="885">
        <f>+E$29*G72+F72</f>
        <v>1210856.5416149185</v>
      </c>
      <c r="I72" s="459">
        <f>+K71</f>
        <v>1638097.828571429</v>
      </c>
      <c r="J72" s="459">
        <f>+I$32</f>
        <v>88545.828571428574</v>
      </c>
      <c r="K72" s="459">
        <f t="shared" si="4"/>
        <v>1549552.0000000005</v>
      </c>
      <c r="L72" s="787">
        <f>+I$29*K72+J72</f>
        <v>255466.30468024965</v>
      </c>
      <c r="M72" s="462">
        <f>+O71</f>
        <v>1278464.7000000002</v>
      </c>
      <c r="N72" s="459">
        <f>+M$32</f>
        <v>69106.2</v>
      </c>
      <c r="O72" s="459">
        <f t="shared" si="5"/>
        <v>1209358.5000000002</v>
      </c>
      <c r="P72" s="787">
        <f>+M$29*O72+N72</f>
        <v>199380.43191106181</v>
      </c>
      <c r="Q72" s="462">
        <f>+S71</f>
        <v>3573917.1000000024</v>
      </c>
      <c r="R72" s="459">
        <f>+Q$32</f>
        <v>183277.8</v>
      </c>
      <c r="S72" s="459">
        <f t="shared" si="6"/>
        <v>3390639.3000000026</v>
      </c>
      <c r="T72" s="787">
        <f>+Q$29*S72+R72</f>
        <v>548523.4492387994</v>
      </c>
      <c r="U72" s="462">
        <f>+W71</f>
        <v>4788318.8571428619</v>
      </c>
      <c r="V72" s="459">
        <f>+U$32</f>
        <v>239415.94285714286</v>
      </c>
      <c r="W72" s="459">
        <f t="shared" si="7"/>
        <v>4548902.9142857194</v>
      </c>
      <c r="X72" s="787">
        <f>+U$29*W72+V72</f>
        <v>729431.79274496576</v>
      </c>
      <c r="Y72" s="462">
        <f>+AA71</f>
        <v>8184699.0714285607</v>
      </c>
      <c r="Z72" s="459">
        <f>+Y$32</f>
        <v>414415.14285714284</v>
      </c>
      <c r="AA72" s="459">
        <f t="shared" si="8"/>
        <v>7770283.9285714179</v>
      </c>
      <c r="AB72" s="787">
        <f>+Y$29*AA72+Z72</f>
        <v>1251443.840737473</v>
      </c>
      <c r="AC72" s="462">
        <f>+AE71</f>
        <v>3945175.1428571381</v>
      </c>
      <c r="AD72" s="459">
        <f>+AC$32</f>
        <v>190895.57142857142</v>
      </c>
      <c r="AE72" s="459">
        <f t="shared" si="9"/>
        <v>3754279.5714285667</v>
      </c>
      <c r="AF72" s="787">
        <f>+AC$29*AE72+AD72</f>
        <v>595313.19246257155</v>
      </c>
      <c r="AG72" s="462">
        <f>+AI71</f>
        <v>133706.65714285732</v>
      </c>
      <c r="AH72" s="459">
        <f>+AG$32</f>
        <v>6218.9142857142861</v>
      </c>
      <c r="AI72" s="459">
        <f t="shared" si="10"/>
        <v>127487.74285714304</v>
      </c>
      <c r="AJ72" s="787">
        <f>+AG$29*AI72+AH72</f>
        <v>19952.118938254673</v>
      </c>
      <c r="AK72" s="462">
        <f>+AM71</f>
        <v>3105239.4714285694</v>
      </c>
      <c r="AL72" s="459">
        <f>+AK$32</f>
        <v>144429.74285714285</v>
      </c>
      <c r="AM72" s="459">
        <f t="shared" si="11"/>
        <v>2960809.7285714266</v>
      </c>
      <c r="AN72" s="787">
        <f>+AK$29*AM72+AL72</f>
        <v>463373.39209303271</v>
      </c>
      <c r="AO72" s="462">
        <f>+AQ71</f>
        <v>10291243.59999999</v>
      </c>
      <c r="AP72" s="459">
        <f>+AO$32</f>
        <v>467783.8</v>
      </c>
      <c r="AQ72" s="459">
        <f t="shared" si="12"/>
        <v>9823459.7999999896</v>
      </c>
      <c r="AR72" s="787">
        <f>+AO$29*AQ72+AP72</f>
        <v>1525984.2262211672</v>
      </c>
      <c r="AS72" s="462">
        <f>+AU71</f>
        <v>6742975.076190481</v>
      </c>
      <c r="AT72" s="459">
        <f>+AS$32</f>
        <v>301924.25714285712</v>
      </c>
      <c r="AU72" s="459">
        <f t="shared" si="13"/>
        <v>6441050.8190476242</v>
      </c>
      <c r="AV72" s="787">
        <f>+AS$29*AU72+AT72</f>
        <v>995765.61861800682</v>
      </c>
      <c r="AW72" s="462">
        <f>+AY71</f>
        <v>4512490.3463333352</v>
      </c>
      <c r="AX72" s="459">
        <f>+AW$32</f>
        <v>207049.8</v>
      </c>
      <c r="AY72" s="459">
        <f t="shared" si="14"/>
        <v>4305440.5463333353</v>
      </c>
      <c r="AZ72" s="787">
        <f>+AW$29*AY72+AX72</f>
        <v>670839.45394654898</v>
      </c>
      <c r="BA72" s="811">
        <f t="shared" si="15"/>
        <v>7795490.9092605021</v>
      </c>
      <c r="BB72" s="295"/>
      <c r="BC72" s="460">
        <f>+BA72</f>
        <v>7795490.9092605021</v>
      </c>
      <c r="BQ72" s="667"/>
      <c r="BR72" s="667"/>
      <c r="BS72" s="667"/>
      <c r="BT72" s="667"/>
      <c r="BU72" s="667"/>
    </row>
    <row r="73" spans="1:73">
      <c r="A73">
        <f t="shared" si="0"/>
        <v>58</v>
      </c>
      <c r="C73" s="419" t="str">
        <f t="shared" si="2"/>
        <v>W Increased ROE</v>
      </c>
      <c r="D73" s="458">
        <f t="shared" si="1"/>
        <v>2026</v>
      </c>
      <c r="E73" s="459">
        <f>+E72</f>
        <v>7764239.1000000052</v>
      </c>
      <c r="F73" s="459">
        <f>+F72</f>
        <v>419688.6</v>
      </c>
      <c r="G73" s="459">
        <f t="shared" si="3"/>
        <v>7344550.5000000056</v>
      </c>
      <c r="H73" s="885">
        <f>+E$30*G73+F73</f>
        <v>1279191.5982737518</v>
      </c>
      <c r="I73" s="459">
        <f>+I72</f>
        <v>1638097.828571429</v>
      </c>
      <c r="J73" s="459">
        <f>+J72</f>
        <v>88545.828571428574</v>
      </c>
      <c r="K73" s="459">
        <f t="shared" si="4"/>
        <v>1549552.0000000005</v>
      </c>
      <c r="L73" s="787">
        <f>+I$30*K73+J73</f>
        <v>269883.6231690814</v>
      </c>
      <c r="M73" s="462">
        <f>+M72</f>
        <v>1278464.7000000002</v>
      </c>
      <c r="N73" s="459">
        <f>+N72</f>
        <v>69106.2</v>
      </c>
      <c r="O73" s="459">
        <f t="shared" si="5"/>
        <v>1209358.5000000002</v>
      </c>
      <c r="P73" s="787">
        <f>+M$30*O73+N73</f>
        <v>210632.52713708574</v>
      </c>
      <c r="Q73" s="462">
        <f>+Q72</f>
        <v>3573917.1000000024</v>
      </c>
      <c r="R73" s="459">
        <f>+R72</f>
        <v>183277.8</v>
      </c>
      <c r="S73" s="459">
        <f t="shared" si="6"/>
        <v>3390639.3000000026</v>
      </c>
      <c r="T73" s="787">
        <f>+Q$30*S73+R73</f>
        <v>580070.58458427305</v>
      </c>
      <c r="U73" s="462">
        <f>+U72</f>
        <v>4788318.8571428619</v>
      </c>
      <c r="V73" s="459">
        <f>+V72</f>
        <v>239415.94285714286</v>
      </c>
      <c r="W73" s="459">
        <f t="shared" si="7"/>
        <v>4548902.9142857194</v>
      </c>
      <c r="X73" s="787">
        <f>+U$30*W73+V73</f>
        <v>771755.6270467717</v>
      </c>
      <c r="Y73" s="462">
        <f>+Y72</f>
        <v>8184699.0714285607</v>
      </c>
      <c r="Z73" s="459">
        <f>+Z72</f>
        <v>414415.14285714284</v>
      </c>
      <c r="AA73" s="459">
        <f t="shared" si="8"/>
        <v>7770283.9285714179</v>
      </c>
      <c r="AB73" s="787">
        <f>+Y$30*AA73+Z73</f>
        <v>1323739.9999801861</v>
      </c>
      <c r="AC73" s="462">
        <f>+AC72</f>
        <v>3945175.1428571381</v>
      </c>
      <c r="AD73" s="459">
        <f>+AD72</f>
        <v>190895.57142857142</v>
      </c>
      <c r="AE73" s="459">
        <f t="shared" si="9"/>
        <v>3754279.5714285667</v>
      </c>
      <c r="AF73" s="787">
        <f>+AC$30*AE73+AD73</f>
        <v>630243.70417008456</v>
      </c>
      <c r="AG73" s="462">
        <f>+AG72</f>
        <v>133706.65714285732</v>
      </c>
      <c r="AH73" s="459">
        <f>+AH72</f>
        <v>6218.9142857142861</v>
      </c>
      <c r="AI73" s="459">
        <f t="shared" si="10"/>
        <v>127487.74285714304</v>
      </c>
      <c r="AJ73" s="787">
        <f>+AG$30*AI73+AH73</f>
        <v>19952.118938254673</v>
      </c>
      <c r="AK73" s="462">
        <f>+AK72</f>
        <v>3105239.4714285694</v>
      </c>
      <c r="AL73" s="459">
        <f>+AL72</f>
        <v>144429.74285714285</v>
      </c>
      <c r="AM73" s="459">
        <f t="shared" si="11"/>
        <v>2960809.7285714266</v>
      </c>
      <c r="AN73" s="787">
        <f>+AK$30*AM73+AL73</f>
        <v>463373.39209303271</v>
      </c>
      <c r="AO73" s="462">
        <f>+AO72</f>
        <v>10291243.59999999</v>
      </c>
      <c r="AP73" s="459">
        <f>+AP72</f>
        <v>467783.8</v>
      </c>
      <c r="AQ73" s="459">
        <f t="shared" si="12"/>
        <v>9823459.7999999896</v>
      </c>
      <c r="AR73" s="787">
        <f>+AO$30*AQ73+AP73</f>
        <v>1617383.5136273562</v>
      </c>
      <c r="AS73" s="462">
        <f>+AS72</f>
        <v>6742975.076190481</v>
      </c>
      <c r="AT73" s="459">
        <f>+AT72</f>
        <v>301924.25714285712</v>
      </c>
      <c r="AU73" s="459">
        <f t="shared" si="13"/>
        <v>6441050.8190476242</v>
      </c>
      <c r="AV73" s="787">
        <f>+AS$30*AU73+AT73</f>
        <v>995765.61861800682</v>
      </c>
      <c r="AW73" s="462">
        <f>+AW72</f>
        <v>4512490.3463333352</v>
      </c>
      <c r="AX73" s="459">
        <f>+AX72</f>
        <v>207049.8</v>
      </c>
      <c r="AY73" s="459">
        <f t="shared" si="14"/>
        <v>4305440.5463333353</v>
      </c>
      <c r="AZ73" s="787">
        <f>+AW$30*AY73+AX73</f>
        <v>670839.45394654898</v>
      </c>
      <c r="BA73" s="811">
        <f t="shared" si="15"/>
        <v>8161992.3076378843</v>
      </c>
      <c r="BB73" s="461">
        <f>+BA73</f>
        <v>8161992.3076378843</v>
      </c>
      <c r="BC73" s="417"/>
      <c r="BQ73" s="667"/>
      <c r="BR73" s="667"/>
      <c r="BS73" s="667"/>
      <c r="BT73" s="667"/>
      <c r="BU73" s="667"/>
    </row>
    <row r="74" spans="1:73">
      <c r="A74">
        <f t="shared" si="0"/>
        <v>59</v>
      </c>
      <c r="C74" s="419" t="str">
        <f t="shared" si="2"/>
        <v>Base FCR</v>
      </c>
      <c r="D74" s="458">
        <f t="shared" si="1"/>
        <v>2027</v>
      </c>
      <c r="E74" s="459">
        <f>+G73</f>
        <v>7344550.5000000056</v>
      </c>
      <c r="F74" s="459">
        <f>+E$32</f>
        <v>419688.6</v>
      </c>
      <c r="G74" s="459">
        <f t="shared" si="3"/>
        <v>6924861.900000006</v>
      </c>
      <c r="H74" s="885">
        <f>+E$29*G74+F74</f>
        <v>1165646.9449512092</v>
      </c>
      <c r="I74" s="459">
        <f>+K73</f>
        <v>1549552.0000000005</v>
      </c>
      <c r="J74" s="459">
        <f>+I$32</f>
        <v>88545.828571428574</v>
      </c>
      <c r="K74" s="459">
        <f t="shared" si="4"/>
        <v>1461006.1714285719</v>
      </c>
      <c r="L74" s="787">
        <f>+I$29*K74+J74</f>
        <v>245927.99175974561</v>
      </c>
      <c r="M74" s="462">
        <f>+O73</f>
        <v>1209358.5000000002</v>
      </c>
      <c r="N74" s="459">
        <f>+M$32</f>
        <v>69106.2</v>
      </c>
      <c r="O74" s="459">
        <f t="shared" si="5"/>
        <v>1140252.3000000003</v>
      </c>
      <c r="P74" s="787">
        <f>+M$29*O74+N74</f>
        <v>191936.19008757258</v>
      </c>
      <c r="Q74" s="462">
        <f>+S73</f>
        <v>3390639.3000000026</v>
      </c>
      <c r="R74" s="459">
        <f>+Q$32</f>
        <v>183277.8</v>
      </c>
      <c r="S74" s="459">
        <f t="shared" si="6"/>
        <v>3207361.5000000028</v>
      </c>
      <c r="T74" s="787">
        <f>+Q$29*S74+R74</f>
        <v>528780.44117183727</v>
      </c>
      <c r="U74" s="462">
        <f>+W73</f>
        <v>4548902.9142857194</v>
      </c>
      <c r="V74" s="459">
        <f>+U$32</f>
        <v>239415.94285714286</v>
      </c>
      <c r="W74" s="459">
        <f t="shared" si="7"/>
        <v>4309486.9714285769</v>
      </c>
      <c r="X74" s="787">
        <f>+U$29*W74+V74</f>
        <v>703641.48485613312</v>
      </c>
      <c r="Y74" s="462">
        <f>+AA73</f>
        <v>7770283.9285714179</v>
      </c>
      <c r="Z74" s="459">
        <f>+Y$32</f>
        <v>414415.14285714284</v>
      </c>
      <c r="AA74" s="459">
        <f t="shared" si="8"/>
        <v>7355868.7857142752</v>
      </c>
      <c r="AB74" s="787">
        <f>+Y$29*AA74+Z74</f>
        <v>1206802.3101838552</v>
      </c>
      <c r="AC74" s="462">
        <f>+AE73</f>
        <v>3754279.5714285667</v>
      </c>
      <c r="AD74" s="459">
        <f>+AC$32</f>
        <v>190895.57142857142</v>
      </c>
      <c r="AE74" s="459">
        <f t="shared" si="9"/>
        <v>3563383.9999999953</v>
      </c>
      <c r="AF74" s="787">
        <f>+AC$29*AE74+AD74</f>
        <v>574749.58461338514</v>
      </c>
      <c r="AG74" s="462">
        <f>+AI73</f>
        <v>127487.74285714304</v>
      </c>
      <c r="AH74" s="459">
        <f>+AG$32</f>
        <v>6218.9142857142861</v>
      </c>
      <c r="AI74" s="459">
        <f t="shared" si="10"/>
        <v>121268.82857142875</v>
      </c>
      <c r="AJ74" s="787">
        <f>+AG$29*AI74+AH74</f>
        <v>19282.206516179533</v>
      </c>
      <c r="AK74" s="462">
        <f>+AM73</f>
        <v>2960809.7285714266</v>
      </c>
      <c r="AL74" s="459">
        <f>+AK$32</f>
        <v>144429.74285714285</v>
      </c>
      <c r="AM74" s="459">
        <f t="shared" si="11"/>
        <v>2816379.9857142838</v>
      </c>
      <c r="AN74" s="787">
        <f>+AK$29*AM74+AL74</f>
        <v>447815.16530103819</v>
      </c>
      <c r="AO74" s="462">
        <f>+AQ73</f>
        <v>9823459.7999999896</v>
      </c>
      <c r="AP74" s="459">
        <f>+AO$32</f>
        <v>467783.8</v>
      </c>
      <c r="AQ74" s="459">
        <f t="shared" si="12"/>
        <v>9355675.9999999888</v>
      </c>
      <c r="AR74" s="787">
        <f>+AO$29*AQ74+AP74</f>
        <v>1475593.7297344448</v>
      </c>
      <c r="AS74" s="462">
        <f>+AU73</f>
        <v>6441050.8190476242</v>
      </c>
      <c r="AT74" s="459">
        <f>+AS$32</f>
        <v>301924.25714285712</v>
      </c>
      <c r="AU74" s="459">
        <f t="shared" si="13"/>
        <v>6139126.5619047675</v>
      </c>
      <c r="AV74" s="787">
        <f>+AS$29*AU74+AT74</f>
        <v>963241.80479885917</v>
      </c>
      <c r="AW74" s="462">
        <f>+AY73</f>
        <v>4305440.5463333353</v>
      </c>
      <c r="AX74" s="459">
        <f>+AW$32</f>
        <v>207049.8</v>
      </c>
      <c r="AY74" s="459">
        <f t="shared" si="14"/>
        <v>4098390.7463333355</v>
      </c>
      <c r="AZ74" s="787">
        <f>+AW$29*AY74+AX74</f>
        <v>648535.68408646295</v>
      </c>
      <c r="BA74" s="811">
        <f t="shared" si="15"/>
        <v>7523417.8539742595</v>
      </c>
      <c r="BB74" s="295"/>
      <c r="BC74" s="460">
        <f>+BA74</f>
        <v>7523417.8539742595</v>
      </c>
      <c r="BQ74" s="667"/>
      <c r="BR74" s="667"/>
      <c r="BS74" s="667"/>
      <c r="BT74" s="667"/>
      <c r="BU74" s="667"/>
    </row>
    <row r="75" spans="1:73">
      <c r="A75">
        <f t="shared" si="0"/>
        <v>60</v>
      </c>
      <c r="C75" s="419" t="str">
        <f t="shared" si="2"/>
        <v>W Increased ROE</v>
      </c>
      <c r="D75" s="458">
        <f t="shared" si="1"/>
        <v>2027</v>
      </c>
      <c r="E75" s="459">
        <f>+E74</f>
        <v>7344550.5000000056</v>
      </c>
      <c r="F75" s="459">
        <f>+F74</f>
        <v>419688.6</v>
      </c>
      <c r="G75" s="459">
        <f t="shared" si="3"/>
        <v>6924861.900000006</v>
      </c>
      <c r="H75" s="885">
        <f>+E$30*G75+F75</f>
        <v>1230077.1412295375</v>
      </c>
      <c r="I75" s="459">
        <f>+I74</f>
        <v>1549552.0000000005</v>
      </c>
      <c r="J75" s="459">
        <f>+J74</f>
        <v>88545.828571428574</v>
      </c>
      <c r="K75" s="459">
        <f t="shared" si="4"/>
        <v>1461006.1714285719</v>
      </c>
      <c r="L75" s="787">
        <f>+I$30*K75+J75</f>
        <v>259521.46347778692</v>
      </c>
      <c r="M75" s="462">
        <f>+M74</f>
        <v>1209358.5000000002</v>
      </c>
      <c r="N75" s="459">
        <f>+N74</f>
        <v>69106.2</v>
      </c>
      <c r="O75" s="459">
        <f t="shared" si="5"/>
        <v>1140252.3000000003</v>
      </c>
      <c r="P75" s="787">
        <f>+M$30*O75+N75</f>
        <v>202545.30844353797</v>
      </c>
      <c r="Q75" s="462">
        <f>+Q74</f>
        <v>3390639.3000000026</v>
      </c>
      <c r="R75" s="459">
        <f>+R74</f>
        <v>183277.8</v>
      </c>
      <c r="S75" s="459">
        <f t="shared" si="6"/>
        <v>3207361.5000000028</v>
      </c>
      <c r="T75" s="787">
        <f>+Q$30*S75+R75</f>
        <v>558622.32595809619</v>
      </c>
      <c r="U75" s="462">
        <f>+U74</f>
        <v>4548902.9142857194</v>
      </c>
      <c r="V75" s="459">
        <f>+V74</f>
        <v>239415.94285714286</v>
      </c>
      <c r="W75" s="459">
        <f t="shared" si="7"/>
        <v>4309486.9714285769</v>
      </c>
      <c r="X75" s="787">
        <f>+U$30*W75+V75</f>
        <v>743737.74893152807</v>
      </c>
      <c r="Y75" s="462">
        <f>+Y74</f>
        <v>7770283.9285714179</v>
      </c>
      <c r="Z75" s="459">
        <f>+Z74</f>
        <v>414415.14285714284</v>
      </c>
      <c r="AA75" s="459">
        <f t="shared" si="8"/>
        <v>7355868.7857142752</v>
      </c>
      <c r="AB75" s="787">
        <f>+Y$30*AA75+Z75</f>
        <v>1275242.6742669572</v>
      </c>
      <c r="AC75" s="462">
        <f>+AC74</f>
        <v>3754279.5714285667</v>
      </c>
      <c r="AD75" s="459">
        <f>+AD74</f>
        <v>190895.57142857142</v>
      </c>
      <c r="AE75" s="459">
        <f t="shared" si="9"/>
        <v>3563383.9999999953</v>
      </c>
      <c r="AF75" s="787">
        <f>+AC$30*AE75+AD75</f>
        <v>607903.96860695677</v>
      </c>
      <c r="AG75" s="462">
        <f>+AG74</f>
        <v>127487.74285714304</v>
      </c>
      <c r="AH75" s="459">
        <f>+AH74</f>
        <v>6218.9142857142861</v>
      </c>
      <c r="AI75" s="459">
        <f t="shared" si="10"/>
        <v>121268.82857142875</v>
      </c>
      <c r="AJ75" s="787">
        <f>+AG$30*AI75+AH75</f>
        <v>19282.206516179533</v>
      </c>
      <c r="AK75" s="462">
        <f>+AK74</f>
        <v>2960809.7285714266</v>
      </c>
      <c r="AL75" s="459">
        <f>+AL74</f>
        <v>144429.74285714285</v>
      </c>
      <c r="AM75" s="459">
        <f t="shared" si="11"/>
        <v>2816379.9857142838</v>
      </c>
      <c r="AN75" s="787">
        <f>+AK$30*AM75+AL75</f>
        <v>447815.16530103819</v>
      </c>
      <c r="AO75" s="462">
        <f>+AO74</f>
        <v>9823459.7999999896</v>
      </c>
      <c r="AP75" s="459">
        <f>+AP74</f>
        <v>467783.8</v>
      </c>
      <c r="AQ75" s="459">
        <f t="shared" si="12"/>
        <v>9355675.9999999888</v>
      </c>
      <c r="AR75" s="787">
        <f>+AO$30*AQ75+AP75</f>
        <v>1562640.6701212914</v>
      </c>
      <c r="AS75" s="462">
        <f>+AS74</f>
        <v>6441050.8190476242</v>
      </c>
      <c r="AT75" s="459">
        <f>+AT74</f>
        <v>301924.25714285712</v>
      </c>
      <c r="AU75" s="459">
        <f t="shared" si="13"/>
        <v>6139126.5619047675</v>
      </c>
      <c r="AV75" s="787">
        <f>+AS$30*AU75+AT75</f>
        <v>963241.80479885917</v>
      </c>
      <c r="AW75" s="462">
        <f>+AW74</f>
        <v>4305440.5463333353</v>
      </c>
      <c r="AX75" s="459">
        <f>+AX74</f>
        <v>207049.8</v>
      </c>
      <c r="AY75" s="459">
        <f t="shared" si="14"/>
        <v>4098390.7463333355</v>
      </c>
      <c r="AZ75" s="787">
        <f>+AW$30*AY75+AX75</f>
        <v>648535.68408646295</v>
      </c>
      <c r="BA75" s="811">
        <f t="shared" si="15"/>
        <v>7870630.4776517674</v>
      </c>
      <c r="BB75" s="461">
        <f>+BA75</f>
        <v>7870630.4776517674</v>
      </c>
      <c r="BC75" s="417"/>
      <c r="BQ75" s="667"/>
      <c r="BR75" s="667"/>
      <c r="BS75" s="667"/>
      <c r="BT75" s="667"/>
      <c r="BU75" s="667"/>
    </row>
    <row r="76" spans="1:73">
      <c r="A76">
        <f t="shared" si="0"/>
        <v>61</v>
      </c>
      <c r="C76" s="419"/>
      <c r="D76" s="463" t="s">
        <v>296</v>
      </c>
      <c r="E76" s="464" t="s">
        <v>296</v>
      </c>
      <c r="F76" s="464" t="s">
        <v>296</v>
      </c>
      <c r="G76" s="464" t="s">
        <v>297</v>
      </c>
      <c r="H76" s="812" t="s">
        <v>296</v>
      </c>
      <c r="I76" s="464" t="s">
        <v>296</v>
      </c>
      <c r="J76" s="464" t="s">
        <v>296</v>
      </c>
      <c r="K76" s="464" t="s">
        <v>297</v>
      </c>
      <c r="L76" s="812" t="s">
        <v>296</v>
      </c>
      <c r="M76" s="464" t="s">
        <v>296</v>
      </c>
      <c r="N76" s="464" t="s">
        <v>296</v>
      </c>
      <c r="O76" s="464" t="s">
        <v>297</v>
      </c>
      <c r="P76" s="812" t="s">
        <v>296</v>
      </c>
      <c r="Q76" s="464" t="s">
        <v>296</v>
      </c>
      <c r="R76" s="464" t="s">
        <v>296</v>
      </c>
      <c r="S76" s="464" t="s">
        <v>297</v>
      </c>
      <c r="T76" s="812" t="s">
        <v>296</v>
      </c>
      <c r="U76" s="464" t="s">
        <v>296</v>
      </c>
      <c r="V76" s="464" t="s">
        <v>296</v>
      </c>
      <c r="W76" s="464" t="s">
        <v>297</v>
      </c>
      <c r="X76" s="812" t="s">
        <v>296</v>
      </c>
      <c r="Y76" s="464" t="s">
        <v>296</v>
      </c>
      <c r="Z76" s="464" t="s">
        <v>296</v>
      </c>
      <c r="AA76" s="464" t="s">
        <v>297</v>
      </c>
      <c r="AB76" s="812" t="s">
        <v>296</v>
      </c>
      <c r="AC76" s="464" t="s">
        <v>296</v>
      </c>
      <c r="AD76" s="464" t="s">
        <v>296</v>
      </c>
      <c r="AE76" s="464" t="s">
        <v>297</v>
      </c>
      <c r="AF76" s="812" t="s">
        <v>296</v>
      </c>
      <c r="AG76" s="464" t="s">
        <v>296</v>
      </c>
      <c r="AH76" s="464" t="s">
        <v>296</v>
      </c>
      <c r="AI76" s="464" t="s">
        <v>297</v>
      </c>
      <c r="AJ76" s="812" t="s">
        <v>296</v>
      </c>
      <c r="AK76" s="464" t="s">
        <v>296</v>
      </c>
      <c r="AL76" s="464" t="s">
        <v>296</v>
      </c>
      <c r="AM76" s="464" t="s">
        <v>297</v>
      </c>
      <c r="AN76" s="812" t="s">
        <v>296</v>
      </c>
      <c r="AO76" s="464" t="s">
        <v>296</v>
      </c>
      <c r="AP76" s="464" t="s">
        <v>296</v>
      </c>
      <c r="AQ76" s="464" t="s">
        <v>297</v>
      </c>
      <c r="AR76" s="812" t="s">
        <v>296</v>
      </c>
      <c r="AS76" s="464" t="s">
        <v>296</v>
      </c>
      <c r="AT76" s="464" t="s">
        <v>296</v>
      </c>
      <c r="AU76" s="464" t="s">
        <v>297</v>
      </c>
      <c r="AV76" s="812" t="s">
        <v>296</v>
      </c>
      <c r="AW76" s="464" t="s">
        <v>296</v>
      </c>
      <c r="AX76" s="464" t="s">
        <v>296</v>
      </c>
      <c r="AY76" s="464" t="s">
        <v>297</v>
      </c>
      <c r="AZ76" s="812" t="s">
        <v>296</v>
      </c>
      <c r="BA76" s="811"/>
      <c r="BB76" s="295"/>
      <c r="BC76" s="460">
        <f>+BA76</f>
        <v>0</v>
      </c>
      <c r="BL76" t="s">
        <v>296</v>
      </c>
      <c r="BM76" t="s">
        <v>296</v>
      </c>
      <c r="BN76" t="s">
        <v>297</v>
      </c>
      <c r="BO76" t="s">
        <v>296</v>
      </c>
    </row>
    <row r="77" spans="1:73" ht="13.5" thickBot="1">
      <c r="A77">
        <f t="shared" si="0"/>
        <v>62</v>
      </c>
      <c r="C77" s="419"/>
      <c r="D77" s="465" t="s">
        <v>296</v>
      </c>
      <c r="E77" s="466" t="s">
        <v>296</v>
      </c>
      <c r="F77" s="466" t="s">
        <v>297</v>
      </c>
      <c r="G77" s="466" t="s">
        <v>297</v>
      </c>
      <c r="H77" s="813" t="s">
        <v>296</v>
      </c>
      <c r="I77" s="466" t="s">
        <v>296</v>
      </c>
      <c r="J77" s="466" t="s">
        <v>297</v>
      </c>
      <c r="K77" s="466" t="s">
        <v>297</v>
      </c>
      <c r="L77" s="813" t="s">
        <v>296</v>
      </c>
      <c r="M77" s="466" t="s">
        <v>296</v>
      </c>
      <c r="N77" s="466" t="s">
        <v>297</v>
      </c>
      <c r="O77" s="466" t="s">
        <v>297</v>
      </c>
      <c r="P77" s="813" t="s">
        <v>296</v>
      </c>
      <c r="Q77" s="466" t="s">
        <v>296</v>
      </c>
      <c r="R77" s="466" t="s">
        <v>297</v>
      </c>
      <c r="S77" s="466" t="s">
        <v>297</v>
      </c>
      <c r="T77" s="813" t="s">
        <v>296</v>
      </c>
      <c r="U77" s="466" t="s">
        <v>296</v>
      </c>
      <c r="V77" s="466" t="s">
        <v>297</v>
      </c>
      <c r="W77" s="466" t="s">
        <v>297</v>
      </c>
      <c r="X77" s="813" t="s">
        <v>296</v>
      </c>
      <c r="Y77" s="466" t="s">
        <v>296</v>
      </c>
      <c r="Z77" s="466" t="s">
        <v>297</v>
      </c>
      <c r="AA77" s="466" t="s">
        <v>297</v>
      </c>
      <c r="AB77" s="813" t="s">
        <v>296</v>
      </c>
      <c r="AC77" s="466" t="s">
        <v>296</v>
      </c>
      <c r="AD77" s="466" t="s">
        <v>297</v>
      </c>
      <c r="AE77" s="466" t="s">
        <v>297</v>
      </c>
      <c r="AF77" s="813" t="s">
        <v>296</v>
      </c>
      <c r="AG77" s="466" t="s">
        <v>296</v>
      </c>
      <c r="AH77" s="466" t="s">
        <v>297</v>
      </c>
      <c r="AI77" s="466" t="s">
        <v>297</v>
      </c>
      <c r="AJ77" s="813" t="s">
        <v>296</v>
      </c>
      <c r="AK77" s="466" t="s">
        <v>296</v>
      </c>
      <c r="AL77" s="466" t="s">
        <v>297</v>
      </c>
      <c r="AM77" s="466" t="s">
        <v>297</v>
      </c>
      <c r="AN77" s="813" t="s">
        <v>296</v>
      </c>
      <c r="AO77" s="466" t="s">
        <v>296</v>
      </c>
      <c r="AP77" s="466" t="s">
        <v>297</v>
      </c>
      <c r="AQ77" s="466" t="s">
        <v>297</v>
      </c>
      <c r="AR77" s="813" t="s">
        <v>296</v>
      </c>
      <c r="AS77" s="466" t="s">
        <v>296</v>
      </c>
      <c r="AT77" s="466" t="s">
        <v>297</v>
      </c>
      <c r="AU77" s="466" t="s">
        <v>297</v>
      </c>
      <c r="AV77" s="813" t="s">
        <v>296</v>
      </c>
      <c r="AW77" s="466" t="s">
        <v>296</v>
      </c>
      <c r="AX77" s="466" t="s">
        <v>297</v>
      </c>
      <c r="AY77" s="466" t="s">
        <v>297</v>
      </c>
      <c r="AZ77" s="813" t="s">
        <v>296</v>
      </c>
      <c r="BA77" s="814"/>
      <c r="BB77" s="467">
        <f>+BA77</f>
        <v>0</v>
      </c>
      <c r="BC77" s="423"/>
    </row>
    <row r="78" spans="1:73">
      <c r="A78">
        <f>A77+1</f>
        <v>63</v>
      </c>
      <c r="C78" s="294"/>
      <c r="D78" s="468"/>
      <c r="E78" s="294"/>
      <c r="F78" s="294"/>
      <c r="G78" s="294"/>
      <c r="H78" s="815"/>
      <c r="I78" s="815"/>
      <c r="J78" s="815"/>
      <c r="K78" s="815"/>
      <c r="L78" s="815"/>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4"/>
      <c r="AS78" s="294"/>
      <c r="AT78" s="294"/>
      <c r="AU78" s="294"/>
      <c r="AV78" s="294"/>
      <c r="AW78" s="294"/>
      <c r="AX78" s="294"/>
      <c r="AY78" s="294"/>
      <c r="AZ78" s="294"/>
      <c r="BA78" s="294"/>
      <c r="BB78" s="816">
        <f>SUM(BB36:BB75)</f>
        <v>226358315.71097818</v>
      </c>
      <c r="BC78" s="816">
        <f>SUM(BC36:BC75)</f>
        <v>217216014.38097903</v>
      </c>
    </row>
    <row r="80" spans="1:73">
      <c r="BB80" s="323"/>
    </row>
    <row r="310" spans="3:12" customFormat="1">
      <c r="C310" s="475"/>
      <c r="D310" s="474"/>
      <c r="E310" s="475"/>
      <c r="F310" s="475"/>
      <c r="G310" s="475"/>
      <c r="H310" s="817"/>
      <c r="I310" s="817"/>
      <c r="J310" s="817"/>
      <c r="K310" s="817"/>
      <c r="L310" s="817"/>
    </row>
    <row r="311" spans="3:12" customFormat="1">
      <c r="C311" s="475"/>
      <c r="D311" s="474"/>
      <c r="E311" s="475"/>
      <c r="F311" s="475"/>
      <c r="G311" s="475"/>
      <c r="H311" s="817"/>
      <c r="I311" s="817"/>
      <c r="J311" s="817"/>
      <c r="K311" s="817"/>
      <c r="L311" s="817"/>
    </row>
    <row r="312" spans="3:12" customFormat="1">
      <c r="C312" s="475"/>
      <c r="D312" s="474"/>
      <c r="E312" s="475"/>
      <c r="F312" s="475"/>
      <c r="G312" s="475"/>
      <c r="H312" s="817"/>
      <c r="I312" s="817"/>
      <c r="J312" s="817"/>
      <c r="K312" s="817"/>
      <c r="L312" s="817"/>
    </row>
    <row r="313" spans="3:12" customFormat="1">
      <c r="C313" s="475"/>
      <c r="D313" s="474"/>
      <c r="E313" s="475"/>
      <c r="F313" s="475"/>
      <c r="G313" s="475"/>
      <c r="H313" s="817"/>
      <c r="I313" s="817"/>
      <c r="J313" s="817"/>
      <c r="K313" s="817"/>
      <c r="L313" s="817"/>
    </row>
    <row r="314" spans="3:12" customFormat="1">
      <c r="C314" s="475"/>
      <c r="D314" s="474"/>
      <c r="E314" s="475"/>
      <c r="F314" s="475"/>
      <c r="G314" s="475"/>
      <c r="H314" s="817"/>
      <c r="I314" s="817"/>
      <c r="J314" s="817"/>
      <c r="K314" s="817"/>
      <c r="L314" s="817"/>
    </row>
    <row r="315" spans="3:12" customFormat="1">
      <c r="C315" s="475"/>
      <c r="D315" s="474"/>
      <c r="E315" s="475"/>
      <c r="F315" s="475"/>
      <c r="G315" s="475"/>
      <c r="H315" s="817"/>
      <c r="I315" s="817"/>
      <c r="J315" s="817"/>
      <c r="K315" s="817"/>
      <c r="L315" s="817"/>
    </row>
    <row r="316" spans="3:12" customFormat="1">
      <c r="C316" s="475"/>
      <c r="D316" s="474"/>
      <c r="E316" s="475"/>
      <c r="F316" s="475"/>
      <c r="G316" s="475"/>
      <c r="H316" s="817"/>
      <c r="I316" s="817"/>
      <c r="J316" s="817"/>
      <c r="K316" s="817"/>
      <c r="L316" s="817"/>
    </row>
    <row r="317" spans="3:12" customFormat="1">
      <c r="C317" s="475"/>
      <c r="D317" s="474"/>
      <c r="E317" s="475"/>
      <c r="F317" s="475"/>
      <c r="G317" s="475"/>
      <c r="H317" s="817"/>
      <c r="I317" s="817"/>
      <c r="J317" s="817"/>
      <c r="K317" s="817"/>
      <c r="L317" s="817"/>
    </row>
    <row r="318" spans="3:12" customFormat="1">
      <c r="C318" s="475"/>
      <c r="D318" s="474"/>
      <c r="E318" s="475"/>
      <c r="F318" s="475"/>
      <c r="G318" s="475"/>
      <c r="H318" s="817"/>
      <c r="I318" s="817"/>
      <c r="J318" s="817"/>
      <c r="K318" s="817"/>
      <c r="L318" s="817"/>
    </row>
  </sheetData>
  <mergeCells count="5">
    <mergeCell ref="C23:BA23"/>
    <mergeCell ref="C33:D33"/>
    <mergeCell ref="E24:H24"/>
    <mergeCell ref="M24:P24"/>
    <mergeCell ref="I24:L24"/>
  </mergeCells>
  <phoneticPr fontId="0" type="noConversion"/>
  <printOptions horizontalCentered="1"/>
  <pageMargins left="0.25" right="0.25" top="0.25" bottom="0.25" header="0.5" footer="0.5"/>
  <pageSetup scale="53" fitToWidth="4" fitToHeight="4" orientation="landscape" r:id="rId1"/>
  <headerFooter alignWithMargins="0"/>
  <colBreaks count="3" manualBreakCount="3">
    <brk id="20" max="1048575" man="1"/>
    <brk id="32" max="1048575" man="1"/>
    <brk id="55" max="1048575" man="1"/>
  </colBreaks>
  <ignoredErrors>
    <ignoredError sqref="E79:H125 BE43:BK44 M125:AF125 BA79:BX125 BE45 BG45:BK45 BB46:BC46 BB47:BC47 BF47:BK47 BG51:BK75 BG49:BK49 E78:H78 E52:H77 BV43:BX44 BV45:BX45 BV46:BX46 BV48:BX48 BV47:BX47 BV50:BX75 BV49:BX49 BG76:BK76 BP76:BX76 BE46:BK46 BE48:BK48 BG50:BK50 BG77:BX78 M79:AR124 BE50:BF50 BA76:BF76 BF49 BB52:BF52 AS52:AV78 M52:AR78 BA77:BF78 I52:L76 I77:L78 BA52:BA75 BD50 AW52:AZ78 BF51 BB54:BF75 BB53:BC53 BE53:BF5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ATT H-3D</vt:lpstr>
      <vt:lpstr>1 - ADIT</vt:lpstr>
      <vt:lpstr>2 - Other Tax</vt:lpstr>
      <vt:lpstr>3 - Revenue Credits</vt:lpstr>
      <vt:lpstr>4 - 100 Basis Pt ROE</vt:lpstr>
      <vt:lpstr>5 - Cost Support 1</vt:lpstr>
      <vt:lpstr>5a Affiliate Allocations</vt:lpstr>
      <vt:lpstr>6- Est &amp; Reconcile WS</vt:lpstr>
      <vt:lpstr>7 - Cap Add WS</vt:lpstr>
      <vt:lpstr>8 - Securitization</vt:lpstr>
      <vt:lpstr>'1 - ADIT'!Print_Area</vt:lpstr>
      <vt:lpstr>'2 - Other Tax'!Print_Area</vt:lpstr>
      <vt:lpstr>'3 - Revenue Credits'!Print_Area</vt:lpstr>
      <vt:lpstr>'4 - 100 Basis Pt ROE'!Print_Area</vt:lpstr>
      <vt:lpstr>'5 - Cost Support 1'!Print_Area</vt:lpstr>
      <vt:lpstr>'6- Est &amp; Reconcile WS'!Print_Area</vt:lpstr>
      <vt:lpstr>'7 - Cap Add WS'!Print_Area</vt:lpstr>
      <vt:lpstr>'ATT H-3D'!Print_Area</vt:lpstr>
      <vt:lpstr>'5 - Cost Support 1'!Print_Titles</vt:lpstr>
      <vt:lpstr>'ATT H-3D'!Print_Titles</vt:lpstr>
    </vt:vector>
  </TitlesOfParts>
  <Company>PSEG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Ruth , Diane</cp:lastModifiedBy>
  <cp:lastPrinted>2016-05-12T18:52:13Z</cp:lastPrinted>
  <dcterms:created xsi:type="dcterms:W3CDTF">2004-01-21T20:42:01Z</dcterms:created>
  <dcterms:modified xsi:type="dcterms:W3CDTF">2016-05-12T18:52:41Z</dcterms:modified>
</cp:coreProperties>
</file>