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U:\Corp\Rates\Akr\Rates\FERC Transmission\AYE\Annual Rate Filings\2025 PTRR\Final Filing\"/>
    </mc:Choice>
  </mc:AlternateContent>
  <xr:revisionPtr revIDLastSave="0" documentId="13_ncr:1_{1CCAB2E4-45B7-4331-9756-0A022C277B60}" xr6:coauthVersionLast="47" xr6:coauthVersionMax="47" xr10:uidLastSave="{00000000-0000-0000-0000-000000000000}"/>
  <bookViews>
    <workbookView xWindow="-110" yWindow="-110" windowWidth="19420" windowHeight="11500" tabRatio="908" xr2:uid="{135325AD-9D60-4B89-9B0A-73862FE208B8}"/>
  </bookViews>
  <sheets>
    <sheet name="Attachment H-11A " sheetId="1" r:id="rId1"/>
    <sheet name="Attachment 1 - Sched 1A" sheetId="2" r:id="rId2"/>
    <sheet name="Attachment 2 - ROE Calcs" sheetId="31" r:id="rId3"/>
    <sheet name="Attach 2a - Scaled ROE Adder" sheetId="59" r:id="rId4"/>
    <sheet name="Attach 2b - Incent ROE NITS" sheetId="60" r:id="rId5"/>
    <sheet name="Attachment 3 - Gross Plant" sheetId="13" r:id="rId6"/>
    <sheet name="Attachment 4 - Accum Depr" sheetId="64" r:id="rId7"/>
    <sheet name="Attachment 5 - ADIT Summary" sheetId="40" r:id="rId8"/>
    <sheet name="Attachment 5a - ADIT Detail" sheetId="38" r:id="rId9"/>
    <sheet name="Attachment 5b - ADIT Norm PTRR" sheetId="47" r:id="rId10"/>
    <sheet name="Attachment 5c - ADIT Norm ATRR" sheetId="51" r:id="rId11"/>
    <sheet name="Attachment 6 - PBOP" sheetId="33" r:id="rId12"/>
    <sheet name="Attachment 7 - Taxes Other " sheetId="19" r:id="rId13"/>
    <sheet name="Attachment 8 - Cap Structure" sheetId="22" r:id="rId14"/>
    <sheet name="Attach 9 - Stated-value Inputs" sheetId="26" r:id="rId15"/>
    <sheet name="Attachment 10 - Debt Cost" sheetId="42" r:id="rId16"/>
    <sheet name="Attachment 11 - TEC" sheetId="5" r:id="rId17"/>
    <sheet name="Attach 11a - TEC Cost Support" sheetId="39" r:id="rId18"/>
    <sheet name="Attachment 12 - TEC True-up" sheetId="6" r:id="rId19"/>
    <sheet name="Attachment 13 - NITS True-Up" sheetId="68" r:id="rId20"/>
    <sheet name="Attachment 13a - TEC True-Up" sheetId="69" r:id="rId21"/>
    <sheet name="Attachment 13b - PJM Billings" sheetId="58" r:id="rId22"/>
    <sheet name="Attachment 14 - Other RB" sheetId="66" r:id="rId23"/>
    <sheet name="Attach 15 - Excess_Def ADIT" sheetId="61" r:id="rId24"/>
    <sheet name="Attachment 16 - Abandoned Plant" sheetId="63" r:id="rId25"/>
    <sheet name="Attachment 17 - CWIP in RB" sheetId="62" r:id="rId26"/>
    <sheet name="Attachment 18 - Tax Rates" sheetId="27" r:id="rId27"/>
    <sheet name="Attachment 19 - Reg Asset" sheetId="65" r:id="rId28"/>
    <sheet name="Attachment 20 - O&amp;M and A&amp;G" sheetId="67" r:id="rId29"/>
  </sheets>
  <externalReferences>
    <externalReference r:id="rId30"/>
    <externalReference r:id="rId31"/>
    <externalReference r:id="rId32"/>
    <externalReference r:id="rId33"/>
    <externalReference r:id="rId34"/>
  </externalReferences>
  <definedNames>
    <definedName name="___OFF2">'[1]DPLG-APRIL2001-TRANSCHECKOUT'!$AC$2:$AC$10</definedName>
    <definedName name="___PPP1">'[1]DPLG-APRIL2001-TRANSCHECKOUT'!$A$1:$D$27</definedName>
    <definedName name="__123Graph_A" hidden="1">'[2]AL2 151'!#REF!</definedName>
    <definedName name="__123Graph_B" hidden="1">'[2]AL2 151'!#REF!</definedName>
    <definedName name="__123Graph_C" hidden="1">'[2]AL2 151'!#REF!</definedName>
    <definedName name="__123Graph_D" hidden="1">'[2]AL2 151'!#REF!</definedName>
    <definedName name="__123Graph_E" hidden="1">'[2]AL2 151'!#REF!</definedName>
    <definedName name="__123Graph_F" hidden="1">'[2]AL2 151'!#REF!</definedName>
    <definedName name="__123Graph_X" hidden="1">'[2]AL2 151'!#REF!</definedName>
    <definedName name="_Key1" hidden="1">#REF!</definedName>
    <definedName name="_OFF2">'[1]DPLG-APRIL2001-TRANSCHECKOUT'!$AC$2:$AC$10</definedName>
    <definedName name="_Order1" hidden="1">255</definedName>
    <definedName name="_p.choice" localSheetId="14">#REF!</definedName>
    <definedName name="_p.choice" localSheetId="15">#REF!</definedName>
    <definedName name="_p.choice" localSheetId="26">#REF!</definedName>
    <definedName name="_p.choice" localSheetId="2">#REF!</definedName>
    <definedName name="_p.choice" localSheetId="7">#REF!</definedName>
    <definedName name="_p.choice" localSheetId="8">#REF!</definedName>
    <definedName name="_p.choice">#REF!</definedName>
    <definedName name="_PPP1">'[1]DPLG-APRIL2001-TRANSCHECKOUT'!$A$1:$D$27</definedName>
    <definedName name="_Sort" hidden="1">#REF!</definedName>
    <definedName name="AA.print" localSheetId="14">#REF!</definedName>
    <definedName name="AA.print" localSheetId="15">#REF!</definedName>
    <definedName name="AA.print" localSheetId="26">#REF!</definedName>
    <definedName name="AA.print" localSheetId="2">#REF!</definedName>
    <definedName name="AA.print" localSheetId="7">#REF!</definedName>
    <definedName name="AA.print" localSheetId="8">#REF!</definedName>
    <definedName name="AA.print">#REF!</definedName>
    <definedName name="AB.print" localSheetId="15">#REF!</definedName>
    <definedName name="AB.print" localSheetId="26">#REF!</definedName>
    <definedName name="AB.print" localSheetId="2">#REF!</definedName>
    <definedName name="AB.print" localSheetId="7">#REF!</definedName>
    <definedName name="AB.print" localSheetId="8">#REF!</definedName>
    <definedName name="AB.print">#REF!</definedName>
    <definedName name="above">OFFSET(!A1,-1,0)</definedName>
    <definedName name="Allocator.gross.plant">'[3]Appendix A'!$H$29</definedName>
    <definedName name="Allocator.net.plant">'[3]Appendix A'!$H$32</definedName>
    <definedName name="Allocator.wages.salary">'[3]Appendix A'!$H$17</definedName>
    <definedName name="AMHERST" localSheetId="26">#REF!</definedName>
    <definedName name="AMHERST" localSheetId="2">#REF!</definedName>
    <definedName name="AMHERST" localSheetId="7">#REF!</definedName>
    <definedName name="AMHERST">#REF!</definedName>
    <definedName name="AO.print" localSheetId="15">#REF!</definedName>
    <definedName name="AO.print" localSheetId="26">#REF!</definedName>
    <definedName name="AO.print" localSheetId="2">#REF!</definedName>
    <definedName name="AO.print" localSheetId="7">#REF!</definedName>
    <definedName name="AO.print" localSheetId="8">#REF!</definedName>
    <definedName name="AO.print">#REF!</definedName>
    <definedName name="AV.FM.1..adjusted..print" localSheetId="15">#REF!</definedName>
    <definedName name="AV.FM.1..adjusted..print" localSheetId="26">#REF!</definedName>
    <definedName name="AV.FM.1..adjusted..print" localSheetId="2">#REF!</definedName>
    <definedName name="AV.FM.1..adjusted..print" localSheetId="7">#REF!</definedName>
    <definedName name="AV.FM.1..adjusted..print" localSheetId="8">#REF!</definedName>
    <definedName name="AV.FM.1..adjusted..print">#REF!</definedName>
    <definedName name="AV.FM.1.print" localSheetId="15">#REF!</definedName>
    <definedName name="AV.FM.1.print" localSheetId="26">#REF!</definedName>
    <definedName name="AV.FM.1.print" localSheetId="2">#REF!</definedName>
    <definedName name="AV.FM.1.print" localSheetId="7">#REF!</definedName>
    <definedName name="AV.FM.1.print" localSheetId="8">#REF!</definedName>
    <definedName name="AV.FM.1.print">#REF!</definedName>
    <definedName name="BA.print" localSheetId="15">#REF!</definedName>
    <definedName name="BA.print" localSheetId="26">#REF!</definedName>
    <definedName name="BA.print" localSheetId="2">#REF!</definedName>
    <definedName name="BA.print" localSheetId="7">#REF!</definedName>
    <definedName name="BA.print" localSheetId="8">#REF!</definedName>
    <definedName name="BA.print">#REF!</definedName>
    <definedName name="BB.print" localSheetId="15">#REF!</definedName>
    <definedName name="BB.print" localSheetId="26">#REF!</definedName>
    <definedName name="BB.print" localSheetId="2">#REF!</definedName>
    <definedName name="BB.print" localSheetId="7">#REF!</definedName>
    <definedName name="BB.print" localSheetId="8">#REF!</definedName>
    <definedName name="BB.print">#REF!</definedName>
    <definedName name="BEACH_CITY" localSheetId="26">#REF!</definedName>
    <definedName name="BEACH_CITY" localSheetId="2">#REF!</definedName>
    <definedName name="BEACH_CITY" localSheetId="7">#REF!</definedName>
    <definedName name="BEACH_CITY">#REF!</definedName>
    <definedName name="below">OFFSET(!A1,1,0)</definedName>
    <definedName name="BG.print" localSheetId="15">#REF!</definedName>
    <definedName name="BG.print" localSheetId="26">#REF!</definedName>
    <definedName name="BG.print" localSheetId="2">#REF!</definedName>
    <definedName name="BG.print" localSheetId="7">#REF!</definedName>
    <definedName name="BG.print" localSheetId="8">#REF!</definedName>
    <definedName name="BG.print">#REF!</definedName>
    <definedName name="BILLCO" localSheetId="14">'[1]DPLG-APRIL2001-TRANSCHECKOUT'!$M:$P</definedName>
    <definedName name="BILLCO" localSheetId="26">'[1]DPLG-APRIL2001-TRANSCHECKOUT'!$M:$P</definedName>
    <definedName name="BILLCO">'[1]DPLG-APRIL2001-TRANSCHECKOUT'!$M$1:$P$65536</definedName>
    <definedName name="BK..FM1.Adjusted..print" localSheetId="14">#REF!</definedName>
    <definedName name="BK..FM1.Adjusted..print" localSheetId="15">#REF!</definedName>
    <definedName name="BK..FM1.Adjusted..print" localSheetId="26">#REF!</definedName>
    <definedName name="BK..FM1.Adjusted..print" localSheetId="2">#REF!</definedName>
    <definedName name="BK..FM1.Adjusted..print" localSheetId="7">#REF!</definedName>
    <definedName name="BK..FM1.Adjusted..print" localSheetId="8">#REF!</definedName>
    <definedName name="BK..FM1.Adjusted..print">#REF!</definedName>
    <definedName name="BK..FM1.ROR..print" localSheetId="15">#REF!</definedName>
    <definedName name="BK..FM1.ROR..print" localSheetId="26">#REF!</definedName>
    <definedName name="BK..FM1.ROR..print" localSheetId="2">#REF!</definedName>
    <definedName name="BK..FM1.ROR..print" localSheetId="7">#REF!</definedName>
    <definedName name="BK..FM1.ROR..print" localSheetId="8">#REF!</definedName>
    <definedName name="BK..FM1.ROR..print">#REF!</definedName>
    <definedName name="BowlingGreen" localSheetId="26">#REF!</definedName>
    <definedName name="BowlingGreen" localSheetId="2">#REF!</definedName>
    <definedName name="BowlingGreen" localSheetId="7">#REF!</definedName>
    <definedName name="BowlingGreen">#REF!</definedName>
    <definedName name="BowlingGreenWater" localSheetId="26">#REF!</definedName>
    <definedName name="BowlingGreenWater" localSheetId="2">#REF!</definedName>
    <definedName name="BowlingGreenWater" localSheetId="7">#REF!</definedName>
    <definedName name="BowlingGreenWater">#REF!</definedName>
    <definedName name="Bradner" localSheetId="26">#REF!</definedName>
    <definedName name="Bradner" localSheetId="2">#REF!</definedName>
    <definedName name="Bradner" localSheetId="7">#REF!</definedName>
    <definedName name="Bradner">#REF!</definedName>
    <definedName name="BREWSTER" localSheetId="26">#REF!</definedName>
    <definedName name="BREWSTER" localSheetId="2">#REF!</definedName>
    <definedName name="BREWSTER" localSheetId="7">#REF!</definedName>
    <definedName name="BREWSTER">#REF!</definedName>
    <definedName name="cell.above">!A1048576</definedName>
    <definedName name="cell.below">!A2</definedName>
    <definedName name="cell.left">!XFD1</definedName>
    <definedName name="cell.right">!B1</definedName>
    <definedName name="CH_COS" localSheetId="26">#REF!</definedName>
    <definedName name="CH_COS" localSheetId="2">#REF!</definedName>
    <definedName name="CH_COS" localSheetId="7">#REF!</definedName>
    <definedName name="CH_COS">#REF!</definedName>
    <definedName name="CUSTAR" localSheetId="26">#REF!</definedName>
    <definedName name="CUSTAR" localSheetId="2">#REF!</definedName>
    <definedName name="CUSTAR" localSheetId="7">#REF!</definedName>
    <definedName name="CUSTAR">#REF!</definedName>
    <definedName name="CUYAHOGA_FALLS" localSheetId="26">#REF!</definedName>
    <definedName name="CUYAHOGA_FALLS" localSheetId="2">#REF!</definedName>
    <definedName name="CUYAHOGA_FALLS" localSheetId="7">#REF!</definedName>
    <definedName name="CUYAHOGA_FALLS">#REF!</definedName>
    <definedName name="data_year">'[3]Appendix A'!$H$5</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UEDATE" localSheetId="14">'[1]DPLG-APRIL2001-TRANSCHECKOUT'!$Q:$R</definedName>
    <definedName name="DUEDATE" localSheetId="26">'[1]DPLG-APRIL2001-TRANSCHECKOUT'!$Q:$R</definedName>
    <definedName name="DUEDATE">'[1]DPLG-APRIL2001-TRANSCHECKOUT'!$Q$1:$R$65536</definedName>
    <definedName name="EDGERTON" localSheetId="26">#REF!</definedName>
    <definedName name="EDGERTON" localSheetId="2">#REF!</definedName>
    <definedName name="EDGERTON" localSheetId="7">#REF!</definedName>
    <definedName name="EDGERTON">#REF!</definedName>
    <definedName name="Ellwood_City" localSheetId="26">#REF!</definedName>
    <definedName name="Ellwood_City" localSheetId="2">#REF!</definedName>
    <definedName name="Ellwood_City" localSheetId="7">#REF!</definedName>
    <definedName name="Ellwood_City">#REF!</definedName>
    <definedName name="ELMORE" localSheetId="26">#REF!</definedName>
    <definedName name="ELMORE" localSheetId="2">#REF!</definedName>
    <definedName name="ELMORE" localSheetId="7">#REF!</definedName>
    <definedName name="ELMORE">#REF!</definedName>
    <definedName name="FF1_INPUT">'[3]FERC Form 1 data'!$B$7:$L$87</definedName>
    <definedName name="FF1_INPUT_columns">'[3]FERC Form 1 data'!$B$6:$L$6</definedName>
    <definedName name="GALION" localSheetId="26">#REF!</definedName>
    <definedName name="GALION" localSheetId="2">#REF!</definedName>
    <definedName name="GALION" localSheetId="7">#REF!</definedName>
    <definedName name="GALION">#REF!</definedName>
    <definedName name="GENOA" localSheetId="26">#REF!</definedName>
    <definedName name="GENOA" localSheetId="2">#REF!</definedName>
    <definedName name="GENOA" localSheetId="7">#REF!</definedName>
    <definedName name="GENOA">#REF!</definedName>
    <definedName name="GENOA_NORTH" localSheetId="26">#REF!</definedName>
    <definedName name="GENOA_NORTH" localSheetId="2">#REF!</definedName>
    <definedName name="GENOA_NORTH" localSheetId="7">#REF!</definedName>
    <definedName name="GENOA_NORTH">#REF!</definedName>
    <definedName name="GENOA_SOUTH" localSheetId="26">#REF!</definedName>
    <definedName name="GENOA_SOUTH" localSheetId="2">#REF!</definedName>
    <definedName name="GENOA_SOUTH" localSheetId="7">#REF!</definedName>
    <definedName name="GENOA_SOUTH">#REF!</definedName>
    <definedName name="GRAFTON" localSheetId="26">#REF!</definedName>
    <definedName name="GRAFTON" localSheetId="2">#REF!</definedName>
    <definedName name="GRAFTON" localSheetId="7">#REF!</definedName>
    <definedName name="GRAFTON">#REF!</definedName>
    <definedName name="Grove_City" localSheetId="26">#REF!</definedName>
    <definedName name="Grove_City" localSheetId="2">#REF!</definedName>
    <definedName name="Grove_City" localSheetId="7">#REF!</definedName>
    <definedName name="Grove_City">#REF!</definedName>
    <definedName name="HASKINS" localSheetId="26">#REF!</definedName>
    <definedName name="HASKINS" localSheetId="2">#REF!</definedName>
    <definedName name="HASKINS" localSheetId="7">#REF!</definedName>
    <definedName name="HASKINS">#REF!</definedName>
    <definedName name="hourending" localSheetId="26">#REF!</definedName>
    <definedName name="hourending" localSheetId="2">#REF!</definedName>
    <definedName name="hourending" localSheetId="7">#REF!</definedName>
    <definedName name="hourending">#REF!</definedName>
    <definedName name="HUBBARD" localSheetId="26">#REF!</definedName>
    <definedName name="HUBBARD" localSheetId="2">#REF!</definedName>
    <definedName name="HUBBARD" localSheetId="7">#REF!</definedName>
    <definedName name="HUBBARD">#REF!</definedName>
    <definedName name="Inputs_EndYrBal">[3]Inputs!$E$15:$E$72</definedName>
    <definedName name="Inputs_EndYrBal_prior">[3]Inputs!$D$15:$D$72</definedName>
    <definedName name="Inputs_FF1_Map">[3]Inputs!$F$15:$F$72</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15">#REF!</definedName>
    <definedName name="Levelized..FM1.ROR..print" localSheetId="26">#REF!</definedName>
    <definedName name="Levelized..FM1.ROR..print" localSheetId="2">#REF!</definedName>
    <definedName name="Levelized..FM1.ROR..print" localSheetId="7">#REF!</definedName>
    <definedName name="Levelized..FM1.ROR..print" localSheetId="8">#REF!</definedName>
    <definedName name="Levelized..FM1.ROR..print">#REF!</definedName>
    <definedName name="LODI" localSheetId="26">#REF!</definedName>
    <definedName name="LODI" localSheetId="2">#REF!</definedName>
    <definedName name="LODI" localSheetId="7">#REF!</definedName>
    <definedName name="LODI">#REF!</definedName>
    <definedName name="LUCAS" localSheetId="26">#REF!</definedName>
    <definedName name="LUCAS" localSheetId="2">#REF!</definedName>
    <definedName name="LUCAS" localSheetId="7">#REF!</definedName>
    <definedName name="LUCAS">#REF!</definedName>
    <definedName name="M21Laurie" localSheetId="14">'Attach 9 - Stated-value Inputs'!M21Laurie</definedName>
    <definedName name="M21Laurie" localSheetId="26">'Attachment 18 - Tax Rates'!M21Laurie</definedName>
    <definedName name="M21Laurie" localSheetId="2">#N/A</definedName>
    <definedName name="M21Laurie">'Attach 9 - Stated-value Inputs'!M21Laurie</definedName>
    <definedName name="MILAN" localSheetId="26">#REF!</definedName>
    <definedName name="MILAN" localSheetId="2">#REF!</definedName>
    <definedName name="MILAN" localSheetId="7">#REF!</definedName>
    <definedName name="MILAN">#REF!</definedName>
    <definedName name="MONROEVILLE" localSheetId="26">#REF!</definedName>
    <definedName name="MONROEVILLE" localSheetId="2">#REF!</definedName>
    <definedName name="MONROEVILLE" localSheetId="7">#REF!</definedName>
    <definedName name="MONROEVILLE">#REF!</definedName>
    <definedName name="NAPOLEON" localSheetId="26">#REF!</definedName>
    <definedName name="NAPOLEON" localSheetId="2">#REF!</definedName>
    <definedName name="NAPOLEON" localSheetId="7">#REF!</definedName>
    <definedName name="NAPOLEON">#REF!</definedName>
    <definedName name="NEASG" localSheetId="26">#REF!</definedName>
    <definedName name="NEASG" localSheetId="2">#REF!</definedName>
    <definedName name="NEASG" localSheetId="7">#REF!</definedName>
    <definedName name="NEASG">#REF!</definedName>
    <definedName name="New_Wilmington" localSheetId="26">#REF!</definedName>
    <definedName name="New_Wilmington" localSheetId="2">#REF!</definedName>
    <definedName name="New_Wilmington" localSheetId="7">#REF!</definedName>
    <definedName name="New_Wilmington">#REF!</definedName>
    <definedName name="NEWTON_FALLS" localSheetId="26">#REF!</definedName>
    <definedName name="NEWTON_FALLS" localSheetId="2">#REF!</definedName>
    <definedName name="NEWTON_FALLS" localSheetId="7">#REF!</definedName>
    <definedName name="NEWTON_FALLS">#REF!</definedName>
    <definedName name="NILES" localSheetId="26">#REF!</definedName>
    <definedName name="NILES" localSheetId="2">#REF!</definedName>
    <definedName name="NILES" localSheetId="7">#REF!</definedName>
    <definedName name="NILES">#REF!</definedName>
    <definedName name="NSP_COS" localSheetId="26">#REF!</definedName>
    <definedName name="NSP_COS" localSheetId="2">#REF!</definedName>
    <definedName name="NSP_COS" localSheetId="7">#REF!</definedName>
    <definedName name="NSP_COS">#REF!</definedName>
    <definedName name="NWASG" localSheetId="26">#REF!</definedName>
    <definedName name="NWASG" localSheetId="2">#REF!</definedName>
    <definedName name="NWASG" localSheetId="7">#REF!</definedName>
    <definedName name="NWASG">#REF!</definedName>
    <definedName name="OAK_HARBOR" localSheetId="26">#REF!</definedName>
    <definedName name="OAK_HARBOR" localSheetId="2">#REF!</definedName>
    <definedName name="OAK_HARBOR" localSheetId="7">#REF!</definedName>
    <definedName name="OAK_HARBOR">#REF!</definedName>
    <definedName name="OBERLIN" localSheetId="26">#REF!</definedName>
    <definedName name="OBERLIN" localSheetId="2">#REF!</definedName>
    <definedName name="OBERLIN" localSheetId="7">#REF!</definedName>
    <definedName name="OBERLIN">#REF!</definedName>
    <definedName name="OFF">'[1]DPLG-APRIL2001-TRANSCHECKOUT'!$F$2:$L$10</definedName>
    <definedName name="ON">'[1]DPLG-APRIL2001-TRANSCHECKOUT'!$M$2:$AC$10</definedName>
    <definedName name="PEMBERVILLE" localSheetId="26">#REF!</definedName>
    <definedName name="PEMBERVILLE" localSheetId="2">#REF!</definedName>
    <definedName name="PEMBERVILLE" localSheetId="7">#REF!</definedName>
    <definedName name="PEMBERVILLE">#REF!</definedName>
    <definedName name="PIONEER" localSheetId="26">#REF!</definedName>
    <definedName name="PIONEER" localSheetId="2">#REF!</definedName>
    <definedName name="PIONEER" localSheetId="7">#REF!</definedName>
    <definedName name="PIONEER">#REF!</definedName>
    <definedName name="pPRINT">'[1]DPLG-APRIL2001-TRANSCHECKOUT'!$A$1:$I$49</definedName>
    <definedName name="PRINT">'[1]DPLG-APRIL2001-TRANSCHECKOUT'!$A$2:$K$55</definedName>
    <definedName name="Print.selection.print" localSheetId="14">#REF!</definedName>
    <definedName name="Print.selection.print" localSheetId="15">#REF!</definedName>
    <definedName name="Print.selection.print" localSheetId="26">#REF!</definedName>
    <definedName name="Print.selection.print" localSheetId="2">#REF!</definedName>
    <definedName name="Print.selection.print" localSheetId="7">#REF!</definedName>
    <definedName name="Print.selection.print" localSheetId="8">#REF!</definedName>
    <definedName name="Print.selection.print">#REF!</definedName>
    <definedName name="_xlnm.Print_Area" localSheetId="17">'Attach 11a - TEC Cost Support'!$A$1:$AI$26</definedName>
    <definedName name="_xlnm.Print_Area" localSheetId="3">'Attach 2a - Scaled ROE Adder'!$A$1:$L$71</definedName>
    <definedName name="_xlnm.Print_Area" localSheetId="4">'Attach 2b - Incent ROE NITS'!$A$1:$AM$35</definedName>
    <definedName name="_xlnm.Print_Area" localSheetId="14">'Attach 9 - Stated-value Inputs'!$A$1:$H$85</definedName>
    <definedName name="_xlnm.Print_Area" localSheetId="1">'Attachment 1 - Sched 1A'!$A$1:$J$18</definedName>
    <definedName name="_xlnm.Print_Area" localSheetId="15">'Attachment 10 - Debt Cost'!$A$1:$AA$55</definedName>
    <definedName name="_xlnm.Print_Area" localSheetId="16">'Attachment 11 - TEC'!$A$1:$T$89</definedName>
    <definedName name="_xlnm.Print_Area" localSheetId="18">'Attachment 12 - TEC True-up'!$A$1:$M$37</definedName>
    <definedName name="_xlnm.Print_Area" localSheetId="19">'Attachment 13 - NITS True-Up'!$A$1:$J$78</definedName>
    <definedName name="_xlnm.Print_Area" localSheetId="26">'Attachment 18 - Tax Rates'!$A$1:$K$31</definedName>
    <definedName name="_xlnm.Print_Area" localSheetId="27">'Attachment 19 - Reg Asset'!$A$1:$AB$36</definedName>
    <definedName name="_xlnm.Print_Area" localSheetId="2">'Attachment 2 - ROE Calcs'!$A$1:$L$67</definedName>
    <definedName name="_xlnm.Print_Area" localSheetId="5">'Attachment 3 - Gross Plant'!$A$1:$M$70</definedName>
    <definedName name="_xlnm.Print_Area" localSheetId="7">'Attachment 5 - ADIT Summary'!$A$1:$M$36</definedName>
    <definedName name="_xlnm.Print_Area" localSheetId="8">'Attachment 5a - ADIT Detail'!$A$1:$K$221</definedName>
    <definedName name="_xlnm.Print_Area" localSheetId="9">'Attachment 5b - ADIT Norm PTRR'!$A$1:$M$52</definedName>
    <definedName name="_xlnm.Print_Area" localSheetId="12">'Attachment 7 - Taxes Other '!$A$1:$D$48</definedName>
    <definedName name="_xlnm.Print_Area" localSheetId="13">'Attachment 8 - Cap Structure'!$A$1:$O$29</definedName>
    <definedName name="_xlnm.Print_Area" localSheetId="0">'Attachment H-11A '!$A$1:$K$319</definedName>
    <definedName name="_xlnm.Print_Area">#REF!</definedName>
    <definedName name="_xlnm.Print_Titles" localSheetId="16">'Attachment 11 - TEC'!$C:$D</definedName>
    <definedName name="_xlnm.Print_Titles" localSheetId="18">'Attachment 12 - TEC True-up'!$C:$D</definedName>
    <definedName name="Print1" localSheetId="26">#REF!</definedName>
    <definedName name="Print1" localSheetId="2">#REF!</definedName>
    <definedName name="Print1" localSheetId="7">#REF!</definedName>
    <definedName name="Print1">#REF!</definedName>
    <definedName name="Print3" localSheetId="26">#REF!</definedName>
    <definedName name="Print3" localSheetId="2">#REF!</definedName>
    <definedName name="Print3" localSheetId="7">#REF!</definedName>
    <definedName name="Print3">#REF!</definedName>
    <definedName name="Print4" localSheetId="26">#REF!</definedName>
    <definedName name="Print4" localSheetId="2">#REF!</definedName>
    <definedName name="Print4" localSheetId="7">#REF!</definedName>
    <definedName name="Print4">#REF!</definedName>
    <definedName name="Print5" localSheetId="26">#REF!</definedName>
    <definedName name="Print5" localSheetId="2">#REF!</definedName>
    <definedName name="Print5" localSheetId="7">#REF!</definedName>
    <definedName name="Print5">#REF!</definedName>
    <definedName name="Proj_PIS">'[4]Final Summary Sheet'!$AB$132:$AM$141</definedName>
    <definedName name="Projection">"Projection"</definedName>
    <definedName name="ProjIDList" localSheetId="26">#REF!</definedName>
    <definedName name="ProjIDList" localSheetId="2">#REF!</definedName>
    <definedName name="ProjIDList" localSheetId="7">#REF!</definedName>
    <definedName name="ProjIDList">#REF!</definedName>
    <definedName name="PROSPECT" localSheetId="26">#REF!</definedName>
    <definedName name="PROSPECT" localSheetId="2">#REF!</definedName>
    <definedName name="PROSPECT" localSheetId="7">#REF!</definedName>
    <definedName name="PROSPECT">#REF!</definedName>
    <definedName name="PSCo_COS" localSheetId="26">#REF!</definedName>
    <definedName name="PSCo_COS" localSheetId="2">#REF!</definedName>
    <definedName name="PSCo_COS" localSheetId="7">#REF!</definedName>
    <definedName name="PSCo_COS">#REF!</definedName>
    <definedName name="q_MTEP06_App_AB_Facility" localSheetId="26">#REF!</definedName>
    <definedName name="q_MTEP06_App_AB_Facility" localSheetId="2">#REF!</definedName>
    <definedName name="q_MTEP06_App_AB_Facility" localSheetId="7">#REF!</definedName>
    <definedName name="q_MTEP06_App_AB_Facility">#REF!</definedName>
    <definedName name="q_MTEP06_App_AB_Projects" localSheetId="26">#REF!</definedName>
    <definedName name="q_MTEP06_App_AB_Projects" localSheetId="2">#REF!</definedName>
    <definedName name="q_MTEP06_App_AB_Projects" localSheetId="7">#REF!</definedName>
    <definedName name="q_MTEP06_App_AB_Projects">#REF!</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6">#REF!</definedName>
    <definedName name="revreq" localSheetId="2">#REF!</definedName>
    <definedName name="revreq" localSheetId="7">#REF!</definedName>
    <definedName name="revreq">#REF!</definedName>
    <definedName name="right">OFFSET(!A1,0,1)</definedName>
    <definedName name="SAPBEXrevision" hidden="1">1</definedName>
    <definedName name="SAPBEXsysID" hidden="1">"BWP"</definedName>
    <definedName name="SAPBEXwbID" hidden="1">"45EQYSCWE9WJMGB34OOD1BOQZ"</definedName>
    <definedName name="SEVILLE" localSheetId="26">#REF!</definedName>
    <definedName name="SEVILLE" localSheetId="2">#REF!</definedName>
    <definedName name="SEVILLE" localSheetId="7">#REF!</definedName>
    <definedName name="SEVILLE">#REF!</definedName>
    <definedName name="shit" hidden="1">{"PRINT",#N/A,TRUE,"APPA";"PRINT",#N/A,TRUE,"APS";"PRINT",#N/A,TRUE,"BHPL";"PRINT",#N/A,TRUE,"BHPL2";"PRINT",#N/A,TRUE,"CDWR";"PRINT",#N/A,TRUE,"EWEB";"PRINT",#N/A,TRUE,"LADWP";"PRINT",#N/A,TRUE,"NEVBASE"}</definedName>
    <definedName name="SOUTH_VIENNA" localSheetId="26">#REF!</definedName>
    <definedName name="SOUTH_VIENNA" localSheetId="2">#REF!</definedName>
    <definedName name="SOUTH_VIENNA" localSheetId="7">#REF!</definedName>
    <definedName name="SOUTH_VIENNA">#REF!</definedName>
    <definedName name="SPS_COS" localSheetId="26">#REF!</definedName>
    <definedName name="SPS_COS" localSheetId="2">#REF!</definedName>
    <definedName name="SPS_COS" localSheetId="7">#REF!</definedName>
    <definedName name="SPS_COS">#REF!</definedName>
    <definedName name="TEST0">#REF!</definedName>
    <definedName name="TESTHKEY">#REF!</definedName>
    <definedName name="TESTKEYS">#REF!</definedName>
    <definedName name="TESTVKEY">#REF!</definedName>
    <definedName name="Toggle">Projection</definedName>
    <definedName name="Toggle.list">'[3]Appendix A'!$P$5:$P$6</definedName>
    <definedName name="TOTAL_COLUMBIANA" localSheetId="26">#REF!</definedName>
    <definedName name="TOTAL_COLUMBIANA" localSheetId="2">#REF!</definedName>
    <definedName name="TOTAL_COLUMBIANA" localSheetId="7">#REF!</definedName>
    <definedName name="TOTAL_COLUMBIANA">#REF!</definedName>
    <definedName name="Total_Grove_City" localSheetId="26">#REF!</definedName>
    <definedName name="Total_Grove_City" localSheetId="2">#REF!</definedName>
    <definedName name="Total_Grove_City" localSheetId="7">#REF!</definedName>
    <definedName name="Total_Grove_City">#REF!</definedName>
    <definedName name="TOTAL_HUDSON" localSheetId="26">#REF!</definedName>
    <definedName name="TOTAL_HUDSON" localSheetId="2">#REF!</definedName>
    <definedName name="TOTAL_HUDSON" localSheetId="7">#REF!</definedName>
    <definedName name="TOTAL_HUDSON">#REF!</definedName>
    <definedName name="TOTAL_MONTPELIER" localSheetId="26">#REF!</definedName>
    <definedName name="TOTAL_MONTPELIER" localSheetId="2">#REF!</definedName>
    <definedName name="TOTAL_MONTPELIER" localSheetId="7">#REF!</definedName>
    <definedName name="TOTAL_MONTPELIER">#REF!</definedName>
    <definedName name="TOTAL_WOODVILLE" localSheetId="26">#REF!</definedName>
    <definedName name="TOTAL_WOODVILLE" localSheetId="2">#REF!</definedName>
    <definedName name="TOTAL_WOODVILLE" localSheetId="7">#REF!</definedName>
    <definedName name="TOTAL_WOODVILLE">#REF!</definedName>
    <definedName name="transmission.fixed.charge.rate">0.1525</definedName>
    <definedName name="True_up">'[3]Appendix A'!$P$6</definedName>
    <definedName name="WADSWORTH" localSheetId="26">#REF!</definedName>
    <definedName name="WADSWORTH" localSheetId="2">#REF!</definedName>
    <definedName name="WADSWORTH" localSheetId="7">#REF!</definedName>
    <definedName name="WADSWORTH">#REF!</definedName>
    <definedName name="WELLINGTON" localSheetId="26">#REF!</definedName>
    <definedName name="WELLINGTON" localSheetId="2">#REF!</definedName>
    <definedName name="WELLINGTON" localSheetId="7">#REF!</definedName>
    <definedName name="WELLINGTON">#REF!</definedName>
    <definedName name="wrn.All._.Pages." hidden="1">{#N/A,#N/A,FALSE,"Cover";#N/A,#N/A,FALSE,"Lead Sheet";#N/A,#N/A,FALSE,"T-Accounts";#N/A,#N/A,FALSE,"Ins &amp; Prem ActualEstimates"}</definedName>
    <definedName name="wrn.Factors._.Tab._.10." hidden="1">{"Factors Pages 1-2",#N/A,FALSE,"Factors";"Factors Page 3",#N/A,FALSE,"Factors";"Factors Page 4",#N/A,FALSE,"Factors";"Factors Page 5",#N/A,FALSE,"Factors";"Factors Pages 8-27",#N/A,FALSE,"Factors"}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 name="Xcel" localSheetId="14">'[5]Data Entry and Forecaster'!#REF!</definedName>
    <definedName name="Xcel" localSheetId="18">'[5]Data Entry and Forecaster'!#REF!</definedName>
    <definedName name="Xcel" localSheetId="26">'[5]Data Entry and Forecaster'!#REF!</definedName>
    <definedName name="Xcel" localSheetId="7">'[5]Data Entry and Forecaster'!#REF!</definedName>
    <definedName name="Xcel" localSheetId="12">'[5]Data Entry and Forecaster'!#REF!</definedName>
    <definedName name="Xcel" localSheetId="13">'[5]Data Entry and Forecaster'!#REF!</definedName>
    <definedName name="Xcel">'[5]Data Entry and Forecaster'!#REF!</definedName>
    <definedName name="Xcel_COS" localSheetId="26">#REF!</definedName>
    <definedName name="Xcel_COS" localSheetId="2">#REF!</definedName>
    <definedName name="Xcel_COS" localSheetId="7">#REF!</definedName>
    <definedName name="Xcel_COS">#REF!</definedName>
    <definedName name="Z_28948E05_8F34_4F1E_96FB_A80A6A844600_.wvu.Cols" localSheetId="16" hidden="1">'Attachment 11 - TEC'!#REF!</definedName>
    <definedName name="Z_28948E05_8F34_4F1E_96FB_A80A6A844600_.wvu.Cols" localSheetId="18" hidden="1">'Attachment 12 - TEC True-up'!#REF!</definedName>
    <definedName name="Z_28948E05_8F34_4F1E_96FB_A80A6A844600_.wvu.Cols" localSheetId="8" hidden="1">'Attachment 5a - ADIT Detail'!$G:$G</definedName>
    <definedName name="Z_28948E05_8F34_4F1E_96FB_A80A6A844600_.wvu.PrintArea" localSheetId="8" hidden="1">'Attachment 5a - ADIT Detail'!$B$1:$K$142</definedName>
    <definedName name="Z_28948E05_8F34_4F1E_96FB_A80A6A844600_.wvu.PrintTitles" localSheetId="16" hidden="1">'Attachment 11 - TEC'!$C:$D</definedName>
    <definedName name="Z_28948E05_8F34_4F1E_96FB_A80A6A844600_.wvu.PrintTitles" localSheetId="18" hidden="1">'Attachment 12 - TEC True-up'!$C:$D</definedName>
    <definedName name="Z_28948E05_8F34_4F1E_96FB_A80A6A844600_.wvu.Rows" localSheetId="2" hidden="1">'Attachment 2 - ROE Calcs'!#REF!,'Attachment 2 - ROE Calcs'!#REF!</definedName>
    <definedName name="Z_3A38DF7A_C35E_4DD3_9893_26310A3EF836_.wvu.Cols" localSheetId="16" hidden="1">'Attachment 11 - TEC'!#REF!</definedName>
    <definedName name="Z_3A38DF7A_C35E_4DD3_9893_26310A3EF836_.wvu.Cols" localSheetId="18" hidden="1">'Attachment 12 - TEC True-up'!#REF!</definedName>
    <definedName name="Z_3A38DF7A_C35E_4DD3_9893_26310A3EF836_.wvu.PrintTitles" localSheetId="16" hidden="1">'Attachment 11 - TEC'!$C:$D</definedName>
    <definedName name="Z_3A38DF7A_C35E_4DD3_9893_26310A3EF836_.wvu.PrintTitles" localSheetId="18" hidden="1">'Attachment 12 - TEC True-up'!$C:$D</definedName>
    <definedName name="Z_3A38DF7A_C35E_4DD3_9893_26310A3EF836_.wvu.Rows" localSheetId="2" hidden="1">'Attachment 2 - ROE Calcs'!#REF!</definedName>
    <definedName name="Z_4C7C2344_134C_465A_ADEB_A5E96AAE2308_.wvu.Cols" localSheetId="16" hidden="1">'Attachment 11 - TEC'!#REF!</definedName>
    <definedName name="Z_4C7C2344_134C_465A_ADEB_A5E96AAE2308_.wvu.Cols" localSheetId="18" hidden="1">'Attachment 12 - TEC True-up'!#REF!</definedName>
    <definedName name="Z_4C7C2344_134C_465A_ADEB_A5E96AAE2308_.wvu.PrintTitles" localSheetId="16" hidden="1">'Attachment 11 - TEC'!$C:$D</definedName>
    <definedName name="Z_4C7C2344_134C_465A_ADEB_A5E96AAE2308_.wvu.PrintTitles" localSheetId="18" hidden="1">'Attachment 12 - TEC True-up'!$C:$D</definedName>
    <definedName name="Z_4C7C2344_134C_465A_ADEB_A5E96AAE2308_.wvu.Rows" localSheetId="2" hidden="1">'Attachment 2 - ROE Calcs'!#REF!</definedName>
    <definedName name="Z_63011E91_4609_4523_98FE_FD252E915668_.wvu.Cols" localSheetId="8" hidden="1">'Attachment 5a - ADIT Detail'!$G:$G</definedName>
    <definedName name="Z_63011E91_4609_4523_98FE_FD252E915668_.wvu.PrintArea" localSheetId="8" hidden="1">'Attachment 5a - ADIT Detail'!$B$1:$K$142</definedName>
    <definedName name="Z_6928E596_79BD_4CEC_9F0D_07E62D69B2A5_.wvu.Cols" localSheetId="8" hidden="1">'Attachment 5a - ADIT Detail'!$G:$G</definedName>
    <definedName name="Z_6928E596_79BD_4CEC_9F0D_07E62D69B2A5_.wvu.PrintArea" localSheetId="8" hidden="1">'Attachment 5a - ADIT Detail'!$B$1:$K$142</definedName>
    <definedName name="Z_71B42B22_A376_44B5_B0C1_23FC1AA3DBA2_.wvu.Cols" localSheetId="16" hidden="1">'Attachment 11 - TEC'!#REF!</definedName>
    <definedName name="Z_71B42B22_A376_44B5_B0C1_23FC1AA3DBA2_.wvu.Cols" localSheetId="18" hidden="1">'Attachment 12 - TEC True-up'!#REF!</definedName>
    <definedName name="Z_71B42B22_A376_44B5_B0C1_23FC1AA3DBA2_.wvu.Cols" localSheetId="8" hidden="1">'Attachment 5a - ADIT Detail'!$G:$G</definedName>
    <definedName name="Z_71B42B22_A376_44B5_B0C1_23FC1AA3DBA2_.wvu.PrintArea" localSheetId="8" hidden="1">'Attachment 5a - ADIT Detail'!$B$1:$K$142</definedName>
    <definedName name="Z_71B42B22_A376_44B5_B0C1_23FC1AA3DBA2_.wvu.PrintTitles" localSheetId="16" hidden="1">'Attachment 11 - TEC'!$C:$D</definedName>
    <definedName name="Z_71B42B22_A376_44B5_B0C1_23FC1AA3DBA2_.wvu.PrintTitles" localSheetId="18" hidden="1">'Attachment 12 - TEC True-up'!$C:$D</definedName>
    <definedName name="Z_71B42B22_A376_44B5_B0C1_23FC1AA3DBA2_.wvu.Rows" localSheetId="2" hidden="1">'Attachment 2 - ROE Calcs'!#REF!,'Attachment 2 - ROE Calcs'!#REF!</definedName>
    <definedName name="Z_8FBB4DC9_2D51_4AB9_80D8_F8474B404C29_.wvu.Cols" localSheetId="8" hidden="1">'Attachment 5a - ADIT Detail'!$G:$G</definedName>
    <definedName name="Z_8FBB4DC9_2D51_4AB9_80D8_F8474B404C29_.wvu.PrintArea" localSheetId="8" hidden="1">'Attachment 5a - ADIT Detail'!$B$1:$K$142</definedName>
    <definedName name="Z_B647CB7F_C846_4278_B6B1_1EF7F3C004F5_.wvu.Cols" localSheetId="8" hidden="1">'Attachment 5a - ADIT Detail'!$G:$G</definedName>
    <definedName name="Z_B647CB7F_C846_4278_B6B1_1EF7F3C004F5_.wvu.PrintArea" localSheetId="8" hidden="1">'Attachment 5a - ADIT Detail'!$B$1:$K$142</definedName>
    <definedName name="Z_DA967730_B71F_4038_B1B7_9D4790729C5D_.wvu.Cols" localSheetId="16" hidden="1">'Attachment 11 - TEC'!#REF!</definedName>
    <definedName name="Z_DA967730_B71F_4038_B1B7_9D4790729C5D_.wvu.Cols" localSheetId="18" hidden="1">'Attachment 12 - TEC True-up'!#REF!</definedName>
    <definedName name="Z_DA967730_B71F_4038_B1B7_9D4790729C5D_.wvu.PrintTitles" localSheetId="16" hidden="1">'Attachment 11 - TEC'!$C:$D</definedName>
    <definedName name="Z_DA967730_B71F_4038_B1B7_9D4790729C5D_.wvu.PrintTitles" localSheetId="18" hidden="1">'Attachment 12 - TEC True-up'!$C:$D</definedName>
    <definedName name="Z_DA967730_B71F_4038_B1B7_9D4790729C5D_.wvu.Rows" localSheetId="2" hidden="1">'Attachment 2 - ROE Calcs'!#REF!</definedName>
    <definedName name="Z_DC91DEF3_837B_4BB9_A81E_3B78C5914E6C_.wvu.Cols" localSheetId="16" hidden="1">'Attachment 11 - TEC'!#REF!</definedName>
    <definedName name="Z_DC91DEF3_837B_4BB9_A81E_3B78C5914E6C_.wvu.Cols" localSheetId="18" hidden="1">'Attachment 12 - TEC True-up'!#REF!</definedName>
    <definedName name="Z_DC91DEF3_837B_4BB9_A81E_3B78C5914E6C_.wvu.Cols" localSheetId="8" hidden="1">'Attachment 5a - ADIT Detail'!$G:$G</definedName>
    <definedName name="Z_DC91DEF3_837B_4BB9_A81E_3B78C5914E6C_.wvu.PrintArea" localSheetId="8" hidden="1">'Attachment 5a - ADIT Detail'!$B$1:$K$142</definedName>
    <definedName name="Z_DC91DEF3_837B_4BB9_A81E_3B78C5914E6C_.wvu.PrintTitles" localSheetId="16" hidden="1">'Attachment 11 - TEC'!$C:$D</definedName>
    <definedName name="Z_DC91DEF3_837B_4BB9_A81E_3B78C5914E6C_.wvu.PrintTitles" localSheetId="18" hidden="1">'Attachment 12 - TEC True-up'!$C:$D</definedName>
    <definedName name="Z_DC91DEF3_837B_4BB9_A81E_3B78C5914E6C_.wvu.Rows" localSheetId="2" hidden="1">'Attachment 2 - ROE Calcs'!#REF!</definedName>
    <definedName name="Z_E1861F40_EBD5_44AE_868B_FDE0ED504D72_.wvu.PrintArea" localSheetId="1" hidden="1">'Attachment 1 - Sched 1A'!$B$1:$I$18</definedName>
    <definedName name="Z_E1861F40_EBD5_44AE_868B_FDE0ED504D72_.wvu.PrintArea" localSheetId="16" hidden="1">'Attachment 11 - TEC'!$A$1:$O$86</definedName>
    <definedName name="Z_E1861F40_EBD5_44AE_868B_FDE0ED504D72_.wvu.PrintArea" localSheetId="18" hidden="1">'Attachment 12 - TEC True-up'!$A$1:$L$37</definedName>
    <definedName name="Z_E1861F40_EBD5_44AE_868B_FDE0ED504D72_.wvu.PrintArea" localSheetId="0" hidden="1">'Attachment H-11A '!$A$1:$K$320</definedName>
    <definedName name="Z_E1861F40_EBD5_44AE_868B_FDE0ED504D72_.wvu.PrintTitles" localSheetId="16" hidden="1">'Attachment 11 - TEC'!$C:$D</definedName>
    <definedName name="Z_E1861F40_EBD5_44AE_868B_FDE0ED504D72_.wvu.PrintTitles" localSheetId="18" hidden="1">'Attachment 12 - TEC True-up'!$C:$D</definedName>
    <definedName name="Z_F96D6087_3330_4A81_95EC_26BA83722A49_.wvu.Cols" localSheetId="16" hidden="1">'Attachment 11 - TEC'!#REF!</definedName>
    <definedName name="Z_F96D6087_3330_4A81_95EC_26BA83722A49_.wvu.Cols" localSheetId="18" hidden="1">'Attachment 12 - TEC True-up'!#REF!</definedName>
    <definedName name="Z_F96D6087_3330_4A81_95EC_26BA83722A49_.wvu.PrintTitles" localSheetId="16" hidden="1">'Attachment 11 - TEC'!$C:$D</definedName>
    <definedName name="Z_F96D6087_3330_4A81_95EC_26BA83722A49_.wvu.PrintTitles" localSheetId="18" hidden="1">'Attachment 12 - TEC True-up'!$C:$D</definedName>
    <definedName name="Z_F96D6087_3330_4A81_95EC_26BA83722A49_.wvu.Rows" localSheetId="2" hidden="1">'Attachment 2 - ROE Calcs'!#REF!</definedName>
    <definedName name="Z_FAAD9AAC_1337_43AB_BF1F_CCF9DFCF5B78_.wvu.Cols" localSheetId="16" hidden="1">'Attachment 11 - TEC'!#REF!</definedName>
    <definedName name="Z_FAAD9AAC_1337_43AB_BF1F_CCF9DFCF5B78_.wvu.Cols" localSheetId="18" hidden="1">'Attachment 12 - TEC True-up'!#REF!</definedName>
    <definedName name="Z_FAAD9AAC_1337_43AB_BF1F_CCF9DFCF5B78_.wvu.Cols" localSheetId="8" hidden="1">'Attachment 5a - ADIT Detail'!$G:$G</definedName>
    <definedName name="Z_FAAD9AAC_1337_43AB_BF1F_CCF9DFCF5B78_.wvu.PrintArea" localSheetId="8" hidden="1">'Attachment 5a - ADIT Detail'!$B$1:$K$142</definedName>
    <definedName name="Z_FAAD9AAC_1337_43AB_BF1F_CCF9DFCF5B78_.wvu.PrintTitles" localSheetId="16" hidden="1">'Attachment 11 - TEC'!$C:$D</definedName>
    <definedName name="Z_FAAD9AAC_1337_43AB_BF1F_CCF9DFCF5B78_.wvu.PrintTitles" localSheetId="18" hidden="1">'Attachment 12 - TEC True-up'!$C:$D</definedName>
    <definedName name="Z_FAAD9AAC_1337_43AB_BF1F_CCF9DFCF5B78_.wvu.Rows" localSheetId="2" hidden="1">'Attachment 2 - ROE Calcs'!#REF!</definedName>
  </definedNames>
  <calcPr calcId="191029"/>
  <customWorkbookViews>
    <customWorkbookView name="Schock, Michael C - Personal View" guid="{E1861F40-EBD5-44AE-868B-FDE0ED504D72}" mergeInterval="0" personalView="1" maximized="1" xWindow="-8" yWindow="-8" windowWidth="1696" windowHeight="1026" tabRatio="92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49" i="67" l="1"/>
  <c r="C135" i="38" l="1"/>
  <c r="C136" i="38"/>
  <c r="C137" i="38"/>
  <c r="C138" i="38"/>
  <c r="C134" i="38"/>
  <c r="C96" i="38"/>
  <c r="C97" i="38"/>
  <c r="C98" i="38"/>
  <c r="C99" i="38"/>
  <c r="C100" i="38"/>
  <c r="C101" i="38"/>
  <c r="C102" i="38"/>
  <c r="C103" i="38"/>
  <c r="C104" i="38"/>
  <c r="C105" i="38"/>
  <c r="C106" i="38"/>
  <c r="C107" i="38"/>
  <c r="C108" i="38"/>
  <c r="C95" i="38"/>
  <c r="C55" i="38"/>
  <c r="C56" i="38"/>
  <c r="C57" i="38"/>
  <c r="C58" i="38"/>
  <c r="C59" i="38"/>
  <c r="C60" i="38"/>
  <c r="C61" i="38"/>
  <c r="C62" i="38"/>
  <c r="C63" i="38"/>
  <c r="C64" i="38"/>
  <c r="C65" i="38"/>
  <c r="C66" i="38"/>
  <c r="C67" i="38"/>
  <c r="C54" i="38"/>
  <c r="U41" i="67" l="1"/>
  <c r="D150" i="1" l="1"/>
  <c r="G47" i="42" l="1"/>
  <c r="G48" i="42"/>
  <c r="G49" i="42"/>
  <c r="G50" i="42"/>
  <c r="G51" i="42"/>
  <c r="G46" i="42"/>
  <c r="D47" i="42"/>
  <c r="D48" i="42"/>
  <c r="D49" i="42"/>
  <c r="D50" i="42"/>
  <c r="D51" i="42"/>
  <c r="D46" i="42"/>
  <c r="B47" i="42"/>
  <c r="B48" i="42"/>
  <c r="B49" i="42"/>
  <c r="B50" i="42"/>
  <c r="B51" i="42"/>
  <c r="B46" i="42"/>
  <c r="A47" i="42"/>
  <c r="A48" i="42"/>
  <c r="A49" i="42"/>
  <c r="A50" i="42"/>
  <c r="A51" i="42"/>
  <c r="D212" i="1" l="1"/>
  <c r="A27" i="66" l="1"/>
  <c r="Y51" i="42" l="1"/>
  <c r="S51" i="42"/>
  <c r="K24" i="42" s="1"/>
  <c r="Q24" i="42"/>
  <c r="I24" i="42"/>
  <c r="U51" i="42" l="1"/>
  <c r="AA51" i="42" s="1"/>
  <c r="U24" i="42" s="1"/>
  <c r="I62" i="13" l="1"/>
  <c r="F22" i="13"/>
  <c r="J41" i="13"/>
  <c r="I41" i="13"/>
  <c r="I32" i="40"/>
  <c r="H32" i="40"/>
  <c r="K46" i="67" l="1"/>
  <c r="G28" i="40" l="1"/>
  <c r="F110" i="38"/>
  <c r="H24" i="40"/>
  <c r="C110" i="38" l="1"/>
  <c r="F69" i="38" l="1"/>
  <c r="C69" i="38"/>
  <c r="H54" i="61" l="1"/>
  <c r="E50" i="61"/>
  <c r="I37" i="61" l="1"/>
  <c r="I14" i="61" l="1"/>
  <c r="I15" i="61"/>
  <c r="I16" i="61"/>
  <c r="I17" i="61"/>
  <c r="I18" i="61"/>
  <c r="I19" i="61"/>
  <c r="I20" i="61"/>
  <c r="I21" i="61"/>
  <c r="I22" i="61"/>
  <c r="I23" i="61"/>
  <c r="I24" i="61"/>
  <c r="I25" i="61"/>
  <c r="I26" i="61"/>
  <c r="I27" i="61"/>
  <c r="I28" i="61"/>
  <c r="I13" i="61"/>
  <c r="C61" i="66" l="1"/>
  <c r="I271" i="1" l="1"/>
  <c r="I31" i="61"/>
  <c r="I201" i="1" l="1"/>
  <c r="F17" i="69" l="1"/>
  <c r="F17" i="68"/>
  <c r="E42" i="61" l="1"/>
  <c r="D16" i="27"/>
  <c r="M52" i="67" l="1"/>
  <c r="K52" i="67"/>
  <c r="I52" i="67"/>
  <c r="I32" i="67"/>
  <c r="I200" i="1" s="1"/>
  <c r="AA26" i="65"/>
  <c r="Y46" i="42" l="1"/>
  <c r="J1" i="69" l="1"/>
  <c r="A71" i="69"/>
  <c r="A70" i="69"/>
  <c r="A69" i="69"/>
  <c r="A65" i="69"/>
  <c r="A63" i="69"/>
  <c r="A50" i="69"/>
  <c r="A46" i="69"/>
  <c r="A44" i="69"/>
  <c r="A31" i="69"/>
  <c r="A29" i="69"/>
  <c r="D18" i="69"/>
  <c r="B18" i="69"/>
  <c r="B19" i="69" s="1"/>
  <c r="B20" i="69" s="1"/>
  <c r="B21" i="69" s="1"/>
  <c r="B22" i="69" s="1"/>
  <c r="B23" i="69" s="1"/>
  <c r="B24" i="69" s="1"/>
  <c r="B25" i="69" s="1"/>
  <c r="B26" i="69" s="1"/>
  <c r="B27" i="69" s="1"/>
  <c r="B28" i="69" s="1"/>
  <c r="B32" i="69" s="1"/>
  <c r="B33" i="69" s="1"/>
  <c r="B34" i="69" s="1"/>
  <c r="B35" i="69" s="1"/>
  <c r="B36" i="69" s="1"/>
  <c r="B37" i="69" s="1"/>
  <c r="B38" i="69" s="1"/>
  <c r="B39" i="69" s="1"/>
  <c r="B40" i="69" s="1"/>
  <c r="B41" i="69" s="1"/>
  <c r="B42" i="69" s="1"/>
  <c r="B43" i="69" s="1"/>
  <c r="B51" i="69" s="1"/>
  <c r="B52" i="69" s="1"/>
  <c r="B53" i="69" s="1"/>
  <c r="B54" i="69" s="1"/>
  <c r="B55" i="69" s="1"/>
  <c r="B56" i="69" s="1"/>
  <c r="B57" i="69" s="1"/>
  <c r="B58" i="69" s="1"/>
  <c r="B59" i="69" s="1"/>
  <c r="B60" i="69" s="1"/>
  <c r="B61" i="69" s="1"/>
  <c r="B62" i="69" s="1"/>
  <c r="G17" i="69"/>
  <c r="G18" i="69" s="1"/>
  <c r="A18" i="69" s="1"/>
  <c r="H17" i="69"/>
  <c r="E10" i="69"/>
  <c r="C10" i="69"/>
  <c r="J3" i="69"/>
  <c r="D19" i="69" l="1"/>
  <c r="F19" i="69" s="1"/>
  <c r="F18" i="69"/>
  <c r="G19" i="69"/>
  <c r="H18" i="69"/>
  <c r="D20" i="69" l="1"/>
  <c r="F20" i="69" s="1"/>
  <c r="A19" i="69"/>
  <c r="H19" i="69"/>
  <c r="I19" i="69" s="1"/>
  <c r="G20" i="69" s="1"/>
  <c r="D21" i="69" l="1"/>
  <c r="F21" i="69" s="1"/>
  <c r="A20" i="69"/>
  <c r="G21" i="69"/>
  <c r="H20" i="69"/>
  <c r="D22" i="69"/>
  <c r="F22" i="69" s="1"/>
  <c r="H21" i="69" l="1"/>
  <c r="D23" i="69"/>
  <c r="F23" i="69" s="1"/>
  <c r="A21" i="69"/>
  <c r="G22" i="69"/>
  <c r="H22" i="69" l="1"/>
  <c r="I22" i="69" s="1"/>
  <c r="G23" i="69" s="1"/>
  <c r="A22" i="69"/>
  <c r="D24" i="69"/>
  <c r="F24" i="69" s="1"/>
  <c r="H23" i="69" l="1"/>
  <c r="G24" i="69"/>
  <c r="H24" i="69" s="1"/>
  <c r="A23" i="69"/>
  <c r="D25" i="69"/>
  <c r="F25" i="69" s="1"/>
  <c r="D26" i="69" l="1"/>
  <c r="F26" i="69" s="1"/>
  <c r="A24" i="69"/>
  <c r="G25" i="69"/>
  <c r="H25" i="69" l="1"/>
  <c r="I25" i="69" s="1"/>
  <c r="G26" i="69" s="1"/>
  <c r="A25" i="69"/>
  <c r="D27" i="69"/>
  <c r="F27" i="69" s="1"/>
  <c r="H26" i="69" l="1"/>
  <c r="D28" i="69"/>
  <c r="F28" i="69" s="1"/>
  <c r="G27" i="69"/>
  <c r="A26" i="69"/>
  <c r="H27" i="69" l="1"/>
  <c r="A27" i="69"/>
  <c r="G28" i="69"/>
  <c r="D32" i="69"/>
  <c r="F32" i="69" s="1"/>
  <c r="H28" i="69" l="1"/>
  <c r="I28" i="69" s="1"/>
  <c r="D33" i="69"/>
  <c r="F33" i="69" s="1"/>
  <c r="G30" i="69"/>
  <c r="A28" i="69"/>
  <c r="G32" i="69" l="1"/>
  <c r="H32" i="69" s="1"/>
  <c r="A30" i="69"/>
  <c r="D34" i="69"/>
  <c r="F34" i="69" s="1"/>
  <c r="D35" i="69" l="1"/>
  <c r="F35" i="69" s="1"/>
  <c r="G33" i="69"/>
  <c r="A32" i="69"/>
  <c r="D36" i="69" l="1"/>
  <c r="F36" i="69" s="1"/>
  <c r="G34" i="69"/>
  <c r="A33" i="69"/>
  <c r="H33" i="69"/>
  <c r="A34" i="69" l="1"/>
  <c r="D37" i="69"/>
  <c r="F37" i="69" s="1"/>
  <c r="H34" i="69"/>
  <c r="I34" i="69" s="1"/>
  <c r="G35" i="69" s="1"/>
  <c r="G36" i="69" l="1"/>
  <c r="H36" i="69" s="1"/>
  <c r="A35" i="69"/>
  <c r="H35" i="69"/>
  <c r="D38" i="69"/>
  <c r="F38" i="69" s="1"/>
  <c r="D39" i="69" l="1"/>
  <c r="F39" i="69" s="1"/>
  <c r="G37" i="69"/>
  <c r="A36" i="69"/>
  <c r="A37" i="69" l="1"/>
  <c r="H37" i="69"/>
  <c r="I37" i="69" s="1"/>
  <c r="G38" i="69" s="1"/>
  <c r="D40" i="69"/>
  <c r="F40" i="69" s="1"/>
  <c r="G39" i="69" l="1"/>
  <c r="H39" i="69" s="1"/>
  <c r="A38" i="69"/>
  <c r="H38" i="69"/>
  <c r="D41" i="69"/>
  <c r="F41" i="69" s="1"/>
  <c r="D42" i="69" l="1"/>
  <c r="F42" i="69" s="1"/>
  <c r="D51" i="69"/>
  <c r="F51" i="69" s="1"/>
  <c r="A39" i="69"/>
  <c r="G40" i="69"/>
  <c r="A40" i="69" l="1"/>
  <c r="D52" i="69"/>
  <c r="F52" i="69" s="1"/>
  <c r="D43" i="69"/>
  <c r="F43" i="69" s="1"/>
  <c r="H40" i="69"/>
  <c r="I40" i="69" s="1"/>
  <c r="G41" i="69" s="1"/>
  <c r="A41" i="69" l="1"/>
  <c r="G42" i="69"/>
  <c r="H42" i="69" s="1"/>
  <c r="H41" i="69"/>
  <c r="D53" i="69"/>
  <c r="F53" i="69" s="1"/>
  <c r="D54" i="69" l="1"/>
  <c r="F54" i="69" s="1"/>
  <c r="G43" i="69"/>
  <c r="A42" i="69"/>
  <c r="A43" i="69" l="1"/>
  <c r="H43" i="69"/>
  <c r="I43" i="69" s="1"/>
  <c r="G45" i="69" s="1"/>
  <c r="D55" i="69"/>
  <c r="F55" i="69" s="1"/>
  <c r="G47" i="69" l="1"/>
  <c r="A45" i="69"/>
  <c r="D56" i="69"/>
  <c r="F56" i="69" s="1"/>
  <c r="D57" i="69" l="1"/>
  <c r="F57" i="69" s="1"/>
  <c r="G49" i="69"/>
  <c r="A47" i="69"/>
  <c r="A48" i="69" s="1"/>
  <c r="G66" i="69" l="1"/>
  <c r="A49" i="69"/>
  <c r="G51" i="69"/>
  <c r="D58" i="69"/>
  <c r="F58" i="69" s="1"/>
  <c r="G52" i="69" l="1"/>
  <c r="A51" i="69"/>
  <c r="H51" i="69"/>
  <c r="D59" i="69"/>
  <c r="F59" i="69" s="1"/>
  <c r="G68" i="69"/>
  <c r="D60" i="69" l="1"/>
  <c r="F60" i="69" s="1"/>
  <c r="A52" i="69"/>
  <c r="G53" i="69"/>
  <c r="H52" i="69"/>
  <c r="A53" i="69" l="1"/>
  <c r="H53" i="69"/>
  <c r="I53" i="69" s="1"/>
  <c r="G54" i="69" s="1"/>
  <c r="D61" i="69"/>
  <c r="F61" i="69" s="1"/>
  <c r="A54" i="69" l="1"/>
  <c r="G55" i="69"/>
  <c r="H54" i="69"/>
  <c r="D62" i="69"/>
  <c r="F62" i="69" s="1"/>
  <c r="G56" i="69" l="1"/>
  <c r="A55" i="69"/>
  <c r="H55" i="69"/>
  <c r="A56" i="69" l="1"/>
  <c r="H56" i="69"/>
  <c r="I56" i="69" s="1"/>
  <c r="G57" i="69" s="1"/>
  <c r="A57" i="69" l="1"/>
  <c r="G58" i="69"/>
  <c r="H57" i="69"/>
  <c r="A58" i="69" l="1"/>
  <c r="G59" i="69"/>
  <c r="H58" i="69"/>
  <c r="A59" i="69" l="1"/>
  <c r="H59" i="69"/>
  <c r="I59" i="69" s="1"/>
  <c r="G60" i="69" s="1"/>
  <c r="A60" i="69" l="1"/>
  <c r="G61" i="69"/>
  <c r="H60" i="69"/>
  <c r="A61" i="69" l="1"/>
  <c r="G62" i="69"/>
  <c r="H61" i="69"/>
  <c r="A62" i="69" l="1"/>
  <c r="H62" i="69"/>
  <c r="I62" i="69" s="1"/>
  <c r="G64" i="69" s="1"/>
  <c r="A64" i="69" l="1"/>
  <c r="A66" i="69" s="1"/>
  <c r="A67" i="69" s="1"/>
  <c r="A68" i="69" s="1"/>
  <c r="A69" i="68"/>
  <c r="A70" i="68"/>
  <c r="A71" i="68"/>
  <c r="A65" i="68"/>
  <c r="A50" i="68"/>
  <c r="A63" i="68"/>
  <c r="A44" i="68"/>
  <c r="A46" i="68"/>
  <c r="A29" i="68"/>
  <c r="A31" i="68"/>
  <c r="G17" i="68"/>
  <c r="G18" i="68" s="1"/>
  <c r="A18" i="68" s="1"/>
  <c r="H17" i="68"/>
  <c r="D18" i="68"/>
  <c r="B18" i="68"/>
  <c r="B19" i="68" s="1"/>
  <c r="B20" i="68" s="1"/>
  <c r="B21" i="68" s="1"/>
  <c r="B22" i="68" s="1"/>
  <c r="B23" i="68" s="1"/>
  <c r="B24" i="68" s="1"/>
  <c r="B25" i="68" s="1"/>
  <c r="B26" i="68" s="1"/>
  <c r="B27" i="68" s="1"/>
  <c r="B28" i="68" s="1"/>
  <c r="B32" i="68" s="1"/>
  <c r="E10" i="68"/>
  <c r="C10" i="68"/>
  <c r="J3" i="68"/>
  <c r="J1" i="68"/>
  <c r="D19" i="68" l="1"/>
  <c r="F18" i="68"/>
  <c r="B33" i="68"/>
  <c r="H18" i="68"/>
  <c r="G19" i="68"/>
  <c r="A19" i="68" s="1"/>
  <c r="D20" i="68" l="1"/>
  <c r="F19" i="68"/>
  <c r="H19" i="68" s="1"/>
  <c r="I19" i="68" s="1"/>
  <c r="G20" i="68" s="1"/>
  <c r="B34" i="68"/>
  <c r="D21" i="68" l="1"/>
  <c r="F20" i="68"/>
  <c r="H20" i="68" s="1"/>
  <c r="B35" i="68"/>
  <c r="G21" i="68"/>
  <c r="A20" i="68"/>
  <c r="F21" i="68" l="1"/>
  <c r="D22" i="68"/>
  <c r="B36" i="68"/>
  <c r="A21" i="68"/>
  <c r="G22" i="68"/>
  <c r="H21" i="68"/>
  <c r="F22" i="68" l="1"/>
  <c r="D23" i="68"/>
  <c r="B37" i="68"/>
  <c r="A22" i="68"/>
  <c r="H22" i="68"/>
  <c r="I22" i="68" s="1"/>
  <c r="G23" i="68" s="1"/>
  <c r="F23" i="68" l="1"/>
  <c r="D24" i="68"/>
  <c r="B38" i="68"/>
  <c r="H23" i="68"/>
  <c r="A23" i="68"/>
  <c r="G24" i="68"/>
  <c r="F24" i="68" l="1"/>
  <c r="D25" i="68"/>
  <c r="B39" i="68"/>
  <c r="A24" i="68"/>
  <c r="H24" i="68"/>
  <c r="G25" i="68"/>
  <c r="F25" i="68" l="1"/>
  <c r="D26" i="68"/>
  <c r="B40" i="68"/>
  <c r="A25" i="68"/>
  <c r="H25" i="68"/>
  <c r="I25" i="68" s="1"/>
  <c r="G26" i="68" s="1"/>
  <c r="F26" i="68" l="1"/>
  <c r="D27" i="68"/>
  <c r="B41" i="68"/>
  <c r="H26" i="68"/>
  <c r="A26" i="68"/>
  <c r="G27" i="68"/>
  <c r="F27" i="68" l="1"/>
  <c r="D28" i="68"/>
  <c r="B42" i="68"/>
  <c r="A27" i="68"/>
  <c r="G28" i="68"/>
  <c r="H27" i="68"/>
  <c r="F28" i="68" l="1"/>
  <c r="D32" i="68"/>
  <c r="B43" i="68"/>
  <c r="H28" i="68"/>
  <c r="I28" i="68" s="1"/>
  <c r="G30" i="68" s="1"/>
  <c r="A28" i="68"/>
  <c r="F32" i="68" l="1"/>
  <c r="D33" i="68"/>
  <c r="B51" i="68"/>
  <c r="G32" i="68"/>
  <c r="A30" i="68"/>
  <c r="F33" i="68" l="1"/>
  <c r="D34" i="68"/>
  <c r="B52" i="68"/>
  <c r="G33" i="68"/>
  <c r="A32" i="68"/>
  <c r="H32" i="68"/>
  <c r="F34" i="68" l="1"/>
  <c r="D35" i="68"/>
  <c r="B53" i="68"/>
  <c r="G34" i="68"/>
  <c r="A33" i="68"/>
  <c r="H33" i="68"/>
  <c r="F35" i="68" l="1"/>
  <c r="D36" i="68"/>
  <c r="B54" i="68"/>
  <c r="H34" i="68"/>
  <c r="I34" i="68" s="1"/>
  <c r="G35" i="68" s="1"/>
  <c r="A34" i="68"/>
  <c r="F36" i="68" l="1"/>
  <c r="D37" i="68"/>
  <c r="B55" i="68"/>
  <c r="G36" i="68"/>
  <c r="A35" i="68"/>
  <c r="H35" i="68"/>
  <c r="F37" i="68" l="1"/>
  <c r="D38" i="68"/>
  <c r="B56" i="68"/>
  <c r="G37" i="68"/>
  <c r="H37" i="68" s="1"/>
  <c r="A36" i="68"/>
  <c r="A37" i="68" s="1"/>
  <c r="H36" i="68"/>
  <c r="F38" i="68" l="1"/>
  <c r="D39" i="68"/>
  <c r="B57" i="68"/>
  <c r="I37" i="68"/>
  <c r="G38" i="68" s="1"/>
  <c r="F39" i="68" l="1"/>
  <c r="D40" i="68"/>
  <c r="B58" i="68"/>
  <c r="A38" i="68"/>
  <c r="G39" i="68"/>
  <c r="H38" i="68"/>
  <c r="F40" i="68" l="1"/>
  <c r="D41" i="68"/>
  <c r="B59" i="68"/>
  <c r="A39" i="68"/>
  <c r="G40" i="68"/>
  <c r="H40" i="68" s="1"/>
  <c r="H39" i="68"/>
  <c r="F41" i="68" l="1"/>
  <c r="D42" i="68"/>
  <c r="D51" i="68"/>
  <c r="B60" i="68"/>
  <c r="A40" i="68"/>
  <c r="I40" i="68"/>
  <c r="G41" i="68" s="1"/>
  <c r="F51" i="68" l="1"/>
  <c r="D52" i="68"/>
  <c r="F42" i="68"/>
  <c r="D43" i="68"/>
  <c r="F43" i="68" s="1"/>
  <c r="B61" i="68"/>
  <c r="A41" i="68"/>
  <c r="G42" i="68"/>
  <c r="H41" i="68"/>
  <c r="F52" i="68" l="1"/>
  <c r="D53" i="68"/>
  <c r="B62" i="68"/>
  <c r="A42" i="68"/>
  <c r="G43" i="68"/>
  <c r="H42" i="68"/>
  <c r="F53" i="68" l="1"/>
  <c r="D54" i="68"/>
  <c r="A43" i="68"/>
  <c r="H43" i="68"/>
  <c r="I43" i="68" s="1"/>
  <c r="G45" i="68" s="1"/>
  <c r="F54" i="68" l="1"/>
  <c r="D55" i="68"/>
  <c r="G47" i="68"/>
  <c r="A45" i="68"/>
  <c r="F55" i="68" l="1"/>
  <c r="D56" i="68"/>
  <c r="A47" i="68"/>
  <c r="G49" i="68"/>
  <c r="G66" i="68" s="1"/>
  <c r="F56" i="68" l="1"/>
  <c r="D57" i="68"/>
  <c r="G68" i="68"/>
  <c r="A49" i="68"/>
  <c r="G51" i="68"/>
  <c r="F57" i="68" l="1"/>
  <c r="D58" i="68"/>
  <c r="A51" i="68"/>
  <c r="H51" i="68"/>
  <c r="G52" i="68"/>
  <c r="F58" i="68" l="1"/>
  <c r="D59" i="68"/>
  <c r="G53" i="68"/>
  <c r="H52" i="68"/>
  <c r="A52" i="68"/>
  <c r="F59" i="68" l="1"/>
  <c r="D60" i="68"/>
  <c r="H53" i="68"/>
  <c r="I53" i="68" s="1"/>
  <c r="G54" i="68" s="1"/>
  <c r="A53" i="68"/>
  <c r="F60" i="68" l="1"/>
  <c r="D61" i="68"/>
  <c r="G55" i="68"/>
  <c r="H54" i="68"/>
  <c r="A54" i="68"/>
  <c r="F61" i="68" l="1"/>
  <c r="D62" i="68"/>
  <c r="F62" i="68" s="1"/>
  <c r="A55" i="68"/>
  <c r="H55" i="68"/>
  <c r="G56" i="68"/>
  <c r="H56" i="68" l="1"/>
  <c r="I56" i="68" s="1"/>
  <c r="G57" i="68" s="1"/>
  <c r="A56" i="68"/>
  <c r="H57" i="68" l="1"/>
  <c r="A57" i="68"/>
  <c r="G58" i="68"/>
  <c r="H58" i="68" l="1"/>
  <c r="A58" i="68"/>
  <c r="G59" i="68"/>
  <c r="H59" i="68" l="1"/>
  <c r="I59" i="68" s="1"/>
  <c r="G60" i="68" s="1"/>
  <c r="A59" i="68"/>
  <c r="H60" i="68" l="1"/>
  <c r="A60" i="68"/>
  <c r="G61" i="68"/>
  <c r="H61" i="68" l="1"/>
  <c r="A61" i="68"/>
  <c r="G62" i="68"/>
  <c r="A62" i="68" l="1"/>
  <c r="H62" i="68"/>
  <c r="I62" i="68" s="1"/>
  <c r="G64" i="68" s="1"/>
  <c r="A64" i="68" l="1"/>
  <c r="A66" i="68" s="1"/>
  <c r="A67" i="68" s="1"/>
  <c r="A68" i="68" s="1"/>
  <c r="U3" i="67" l="1"/>
  <c r="U1" i="67"/>
  <c r="J67" i="51" l="1"/>
  <c r="J65" i="51"/>
  <c r="J69" i="51" l="1"/>
  <c r="I261" i="1" l="1"/>
  <c r="M5" i="67" l="1"/>
  <c r="O5" i="67" s="1"/>
  <c r="Q5" i="67" s="1"/>
  <c r="S5" i="67" s="1"/>
  <c r="U5" i="67" s="1"/>
  <c r="W5" i="67" s="1"/>
  <c r="O45" i="67"/>
  <c r="O46" i="67"/>
  <c r="S46" i="67" s="1"/>
  <c r="O47" i="67"/>
  <c r="O48" i="67"/>
  <c r="O49" i="67"/>
  <c r="O50" i="67"/>
  <c r="O51" i="67"/>
  <c r="O38" i="67"/>
  <c r="O39" i="67"/>
  <c r="O40" i="67"/>
  <c r="O41" i="67"/>
  <c r="O42" i="67"/>
  <c r="O43" i="67"/>
  <c r="O44" i="67"/>
  <c r="O52" i="67" l="1"/>
  <c r="W46" i="67"/>
  <c r="D17" i="1"/>
  <c r="D118" i="1" l="1"/>
  <c r="A8" i="67"/>
  <c r="G5" i="67"/>
  <c r="I5" i="67" s="1"/>
  <c r="K5" i="67" s="1"/>
  <c r="A9" i="67" l="1"/>
  <c r="A10" i="67" s="1"/>
  <c r="A11" i="67" l="1"/>
  <c r="A12" i="67" l="1"/>
  <c r="A13" i="67" l="1"/>
  <c r="A14" i="67" l="1"/>
  <c r="A15" i="67" l="1"/>
  <c r="A16" i="67" l="1"/>
  <c r="A17" i="67" l="1"/>
  <c r="A18" i="67" l="1"/>
  <c r="A19" i="67" s="1"/>
  <c r="A20" i="67" s="1"/>
  <c r="A21" i="67" s="1"/>
  <c r="A22" i="67" s="1"/>
  <c r="A23" i="67" s="1"/>
  <c r="A24" i="67" s="1"/>
  <c r="A25" i="67" s="1"/>
  <c r="A26" i="67" s="1"/>
  <c r="A27" i="67" s="1"/>
  <c r="A28" i="67" s="1"/>
  <c r="A29" i="67" s="1"/>
  <c r="A30" i="67" s="1"/>
  <c r="A31" i="67" s="1"/>
  <c r="E32" i="67" l="1"/>
  <c r="A32" i="67"/>
  <c r="A38" i="67" l="1"/>
  <c r="A39" i="67" l="1"/>
  <c r="A40" i="67" s="1"/>
  <c r="A41" i="67" s="1"/>
  <c r="A42" i="67" s="1"/>
  <c r="A43" i="67" s="1"/>
  <c r="A44" i="67" s="1"/>
  <c r="A45" i="67" s="1"/>
  <c r="A46" i="67" s="1"/>
  <c r="A47" i="67" s="1"/>
  <c r="A48" i="67" s="1"/>
  <c r="A49" i="67" s="1"/>
  <c r="A50" i="67" s="1"/>
  <c r="A51" i="67" s="1"/>
  <c r="A52" i="67" s="1"/>
  <c r="A54" i="67" l="1"/>
  <c r="W54" i="67"/>
  <c r="E52" i="67"/>
  <c r="AD59" i="66" l="1"/>
  <c r="AB59" i="66"/>
  <c r="Z59" i="66"/>
  <c r="X59" i="66"/>
  <c r="V59" i="66"/>
  <c r="T59" i="66"/>
  <c r="R59" i="66"/>
  <c r="P59" i="66"/>
  <c r="N59" i="66"/>
  <c r="L59" i="66"/>
  <c r="J59" i="66"/>
  <c r="H59" i="66"/>
  <c r="F59" i="66"/>
  <c r="AF58" i="66"/>
  <c r="AF57" i="66"/>
  <c r="AF52" i="66"/>
  <c r="AD47" i="66"/>
  <c r="AB47" i="66"/>
  <c r="Z47" i="66"/>
  <c r="X47" i="66"/>
  <c r="V47" i="66"/>
  <c r="T47" i="66"/>
  <c r="R47" i="66"/>
  <c r="P47" i="66"/>
  <c r="N47" i="66"/>
  <c r="L47" i="66"/>
  <c r="J47" i="66"/>
  <c r="H47" i="66"/>
  <c r="F47" i="66"/>
  <c r="AF46" i="66"/>
  <c r="AF45" i="66"/>
  <c r="AF47" i="66" s="1"/>
  <c r="AD41" i="66"/>
  <c r="AB41" i="66"/>
  <c r="Z41" i="66"/>
  <c r="X41" i="66"/>
  <c r="V41" i="66"/>
  <c r="T41" i="66"/>
  <c r="R41" i="66"/>
  <c r="P41" i="66"/>
  <c r="N41" i="66"/>
  <c r="L41" i="66"/>
  <c r="J41" i="66"/>
  <c r="H41" i="66"/>
  <c r="F41" i="66"/>
  <c r="AF40" i="66"/>
  <c r="AF39" i="66"/>
  <c r="AF41" i="66" s="1"/>
  <c r="AD35" i="66"/>
  <c r="AB35" i="66"/>
  <c r="Z35" i="66"/>
  <c r="X35" i="66"/>
  <c r="V35" i="66"/>
  <c r="T35" i="66"/>
  <c r="R35" i="66"/>
  <c r="P35" i="66"/>
  <c r="N35" i="66"/>
  <c r="L35" i="66"/>
  <c r="J35" i="66"/>
  <c r="H35" i="66"/>
  <c r="F35" i="66"/>
  <c r="AF34" i="66"/>
  <c r="AF33" i="66"/>
  <c r="A29" i="66"/>
  <c r="A31" i="66" s="1"/>
  <c r="AF20" i="66"/>
  <c r="D77" i="1" s="1"/>
  <c r="AF17" i="66"/>
  <c r="D81" i="1" s="1"/>
  <c r="C14" i="66"/>
  <c r="A14" i="66"/>
  <c r="A17" i="66" s="1"/>
  <c r="A20" i="66" s="1"/>
  <c r="AD7" i="66"/>
  <c r="AB7" i="66"/>
  <c r="Z7" i="66"/>
  <c r="X7" i="66"/>
  <c r="V7" i="66"/>
  <c r="T7" i="66"/>
  <c r="R7" i="66"/>
  <c r="P7" i="66"/>
  <c r="N7" i="66"/>
  <c r="L7" i="66"/>
  <c r="J7" i="66"/>
  <c r="H7" i="66"/>
  <c r="D5" i="66"/>
  <c r="F5" i="66" s="1"/>
  <c r="H5" i="66" s="1"/>
  <c r="J5" i="66" s="1"/>
  <c r="L5" i="66" s="1"/>
  <c r="N5" i="66" s="1"/>
  <c r="P5" i="66" s="1"/>
  <c r="R5" i="66" s="1"/>
  <c r="T5" i="66" s="1"/>
  <c r="V5" i="66" s="1"/>
  <c r="X5" i="66" s="1"/>
  <c r="Z5" i="66" s="1"/>
  <c r="AB5" i="66" s="1"/>
  <c r="AD5" i="66" s="1"/>
  <c r="AF5" i="66" s="1"/>
  <c r="AF59" i="66" l="1"/>
  <c r="AF35" i="66"/>
  <c r="A33" i="66"/>
  <c r="A35" i="66"/>
  <c r="A37" i="66" s="1"/>
  <c r="A28" i="66"/>
  <c r="C29" i="66" s="1"/>
  <c r="A41" i="66" l="1"/>
  <c r="A39" i="66"/>
  <c r="A34" i="66"/>
  <c r="C35" i="66"/>
  <c r="A40" i="66" l="1"/>
  <c r="C41" i="66" s="1"/>
  <c r="A43" i="66"/>
  <c r="A47" i="66" l="1"/>
  <c r="A45" i="66"/>
  <c r="A49" i="66" l="1"/>
  <c r="A46" i="66"/>
  <c r="C47" i="66" s="1"/>
  <c r="A51" i="66" l="1"/>
  <c r="A53" i="66"/>
  <c r="A55" i="66" l="1"/>
  <c r="A52" i="66"/>
  <c r="C53" i="66" s="1"/>
  <c r="A59" i="66" l="1"/>
  <c r="A57" i="66"/>
  <c r="A58" i="66" l="1"/>
  <c r="C59" i="66"/>
  <c r="A61" i="66"/>
  <c r="I35" i="61" l="1"/>
  <c r="I36" i="61"/>
  <c r="I38" i="61"/>
  <c r="I23" i="42"/>
  <c r="Y50" i="42"/>
  <c r="S50" i="42"/>
  <c r="U50" i="42" s="1"/>
  <c r="AA50" i="42" s="1"/>
  <c r="U23" i="42" s="1"/>
  <c r="Q23" i="42"/>
  <c r="K23" i="42" l="1"/>
  <c r="D31" i="19"/>
  <c r="D17" i="19"/>
  <c r="F15" i="47"/>
  <c r="L10" i="22" l="1"/>
  <c r="L11" i="22"/>
  <c r="L12" i="22"/>
  <c r="L13" i="22"/>
  <c r="L14" i="22"/>
  <c r="L15" i="22"/>
  <c r="L16" i="22"/>
  <c r="L17" i="22"/>
  <c r="L18" i="22"/>
  <c r="L19" i="22"/>
  <c r="L20" i="22"/>
  <c r="L21" i="22"/>
  <c r="L9" i="22"/>
  <c r="I23" i="22" l="1"/>
  <c r="F23" i="22"/>
  <c r="M7" i="63" l="1"/>
  <c r="N7" i="63" s="1"/>
  <c r="O7" i="63" s="1"/>
  <c r="P7" i="63" s="1"/>
  <c r="Q7" i="63" s="1"/>
  <c r="R7" i="63" s="1"/>
  <c r="S7" i="63" s="1"/>
  <c r="T7" i="63" s="1"/>
  <c r="U7" i="63" s="1"/>
  <c r="V7" i="63" s="1"/>
  <c r="W7" i="63" s="1"/>
  <c r="X7" i="63" s="1"/>
  <c r="Y7" i="63" s="1"/>
  <c r="Z7" i="63" s="1"/>
  <c r="AA7" i="63" s="1"/>
  <c r="AB7" i="63" s="1"/>
  <c r="AC7" i="63" s="1"/>
  <c r="J1" i="2" l="1"/>
  <c r="J1" i="31"/>
  <c r="J8" i="13" l="1"/>
  <c r="D9" i="65" l="1"/>
  <c r="E9" i="65" s="1"/>
  <c r="F9" i="65" s="1"/>
  <c r="G9" i="65" s="1"/>
  <c r="H9" i="65" s="1"/>
  <c r="J1" i="59" l="1"/>
  <c r="E16" i="27" l="1"/>
  <c r="F16" i="27"/>
  <c r="M3" i="64" l="1"/>
  <c r="M1" i="64"/>
  <c r="B10" i="22" l="1"/>
  <c r="B11" i="22"/>
  <c r="B12" i="22"/>
  <c r="B13" i="22"/>
  <c r="B14" i="22"/>
  <c r="B15" i="22"/>
  <c r="B16" i="22"/>
  <c r="B17" i="22"/>
  <c r="B18" i="22"/>
  <c r="B19" i="22"/>
  <c r="B20" i="22"/>
  <c r="B21" i="22"/>
  <c r="B9" i="22"/>
  <c r="I33" i="59"/>
  <c r="C9" i="22" l="1"/>
  <c r="C19" i="26"/>
  <c r="E10" i="33" s="1"/>
  <c r="E9" i="33"/>
  <c r="E8" i="33"/>
  <c r="D12" i="26"/>
  <c r="D130" i="1"/>
  <c r="I10" i="63"/>
  <c r="J10" i="63" s="1"/>
  <c r="N14" i="65"/>
  <c r="N15" i="65"/>
  <c r="N16" i="65"/>
  <c r="N17" i="65"/>
  <c r="N18" i="65"/>
  <c r="N19" i="65"/>
  <c r="N20" i="65"/>
  <c r="N21" i="65"/>
  <c r="N22" i="65"/>
  <c r="N23" i="65"/>
  <c r="N13" i="65"/>
  <c r="J21" i="65"/>
  <c r="K21" i="65" s="1"/>
  <c r="J23" i="65"/>
  <c r="K23" i="65" s="1"/>
  <c r="J20" i="65"/>
  <c r="K20" i="65" s="1"/>
  <c r="J15" i="65"/>
  <c r="K15" i="65" s="1"/>
  <c r="J13" i="65"/>
  <c r="K13" i="65" s="1"/>
  <c r="M10" i="63"/>
  <c r="AB3" i="65"/>
  <c r="AB5" i="65"/>
  <c r="N11" i="65" s="1"/>
  <c r="W11" i="65" s="1"/>
  <c r="J22" i="65"/>
  <c r="K22" i="65" s="1"/>
  <c r="J19" i="65"/>
  <c r="K19" i="65" s="1"/>
  <c r="J18" i="65"/>
  <c r="K18" i="65" s="1"/>
  <c r="J17" i="65"/>
  <c r="K17" i="65" s="1"/>
  <c r="J16" i="65"/>
  <c r="K16" i="65" s="1"/>
  <c r="A15" i="65"/>
  <c r="A16" i="65" s="1"/>
  <c r="A17" i="65" s="1"/>
  <c r="A18" i="65" s="1"/>
  <c r="A19" i="65" s="1"/>
  <c r="A20" i="65" s="1"/>
  <c r="A21" i="65" s="1"/>
  <c r="A22" i="65" s="1"/>
  <c r="A23" i="65" s="1"/>
  <c r="J14" i="65"/>
  <c r="I9" i="65"/>
  <c r="J9" i="65" s="1"/>
  <c r="K9" i="65" s="1"/>
  <c r="L9" i="65" s="1"/>
  <c r="M9" i="65" s="1"/>
  <c r="N9" i="65" s="1"/>
  <c r="O9" i="65" s="1"/>
  <c r="P9" i="65" s="1"/>
  <c r="Q9" i="65" s="1"/>
  <c r="R9" i="65" s="1"/>
  <c r="S9" i="65" s="1"/>
  <c r="T9" i="65" s="1"/>
  <c r="U9" i="65" s="1"/>
  <c r="V9" i="65" s="1"/>
  <c r="W9" i="65" s="1"/>
  <c r="X9" i="65" s="1"/>
  <c r="Y9" i="65" s="1"/>
  <c r="Z9" i="65" s="1"/>
  <c r="AA9" i="65" s="1"/>
  <c r="G9" i="13"/>
  <c r="H9" i="13"/>
  <c r="J42" i="64"/>
  <c r="M31" i="64"/>
  <c r="M37" i="64"/>
  <c r="M34" i="64"/>
  <c r="H15" i="64"/>
  <c r="H9" i="64"/>
  <c r="H10" i="64"/>
  <c r="H11" i="64"/>
  <c r="H12" i="64"/>
  <c r="H13" i="64"/>
  <c r="H14" i="64"/>
  <c r="H16" i="64"/>
  <c r="H17" i="64"/>
  <c r="H18" i="64"/>
  <c r="H19" i="64"/>
  <c r="H20" i="64"/>
  <c r="H8" i="64"/>
  <c r="G8" i="64"/>
  <c r="J63" i="64"/>
  <c r="I63" i="64"/>
  <c r="H63" i="64"/>
  <c r="G63" i="64"/>
  <c r="F63" i="64"/>
  <c r="E63" i="64"/>
  <c r="C49" i="64"/>
  <c r="C50" i="64" s="1"/>
  <c r="C51" i="64" s="1"/>
  <c r="C52" i="64" s="1"/>
  <c r="C53" i="64" s="1"/>
  <c r="C54" i="64" s="1"/>
  <c r="C55" i="64" s="1"/>
  <c r="C56" i="64" s="1"/>
  <c r="C57" i="64" s="1"/>
  <c r="C58" i="64" s="1"/>
  <c r="C59" i="64" s="1"/>
  <c r="C60" i="64" s="1"/>
  <c r="C61" i="64" s="1"/>
  <c r="I42" i="64"/>
  <c r="H42" i="64"/>
  <c r="G42" i="64"/>
  <c r="F42" i="64"/>
  <c r="E42" i="64"/>
  <c r="M40" i="64"/>
  <c r="M39" i="64"/>
  <c r="M38" i="64"/>
  <c r="M36" i="64"/>
  <c r="M35" i="64"/>
  <c r="M33" i="64"/>
  <c r="M32" i="64"/>
  <c r="M30" i="64"/>
  <c r="M29" i="64"/>
  <c r="M28" i="64"/>
  <c r="C28" i="64"/>
  <c r="C29" i="64" s="1"/>
  <c r="C30" i="64" s="1"/>
  <c r="C31" i="64" s="1"/>
  <c r="C32" i="64" s="1"/>
  <c r="C33" i="64" s="1"/>
  <c r="C34" i="64" s="1"/>
  <c r="C35" i="64" s="1"/>
  <c r="C36" i="64" s="1"/>
  <c r="C37" i="64" s="1"/>
  <c r="C38" i="64" s="1"/>
  <c r="C39" i="64" s="1"/>
  <c r="C40" i="64" s="1"/>
  <c r="F22" i="64"/>
  <c r="K20" i="64"/>
  <c r="J20" i="64"/>
  <c r="I20" i="64"/>
  <c r="G20" i="64"/>
  <c r="E20" i="64"/>
  <c r="K19" i="64"/>
  <c r="J19" i="64"/>
  <c r="I19" i="64"/>
  <c r="G19" i="64"/>
  <c r="E19" i="64"/>
  <c r="K18" i="64"/>
  <c r="J18" i="64"/>
  <c r="I18" i="64"/>
  <c r="G18" i="64"/>
  <c r="E18" i="64"/>
  <c r="K17" i="64"/>
  <c r="J17" i="64"/>
  <c r="I17" i="64"/>
  <c r="G17" i="64"/>
  <c r="E17" i="64"/>
  <c r="K16" i="64"/>
  <c r="J16" i="64"/>
  <c r="I16" i="64"/>
  <c r="G16" i="64"/>
  <c r="E16" i="64"/>
  <c r="K15" i="64"/>
  <c r="J15" i="64"/>
  <c r="I15" i="64"/>
  <c r="G15" i="64"/>
  <c r="E15" i="64"/>
  <c r="K14" i="64"/>
  <c r="J14" i="64"/>
  <c r="I14" i="64"/>
  <c r="G14" i="64"/>
  <c r="E14" i="64"/>
  <c r="K13" i="64"/>
  <c r="J13" i="64"/>
  <c r="I13" i="64"/>
  <c r="G13" i="64"/>
  <c r="E13" i="64"/>
  <c r="K12" i="64"/>
  <c r="J12" i="64"/>
  <c r="I12" i="64"/>
  <c r="G12" i="64"/>
  <c r="E12" i="64"/>
  <c r="K11" i="64"/>
  <c r="J11" i="64"/>
  <c r="I11" i="64"/>
  <c r="G11" i="64"/>
  <c r="E11" i="64"/>
  <c r="K10" i="64"/>
  <c r="J10" i="64"/>
  <c r="I10" i="64"/>
  <c r="G10" i="64"/>
  <c r="E10" i="64"/>
  <c r="K9" i="64"/>
  <c r="J9" i="64"/>
  <c r="I9" i="64"/>
  <c r="G9" i="64"/>
  <c r="E9" i="64"/>
  <c r="C9" i="64"/>
  <c r="C10" i="64" s="1"/>
  <c r="C11" i="64" s="1"/>
  <c r="C12" i="64" s="1"/>
  <c r="C13" i="64" s="1"/>
  <c r="C14" i="64" s="1"/>
  <c r="C15" i="64" s="1"/>
  <c r="C16" i="64" s="1"/>
  <c r="C17" i="64" s="1"/>
  <c r="C18" i="64" s="1"/>
  <c r="C19" i="64" s="1"/>
  <c r="C20" i="64" s="1"/>
  <c r="K8" i="64"/>
  <c r="J8" i="64"/>
  <c r="I8" i="64"/>
  <c r="E8" i="64"/>
  <c r="M11" i="64" l="1"/>
  <c r="M19" i="64"/>
  <c r="M15" i="64"/>
  <c r="M42" i="64"/>
  <c r="J22" i="64"/>
  <c r="M12" i="64"/>
  <c r="M13" i="64"/>
  <c r="M17" i="64"/>
  <c r="M16" i="64"/>
  <c r="M20" i="64"/>
  <c r="M9" i="64"/>
  <c r="G22" i="64"/>
  <c r="D51" i="1" s="1"/>
  <c r="M10" i="64"/>
  <c r="M14" i="64"/>
  <c r="M18" i="64"/>
  <c r="H22" i="64"/>
  <c r="D52" i="1" s="1"/>
  <c r="I22" i="64"/>
  <c r="E22" i="64"/>
  <c r="D50" i="1" s="1"/>
  <c r="K22" i="64"/>
  <c r="D54" i="1" s="1"/>
  <c r="M8" i="64"/>
  <c r="S11" i="65"/>
  <c r="P11" i="65"/>
  <c r="X11" i="65"/>
  <c r="Q11" i="65"/>
  <c r="Z11" i="65"/>
  <c r="T11" i="65"/>
  <c r="R11" i="65"/>
  <c r="V11" i="65"/>
  <c r="Y11" i="65"/>
  <c r="U11" i="65"/>
  <c r="O11" i="65"/>
  <c r="L13" i="65"/>
  <c r="M13" i="65" s="1"/>
  <c r="K14" i="65"/>
  <c r="L14" i="65" s="1"/>
  <c r="O14" i="65" s="1"/>
  <c r="P14" i="65" s="1"/>
  <c r="Q14" i="65" s="1"/>
  <c r="R14" i="65" s="1"/>
  <c r="S14" i="65" s="1"/>
  <c r="T14" i="65" s="1"/>
  <c r="U14" i="65" s="1"/>
  <c r="V14" i="65" s="1"/>
  <c r="W14" i="65" s="1"/>
  <c r="X14" i="65" s="1"/>
  <c r="Y14" i="65" s="1"/>
  <c r="Z14" i="65" s="1"/>
  <c r="D53" i="1" l="1"/>
  <c r="O13" i="65"/>
  <c r="M14" i="65"/>
  <c r="P13" i="65"/>
  <c r="Q13" i="65" s="1"/>
  <c r="R13" i="65" s="1"/>
  <c r="S13" i="65" s="1"/>
  <c r="T13" i="65" s="1"/>
  <c r="U13" i="65" s="1"/>
  <c r="V13" i="65" s="1"/>
  <c r="W13" i="65" s="1"/>
  <c r="X13" i="65" s="1"/>
  <c r="Y13" i="65" s="1"/>
  <c r="Z13" i="65" s="1"/>
  <c r="L15" i="65"/>
  <c r="M15" i="65" s="1"/>
  <c r="M22" i="64"/>
  <c r="O15" i="65" l="1"/>
  <c r="P15" i="65" l="1"/>
  <c r="Q15" i="65" s="1"/>
  <c r="R15" i="65" s="1"/>
  <c r="S15" i="65" s="1"/>
  <c r="T15" i="65" s="1"/>
  <c r="U15" i="65" s="1"/>
  <c r="V15" i="65" s="1"/>
  <c r="W15" i="65" s="1"/>
  <c r="X15" i="65" s="1"/>
  <c r="Y15" i="65" s="1"/>
  <c r="Z15" i="65" s="1"/>
  <c r="L16" i="65" l="1"/>
  <c r="M16" i="65" s="1"/>
  <c r="H8" i="13"/>
  <c r="G8" i="13"/>
  <c r="O16" i="65" l="1"/>
  <c r="P16" i="65" s="1"/>
  <c r="Q16" i="65" s="1"/>
  <c r="R16" i="65" s="1"/>
  <c r="S16" i="65" s="1"/>
  <c r="T16" i="65" s="1"/>
  <c r="U16" i="65" s="1"/>
  <c r="V16" i="65" s="1"/>
  <c r="W16" i="65" s="1"/>
  <c r="X16" i="65" s="1"/>
  <c r="Y16" i="65" s="1"/>
  <c r="Z16" i="65" s="1"/>
  <c r="L17" i="65" l="1"/>
  <c r="M17" i="65" s="1"/>
  <c r="O17" i="65" l="1"/>
  <c r="P17" i="65" s="1"/>
  <c r="Q17" i="65" s="1"/>
  <c r="R17" i="65" s="1"/>
  <c r="S17" i="65" s="1"/>
  <c r="T17" i="65" s="1"/>
  <c r="U17" i="65" s="1"/>
  <c r="V17" i="65" s="1"/>
  <c r="W17" i="65" s="1"/>
  <c r="X17" i="65" s="1"/>
  <c r="Y17" i="65" s="1"/>
  <c r="Z17" i="65" s="1"/>
  <c r="L18" i="65" l="1"/>
  <c r="M18" i="65" s="1"/>
  <c r="O18" i="65" l="1"/>
  <c r="P18" i="65" s="1"/>
  <c r="Q18" i="65" s="1"/>
  <c r="R18" i="65" s="1"/>
  <c r="S18" i="65" s="1"/>
  <c r="T18" i="65" s="1"/>
  <c r="U18" i="65" s="1"/>
  <c r="V18" i="65" s="1"/>
  <c r="W18" i="65" s="1"/>
  <c r="X18" i="65" s="1"/>
  <c r="Y18" i="65" s="1"/>
  <c r="Z18" i="65" s="1"/>
  <c r="L19" i="65" l="1"/>
  <c r="M19" i="65" s="1"/>
  <c r="O19" i="65" l="1"/>
  <c r="P19" i="65" s="1"/>
  <c r="Q19" i="65" s="1"/>
  <c r="R19" i="65" s="1"/>
  <c r="S19" i="65" s="1"/>
  <c r="T19" i="65" s="1"/>
  <c r="U19" i="65" s="1"/>
  <c r="V19" i="65" s="1"/>
  <c r="W19" i="65" s="1"/>
  <c r="X19" i="65" s="1"/>
  <c r="Y19" i="65" s="1"/>
  <c r="Z19" i="65" s="1"/>
  <c r="L20" i="65" l="1"/>
  <c r="M20" i="65" s="1"/>
  <c r="O20" i="65" l="1"/>
  <c r="P20" i="65" s="1"/>
  <c r="Q20" i="65" s="1"/>
  <c r="R20" i="65" s="1"/>
  <c r="S20" i="65" s="1"/>
  <c r="T20" i="65" s="1"/>
  <c r="U20" i="65" s="1"/>
  <c r="V20" i="65" s="1"/>
  <c r="W20" i="65" s="1"/>
  <c r="X20" i="65" s="1"/>
  <c r="Y20" i="65" s="1"/>
  <c r="Z20" i="65" s="1"/>
  <c r="L21" i="65" l="1"/>
  <c r="M21" i="65" s="1"/>
  <c r="O21" i="65" l="1"/>
  <c r="P21" i="65" s="1"/>
  <c r="Q21" i="65" s="1"/>
  <c r="R21" i="65" s="1"/>
  <c r="S21" i="65" s="1"/>
  <c r="T21" i="65" s="1"/>
  <c r="U21" i="65" s="1"/>
  <c r="V21" i="65" s="1"/>
  <c r="W21" i="65" s="1"/>
  <c r="X21" i="65" s="1"/>
  <c r="Y21" i="65" s="1"/>
  <c r="Z21" i="65" s="1"/>
  <c r="L22" i="65" l="1"/>
  <c r="M22" i="65" s="1"/>
  <c r="O22" i="65" l="1"/>
  <c r="P22" i="65" s="1"/>
  <c r="Q22" i="65" s="1"/>
  <c r="R22" i="65" s="1"/>
  <c r="S22" i="65" s="1"/>
  <c r="T22" i="65" s="1"/>
  <c r="U22" i="65" s="1"/>
  <c r="V22" i="65" s="1"/>
  <c r="W22" i="65" s="1"/>
  <c r="X22" i="65" s="1"/>
  <c r="Y22" i="65" s="1"/>
  <c r="Z22" i="65" s="1"/>
  <c r="L23" i="65" l="1"/>
  <c r="M23" i="65" s="1"/>
  <c r="M26" i="65" s="1"/>
  <c r="D122" i="1" s="1"/>
  <c r="O23" i="65" l="1"/>
  <c r="P23" i="65" s="1"/>
  <c r="Q23" i="65" s="1"/>
  <c r="R23" i="65" s="1"/>
  <c r="S23" i="65" s="1"/>
  <c r="T23" i="65" s="1"/>
  <c r="U23" i="65" s="1"/>
  <c r="V23" i="65" s="1"/>
  <c r="W23" i="65" s="1"/>
  <c r="X23" i="65" s="1"/>
  <c r="Y23" i="65" s="1"/>
  <c r="Z23" i="65" s="1"/>
  <c r="D74" i="1" l="1"/>
  <c r="M3" i="6" l="1"/>
  <c r="S3" i="39"/>
  <c r="T49" i="5"/>
  <c r="AA3" i="42"/>
  <c r="C9" i="42" s="1"/>
  <c r="H3" i="26"/>
  <c r="O3" i="22"/>
  <c r="D3" i="19"/>
  <c r="D6" i="19" s="1"/>
  <c r="H3" i="33"/>
  <c r="M37" i="51"/>
  <c r="M3" i="51"/>
  <c r="M3" i="40"/>
  <c r="C10" i="40" s="1"/>
  <c r="M3" i="13"/>
  <c r="S3" i="60"/>
  <c r="AM3" i="60"/>
  <c r="J3" i="59"/>
  <c r="J3" i="31"/>
  <c r="K3" i="27"/>
  <c r="AH3" i="62"/>
  <c r="AC4" i="63"/>
  <c r="M8" i="63" s="1"/>
  <c r="J3" i="61"/>
  <c r="A12" i="63"/>
  <c r="A13" i="63" s="1"/>
  <c r="A14" i="63" s="1"/>
  <c r="A15" i="63" s="1"/>
  <c r="A16" i="63" s="1"/>
  <c r="A17" i="63" s="1"/>
  <c r="A18" i="63" s="1"/>
  <c r="A19" i="63" s="1"/>
  <c r="A20" i="63" s="1"/>
  <c r="J1" i="61"/>
  <c r="G59" i="51" l="1"/>
  <c r="E6" i="51"/>
  <c r="S1" i="60"/>
  <c r="K10" i="63" l="1"/>
  <c r="I11" i="63"/>
  <c r="J11" i="63" s="1"/>
  <c r="I20" i="63"/>
  <c r="J20" i="63" s="1"/>
  <c r="I19" i="63"/>
  <c r="J19" i="63" s="1"/>
  <c r="I18" i="63"/>
  <c r="J18" i="63" s="1"/>
  <c r="I17" i="63"/>
  <c r="J17" i="63" s="1"/>
  <c r="I16" i="63"/>
  <c r="J16" i="63" s="1"/>
  <c r="I15" i="63"/>
  <c r="J15" i="63" s="1"/>
  <c r="I14" i="63"/>
  <c r="J14" i="63" s="1"/>
  <c r="I13" i="63"/>
  <c r="J13" i="63" s="1"/>
  <c r="I12" i="63"/>
  <c r="J12" i="63" s="1"/>
  <c r="M11" i="63"/>
  <c r="K11" i="63" l="1"/>
  <c r="L10" i="63"/>
  <c r="N10" i="63"/>
  <c r="O10" i="63" l="1"/>
  <c r="P10" i="63" s="1"/>
  <c r="Q10" i="63" s="1"/>
  <c r="R10" i="63" s="1"/>
  <c r="I33" i="31"/>
  <c r="S10" i="63" l="1"/>
  <c r="N11" i="63"/>
  <c r="AC2" i="63"/>
  <c r="T10" i="63" l="1"/>
  <c r="U10" i="63" s="1"/>
  <c r="V10" i="63" s="1"/>
  <c r="W10" i="63" s="1"/>
  <c r="X10" i="63" s="1"/>
  <c r="Y10" i="63" s="1"/>
  <c r="O11" i="63"/>
  <c r="Z10" i="63" l="1"/>
  <c r="P11" i="63"/>
  <c r="Q11" i="63" s="1"/>
  <c r="R11" i="63" s="1"/>
  <c r="S11" i="63" s="1"/>
  <c r="T11" i="63" s="1"/>
  <c r="U11" i="63" s="1"/>
  <c r="V11" i="63" s="1"/>
  <c r="W11" i="63" s="1"/>
  <c r="X11" i="63" s="1"/>
  <c r="Y11" i="63" s="1"/>
  <c r="Z11" i="63" l="1"/>
  <c r="Y8" i="63"/>
  <c r="X8" i="63"/>
  <c r="W8" i="63"/>
  <c r="V8" i="63"/>
  <c r="U8" i="63"/>
  <c r="T8" i="63"/>
  <c r="S8" i="63"/>
  <c r="R8" i="63"/>
  <c r="Q8" i="63"/>
  <c r="P8" i="63"/>
  <c r="O8" i="63"/>
  <c r="N8" i="63"/>
  <c r="AH1" i="62" l="1"/>
  <c r="L3" i="58"/>
  <c r="I43" i="47" l="1"/>
  <c r="I41" i="47"/>
  <c r="I39" i="47"/>
  <c r="I128" i="1" l="1"/>
  <c r="H10" i="13" l="1"/>
  <c r="H11" i="13"/>
  <c r="H12" i="13"/>
  <c r="H13" i="13"/>
  <c r="H14" i="13"/>
  <c r="H15" i="13"/>
  <c r="H16" i="13"/>
  <c r="H17" i="13"/>
  <c r="H18" i="13"/>
  <c r="H19" i="13"/>
  <c r="H20" i="13"/>
  <c r="G10" i="13"/>
  <c r="G11" i="13"/>
  <c r="G12" i="13"/>
  <c r="G13" i="13"/>
  <c r="G14" i="13"/>
  <c r="G15" i="13"/>
  <c r="G16" i="13"/>
  <c r="G17" i="13"/>
  <c r="G18" i="13"/>
  <c r="G19" i="13"/>
  <c r="G20" i="13"/>
  <c r="G22" i="13" l="1"/>
  <c r="H22" i="13"/>
  <c r="AE14" i="62"/>
  <c r="AC14" i="62"/>
  <c r="AA14" i="62"/>
  <c r="Y14" i="62"/>
  <c r="W14" i="62"/>
  <c r="U14" i="62"/>
  <c r="S14" i="62"/>
  <c r="Q14" i="62"/>
  <c r="O14" i="62"/>
  <c r="M14" i="62"/>
  <c r="K14" i="62"/>
  <c r="I14" i="62"/>
  <c r="G14" i="62"/>
  <c r="AG13" i="62"/>
  <c r="AG12" i="62"/>
  <c r="S7" i="62"/>
  <c r="E5" i="62"/>
  <c r="G5" i="62" l="1"/>
  <c r="I5" i="62" s="1"/>
  <c r="K5" i="62" s="1"/>
  <c r="M5" i="62" s="1"/>
  <c r="AG14" i="62"/>
  <c r="D73" i="1" s="1"/>
  <c r="W7" i="62"/>
  <c r="I7" i="62"/>
  <c r="Y7" i="62"/>
  <c r="K7" i="62"/>
  <c r="AA7" i="62"/>
  <c r="M7" i="62"/>
  <c r="AC7" i="62"/>
  <c r="O7" i="62"/>
  <c r="Q7" i="62"/>
  <c r="U7" i="62"/>
  <c r="AE7" i="62"/>
  <c r="O5" i="62" l="1"/>
  <c r="Q5" i="62" s="1"/>
  <c r="S5" i="62" s="1"/>
  <c r="U5" i="62" s="1"/>
  <c r="W5" i="62" s="1"/>
  <c r="Y5" i="62" s="1"/>
  <c r="AA5" i="62" s="1"/>
  <c r="AC5" i="62" s="1"/>
  <c r="AE5" i="62" s="1"/>
  <c r="AG5" i="62" s="1"/>
  <c r="D151" i="1" l="1"/>
  <c r="I48" i="61"/>
  <c r="I47" i="61"/>
  <c r="I46" i="61"/>
  <c r="A46" i="61"/>
  <c r="I34" i="61"/>
  <c r="T17" i="60" l="1"/>
  <c r="E17" i="60"/>
  <c r="T16" i="60"/>
  <c r="E16" i="60"/>
  <c r="T15" i="60"/>
  <c r="E15" i="60"/>
  <c r="T14" i="60"/>
  <c r="E14" i="60"/>
  <c r="T13" i="60"/>
  <c r="E13" i="60"/>
  <c r="T12" i="60"/>
  <c r="E12" i="60"/>
  <c r="U8" i="60"/>
  <c r="G8" i="60"/>
  <c r="H8" i="60" s="1"/>
  <c r="T1" i="60"/>
  <c r="AM1" i="60"/>
  <c r="I50" i="59"/>
  <c r="I11" i="59"/>
  <c r="A11" i="59"/>
  <c r="A14" i="59" s="1"/>
  <c r="A15" i="59" s="1"/>
  <c r="A16" i="59" s="1"/>
  <c r="A17" i="59" s="1"/>
  <c r="A18" i="59" s="1"/>
  <c r="A22" i="59" s="1"/>
  <c r="A23" i="59" s="1"/>
  <c r="A24" i="59" s="1"/>
  <c r="A25" i="59" s="1"/>
  <c r="A27" i="59" s="1"/>
  <c r="A28" i="59" s="1"/>
  <c r="A29" i="59" s="1"/>
  <c r="A31" i="59" s="1"/>
  <c r="A32" i="59" s="1"/>
  <c r="A33" i="59" s="1"/>
  <c r="A35" i="59" s="1"/>
  <c r="AI13" i="60" l="1"/>
  <c r="AI12" i="60"/>
  <c r="AI14" i="60"/>
  <c r="AI15" i="60"/>
  <c r="AI17" i="60"/>
  <c r="AI16" i="60"/>
  <c r="I8" i="60"/>
  <c r="W8" i="60"/>
  <c r="V8" i="60"/>
  <c r="A36" i="59"/>
  <c r="A37" i="59" s="1"/>
  <c r="A38" i="59" s="1"/>
  <c r="G38" i="59" l="1"/>
  <c r="J8" i="60"/>
  <c r="X8" i="60"/>
  <c r="G40" i="59"/>
  <c r="A40" i="59"/>
  <c r="A45" i="59" s="1"/>
  <c r="A46" i="59" s="1"/>
  <c r="Y8" i="60" l="1"/>
  <c r="K8" i="60"/>
  <c r="Z8" i="60" l="1"/>
  <c r="L8" i="60"/>
  <c r="AA8" i="60" l="1"/>
  <c r="M8" i="60"/>
  <c r="AB8" i="60" l="1"/>
  <c r="N8" i="60"/>
  <c r="AC8" i="60" l="1"/>
  <c r="O8" i="60"/>
  <c r="P8" i="60" l="1"/>
  <c r="AD8" i="60"/>
  <c r="Q8" i="60" l="1"/>
  <c r="AE8" i="60"/>
  <c r="R8" i="60" l="1"/>
  <c r="AG8" i="60" s="1"/>
  <c r="AF8" i="60"/>
  <c r="L1" i="58" l="1"/>
  <c r="F37" i="58"/>
  <c r="L37" i="58" s="1"/>
  <c r="E15" i="6" s="1"/>
  <c r="D10" i="69" s="1"/>
  <c r="L36" i="58"/>
  <c r="L35" i="58"/>
  <c r="L34" i="58"/>
  <c r="L33" i="58"/>
  <c r="L32" i="58"/>
  <c r="L31" i="58"/>
  <c r="L30" i="58"/>
  <c r="L29" i="58"/>
  <c r="L28" i="58"/>
  <c r="L27" i="58"/>
  <c r="L26" i="58"/>
  <c r="L25" i="58"/>
  <c r="F20" i="58"/>
  <c r="L20" i="58" s="1"/>
  <c r="D10" i="68" s="1"/>
  <c r="L19" i="58"/>
  <c r="L18" i="58"/>
  <c r="L17" i="58"/>
  <c r="L16" i="58"/>
  <c r="L15" i="58"/>
  <c r="L14" i="58"/>
  <c r="L13" i="58"/>
  <c r="L12" i="58"/>
  <c r="L11" i="58"/>
  <c r="L10" i="58"/>
  <c r="L9" i="58"/>
  <c r="B9" i="58"/>
  <c r="L8" i="58"/>
  <c r="F5" i="58"/>
  <c r="H5" i="58" s="1"/>
  <c r="K1" i="27"/>
  <c r="M1" i="6"/>
  <c r="S1" i="39"/>
  <c r="T1" i="5"/>
  <c r="AA1" i="42"/>
  <c r="H1" i="26"/>
  <c r="O1" i="22"/>
  <c r="D1" i="19"/>
  <c r="H1" i="33"/>
  <c r="M35" i="51"/>
  <c r="M1" i="51"/>
  <c r="M1" i="47"/>
  <c r="K1" i="38"/>
  <c r="J5" i="58" l="1"/>
  <c r="L5" i="58" s="1"/>
  <c r="K155" i="38"/>
  <c r="K189" i="38"/>
  <c r="K45" i="38"/>
  <c r="K85" i="38"/>
  <c r="K124" i="38"/>
  <c r="B10" i="58"/>
  <c r="B11" i="58" s="1"/>
  <c r="M1" i="40"/>
  <c r="M1" i="13"/>
  <c r="B12" i="58" l="1"/>
  <c r="B13" i="58" l="1"/>
  <c r="B14" i="58" l="1"/>
  <c r="B15" i="58" s="1"/>
  <c r="B16" i="58" l="1"/>
  <c r="B17" i="58" s="1"/>
  <c r="B18" i="58" s="1"/>
  <c r="B19" i="58" s="1"/>
  <c r="B20" i="58" s="1"/>
  <c r="B25" i="58" s="1"/>
  <c r="B26" i="58" s="1"/>
  <c r="B27" i="58" s="1"/>
  <c r="B28" i="58" s="1"/>
  <c r="B29" i="58" s="1"/>
  <c r="B30" i="58" s="1"/>
  <c r="B31" i="58" s="1"/>
  <c r="B32" i="58" s="1"/>
  <c r="B33" i="58" s="1"/>
  <c r="B34" i="58" s="1"/>
  <c r="B35" i="58" s="1"/>
  <c r="B36" i="58" s="1"/>
  <c r="B37" i="58" s="1"/>
  <c r="T10" i="39" l="1"/>
  <c r="E10" i="39"/>
  <c r="M29" i="13" l="1"/>
  <c r="S46" i="42" l="1"/>
  <c r="Q19" i="42"/>
  <c r="D23" i="19"/>
  <c r="D38" i="19"/>
  <c r="D208" i="38"/>
  <c r="E208" i="38"/>
  <c r="G208" i="38"/>
  <c r="H208" i="38"/>
  <c r="G173" i="38"/>
  <c r="H173" i="38"/>
  <c r="C173" i="38"/>
  <c r="D173" i="38"/>
  <c r="E173" i="38"/>
  <c r="D140" i="38"/>
  <c r="E140" i="38"/>
  <c r="F140" i="38"/>
  <c r="G140" i="38"/>
  <c r="H140" i="38"/>
  <c r="C140" i="38"/>
  <c r="D69" i="38"/>
  <c r="M33" i="13"/>
  <c r="G212" i="1"/>
  <c r="G211" i="1"/>
  <c r="G209" i="1"/>
  <c r="G6" i="39" l="1"/>
  <c r="H6" i="39" s="1"/>
  <c r="I6" i="39" s="1"/>
  <c r="J6" i="39" s="1"/>
  <c r="C39" i="42"/>
  <c r="C15" i="40"/>
  <c r="E24" i="40"/>
  <c r="E28" i="40" s="1"/>
  <c r="E32" i="40" s="1"/>
  <c r="D220" i="1"/>
  <c r="C10" i="38" l="1"/>
  <c r="F43" i="47" l="1"/>
  <c r="F41" i="47"/>
  <c r="F39" i="47"/>
  <c r="E12" i="33" l="1"/>
  <c r="K12" i="47" l="1"/>
  <c r="K191" i="38" l="1"/>
  <c r="K157" i="38"/>
  <c r="K126" i="38"/>
  <c r="K87" i="38"/>
  <c r="K47" i="38"/>
  <c r="K3" i="38"/>
  <c r="D32" i="38" l="1"/>
  <c r="D31" i="38"/>
  <c r="D29" i="38"/>
  <c r="C29" i="38"/>
  <c r="H110" i="38"/>
  <c r="D28" i="38" s="1"/>
  <c r="G110" i="38"/>
  <c r="C28" i="38" s="1"/>
  <c r="E28" i="38" s="1"/>
  <c r="D110" i="38"/>
  <c r="E110" i="38"/>
  <c r="H69" i="38"/>
  <c r="D30" i="38" s="1"/>
  <c r="G69" i="38"/>
  <c r="C30" i="38" s="1"/>
  <c r="C32" i="38"/>
  <c r="C31" i="38"/>
  <c r="A29" i="38"/>
  <c r="A30" i="38" s="1"/>
  <c r="F173" i="38" l="1"/>
  <c r="C13" i="38" s="1"/>
  <c r="E29" i="38"/>
  <c r="E30" i="38"/>
  <c r="E69" i="38"/>
  <c r="E32" i="38"/>
  <c r="D33" i="38"/>
  <c r="E31" i="38"/>
  <c r="I45" i="47" l="1"/>
  <c r="C33" i="38"/>
  <c r="E33" i="38" s="1"/>
  <c r="I122" i="1" l="1"/>
  <c r="I74" i="1" l="1"/>
  <c r="D70" i="1" l="1"/>
  <c r="F65" i="51" l="1"/>
  <c r="F48" i="51"/>
  <c r="E12" i="47"/>
  <c r="C12" i="47"/>
  <c r="F54" i="1" l="1"/>
  <c r="F69" i="51" l="1"/>
  <c r="F67" i="51"/>
  <c r="E54" i="51"/>
  <c r="F52" i="51"/>
  <c r="F50" i="51"/>
  <c r="K30" i="51"/>
  <c r="I30" i="51"/>
  <c r="G30" i="51"/>
  <c r="E30" i="51"/>
  <c r="C30" i="51"/>
  <c r="K29" i="51"/>
  <c r="I29" i="51"/>
  <c r="G29" i="51"/>
  <c r="E29" i="51"/>
  <c r="C29" i="51"/>
  <c r="F26" i="51"/>
  <c r="H26" i="51" s="1"/>
  <c r="J26" i="51" s="1"/>
  <c r="L26" i="51" s="1"/>
  <c r="F25" i="51"/>
  <c r="H25" i="51" s="1"/>
  <c r="J25" i="51" s="1"/>
  <c r="L25" i="51" s="1"/>
  <c r="K22" i="51"/>
  <c r="I22" i="51"/>
  <c r="G22" i="51"/>
  <c r="E22" i="51"/>
  <c r="C22" i="51"/>
  <c r="K21" i="51"/>
  <c r="I21" i="51"/>
  <c r="G21" i="51"/>
  <c r="E21" i="51"/>
  <c r="C21" i="51"/>
  <c r="C20" i="51"/>
  <c r="F18" i="51"/>
  <c r="H18" i="51" s="1"/>
  <c r="J18" i="51" s="1"/>
  <c r="L18" i="51" s="1"/>
  <c r="F17" i="51"/>
  <c r="H17" i="51" s="1"/>
  <c r="J17" i="51" s="1"/>
  <c r="L17" i="51" s="1"/>
  <c r="K14" i="51"/>
  <c r="I14" i="51"/>
  <c r="G14" i="51"/>
  <c r="E14" i="51"/>
  <c r="C14" i="51"/>
  <c r="K13" i="51"/>
  <c r="I13" i="51"/>
  <c r="G13" i="51"/>
  <c r="E13" i="51"/>
  <c r="C13" i="51"/>
  <c r="C12" i="51"/>
  <c r="F10" i="51"/>
  <c r="H10" i="51" s="1"/>
  <c r="J10" i="51" s="1"/>
  <c r="L10" i="51" s="1"/>
  <c r="F9" i="51"/>
  <c r="H9" i="51" s="1"/>
  <c r="J9" i="51" s="1"/>
  <c r="L9" i="51" s="1"/>
  <c r="F45" i="47"/>
  <c r="K24" i="47"/>
  <c r="I24" i="47"/>
  <c r="G24" i="47"/>
  <c r="E24" i="47"/>
  <c r="C24" i="47"/>
  <c r="F21" i="47"/>
  <c r="H21" i="47" s="1"/>
  <c r="J21" i="47" s="1"/>
  <c r="L21" i="47" s="1"/>
  <c r="K18" i="47"/>
  <c r="I18" i="47"/>
  <c r="G18" i="47"/>
  <c r="E18" i="47"/>
  <c r="C18" i="47"/>
  <c r="C17" i="47"/>
  <c r="H15" i="47"/>
  <c r="J15" i="47" s="1"/>
  <c r="L15" i="47" s="1"/>
  <c r="I12" i="47"/>
  <c r="G12" i="47"/>
  <c r="C11" i="47"/>
  <c r="F9" i="47"/>
  <c r="H9" i="47" s="1"/>
  <c r="J9" i="47" s="1"/>
  <c r="L9" i="47" s="1"/>
  <c r="G39" i="47" l="1"/>
  <c r="G43" i="47"/>
  <c r="G41" i="47"/>
  <c r="G52" i="51"/>
  <c r="H52" i="51" s="1"/>
  <c r="J52" i="51" s="1"/>
  <c r="K52" i="51" s="1"/>
  <c r="F54" i="51"/>
  <c r="G69" i="51"/>
  <c r="F71" i="51"/>
  <c r="G50" i="51"/>
  <c r="H50" i="51" s="1"/>
  <c r="J50" i="51" s="1"/>
  <c r="K50" i="51" s="1"/>
  <c r="G67" i="51"/>
  <c r="G65" i="51"/>
  <c r="G48" i="51"/>
  <c r="H48" i="51" s="1"/>
  <c r="I54" i="51"/>
  <c r="K65" i="51"/>
  <c r="K67" i="51"/>
  <c r="K69" i="51"/>
  <c r="J71" i="51"/>
  <c r="G45" i="47" l="1"/>
  <c r="G71" i="51"/>
  <c r="G54" i="51"/>
  <c r="K71" i="51"/>
  <c r="H54" i="51"/>
  <c r="J48" i="51"/>
  <c r="K48" i="51" l="1"/>
  <c r="K54" i="51" s="1"/>
  <c r="J54" i="51"/>
  <c r="S47" i="42" l="1"/>
  <c r="U46" i="42" l="1"/>
  <c r="U47" i="42" l="1"/>
  <c r="AA46" i="42"/>
  <c r="U19" i="42" s="1"/>
  <c r="Y49" i="42"/>
  <c r="Y47" i="42"/>
  <c r="S49" i="42"/>
  <c r="K20" i="42"/>
  <c r="F62" i="13" l="1"/>
  <c r="G62" i="13"/>
  <c r="E41" i="13"/>
  <c r="F41" i="13"/>
  <c r="H41" i="13"/>
  <c r="F52" i="1"/>
  <c r="A46" i="42" l="1"/>
  <c r="A10" i="39" l="1"/>
  <c r="C10" i="39"/>
  <c r="D10" i="39"/>
  <c r="K20" i="13" l="1"/>
  <c r="K19" i="13"/>
  <c r="K18" i="13"/>
  <c r="K17" i="13"/>
  <c r="K16" i="13"/>
  <c r="K15" i="13"/>
  <c r="K14" i="13"/>
  <c r="K13" i="13"/>
  <c r="K12" i="13"/>
  <c r="K11" i="13"/>
  <c r="K10" i="13"/>
  <c r="K9" i="13"/>
  <c r="K8" i="13"/>
  <c r="J20" i="13"/>
  <c r="J19" i="13"/>
  <c r="J18" i="13"/>
  <c r="J17" i="13"/>
  <c r="J16" i="13"/>
  <c r="J15" i="13"/>
  <c r="J14" i="13"/>
  <c r="J13" i="13"/>
  <c r="J12" i="13"/>
  <c r="J11" i="13"/>
  <c r="J10" i="13"/>
  <c r="J9" i="13"/>
  <c r="I20" i="13"/>
  <c r="I19" i="13"/>
  <c r="I18" i="13"/>
  <c r="I17" i="13"/>
  <c r="I16" i="13"/>
  <c r="I15" i="13"/>
  <c r="I14" i="13"/>
  <c r="I13" i="13"/>
  <c r="I12" i="13"/>
  <c r="I11" i="13"/>
  <c r="I10" i="13"/>
  <c r="I9" i="13"/>
  <c r="I8" i="13"/>
  <c r="E20" i="13"/>
  <c r="E19" i="13"/>
  <c r="E18" i="13"/>
  <c r="E17" i="13"/>
  <c r="E16" i="13"/>
  <c r="E15" i="13"/>
  <c r="E14" i="13"/>
  <c r="E13" i="13"/>
  <c r="E12" i="13"/>
  <c r="E11" i="13"/>
  <c r="E10" i="13"/>
  <c r="E9" i="13"/>
  <c r="E8" i="13"/>
  <c r="J62" i="13"/>
  <c r="H62" i="13"/>
  <c r="E62" i="13"/>
  <c r="M20" i="13" l="1"/>
  <c r="I22" i="13"/>
  <c r="J22" i="13"/>
  <c r="M12" i="13"/>
  <c r="M16" i="13"/>
  <c r="M8" i="13"/>
  <c r="M9" i="13"/>
  <c r="M13" i="13"/>
  <c r="M17" i="13"/>
  <c r="M10" i="13"/>
  <c r="M14" i="13"/>
  <c r="M18" i="13"/>
  <c r="M11" i="13"/>
  <c r="M15" i="13"/>
  <c r="M19" i="13"/>
  <c r="E22" i="13"/>
  <c r="I50" i="31" l="1"/>
  <c r="M25" i="42" l="1"/>
  <c r="Q20" i="42"/>
  <c r="Q21" i="42"/>
  <c r="Q22" i="42"/>
  <c r="I20" i="42"/>
  <c r="I21" i="42"/>
  <c r="I22" i="42"/>
  <c r="Y48" i="42"/>
  <c r="S48" i="42"/>
  <c r="K21" i="42" l="1"/>
  <c r="S52" i="42"/>
  <c r="Y52" i="42"/>
  <c r="K22" i="42"/>
  <c r="U49" i="42"/>
  <c r="AA49" i="42" s="1"/>
  <c r="U22" i="42" s="1"/>
  <c r="U48" i="42"/>
  <c r="AA48" i="42" s="1"/>
  <c r="U21" i="42" s="1"/>
  <c r="AA47" i="42"/>
  <c r="U20" i="42" s="1"/>
  <c r="K30" i="1" l="1"/>
  <c r="K104" i="1" s="1"/>
  <c r="K182" i="1" s="1"/>
  <c r="K275" i="1" s="1"/>
  <c r="AI1" i="39"/>
  <c r="K23" i="22" l="1"/>
  <c r="D14" i="1" l="1"/>
  <c r="C48" i="13" l="1"/>
  <c r="C27" i="13"/>
  <c r="U6" i="39"/>
  <c r="J23" i="22"/>
  <c r="I16" i="31" l="1"/>
  <c r="I16" i="59"/>
  <c r="V6" i="39"/>
  <c r="W6" i="39"/>
  <c r="X6" i="39" l="1"/>
  <c r="K6" i="39" l="1"/>
  <c r="Y6" i="39"/>
  <c r="L6" i="39" l="1"/>
  <c r="Z6" i="39"/>
  <c r="M6" i="39" l="1"/>
  <c r="AA6" i="39"/>
  <c r="N6" i="39" l="1"/>
  <c r="AB6" i="39"/>
  <c r="O6" i="39" l="1"/>
  <c r="AC6" i="39"/>
  <c r="P6" i="39" l="1"/>
  <c r="AD6" i="39"/>
  <c r="Q6" i="39" l="1"/>
  <c r="R6" i="39" s="1"/>
  <c r="AE6" i="39"/>
  <c r="AG6" i="39" l="1"/>
  <c r="AF6" i="39"/>
  <c r="O52" i="42" l="1"/>
  <c r="M52" i="42"/>
  <c r="K52" i="42"/>
  <c r="I52" i="42"/>
  <c r="I19" i="42"/>
  <c r="I25" i="42" s="1"/>
  <c r="C17" i="42"/>
  <c r="Q25" i="42" l="1"/>
  <c r="S24" i="42" s="1"/>
  <c r="W24" i="42" s="1"/>
  <c r="K19" i="42"/>
  <c r="S23" i="42" l="1"/>
  <c r="W23" i="42" s="1"/>
  <c r="S22" i="42"/>
  <c r="W22" i="42" s="1"/>
  <c r="S19" i="42"/>
  <c r="S21" i="42"/>
  <c r="W21" i="42" s="1"/>
  <c r="S20" i="42"/>
  <c r="W20" i="42" s="1"/>
  <c r="W19" i="42" l="1"/>
  <c r="W25" i="42" s="1"/>
  <c r="S25" i="42"/>
  <c r="G245" i="1" l="1"/>
  <c r="I31" i="59" s="1"/>
  <c r="T1" i="39"/>
  <c r="T47" i="5"/>
  <c r="T3" i="5"/>
  <c r="E62" i="5"/>
  <c r="AI10" i="39" l="1"/>
  <c r="H62" i="5" s="1"/>
  <c r="AI3" i="39" l="1"/>
  <c r="D44" i="1" l="1"/>
  <c r="C9" i="13"/>
  <c r="C10" i="13" s="1"/>
  <c r="C11" i="13" s="1"/>
  <c r="C12" i="13" s="1"/>
  <c r="C13" i="13" s="1"/>
  <c r="C14" i="13" s="1"/>
  <c r="C15" i="13" s="1"/>
  <c r="C16" i="13" s="1"/>
  <c r="C17" i="13" s="1"/>
  <c r="C18" i="13" s="1"/>
  <c r="C19" i="13" s="1"/>
  <c r="C20" i="13" s="1"/>
  <c r="D43" i="1" l="1"/>
  <c r="I192" i="1" s="1"/>
  <c r="I195" i="1" s="1"/>
  <c r="D42" i="1"/>
  <c r="K22" i="13"/>
  <c r="D46" i="1" s="1"/>
  <c r="I52" i="59"/>
  <c r="M22" i="13" l="1"/>
  <c r="D45" i="1"/>
  <c r="A7" i="33"/>
  <c r="A8" i="33" s="1"/>
  <c r="A9" i="33" l="1"/>
  <c r="A10" i="33" s="1"/>
  <c r="A11" i="33" s="1"/>
  <c r="A12" i="33" s="1"/>
  <c r="A14" i="33" s="1"/>
  <c r="A15" i="33" s="1"/>
  <c r="I52" i="31" l="1"/>
  <c r="I11" i="31"/>
  <c r="A11" i="31" l="1"/>
  <c r="A14" i="31" l="1"/>
  <c r="A15" i="31" s="1"/>
  <c r="A16" i="31" s="1"/>
  <c r="A17" i="31" s="1"/>
  <c r="A18" i="31" s="1"/>
  <c r="A22" i="31" s="1"/>
  <c r="A23" i="31" s="1"/>
  <c r="A24" i="31" s="1"/>
  <c r="A25" i="31" s="1"/>
  <c r="A27" i="31" s="1"/>
  <c r="A28" i="31" s="1"/>
  <c r="A29" i="31" l="1"/>
  <c r="A31" i="31" l="1"/>
  <c r="A32" i="31" l="1"/>
  <c r="A33" i="31" l="1"/>
  <c r="A35" i="31" l="1"/>
  <c r="A36" i="31" l="1"/>
  <c r="A37" i="31" s="1"/>
  <c r="A38" i="31" s="1"/>
  <c r="G38" i="31" l="1"/>
  <c r="A40" i="31"/>
  <c r="G40" i="31"/>
  <c r="A45" i="31" l="1"/>
  <c r="A46" i="31" s="1"/>
  <c r="D297" i="1" l="1"/>
  <c r="D140" i="1"/>
  <c r="H23" i="22"/>
  <c r="G23" i="22"/>
  <c r="I15" i="59" s="1"/>
  <c r="E23" i="22"/>
  <c r="C10" i="22"/>
  <c r="C11" i="22" s="1"/>
  <c r="C12" i="22" s="1"/>
  <c r="C13" i="22" s="1"/>
  <c r="C14" i="22" s="1"/>
  <c r="C15" i="22" s="1"/>
  <c r="C16" i="22" s="1"/>
  <c r="C17" i="22" s="1"/>
  <c r="C18" i="22" s="1"/>
  <c r="C19" i="22" s="1"/>
  <c r="C20" i="22" s="1"/>
  <c r="C21" i="22" s="1"/>
  <c r="F32" i="6"/>
  <c r="G18" i="6" s="1"/>
  <c r="H18" i="6" s="1"/>
  <c r="J18" i="6" s="1"/>
  <c r="I196" i="1"/>
  <c r="G270" i="1" s="1"/>
  <c r="I270" i="1" s="1"/>
  <c r="C49" i="13"/>
  <c r="C50" i="13" s="1"/>
  <c r="C51" i="13" s="1"/>
  <c r="C52" i="13" s="1"/>
  <c r="C53" i="13" s="1"/>
  <c r="C54" i="13" s="1"/>
  <c r="C55" i="13" s="1"/>
  <c r="C56" i="13" s="1"/>
  <c r="C57" i="13" s="1"/>
  <c r="C58" i="13" s="1"/>
  <c r="C59" i="13" s="1"/>
  <c r="C60" i="13" s="1"/>
  <c r="D16" i="1"/>
  <c r="D139" i="1"/>
  <c r="D138" i="1"/>
  <c r="D12" i="19"/>
  <c r="D42" i="19" s="1"/>
  <c r="M28" i="13"/>
  <c r="M30" i="13"/>
  <c r="M31" i="13"/>
  <c r="M32" i="13"/>
  <c r="M34" i="13"/>
  <c r="M35" i="13"/>
  <c r="M36" i="13"/>
  <c r="M37" i="13"/>
  <c r="M38" i="13"/>
  <c r="M39" i="13"/>
  <c r="M27" i="13"/>
  <c r="G41" i="13"/>
  <c r="C28" i="13"/>
  <c r="C29" i="13" s="1"/>
  <c r="C30" i="13" s="1"/>
  <c r="C31" i="13" s="1"/>
  <c r="C32" i="13" s="1"/>
  <c r="C33" i="13" s="1"/>
  <c r="C34" i="13" s="1"/>
  <c r="C35" i="13" s="1"/>
  <c r="C36" i="13" s="1"/>
  <c r="C37" i="13" s="1"/>
  <c r="C38" i="13" s="1"/>
  <c r="C39" i="13" s="1"/>
  <c r="A55" i="5"/>
  <c r="A54" i="5"/>
  <c r="J3" i="2"/>
  <c r="K185" i="1"/>
  <c r="K278" i="1"/>
  <c r="K107" i="1"/>
  <c r="K33" i="1"/>
  <c r="D36" i="1"/>
  <c r="B50" i="1"/>
  <c r="B58" i="1" s="1"/>
  <c r="F50" i="1"/>
  <c r="F66" i="1" s="1"/>
  <c r="F138" i="1" s="1"/>
  <c r="G50" i="1"/>
  <c r="B51" i="1"/>
  <c r="B59" i="1" s="1"/>
  <c r="F51" i="1"/>
  <c r="F77" i="1" s="1"/>
  <c r="B52" i="1"/>
  <c r="B60" i="1" s="1"/>
  <c r="G52" i="1"/>
  <c r="B53" i="1"/>
  <c r="B61" i="1" s="1"/>
  <c r="B54" i="1"/>
  <c r="B62" i="1" s="1"/>
  <c r="D110" i="1"/>
  <c r="B129" i="1"/>
  <c r="F135" i="1"/>
  <c r="F139" i="1"/>
  <c r="D188" i="1"/>
  <c r="I216" i="1"/>
  <c r="D281" i="1"/>
  <c r="I255" i="1"/>
  <c r="G218" i="1"/>
  <c r="D213" i="1"/>
  <c r="M23" i="22"/>
  <c r="D245" i="1" s="1"/>
  <c r="D137" i="1"/>
  <c r="L23" i="22"/>
  <c r="I18" i="59" s="1"/>
  <c r="G17" i="1" l="1"/>
  <c r="I17" i="1" s="1"/>
  <c r="I17" i="59"/>
  <c r="I17" i="31"/>
  <c r="G16" i="27"/>
  <c r="D298" i="1" s="1"/>
  <c r="D144" i="1" s="1"/>
  <c r="I14" i="31"/>
  <c r="I14" i="59"/>
  <c r="G77" i="1"/>
  <c r="G16" i="1"/>
  <c r="G126" i="1"/>
  <c r="G51" i="1"/>
  <c r="I22" i="31"/>
  <c r="I22" i="59"/>
  <c r="G43" i="1"/>
  <c r="E210" i="1"/>
  <c r="G210" i="1" s="1"/>
  <c r="D134" i="1"/>
  <c r="M3" i="47"/>
  <c r="G33" i="47" s="1"/>
  <c r="D246" i="1"/>
  <c r="I15" i="31"/>
  <c r="D247" i="1"/>
  <c r="I18" i="31"/>
  <c r="G17" i="6"/>
  <c r="H17" i="6" s="1"/>
  <c r="G14" i="1"/>
  <c r="I14" i="1" s="1"/>
  <c r="D135" i="1"/>
  <c r="M41" i="13"/>
  <c r="D58" i="1"/>
  <c r="D61" i="1"/>
  <c r="D60" i="1"/>
  <c r="D59" i="1"/>
  <c r="I204" i="1"/>
  <c r="G15" i="1"/>
  <c r="D47" i="1"/>
  <c r="D62" i="1"/>
  <c r="I31" i="31"/>
  <c r="D55" i="1"/>
  <c r="I51" i="59" l="1"/>
  <c r="I51" i="31"/>
  <c r="G42" i="51"/>
  <c r="E6" i="47"/>
  <c r="D141" i="1"/>
  <c r="I43" i="1"/>
  <c r="D148" i="1"/>
  <c r="I45" i="59"/>
  <c r="I23" i="31"/>
  <c r="I23" i="59"/>
  <c r="I24" i="31"/>
  <c r="I24" i="59"/>
  <c r="G246" i="1"/>
  <c r="D63" i="1"/>
  <c r="G213" i="1"/>
  <c r="I213" i="1" s="1"/>
  <c r="I45" i="31"/>
  <c r="I16" i="1"/>
  <c r="AD27" i="66" l="1"/>
  <c r="AB27" i="66"/>
  <c r="H27" i="66"/>
  <c r="F27" i="66"/>
  <c r="Z27" i="66"/>
  <c r="X27" i="66"/>
  <c r="V27" i="66"/>
  <c r="T27" i="66"/>
  <c r="R27" i="66"/>
  <c r="R29" i="66" s="1"/>
  <c r="P27" i="66"/>
  <c r="N27" i="66"/>
  <c r="L27" i="66"/>
  <c r="J27" i="66"/>
  <c r="L51" i="66"/>
  <c r="L53" i="66" s="1"/>
  <c r="J51" i="66"/>
  <c r="N51" i="66"/>
  <c r="N53" i="66" s="1"/>
  <c r="H51" i="66"/>
  <c r="H53" i="66" s="1"/>
  <c r="F51" i="66"/>
  <c r="AD51" i="66"/>
  <c r="AD53" i="66" s="1"/>
  <c r="AB51" i="66"/>
  <c r="AB53" i="66" s="1"/>
  <c r="Z51" i="66"/>
  <c r="Z53" i="66" s="1"/>
  <c r="X51" i="66"/>
  <c r="X53" i="66" s="1"/>
  <c r="V51" i="66"/>
  <c r="V53" i="66" s="1"/>
  <c r="T51" i="66"/>
  <c r="T53" i="66" s="1"/>
  <c r="R51" i="66"/>
  <c r="R53" i="66" s="1"/>
  <c r="P51" i="66"/>
  <c r="AD13" i="66"/>
  <c r="H13" i="66"/>
  <c r="N13" i="66"/>
  <c r="J13" i="66"/>
  <c r="AB13" i="66"/>
  <c r="R13" i="66"/>
  <c r="L13" i="66"/>
  <c r="Z13" i="66"/>
  <c r="P13" i="66"/>
  <c r="X13" i="66"/>
  <c r="V13" i="66"/>
  <c r="T13" i="66"/>
  <c r="F13" i="66"/>
  <c r="D49" i="61"/>
  <c r="H49" i="61"/>
  <c r="H50" i="61" s="1"/>
  <c r="H40" i="61"/>
  <c r="H42" i="61" s="1"/>
  <c r="D40" i="61"/>
  <c r="D42" i="61" s="1"/>
  <c r="D15" i="1"/>
  <c r="I15" i="1" s="1"/>
  <c r="P53" i="66"/>
  <c r="J53" i="66"/>
  <c r="G268" i="1"/>
  <c r="I268" i="1" s="1"/>
  <c r="D119" i="1"/>
  <c r="Q39" i="67"/>
  <c r="Q50" i="67"/>
  <c r="S50" i="67" s="1"/>
  <c r="W50" i="67" s="1"/>
  <c r="Q44" i="67"/>
  <c r="Q47" i="67"/>
  <c r="S47" i="67" s="1"/>
  <c r="W47" i="67" s="1"/>
  <c r="Q51" i="67"/>
  <c r="S51" i="67" s="1"/>
  <c r="W51" i="67" s="1"/>
  <c r="Q38" i="67"/>
  <c r="S38" i="67" s="1"/>
  <c r="Q42" i="67"/>
  <c r="S42" i="67" s="1"/>
  <c r="W42" i="67" s="1"/>
  <c r="Q45" i="67"/>
  <c r="S45" i="67" s="1"/>
  <c r="W45" i="67" s="1"/>
  <c r="Q48" i="67"/>
  <c r="Q40" i="67"/>
  <c r="S40" i="67" s="1"/>
  <c r="W40" i="67" s="1"/>
  <c r="Q49" i="67"/>
  <c r="Q43" i="67"/>
  <c r="S43" i="67" s="1"/>
  <c r="W43" i="67" s="1"/>
  <c r="Q41" i="67"/>
  <c r="I49" i="59"/>
  <c r="D155" i="1"/>
  <c r="I56" i="59" s="1"/>
  <c r="D154" i="1"/>
  <c r="D153" i="1"/>
  <c r="G127" i="1"/>
  <c r="G135" i="1"/>
  <c r="G53" i="1"/>
  <c r="I32" i="31"/>
  <c r="I32" i="59"/>
  <c r="E15" i="33"/>
  <c r="E16" i="33" s="1"/>
  <c r="E18" i="33" s="1"/>
  <c r="D120" i="1" s="1"/>
  <c r="G32" i="38"/>
  <c r="G28" i="38"/>
  <c r="G29" i="38"/>
  <c r="G30" i="38"/>
  <c r="G31" i="38"/>
  <c r="G45" i="1"/>
  <c r="I45" i="1" s="1"/>
  <c r="I218" i="1"/>
  <c r="K218" i="1" s="1"/>
  <c r="G134" i="1"/>
  <c r="I49" i="31"/>
  <c r="D248" i="1"/>
  <c r="E318" i="1" s="1"/>
  <c r="F318" i="1" s="1"/>
  <c r="G18" i="5"/>
  <c r="I51" i="1"/>
  <c r="S44" i="67" l="1"/>
  <c r="U44" i="67"/>
  <c r="S39" i="67"/>
  <c r="U39" i="67"/>
  <c r="AF13" i="66"/>
  <c r="I40" i="61"/>
  <c r="I42" i="61" s="1"/>
  <c r="D50" i="61"/>
  <c r="I49" i="61"/>
  <c r="I50" i="61" s="1"/>
  <c r="AF27" i="66"/>
  <c r="S41" i="67"/>
  <c r="S49" i="67"/>
  <c r="S48" i="67"/>
  <c r="AD29" i="66"/>
  <c r="T29" i="66"/>
  <c r="V29" i="66"/>
  <c r="X29" i="66"/>
  <c r="Z29" i="66"/>
  <c r="P29" i="66"/>
  <c r="AB29" i="66"/>
  <c r="H29" i="66"/>
  <c r="J29" i="66"/>
  <c r="F29" i="66"/>
  <c r="AF28" i="66"/>
  <c r="L29" i="66"/>
  <c r="AF51" i="66"/>
  <c r="AF53" i="66" s="1"/>
  <c r="F53" i="66"/>
  <c r="N29" i="66"/>
  <c r="W38" i="67"/>
  <c r="G46" i="1"/>
  <c r="I46" i="1" s="1"/>
  <c r="I47" i="1" s="1"/>
  <c r="G121" i="1"/>
  <c r="G129" i="1"/>
  <c r="G54" i="1"/>
  <c r="I54" i="1" s="1"/>
  <c r="I25" i="31"/>
  <c r="I25" i="59"/>
  <c r="I59" i="1"/>
  <c r="G19" i="5" s="1"/>
  <c r="I53" i="1"/>
  <c r="I61" i="1" s="1"/>
  <c r="I56" i="31"/>
  <c r="E247" i="1"/>
  <c r="E246" i="1"/>
  <c r="I28" i="59" s="1"/>
  <c r="I36" i="59" s="1"/>
  <c r="E245" i="1"/>
  <c r="I27" i="59" s="1"/>
  <c r="I35" i="59" s="1"/>
  <c r="I126" i="1"/>
  <c r="I77" i="1"/>
  <c r="W44" i="67" l="1"/>
  <c r="W39" i="67"/>
  <c r="S52" i="67"/>
  <c r="U48" i="67"/>
  <c r="W48" i="67" s="1"/>
  <c r="AF29" i="66"/>
  <c r="AF61" i="66" s="1"/>
  <c r="D71" i="1" s="1"/>
  <c r="W49" i="67"/>
  <c r="W41" i="67"/>
  <c r="I247" i="1"/>
  <c r="I29" i="59"/>
  <c r="I37" i="59" s="1"/>
  <c r="I38" i="59" s="1"/>
  <c r="I46" i="59" s="1"/>
  <c r="I55" i="1"/>
  <c r="G47" i="1"/>
  <c r="I62" i="1"/>
  <c r="I63" i="1" s="1"/>
  <c r="I121" i="1"/>
  <c r="I29" i="31"/>
  <c r="I37" i="31" s="1"/>
  <c r="I245" i="1"/>
  <c r="I27" i="31"/>
  <c r="I35" i="31" s="1"/>
  <c r="I246" i="1"/>
  <c r="I28" i="31"/>
  <c r="I36" i="31" s="1"/>
  <c r="AD12" i="66" l="1"/>
  <c r="AD14" i="66" s="1"/>
  <c r="V12" i="66"/>
  <c r="V14" i="66" s="1"/>
  <c r="AB12" i="66"/>
  <c r="AB14" i="66" s="1"/>
  <c r="H12" i="66"/>
  <c r="H14" i="66" s="1"/>
  <c r="N12" i="66"/>
  <c r="N14" i="66" s="1"/>
  <c r="Z12" i="66"/>
  <c r="Z14" i="66" s="1"/>
  <c r="T12" i="66"/>
  <c r="T14" i="66" s="1"/>
  <c r="X12" i="66"/>
  <c r="X14" i="66" s="1"/>
  <c r="P12" i="66"/>
  <c r="P14" i="66" s="1"/>
  <c r="L12" i="66"/>
  <c r="L14" i="66" s="1"/>
  <c r="F12" i="66"/>
  <c r="J12" i="66"/>
  <c r="J14" i="66" s="1"/>
  <c r="R12" i="66"/>
  <c r="R14" i="66" s="1"/>
  <c r="U52" i="67"/>
  <c r="G269" i="1"/>
  <c r="I269" i="1" s="1"/>
  <c r="I267" i="1" s="1"/>
  <c r="D18" i="1" s="1"/>
  <c r="I18" i="1" s="1"/>
  <c r="W52" i="67"/>
  <c r="D117" i="1" s="1"/>
  <c r="I117" i="1" s="1"/>
  <c r="G153" i="1"/>
  <c r="G140" i="1"/>
  <c r="G139" i="1"/>
  <c r="F31" i="38"/>
  <c r="H31" i="38" s="1"/>
  <c r="D13" i="38" s="1"/>
  <c r="E13" i="38" s="1"/>
  <c r="E15" i="40" s="1"/>
  <c r="F32" i="38"/>
  <c r="H32" i="38" s="1"/>
  <c r="D14" i="38" s="1"/>
  <c r="F30" i="38"/>
  <c r="H30" i="38" s="1"/>
  <c r="D12" i="38" s="1"/>
  <c r="F29" i="38"/>
  <c r="H29" i="38" s="1"/>
  <c r="D11" i="38" s="1"/>
  <c r="F28" i="38"/>
  <c r="H28" i="38" s="1"/>
  <c r="I129" i="1"/>
  <c r="I248" i="1"/>
  <c r="AA10" i="63" s="1"/>
  <c r="I38" i="31"/>
  <c r="I46" i="31" s="1"/>
  <c r="AF12" i="66" l="1"/>
  <c r="AF14" i="66" s="1"/>
  <c r="D82" i="1" s="1"/>
  <c r="F14" i="66"/>
  <c r="D145" i="1"/>
  <c r="AB10" i="63" s="1"/>
  <c r="AC10" i="63" s="1"/>
  <c r="D10" i="38"/>
  <c r="H33" i="38"/>
  <c r="E10" i="38" l="1"/>
  <c r="F15" i="40" s="1"/>
  <c r="E67" i="51" s="1"/>
  <c r="D15" i="38"/>
  <c r="H67" i="51" l="1"/>
  <c r="I67" i="51" s="1"/>
  <c r="L67" i="51" s="1"/>
  <c r="E41" i="47"/>
  <c r="H41" i="47" s="1"/>
  <c r="J41" i="47" s="1"/>
  <c r="K24" i="40" l="1"/>
  <c r="F10" i="40" s="1"/>
  <c r="M67" i="51"/>
  <c r="K41" i="47"/>
  <c r="G68" i="1" l="1"/>
  <c r="G69" i="1" s="1"/>
  <c r="I127" i="1"/>
  <c r="I130" i="1" s="1"/>
  <c r="G26" i="5" l="1"/>
  <c r="G73" i="1"/>
  <c r="I73" i="1" s="1"/>
  <c r="G70" i="1"/>
  <c r="G71" i="1" s="1"/>
  <c r="G27" i="5" l="1"/>
  <c r="I27" i="5" s="1"/>
  <c r="I71" i="1"/>
  <c r="I82" i="1"/>
  <c r="G137" i="1"/>
  <c r="I116" i="1" l="1"/>
  <c r="I140" i="1"/>
  <c r="I139" i="1"/>
  <c r="I137" i="1"/>
  <c r="I153" i="1"/>
  <c r="E10" i="40"/>
  <c r="D66" i="1" s="1"/>
  <c r="I154" i="1"/>
  <c r="I55" i="31" l="1"/>
  <c r="I55" i="59"/>
  <c r="I54" i="31"/>
  <c r="I54" i="59"/>
  <c r="G155" i="1"/>
  <c r="I155" i="1" s="1"/>
  <c r="I70" i="1" l="1"/>
  <c r="I120" i="1"/>
  <c r="I134" i="1" l="1"/>
  <c r="I135" i="1"/>
  <c r="I141" i="1" l="1"/>
  <c r="G30" i="5" l="1"/>
  <c r="G31" i="5" s="1"/>
  <c r="I31" i="5" s="1"/>
  <c r="D67" i="1" l="1"/>
  <c r="I67" i="1" l="1"/>
  <c r="C12" i="38" l="1"/>
  <c r="E12" i="38" l="1"/>
  <c r="H15" i="40" s="1"/>
  <c r="E65" i="51" s="1"/>
  <c r="C11" i="38"/>
  <c r="H65" i="51" l="1"/>
  <c r="E11" i="38"/>
  <c r="E39" i="47"/>
  <c r="I65" i="51" l="1"/>
  <c r="L65" i="51" s="1"/>
  <c r="H39" i="47"/>
  <c r="G15" i="40"/>
  <c r="E69" i="51" s="1"/>
  <c r="H69" i="51" l="1"/>
  <c r="E71" i="51"/>
  <c r="M65" i="51"/>
  <c r="E43" i="47"/>
  <c r="J39" i="47"/>
  <c r="K32" i="40" l="1"/>
  <c r="H10" i="40" s="1"/>
  <c r="I69" i="51"/>
  <c r="H71" i="51"/>
  <c r="K39" i="47"/>
  <c r="H43" i="47"/>
  <c r="E45" i="47"/>
  <c r="L69" i="51" l="1"/>
  <c r="I71" i="51"/>
  <c r="D69" i="1"/>
  <c r="J43" i="47"/>
  <c r="H45" i="47"/>
  <c r="K28" i="40" l="1"/>
  <c r="I69" i="1"/>
  <c r="M69" i="51"/>
  <c r="M71" i="51" s="1"/>
  <c r="L71" i="51"/>
  <c r="K43" i="47"/>
  <c r="K45" i="47" s="1"/>
  <c r="J45" i="47"/>
  <c r="G10" i="40" l="1"/>
  <c r="L10" i="40" s="1"/>
  <c r="D68" i="1" l="1"/>
  <c r="D75" i="1" s="1"/>
  <c r="I68" i="1" l="1"/>
  <c r="I75" i="1" s="1"/>
  <c r="F208" i="38" l="1"/>
  <c r="C14" i="38" s="1"/>
  <c r="C208" i="38"/>
  <c r="E14" i="38" l="1"/>
  <c r="C15" i="38"/>
  <c r="E15" i="38" l="1"/>
  <c r="I15" i="40"/>
  <c r="L15" i="40" s="1"/>
  <c r="M12" i="63" l="1"/>
  <c r="K12" i="63"/>
  <c r="L12" i="63" s="1"/>
  <c r="L11" i="63"/>
  <c r="N12" i="63" l="1"/>
  <c r="O12" i="63" s="1"/>
  <c r="P12" i="63" s="1"/>
  <c r="Q12" i="63" s="1"/>
  <c r="R12" i="63" s="1"/>
  <c r="S12" i="63" s="1"/>
  <c r="T12" i="63" s="1"/>
  <c r="U12" i="63" s="1"/>
  <c r="V12" i="63" s="1"/>
  <c r="W12" i="63" s="1"/>
  <c r="X12" i="63" s="1"/>
  <c r="Y12" i="63" s="1"/>
  <c r="AA11" i="63"/>
  <c r="Z12" i="63" l="1"/>
  <c r="AA12" i="63" s="1"/>
  <c r="AB12" i="63" s="1"/>
  <c r="AC12" i="63" s="1"/>
  <c r="M13" i="63"/>
  <c r="K13" i="63"/>
  <c r="L13" i="63" s="1"/>
  <c r="AB11" i="63"/>
  <c r="AC11" i="63" s="1"/>
  <c r="N13" i="63" l="1"/>
  <c r="O13" i="63" s="1"/>
  <c r="P13" i="63" s="1"/>
  <c r="Q13" i="63" s="1"/>
  <c r="R13" i="63" s="1"/>
  <c r="S13" i="63" s="1"/>
  <c r="T13" i="63" s="1"/>
  <c r="U13" i="63" s="1"/>
  <c r="V13" i="63" s="1"/>
  <c r="W13" i="63" s="1"/>
  <c r="X13" i="63" s="1"/>
  <c r="Y13" i="63" s="1"/>
  <c r="Z13" i="63" l="1"/>
  <c r="K14" i="63" l="1"/>
  <c r="L14" i="63" s="1"/>
  <c r="M14" i="63"/>
  <c r="AA13" i="63"/>
  <c r="N14" i="63" l="1"/>
  <c r="AB13" i="63"/>
  <c r="AC13" i="63" s="1"/>
  <c r="O14" i="63" l="1"/>
  <c r="P14" i="63" s="1"/>
  <c r="M15" i="63"/>
  <c r="K15" i="63"/>
  <c r="L15" i="63" s="1"/>
  <c r="Q14" i="63" l="1"/>
  <c r="R14" i="63" s="1"/>
  <c r="S14" i="63" s="1"/>
  <c r="T14" i="63" s="1"/>
  <c r="U14" i="63" s="1"/>
  <c r="V14" i="63" s="1"/>
  <c r="W14" i="63" s="1"/>
  <c r="X14" i="63" s="1"/>
  <c r="Y14" i="63" s="1"/>
  <c r="N15" i="63"/>
  <c r="O15" i="63" s="1"/>
  <c r="P15" i="63" s="1"/>
  <c r="Q15" i="63" s="1"/>
  <c r="R15" i="63" s="1"/>
  <c r="S15" i="63" s="1"/>
  <c r="T15" i="63" s="1"/>
  <c r="U15" i="63" s="1"/>
  <c r="V15" i="63" s="1"/>
  <c r="W15" i="63" s="1"/>
  <c r="X15" i="63" s="1"/>
  <c r="Y15" i="63" s="1"/>
  <c r="Z14" i="63" l="1"/>
  <c r="AA14" i="63" s="1"/>
  <c r="AB14" i="63" s="1"/>
  <c r="AC14" i="63" s="1"/>
  <c r="M16" i="63"/>
  <c r="K16" i="63"/>
  <c r="L16" i="63" s="1"/>
  <c r="Z15" i="63"/>
  <c r="AA15" i="63" s="1"/>
  <c r="AB15" i="63" s="1"/>
  <c r="AC15" i="63" s="1"/>
  <c r="N16" i="63" l="1"/>
  <c r="O16" i="63" s="1"/>
  <c r="P16" i="63" s="1"/>
  <c r="Q16" i="63" s="1"/>
  <c r="R16" i="63" s="1"/>
  <c r="S16" i="63" s="1"/>
  <c r="T16" i="63" s="1"/>
  <c r="U16" i="63" s="1"/>
  <c r="V16" i="63" s="1"/>
  <c r="W16" i="63" s="1"/>
  <c r="X16" i="63" s="1"/>
  <c r="Y16" i="63" s="1"/>
  <c r="M17" i="63" l="1"/>
  <c r="K17" i="63"/>
  <c r="L17" i="63" s="1"/>
  <c r="Z16" i="63"/>
  <c r="AA16" i="63" s="1"/>
  <c r="AB16" i="63" s="1"/>
  <c r="AC16" i="63" s="1"/>
  <c r="N17" i="63" l="1"/>
  <c r="O17" i="63" s="1"/>
  <c r="P17" i="63" s="1"/>
  <c r="Q17" i="63" s="1"/>
  <c r="R17" i="63" s="1"/>
  <c r="S17" i="63" s="1"/>
  <c r="T17" i="63" s="1"/>
  <c r="U17" i="63" s="1"/>
  <c r="V17" i="63" s="1"/>
  <c r="W17" i="63" s="1"/>
  <c r="X17" i="63" s="1"/>
  <c r="Y17" i="63" s="1"/>
  <c r="M18" i="63" l="1"/>
  <c r="K18" i="63"/>
  <c r="L18" i="63" s="1"/>
  <c r="Z17" i="63"/>
  <c r="AA17" i="63" s="1"/>
  <c r="AB17" i="63" s="1"/>
  <c r="AC17" i="63" s="1"/>
  <c r="N18" i="63" l="1"/>
  <c r="O18" i="63" s="1"/>
  <c r="P18" i="63" s="1"/>
  <c r="Q18" i="63" s="1"/>
  <c r="R18" i="63" l="1"/>
  <c r="S18" i="63" s="1"/>
  <c r="M19" i="63"/>
  <c r="K19" i="63"/>
  <c r="L19" i="63" s="1"/>
  <c r="T18" i="63" l="1"/>
  <c r="U18" i="63" s="1"/>
  <c r="N19" i="63"/>
  <c r="O19" i="63" s="1"/>
  <c r="P19" i="63" s="1"/>
  <c r="Q19" i="63" s="1"/>
  <c r="R19" i="63" s="1"/>
  <c r="S19" i="63" s="1"/>
  <c r="T19" i="63" s="1"/>
  <c r="U19" i="63" s="1"/>
  <c r="V19" i="63" s="1"/>
  <c r="W19" i="63" s="1"/>
  <c r="X19" i="63" s="1"/>
  <c r="Y19" i="63" s="1"/>
  <c r="V18" i="63" l="1"/>
  <c r="W18" i="63" s="1"/>
  <c r="X18" i="63" s="1"/>
  <c r="Y18" i="63" s="1"/>
  <c r="M20" i="63"/>
  <c r="K20" i="63"/>
  <c r="L20" i="63" s="1"/>
  <c r="Z19" i="63"/>
  <c r="AA19" i="63" s="1"/>
  <c r="AB19" i="63" s="1"/>
  <c r="AC19" i="63" s="1"/>
  <c r="Z18" i="63" l="1"/>
  <c r="AA18" i="63" s="1"/>
  <c r="AB18" i="63" s="1"/>
  <c r="AC18" i="63" s="1"/>
  <c r="N20" i="63"/>
  <c r="O20" i="63" s="1"/>
  <c r="P20" i="63" s="1"/>
  <c r="Q20" i="63" l="1"/>
  <c r="R20" i="63" l="1"/>
  <c r="S20" i="63" s="1"/>
  <c r="T20" i="63" s="1"/>
  <c r="U20" i="63" l="1"/>
  <c r="V20" i="63" s="1"/>
  <c r="W20" i="63" s="1"/>
  <c r="X20" i="63" l="1"/>
  <c r="Y20" i="63" s="1"/>
  <c r="Z20" i="63" s="1"/>
  <c r="AA20" i="63" s="1"/>
  <c r="AB20" i="63" s="1"/>
  <c r="AC20" i="63" s="1"/>
  <c r="AC24" i="63" s="1"/>
  <c r="I119" i="1" l="1"/>
  <c r="D8" i="2" l="1"/>
  <c r="D10" i="2" s="1"/>
  <c r="D13" i="2" s="1"/>
  <c r="I202" i="1"/>
  <c r="I203" i="1" s="1"/>
  <c r="I205" i="1" s="1"/>
  <c r="K10" i="67" l="1"/>
  <c r="M10" i="67" s="1"/>
  <c r="Q10" i="67" s="1"/>
  <c r="K14" i="67"/>
  <c r="M14" i="67" s="1"/>
  <c r="Q14" i="67" s="1"/>
  <c r="K20" i="67"/>
  <c r="K25" i="67"/>
  <c r="M25" i="67" s="1"/>
  <c r="Q25" i="67" s="1"/>
  <c r="K15" i="67"/>
  <c r="M15" i="67" s="1"/>
  <c r="O15" i="67" s="1"/>
  <c r="K30" i="67"/>
  <c r="M30" i="67" s="1"/>
  <c r="Q30" i="67" s="1"/>
  <c r="K21" i="67"/>
  <c r="M21" i="67" s="1"/>
  <c r="Q21" i="67" s="1"/>
  <c r="K31" i="67"/>
  <c r="M31" i="67" s="1"/>
  <c r="Q31" i="67" s="1"/>
  <c r="K26" i="67"/>
  <c r="M26" i="67" s="1"/>
  <c r="Q26" i="67" s="1"/>
  <c r="K16" i="67"/>
  <c r="M16" i="67" s="1"/>
  <c r="Q16" i="67" s="1"/>
  <c r="K22" i="67"/>
  <c r="M22" i="67" s="1"/>
  <c r="Q22" i="67" s="1"/>
  <c r="K27" i="67"/>
  <c r="M27" i="67" s="1"/>
  <c r="Q27" i="67" s="1"/>
  <c r="G81" i="1"/>
  <c r="I81" i="1" s="1"/>
  <c r="K17" i="67"/>
  <c r="M17" i="67" s="1"/>
  <c r="Q17" i="67" s="1"/>
  <c r="K12" i="67"/>
  <c r="M12" i="67" s="1"/>
  <c r="Q12" i="67" s="1"/>
  <c r="K28" i="67"/>
  <c r="M28" i="67" s="1"/>
  <c r="Q28" i="67" s="1"/>
  <c r="K13" i="67"/>
  <c r="M13" i="67" s="1"/>
  <c r="Q13" i="67" s="1"/>
  <c r="K19" i="67"/>
  <c r="M19" i="67" s="1"/>
  <c r="O19" i="67" s="1"/>
  <c r="K24" i="67"/>
  <c r="M24" i="67" s="1"/>
  <c r="Q24" i="67" s="1"/>
  <c r="K29" i="67"/>
  <c r="M29" i="67" s="1"/>
  <c r="Q29" i="67" s="1"/>
  <c r="K8" i="67"/>
  <c r="M8" i="67" s="1"/>
  <c r="Q8" i="67" s="1"/>
  <c r="K9" i="67"/>
  <c r="M9" i="67" s="1"/>
  <c r="Q9" i="67" s="1"/>
  <c r="K11" i="67"/>
  <c r="M11" i="67" s="1"/>
  <c r="O11" i="67" s="1"/>
  <c r="K23" i="67"/>
  <c r="M23" i="67" s="1"/>
  <c r="Q23" i="67" s="1"/>
  <c r="K18" i="67"/>
  <c r="M18" i="67" s="1"/>
  <c r="Q18" i="67" s="1"/>
  <c r="K7" i="67"/>
  <c r="M7" i="67" s="1"/>
  <c r="M20" i="67" l="1"/>
  <c r="M32" i="67" s="1"/>
  <c r="Q15" i="67"/>
  <c r="Q19" i="67"/>
  <c r="O32" i="67"/>
  <c r="Q7" i="67"/>
  <c r="Q20" i="67" l="1"/>
  <c r="Q11" i="67"/>
  <c r="Q32" i="67" l="1"/>
  <c r="D115" i="1"/>
  <c r="I115" i="1" s="1"/>
  <c r="I123" i="1" s="1"/>
  <c r="D80" i="1" s="1"/>
  <c r="Y54" i="67"/>
  <c r="D123" i="1" l="1"/>
  <c r="I80" i="1"/>
  <c r="I83" i="1" s="1"/>
  <c r="I85" i="1" s="1"/>
  <c r="D83" i="1"/>
  <c r="D85" i="1" s="1"/>
  <c r="D158" i="1" s="1"/>
  <c r="D152" i="1" s="1"/>
  <c r="D156" i="1" s="1"/>
  <c r="G22" i="5"/>
  <c r="G23" i="5" s="1"/>
  <c r="I23" i="5" s="1"/>
  <c r="I33" i="5" s="1"/>
  <c r="D161" i="1" l="1"/>
  <c r="I8" i="31"/>
  <c r="I40" i="31" s="1"/>
  <c r="I53" i="31" s="1"/>
  <c r="I57" i="31" s="1"/>
  <c r="I61" i="31" s="1"/>
  <c r="I8" i="59"/>
  <c r="I158" i="1"/>
  <c r="F62" i="5"/>
  <c r="G62" i="5" s="1"/>
  <c r="I63" i="31" l="1"/>
  <c r="I152" i="1"/>
  <c r="I156" i="1" s="1"/>
  <c r="I226" i="1"/>
  <c r="G40" i="5"/>
  <c r="G41" i="5" s="1"/>
  <c r="I41" i="5" s="1"/>
  <c r="I66" i="59"/>
  <c r="I40" i="59"/>
  <c r="I53" i="59" l="1"/>
  <c r="I57" i="59" s="1"/>
  <c r="I63" i="59"/>
  <c r="I231" i="1"/>
  <c r="G36" i="5"/>
  <c r="G37" i="5" s="1"/>
  <c r="I37" i="5" s="1"/>
  <c r="I43" i="5" s="1"/>
  <c r="I64" i="31"/>
  <c r="I225" i="1"/>
  <c r="I227" i="1" s="1"/>
  <c r="I161" i="1"/>
  <c r="AK17" i="60" l="1"/>
  <c r="AK15" i="60"/>
  <c r="AK13" i="60"/>
  <c r="AK16" i="60"/>
  <c r="AK14" i="60"/>
  <c r="AK12" i="60"/>
  <c r="I62" i="5"/>
  <c r="J62" i="5" s="1"/>
  <c r="L62" i="5" s="1"/>
  <c r="I61" i="59"/>
  <c r="I65" i="59" s="1"/>
  <c r="I67" i="59" s="1"/>
  <c r="I230" i="1"/>
  <c r="I232" i="1" s="1"/>
  <c r="I234" i="1" s="1"/>
  <c r="I64" i="59"/>
  <c r="AL13" i="60" l="1"/>
  <c r="AM13" i="60" s="1"/>
  <c r="AL12" i="60"/>
  <c r="AM12" i="60" s="1"/>
  <c r="AL14" i="60"/>
  <c r="AM14" i="60" s="1"/>
  <c r="N62" i="5"/>
  <c r="O62" i="5" s="1"/>
  <c r="AL16" i="60"/>
  <c r="AM16" i="60" s="1"/>
  <c r="AL17" i="60"/>
  <c r="AM17" i="60" s="1"/>
  <c r="AL15" i="60"/>
  <c r="AM15" i="60" s="1"/>
  <c r="N78" i="5" l="1"/>
  <c r="D164" i="1" s="1"/>
  <c r="I164" i="1" s="1"/>
  <c r="AM31" i="60"/>
  <c r="D163" i="1" s="1"/>
  <c r="I163" i="1" s="1"/>
  <c r="O77" i="5"/>
  <c r="D19" i="1" s="1"/>
  <c r="I167" i="1" l="1"/>
  <c r="I11" i="1" s="1"/>
  <c r="D167" i="1"/>
  <c r="D20" i="1"/>
  <c r="I19" i="1"/>
  <c r="I20" i="1" s="1"/>
  <c r="I32" i="6" l="1"/>
  <c r="B10" i="69" s="1"/>
  <c r="F10" i="69" s="1"/>
  <c r="G72" i="69" s="1"/>
  <c r="G73" i="69" l="1"/>
  <c r="L34" i="6" s="1"/>
  <c r="A72" i="69"/>
  <c r="A73" i="69" s="1"/>
  <c r="G74" i="69" l="1"/>
  <c r="A74" i="69" s="1"/>
  <c r="F10" i="68" l="1"/>
  <c r="G72" i="68" s="1"/>
  <c r="G73" i="68" l="1"/>
  <c r="G74" i="68" s="1"/>
  <c r="I22" i="1" s="1"/>
  <c r="A72" i="68"/>
  <c r="I23" i="1" l="1"/>
  <c r="A73" i="68"/>
  <c r="A74" i="68" s="1"/>
  <c r="J17" i="6"/>
  <c r="J32" i="6"/>
  <c r="K18" i="6" s="1"/>
  <c r="L18" i="6" s="1"/>
  <c r="K17" i="6" l="1"/>
  <c r="L17" i="6" s="1"/>
  <c r="L32" i="6" s="1"/>
  <c r="P62" i="5" l="1"/>
  <c r="Q62" i="5" s="1"/>
</calcChain>
</file>

<file path=xl/sharedStrings.xml><?xml version="1.0" encoding="utf-8"?>
<sst xmlns="http://schemas.openxmlformats.org/spreadsheetml/2006/main" count="2609" uniqueCount="1396">
  <si>
    <t>page 1 of 5</t>
  </si>
  <si>
    <t xml:space="preserve">Formula Rate - Non-Levelized </t>
  </si>
  <si>
    <t xml:space="preserve">     Rate Formula Template</t>
  </si>
  <si>
    <t xml:space="preserve"> </t>
  </si>
  <si>
    <t xml:space="preserve"> Utilizing FERC Form 1 Data</t>
  </si>
  <si>
    <t>Line</t>
  </si>
  <si>
    <t>Allocated</t>
  </si>
  <si>
    <t>No.</t>
  </si>
  <si>
    <t>Amount</t>
  </si>
  <si>
    <t>Total</t>
  </si>
  <si>
    <t>Allocator</t>
  </si>
  <si>
    <t xml:space="preserve">  Account No. 454</t>
  </si>
  <si>
    <t>TP</t>
  </si>
  <si>
    <t>(Note A)</t>
  </si>
  <si>
    <t>(Note B)</t>
  </si>
  <si>
    <t>(Note C)</t>
  </si>
  <si>
    <t>(Note D)</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</si>
  <si>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</si>
  <si>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</si>
  <si>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</si>
  <si>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</si>
  <si>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</si>
  <si>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</si>
  <si>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</si>
  <si>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</si>
  <si>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</si>
  <si>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</si>
  <si>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</si>
  <si>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</si>
  <si>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</si>
  <si>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</si>
  <si>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</si>
  <si>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</si>
  <si>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</si>
  <si>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</si>
  <si>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</si>
  <si>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</si>
  <si>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</si>
  <si>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GP=</t>
  </si>
  <si>
    <t>ACCUMULATED DEPRECIATION</t>
  </si>
  <si>
    <t>219.20-24.c</t>
  </si>
  <si>
    <t>219.26.c</t>
  </si>
  <si>
    <t>NET PLANT IN SERVICE</t>
  </si>
  <si>
    <t xml:space="preserve">  Account No. 281 (enter negative)</t>
  </si>
  <si>
    <t xml:space="preserve">  Account No. 282 (enter negative)</t>
  </si>
  <si>
    <t xml:space="preserve">  Account No. 283 (enter negative)</t>
  </si>
  <si>
    <t xml:space="preserve">  Account No. 190 </t>
  </si>
  <si>
    <t xml:space="preserve">  Account No. 255 (enter negative)</t>
  </si>
  <si>
    <t xml:space="preserve">LAND HELD FOR FUTURE USE </t>
  </si>
  <si>
    <t xml:space="preserve">  CWC  </t>
  </si>
  <si>
    <t>TE</t>
  </si>
  <si>
    <t xml:space="preserve">  Prepayments (Account 165)</t>
  </si>
  <si>
    <t>GP</t>
  </si>
  <si>
    <t xml:space="preserve">  LABOR RELATED</t>
  </si>
  <si>
    <t xml:space="preserve">          Payroll</t>
  </si>
  <si>
    <t>263.i</t>
  </si>
  <si>
    <t xml:space="preserve">          Highway and vehicle</t>
  </si>
  <si>
    <t xml:space="preserve">  PLANT RELATED</t>
  </si>
  <si>
    <t xml:space="preserve">         Property</t>
  </si>
  <si>
    <t xml:space="preserve">         Other</t>
  </si>
  <si>
    <t xml:space="preserve">         Payments in lieu of taxes</t>
  </si>
  <si>
    <t xml:space="preserve">INCOME TAXES          </t>
  </si>
  <si>
    <t xml:space="preserve">     T=1 - {[(1 - SIT) * (1 - FIT)] / (1 - SIT * FIT * p)} =</t>
  </si>
  <si>
    <t xml:space="preserve">       and FIT, SIT &amp; p are as given in footnote K.</t>
  </si>
  <si>
    <t>Total Income Taxes</t>
  </si>
  <si>
    <t xml:space="preserve">RETURN </t>
  </si>
  <si>
    <t xml:space="preserve">                SUPPORTING CALCULATIONS AND NOTES</t>
  </si>
  <si>
    <t>TRANSMISSION PLANT INCLUDED IN ISO RATES</t>
  </si>
  <si>
    <t>TP=</t>
  </si>
  <si>
    <t xml:space="preserve">TRANSMISSION EXPENSES </t>
  </si>
  <si>
    <t>TE=</t>
  </si>
  <si>
    <t>WAGES &amp; SALARY ALLOCATOR   (W&amp;S)</t>
  </si>
  <si>
    <t>Form 1 Reference</t>
  </si>
  <si>
    <t>$</t>
  </si>
  <si>
    <t>Allocation</t>
  </si>
  <si>
    <t>W&amp;S Allocator</t>
  </si>
  <si>
    <t xml:space="preserve">  Other</t>
  </si>
  <si>
    <t>($ / Allocation)</t>
  </si>
  <si>
    <t>=</t>
  </si>
  <si>
    <t>% Electric</t>
  </si>
  <si>
    <t xml:space="preserve">  Electric</t>
  </si>
  <si>
    <t>200.3.c</t>
  </si>
  <si>
    <t xml:space="preserve">  Gas</t>
  </si>
  <si>
    <t>201.3.d</t>
  </si>
  <si>
    <t>*</t>
  </si>
  <si>
    <t xml:space="preserve">  Water</t>
  </si>
  <si>
    <t>201.3.e</t>
  </si>
  <si>
    <t>RETURN (R)</t>
  </si>
  <si>
    <t>Common Stock</t>
  </si>
  <si>
    <t>Cost</t>
  </si>
  <si>
    <t>%</t>
  </si>
  <si>
    <t>(Note P)</t>
  </si>
  <si>
    <t>Weighted</t>
  </si>
  <si>
    <t>=WCLTD</t>
  </si>
  <si>
    <t>=R</t>
  </si>
  <si>
    <t>REVENUE CREDITS</t>
  </si>
  <si>
    <t>ACCOUNT 447 (SALES FOR RESALE)</t>
  </si>
  <si>
    <t xml:space="preserve">  Total of (a)-(b)</t>
  </si>
  <si>
    <t>page 5 of 5</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</si>
  <si>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</si>
  <si>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</si>
  <si>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</si>
  <si>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</si>
  <si>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</si>
  <si>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</si>
  <si>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</si>
  <si>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</si>
  <si>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</si>
  <si>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</si>
  <si>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</si>
  <si>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</si>
  <si>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</si>
  <si>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</si>
  <si>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</si>
  <si>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</si>
  <si>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</si>
  <si>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</si>
  <si>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</si>
  <si>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</si>
  <si>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</si>
  <si>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</si>
  <si>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</si>
  <si>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Includes income related only to transmission facilities, such as pole attachments, rentals and special use.</t>
  </si>
  <si>
    <t>W</t>
  </si>
  <si>
    <t>205.46.g</t>
  </si>
  <si>
    <t>207.75.g</t>
  </si>
  <si>
    <t>354.20.b</t>
  </si>
  <si>
    <t>354.21.b</t>
  </si>
  <si>
    <t>354.23.b</t>
  </si>
  <si>
    <t>page 3 of 5</t>
  </si>
  <si>
    <t>page 4 of 5</t>
  </si>
  <si>
    <t>(Note E)</t>
  </si>
  <si>
    <t>= WS</t>
  </si>
  <si>
    <t>Preferred Dividends  (118.29c) (positive number)</t>
  </si>
  <si>
    <t>Inputs Required:</t>
  </si>
  <si>
    <t>Revenue Credits for Sched 1A  - Note A</t>
  </si>
  <si>
    <t>Net Schedule 1A Expenses (Line 1 - Line 2)</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</si>
  <si>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</si>
  <si>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</si>
  <si>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</si>
  <si>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</si>
  <si>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</si>
  <si>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</si>
  <si>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</si>
  <si>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</si>
  <si>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</si>
  <si>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</si>
  <si>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</si>
  <si>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</si>
  <si>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</si>
  <si>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</si>
  <si>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</si>
  <si>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</si>
  <si>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</si>
  <si>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</si>
  <si>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</si>
  <si>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</si>
  <si>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</si>
  <si>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</si>
  <si>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</si>
  <si>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</si>
  <si>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</si>
  <si>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</si>
  <si>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</si>
  <si>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</si>
  <si>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</si>
  <si>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</si>
  <si>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</si>
  <si>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</si>
  <si>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</si>
  <si>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</si>
  <si>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</si>
  <si>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</si>
  <si>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</si>
  <si>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</si>
  <si>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</si>
  <si>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</si>
  <si>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</si>
  <si>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</si>
  <si>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</si>
  <si>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</si>
  <si>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</si>
  <si>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</si>
  <si>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</si>
  <si>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</si>
  <si>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</si>
  <si>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</si>
  <si>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</si>
  <si>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</si>
  <si>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</si>
  <si>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</si>
  <si>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</si>
  <si>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</si>
  <si>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</si>
  <si>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</si>
  <si>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</si>
  <si>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</si>
  <si>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</si>
  <si>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</si>
  <si>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</si>
  <si>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</si>
  <si>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</si>
  <si>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</si>
  <si>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</si>
  <si>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</si>
  <si>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</si>
  <si>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</si>
  <si>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</si>
  <si>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</si>
  <si>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</si>
  <si>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</si>
  <si>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</si>
  <si>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</si>
  <si>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</si>
  <si>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</si>
  <si>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</si>
  <si>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December 31</t>
  </si>
  <si>
    <t>(enter negative)</t>
  </si>
  <si>
    <t>[B]</t>
  </si>
  <si>
    <t>Property Taxes</t>
  </si>
  <si>
    <t>Highway and Vehicle Taxes</t>
  </si>
  <si>
    <t>Payroll Taxes</t>
  </si>
  <si>
    <t>Other Taxes</t>
  </si>
  <si>
    <t>Payroll Taxes Total</t>
  </si>
  <si>
    <t>Payments in lieu of taxes</t>
  </si>
  <si>
    <t>Proprietary</t>
  </si>
  <si>
    <t>Capital</t>
  </si>
  <si>
    <t>Preferred Stock</t>
  </si>
  <si>
    <t>Account 216.1</t>
  </si>
  <si>
    <t>Long Term Debt</t>
  </si>
  <si>
    <t>112.16.c</t>
  </si>
  <si>
    <t>112.12.c</t>
  </si>
  <si>
    <t>207.57.g</t>
  </si>
  <si>
    <t>True-up Adjustment</t>
  </si>
  <si>
    <t>Projected Annual Revenue Requirement</t>
  </si>
  <si>
    <t>Actual Annual Revenue Requirement</t>
  </si>
  <si>
    <t>Subtotal</t>
  </si>
  <si>
    <t>(a)</t>
  </si>
  <si>
    <t>(b)</t>
  </si>
  <si>
    <t xml:space="preserve">(c) </t>
  </si>
  <si>
    <t>(d)</t>
  </si>
  <si>
    <t>(e)</t>
  </si>
  <si>
    <t>(f)</t>
  </si>
  <si>
    <t>(g)</t>
  </si>
  <si>
    <t>(h)</t>
  </si>
  <si>
    <t>(i)</t>
  </si>
  <si>
    <t>(j)</t>
  </si>
  <si>
    <t>NOTE</t>
  </si>
  <si>
    <t>Amortized Investment Tax Credit (266.8.f) (enter negative)</t>
  </si>
  <si>
    <t xml:space="preserve">  a. Bundled Non-RQ Sales for Resale (311.x.h)</t>
  </si>
  <si>
    <t>(State Income Tax Rate or Composite SIT)</t>
  </si>
  <si>
    <t>(percent of federal income tax deductible for state purposes)</t>
  </si>
  <si>
    <t>True-up Adjustment - Over (Under) Recovery</t>
  </si>
  <si>
    <t>Months</t>
  </si>
  <si>
    <t>Monthly</t>
  </si>
  <si>
    <t>Project Gross Plant</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</si>
  <si>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</si>
  <si>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</si>
  <si>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</si>
  <si>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</si>
  <si>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</si>
  <si>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FERC Account</t>
  </si>
  <si>
    <t>Excludes revenues unrelated to transmission services.</t>
  </si>
  <si>
    <t>FAS 143 - ARO</t>
  </si>
  <si>
    <t>FAS 106</t>
  </si>
  <si>
    <t>FAS 109</t>
  </si>
  <si>
    <t>FERC Account No. 283  is adjusted for the following items.</t>
  </si>
  <si>
    <t>[D]</t>
  </si>
  <si>
    <t>[E]</t>
  </si>
  <si>
    <t>FERC Account No. 282 is adjusted for the following items.</t>
  </si>
  <si>
    <t>Section VIII.A</t>
  </si>
  <si>
    <t>Nominal Federal Income Tax Rate</t>
  </si>
  <si>
    <t>Nominal State Income Tax Rate</t>
  </si>
  <si>
    <t>Times Apportionment Percentage</t>
  </si>
  <si>
    <t>Combined State Income Tax Rate</t>
  </si>
  <si>
    <t>State Income Tax Rate</t>
  </si>
  <si>
    <t>Federal Income Tax Rate</t>
  </si>
  <si>
    <t>Combined Rate</t>
  </si>
  <si>
    <t>Return Calculation</t>
  </si>
  <si>
    <t>Income Tax Rates</t>
  </si>
  <si>
    <t>Source</t>
  </si>
  <si>
    <t xml:space="preserve">  CWIP</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</si>
  <si>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</si>
  <si>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</si>
  <si>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</si>
  <si>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</si>
  <si>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</si>
  <si>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</si>
  <si>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</si>
  <si>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</si>
  <si>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</si>
  <si>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</si>
  <si>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Calculation of PBOP Expenses</t>
  </si>
  <si>
    <t>GENERAL, INTANGIBLE, AND COMMON (G,I, &amp; C) DEPRECIATION EXPENSE</t>
  </si>
  <si>
    <t>Total G, I, &amp; C depreciation expense</t>
  </si>
  <si>
    <t>Annual allocation factor for G, I, &amp; C depreciation expense</t>
  </si>
  <si>
    <t>(line 7 divided by line 1, col. 3)</t>
  </si>
  <si>
    <t xml:space="preserve">Annual Revenue Requirement </t>
  </si>
  <si>
    <t>(Sum Col. 5, 8, &amp; 9)</t>
  </si>
  <si>
    <t>DA</t>
  </si>
  <si>
    <t>company records</t>
  </si>
  <si>
    <t>(Line 12 * Line 15)</t>
  </si>
  <si>
    <t>(Line 13 * Line 16)</t>
  </si>
  <si>
    <t>(Line 14 * Line 17)</t>
  </si>
  <si>
    <t>Sum lines 29 to 32</t>
  </si>
  <si>
    <t>(line 22 * line 24)</t>
  </si>
  <si>
    <t>(Line 22 + Line 33)</t>
  </si>
  <si>
    <t>Line 1</t>
  </si>
  <si>
    <t xml:space="preserve">Rate Base </t>
  </si>
  <si>
    <t>(Note G)</t>
  </si>
  <si>
    <t>Retail</t>
  </si>
  <si>
    <t xml:space="preserve">Plant </t>
  </si>
  <si>
    <t>Labor</t>
  </si>
  <si>
    <t>Related</t>
  </si>
  <si>
    <t>ADIT</t>
  </si>
  <si>
    <t>ADIT-283 From Account Total Below</t>
  </si>
  <si>
    <t>ADIT-190 From Account Total Below</t>
  </si>
  <si>
    <t>ADIT-190</t>
  </si>
  <si>
    <t xml:space="preserve">End of Year  </t>
  </si>
  <si>
    <t>Gas, Prod</t>
  </si>
  <si>
    <t>Only</t>
  </si>
  <si>
    <t>Balance</t>
  </si>
  <si>
    <t>Or Other</t>
  </si>
  <si>
    <t>p234.18.c</t>
  </si>
  <si>
    <t>JUSTIFICATION</t>
  </si>
  <si>
    <t>Instructions for Account 190:</t>
  </si>
  <si>
    <t xml:space="preserve"> 1.  ADIT items related only to Retail Related Operations are directly assigned to Column C.</t>
  </si>
  <si>
    <t xml:space="preserve"> 2.  ADIT items related only to Non-Electric Operations (e.g., Gas, Water, Sewer) or Production are directly assigned to Column D.</t>
  </si>
  <si>
    <t>3.  ADIT items related only to Transmission are directly assigned to Column E.</t>
  </si>
  <si>
    <t>4.  ADIT items related to Plant and not in Columns C, D &amp; E are directly assigned to Column F.</t>
  </si>
  <si>
    <t>5.  ADIT items related to labor and not in Columns C, D, E &amp; F are directly assigned to Column G.</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</si>
  <si>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</si>
  <si>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p275.9.k</t>
  </si>
  <si>
    <t>Instructions for Account 282:</t>
  </si>
  <si>
    <t>ADIT-283</t>
  </si>
  <si>
    <t>p277.19.k</t>
  </si>
  <si>
    <t>Instructions for Account 283:</t>
  </si>
  <si>
    <t>ADIT-281</t>
  </si>
  <si>
    <t>p273.8.k</t>
  </si>
  <si>
    <t>ADIT-281 From Account Total Below</t>
  </si>
  <si>
    <t>ADIT-255 From Account Total Below</t>
  </si>
  <si>
    <t>Instructions for Account 281:</t>
  </si>
  <si>
    <t>ADIT-255</t>
  </si>
  <si>
    <t>Instructions for Account 255:</t>
  </si>
  <si>
    <t>p267.h</t>
  </si>
  <si>
    <t>Accumulated Depreciation</t>
  </si>
  <si>
    <t>Project Net Plant</t>
  </si>
  <si>
    <t>Net Plant Detail</t>
  </si>
  <si>
    <t>Based on a 13-month average</t>
  </si>
  <si>
    <t>(line 12 divided by line 2, col. 3)</t>
  </si>
  <si>
    <t xml:space="preserve">Gross Plant </t>
  </si>
  <si>
    <t>Plant &amp; Labor</t>
  </si>
  <si>
    <t>Wages &amp; Salary</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</si>
  <si>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</si>
  <si>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</si>
  <si>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</si>
  <si>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</si>
  <si>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</si>
  <si>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</si>
  <si>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</si>
  <si>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</si>
  <si>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</si>
  <si>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</si>
  <si>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</si>
  <si>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</si>
  <si>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</si>
  <si>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</si>
  <si>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</si>
  <si>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</si>
  <si>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</si>
  <si>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</si>
  <si>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</si>
  <si>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</si>
  <si>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</si>
  <si>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</si>
  <si>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</si>
  <si>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</si>
  <si>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</si>
  <si>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</si>
  <si>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t = time</t>
  </si>
  <si>
    <t>The current portion of long term debt is included in the Net Amount Outstanding at t = N in these calculations.</t>
  </si>
  <si>
    <t>The outstanding amount (column (e)) for debt retired during the year is the outstanding amount at the last month it was outstanding.</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</si>
  <si>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</si>
  <si>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</si>
  <si>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</si>
  <si>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</si>
  <si>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</si>
  <si>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</si>
  <si>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</si>
  <si>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</si>
  <si>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</si>
  <si>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</si>
  <si>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</si>
  <si>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</si>
  <si>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(Discount)</t>
  </si>
  <si>
    <t xml:space="preserve">Loss/Gain on </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</si>
  <si>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</si>
  <si>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</si>
  <si>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</si>
  <si>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</si>
  <si>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</si>
  <si>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</si>
  <si>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</si>
  <si>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</si>
  <si>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</si>
  <si>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</si>
  <si>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</si>
  <si>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</si>
  <si>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</si>
  <si>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</si>
  <si>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</si>
  <si>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</si>
  <si>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</si>
  <si>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</si>
  <si>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</si>
  <si>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</si>
  <si>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</si>
  <si>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TOTALS</t>
  </si>
  <si>
    <t>* YTM at issuance calculated from an acceptable bond table or from YTM = Internal Rate of Return (IRR) calculation</t>
  </si>
  <si>
    <t>112.15.c</t>
  </si>
  <si>
    <t>Account 219</t>
  </si>
  <si>
    <t xml:space="preserve">  Account No. 451</t>
  </si>
  <si>
    <t xml:space="preserve">DA </t>
  </si>
  <si>
    <t>Total Annual Revenue Requirement</t>
  </si>
  <si>
    <t>Net Revenue Requirement
with True-up</t>
  </si>
  <si>
    <t>Pro-rated Q1</t>
  </si>
  <si>
    <t>Pro-rated Q2</t>
  </si>
  <si>
    <t>Pro-rated Q3</t>
  </si>
  <si>
    <t>Pro-rated Q4</t>
  </si>
  <si>
    <t>Amount included in revenues reported on pages 328-330 of FERC Form 1.</t>
  </si>
  <si>
    <t>% of Total Revenue Requirement</t>
  </si>
  <si>
    <t>Revenue Received</t>
  </si>
  <si>
    <t>Col c, line 1 * Col e</t>
  </si>
  <si>
    <t>2a</t>
  </si>
  <si>
    <t>2b</t>
  </si>
  <si>
    <t>GROSS REV. REQUIREMENT (WITHOUT INCENTIVE)</t>
  </si>
  <si>
    <t>NET REVENUE REQUIREMENT</t>
  </si>
  <si>
    <t>True-up Adjustment with Interest</t>
  </si>
  <si>
    <t>Actual RTEP Credit Revenues for true-up year</t>
  </si>
  <si>
    <t>4a</t>
  </si>
  <si>
    <t xml:space="preserve">Col. h + Col. i </t>
  </si>
  <si>
    <t>Sum of line 4, 6, &amp; 8</t>
  </si>
  <si>
    <t>Sum of line 11 and 13</t>
  </si>
  <si>
    <t>(Note B &amp; C)</t>
  </si>
  <si>
    <t xml:space="preserve">  TEC Revenue </t>
  </si>
  <si>
    <t>Goodwill</t>
  </si>
  <si>
    <t>233.5.f</t>
  </si>
  <si>
    <t>(Page 1, line 9)</t>
  </si>
  <si>
    <t>Page 1, line 14</t>
  </si>
  <si>
    <t>(Note C &amp; H)</t>
  </si>
  <si>
    <t>(Note D &amp; H)</t>
  </si>
  <si>
    <t>Additional Incentive Annual Allocation Factor for Return (Note F)</t>
  </si>
  <si>
    <t xml:space="preserve">ADIT- 282 </t>
  </si>
  <si>
    <t>End Plant</t>
  </si>
  <si>
    <t>End Labor</t>
  </si>
  <si>
    <t xml:space="preserve">End Plant &amp; Labor Related </t>
  </si>
  <si>
    <t xml:space="preserve">  Account No. 456</t>
  </si>
  <si>
    <t>[1]</t>
  </si>
  <si>
    <t>[2]</t>
  </si>
  <si>
    <t>[3]</t>
  </si>
  <si>
    <t>[4]</t>
  </si>
  <si>
    <t>[5]</t>
  </si>
  <si>
    <t>[6]</t>
  </si>
  <si>
    <t>[7]</t>
  </si>
  <si>
    <t>1a</t>
  </si>
  <si>
    <t>1b</t>
  </si>
  <si>
    <t>1c</t>
  </si>
  <si>
    <t>2</t>
  </si>
  <si>
    <t>3b</t>
  </si>
  <si>
    <t>3c</t>
  </si>
  <si>
    <t>5a</t>
  </si>
  <si>
    <t>5b</t>
  </si>
  <si>
    <t>5c</t>
  </si>
  <si>
    <t>1z</t>
  </si>
  <si>
    <t>2z</t>
  </si>
  <si>
    <t>3z</t>
  </si>
  <si>
    <t>4z</t>
  </si>
  <si>
    <t>5z</t>
  </si>
  <si>
    <t>6z</t>
  </si>
  <si>
    <t>Total other than income taxes (sum lines 1z, 2z, 3z, 4z, 5z, 6z) 
[tie to 114.14c]</t>
  </si>
  <si>
    <t xml:space="preserve">Includes only CWIP authorized by the Commission for inclusion in rate base.  </t>
  </si>
  <si>
    <t>Rate Base</t>
  </si>
  <si>
    <t>Preferred Dividends</t>
  </si>
  <si>
    <t xml:space="preserve"> enter positive</t>
  </si>
  <si>
    <t>Proprietary Capital</t>
  </si>
  <si>
    <t>Capitalization</t>
  </si>
  <si>
    <t>Debt %</t>
  </si>
  <si>
    <t>Preferred %</t>
  </si>
  <si>
    <t>Common %</t>
  </si>
  <si>
    <t>Preferred Cost</t>
  </si>
  <si>
    <t>Common Cost</t>
  </si>
  <si>
    <t>Weighted Cost of Debt</t>
  </si>
  <si>
    <t>Weighted Cost of Preferred</t>
  </si>
  <si>
    <t>Weighted Cost of Common</t>
  </si>
  <si>
    <t>Investment Return = Rate Base * Rate of Return</t>
  </si>
  <si>
    <t>Incentive ROE Calculation</t>
  </si>
  <si>
    <t>Gross Plant Calculation</t>
  </si>
  <si>
    <t>Accumulated Depreciation Calculation</t>
  </si>
  <si>
    <t>Taxes Other than Income Calculation</t>
  </si>
  <si>
    <t>Capital Structure Calculation</t>
  </si>
  <si>
    <t>Stated Value Inputs</t>
  </si>
  <si>
    <t>Debt Cost Calculation</t>
  </si>
  <si>
    <t>To be completed after Attachment 11 for the True-up Year is updated using actual data</t>
  </si>
  <si>
    <t>Utilizing a 13-month average.              [C] Taken to Attachment 11, Page 2, Col. 6</t>
  </si>
  <si>
    <t>Other Rate Base Items</t>
  </si>
  <si>
    <t>Attachment 8, Line 14, Col. 1</t>
  </si>
  <si>
    <t>Attachment 8, Line 14, Col. 6</t>
  </si>
  <si>
    <t>3a</t>
  </si>
  <si>
    <t>Actual Revenues for Attachment 11</t>
  </si>
  <si>
    <t>1d</t>
  </si>
  <si>
    <t>112.3.c</t>
  </si>
  <si>
    <t>207.98.g</t>
  </si>
  <si>
    <t>[G]</t>
  </si>
  <si>
    <t>CIAC</t>
  </si>
  <si>
    <t>Incremental Return and incomes taxes for increase in ROE</t>
  </si>
  <si>
    <t>Incremental Return and incomes taxes for increase in ROE divided by rate base</t>
  </si>
  <si>
    <t>page 1 of 6</t>
  </si>
  <si>
    <t>page 6 of 6</t>
  </si>
  <si>
    <t>page 5 of 6</t>
  </si>
  <si>
    <t>page 4 of 6</t>
  </si>
  <si>
    <t>page 3 of 6</t>
  </si>
  <si>
    <t>Prepayments shall exclude prepayments of income taxes.</t>
  </si>
  <si>
    <t xml:space="preserve">ADJUSTMENTS TO RATE BASE  </t>
  </si>
  <si>
    <t>(table 2, col. cc)</t>
  </si>
  <si>
    <t>(col. g/col. g total)</t>
  </si>
  <si>
    <t>((col e. * col. F)/12)</t>
  </si>
  <si>
    <t>(line 10 divided by line 2, col. 3)</t>
  </si>
  <si>
    <t>[A] [C]</t>
  </si>
  <si>
    <t>Asset Retirement Costs</t>
  </si>
  <si>
    <t>cost per labor dollar (line 3 / line 4)</t>
  </si>
  <si>
    <t>PBOP Expense for current year (line 5 * line 6)</t>
  </si>
  <si>
    <t xml:space="preserve"> Transmission Ending</t>
  </si>
  <si>
    <t>ADIT-283 From Account Subtotal Below</t>
  </si>
  <si>
    <t>ADIT-190 From Account Subtotal Below</t>
  </si>
  <si>
    <t>ADIT-281 From Account Subtotal Below</t>
  </si>
  <si>
    <t>ADIT-255 From Account Subtotal Below</t>
  </si>
  <si>
    <t>Total Transmission Ending</t>
  </si>
  <si>
    <t>From column F (beginning on page 2)</t>
  </si>
  <si>
    <t>From column G (beginning on page 2)</t>
  </si>
  <si>
    <t>(Note F)</t>
  </si>
  <si>
    <t>Total (sum rows 1-5)</t>
  </si>
  <si>
    <t>ADIT Transmission Total (including Plant &amp; Labor Related Transmission ADITs and applicable transmission adjustments from notes below)</t>
  </si>
  <si>
    <t>TEC Revenue Requirement True-up with Interest</t>
  </si>
  <si>
    <t>True-up Adjustment Principal
Over/(Under)</t>
  </si>
  <si>
    <t>Applicable Interest Rate on 
Over/(Under)</t>
  </si>
  <si>
    <t xml:space="preserve">Total FirstEnergy PBOP expenses </t>
  </si>
  <si>
    <t>Labor dollars (FirstEnergy)</t>
  </si>
  <si>
    <t>Company Records</t>
  </si>
  <si>
    <t>207.74.g</t>
  </si>
  <si>
    <t xml:space="preserve">GROSS REV. REQUIREMENT </t>
  </si>
  <si>
    <t>Reserve for Depreciation of Asset Retirement Costs</t>
  </si>
  <si>
    <t>Balance excludes Asset Retirements Costs</t>
  </si>
  <si>
    <t>Balance excludes reserve for depreciation of asset retirement costs</t>
  </si>
  <si>
    <t>From column E (beginning on page 2) by account</t>
  </si>
  <si>
    <t>page 2 of 6</t>
  </si>
  <si>
    <t>Beginning 283 Including adjustments)</t>
  </si>
  <si>
    <t>Q1 Activity</t>
  </si>
  <si>
    <t>Ending Q1</t>
  </si>
  <si>
    <t>Q2 Activity</t>
  </si>
  <si>
    <t xml:space="preserve">Ending Q2 </t>
  </si>
  <si>
    <t>Q3 Activity</t>
  </si>
  <si>
    <t xml:space="preserve">Ending Q3 </t>
  </si>
  <si>
    <t>Q4 Activity</t>
  </si>
  <si>
    <t>Ending Q4</t>
  </si>
  <si>
    <r>
      <t>Effective Cost Rate of Individual Debenture (YTM at issuance):  the t=0 Cashflow C</t>
    </r>
    <r>
      <rPr>
        <vertAlign val="subscript"/>
        <sz val="10"/>
        <rFont val="Arial"/>
        <family val="2"/>
      </rPr>
      <t xml:space="preserve">o </t>
    </r>
    <r>
      <rPr>
        <sz val="10"/>
        <rFont val="Arial"/>
        <family val="2"/>
      </rPr>
      <t>equals Net Proceeds column (gg); Semi-annual (or other) interest cashflows (C</t>
    </r>
    <r>
      <rPr>
        <vertAlign val="subscript"/>
        <sz val="10"/>
        <rFont val="Arial"/>
        <family val="2"/>
      </rPr>
      <t>t=1</t>
    </r>
    <r>
      <rPr>
        <sz val="10"/>
        <rFont val="Arial"/>
        <family val="2"/>
      </rPr>
      <t>, C</t>
    </r>
    <r>
      <rPr>
        <vertAlign val="subscript"/>
        <sz val="10"/>
        <rFont val="Arial"/>
        <family val="2"/>
      </rPr>
      <t>t=2</t>
    </r>
    <r>
      <rPr>
        <sz val="10"/>
        <rFont val="Arial"/>
        <family val="2"/>
      </rPr>
      <t>, etc.).</t>
    </r>
  </si>
  <si>
    <t>Transmission Enhancement Charge (TEC) Worksheet</t>
  </si>
  <si>
    <t>TEC Worksheet Support</t>
  </si>
  <si>
    <t>TEC - True-up</t>
  </si>
  <si>
    <t>205.44.g</t>
  </si>
  <si>
    <t>[D] Company records</t>
  </si>
  <si>
    <t>Removes transmission plant determined by Commission order to be state-jurisdictional according to the seven-factor test (until Form 1 balances are adjusted to reflect application of seven-factor test).</t>
  </si>
  <si>
    <t>Col d, line 2 / Col. d, line 3</t>
  </si>
  <si>
    <t>Removes dollar amount of transmission expenses included in the OATT ancillary services rates, including Account Nos. 561.1 - 561.3, and 561.BA., and related to generation step-up facilities, which are deemed included in OATT ancillary services.  For these purposes, generation step-up facilities are those facilities at a generator substation on which there is no through-flow when the generator is shut down.</t>
  </si>
  <si>
    <t>Lines 3-4 cannot change absent a Section 205 or 206 filing approved or accepted by FERC in a separate proceeding</t>
  </si>
  <si>
    <t>COLUMN A</t>
  </si>
  <si>
    <t>COLUMN B</t>
  </si>
  <si>
    <t>COLUMN C</t>
  </si>
  <si>
    <t>COLUMN D</t>
  </si>
  <si>
    <t>COLUMN E</t>
  </si>
  <si>
    <t>COLUMN F</t>
  </si>
  <si>
    <t>Description</t>
  </si>
  <si>
    <t>ARAM</t>
  </si>
  <si>
    <t>Protected (P)  Non-Protected (N)</t>
  </si>
  <si>
    <t>PTRR</t>
  </si>
  <si>
    <t>Page 1, B+D+F+H</t>
  </si>
  <si>
    <t>Page 1, row 3,7,11 Column A+B+D+F+H</t>
  </si>
  <si>
    <t>A-C</t>
  </si>
  <si>
    <t>D-E</t>
  </si>
  <si>
    <t>Account</t>
  </si>
  <si>
    <t xml:space="preserve">Projected Activity </t>
  </si>
  <si>
    <t>Prorated Ending Balance</t>
  </si>
  <si>
    <t>Prorated - Estimated End (Before Adjustments)</t>
  </si>
  <si>
    <t>Sum of end ADIT Adjustments</t>
  </si>
  <si>
    <t>Total Account 190</t>
  </si>
  <si>
    <t>Total Account 282</t>
  </si>
  <si>
    <t>Total Account 283</t>
  </si>
  <si>
    <t>Total ADIT Subject to Normalization</t>
  </si>
  <si>
    <t xml:space="preserve"> Notes:</t>
  </si>
  <si>
    <t>ATRR</t>
  </si>
  <si>
    <t>Page 1, row 4,8,12 column   A+B+D+F+H</t>
  </si>
  <si>
    <t>H-J</t>
  </si>
  <si>
    <t>D-K</t>
  </si>
  <si>
    <t>E-M</t>
  </si>
  <si>
    <t>K+L-M-N</t>
  </si>
  <si>
    <t>Actual Activity</t>
  </si>
  <si>
    <t>Prorated - Actual End (Before Adjustments)</t>
  </si>
  <si>
    <t>Prorated Activity  Not Projected</t>
  </si>
  <si>
    <t>ADIT Adjustments not projected</t>
  </si>
  <si>
    <t>1. Attachment 5c will only be populated within the ATRR</t>
  </si>
  <si>
    <t>Page 1, row 2,4,6 Column A+B+D+F+H</t>
  </si>
  <si>
    <t>J-L</t>
  </si>
  <si>
    <t>M-N</t>
  </si>
  <si>
    <t>Line 7= J-N-O                               Lines 8-9= -J+N+O</t>
  </si>
  <si>
    <t>Beginning 190 (including adjustments)</t>
  </si>
  <si>
    <t xml:space="preserve">Beginning 282 (including adjustments) </t>
  </si>
  <si>
    <t xml:space="preserve">Beginning 283 Including adjustments) </t>
  </si>
  <si>
    <t xml:space="preserve">Beginning 190 (including adjustments) </t>
  </si>
  <si>
    <t>Summary of Transmission ADIT (Prior to adjusted items)</t>
  </si>
  <si>
    <t>(page 1, Col. K)</t>
  </si>
  <si>
    <t>(col. 2 + col. 3) (Note E)</t>
  </si>
  <si>
    <t>Total Transmission Ending taken to Attachment 5, line 2</t>
  </si>
  <si>
    <t>Years Remaining at Year End</t>
  </si>
  <si>
    <t xml:space="preserve">labor (labor not capitalized) current year, transmission only </t>
  </si>
  <si>
    <t>Total FirstEnergy PBOP expenses</t>
  </si>
  <si>
    <t>PBOP expense in Account 926 for current year, total company</t>
  </si>
  <si>
    <t xml:space="preserve">W&amp;S Labor Allocator </t>
  </si>
  <si>
    <t>Allocated Transmission PBOP (line 8 * line 9)</t>
  </si>
  <si>
    <t>Attachment 6, Line 11 (Note C)</t>
  </si>
  <si>
    <t>1. Attachment 5b will only be populated within the PTRR</t>
  </si>
  <si>
    <t>354.24, 354.25, 354.26.b</t>
  </si>
  <si>
    <t>Normalization [F]</t>
  </si>
  <si>
    <t>[F]</t>
  </si>
  <si>
    <t>Sourced from Attachment 5b, page 1, col. O for PTRR &amp; Attachment 5C, page 2, col. O for ATRR</t>
  </si>
  <si>
    <t>Attachment 5, Line 1, Col. 1 (Notes C, F)</t>
  </si>
  <si>
    <t>Attachment 5, Line 1, Col. 3 (Notes C, F)</t>
  </si>
  <si>
    <t>Attachment 5, Line 1, Col. 4 (Notes C, F)</t>
  </si>
  <si>
    <t>Attachment 5, Line 1, Col. 5 (Notes C, F)</t>
  </si>
  <si>
    <t>Col. A + Col. B</t>
  </si>
  <si>
    <t xml:space="preserve">(Col. A * Col. D) + (Col. B * Col. E) </t>
  </si>
  <si>
    <t>Line 1= A-E-F                               Lines 2-3= -A+E+F</t>
  </si>
  <si>
    <t>Line 5= H-M-O                               Lines 6-7= -H+M+O</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</si>
  <si>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</si>
  <si>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</si>
  <si>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</si>
  <si>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</si>
  <si>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</si>
  <si>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</si>
  <si>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</si>
  <si>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</si>
  <si>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</si>
  <si>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</si>
  <si>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</si>
  <si>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</si>
  <si>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Transmission of Electricity by Others</t>
  </si>
  <si>
    <t>Miscellaneous Transmission Expense</t>
  </si>
  <si>
    <t>Rents</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</si>
  <si>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</si>
  <si>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</si>
  <si>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</si>
  <si>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</si>
  <si>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</si>
  <si>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</si>
  <si>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</si>
  <si>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</si>
  <si>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</si>
  <si>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</si>
  <si>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Administrative and General Salaries</t>
  </si>
  <si>
    <t>Office Supplies and Expenses</t>
  </si>
  <si>
    <t>Less 922</t>
  </si>
  <si>
    <t>Administrative Expenses Transferred - Credit</t>
  </si>
  <si>
    <t>Outside Services Employed</t>
  </si>
  <si>
    <t>Property Insurance</t>
  </si>
  <si>
    <t>Injuries and Damages</t>
  </si>
  <si>
    <t>Employee Pensions and Benefits</t>
  </si>
  <si>
    <t>Franchise Requirements</t>
  </si>
  <si>
    <t>Regulatory Commission Expense</t>
  </si>
  <si>
    <t>Less 929</t>
  </si>
  <si>
    <t>(Less) Duplicate Charges-Cr.</t>
  </si>
  <si>
    <t>General Advertising Expenses</t>
  </si>
  <si>
    <t>Miscellaneous General Expenses</t>
  </si>
  <si>
    <t>Maintenance of General Plant</t>
  </si>
  <si>
    <t>Note: (1)</t>
  </si>
  <si>
    <t xml:space="preserve">cost per labor dollar </t>
  </si>
  <si>
    <t>Ending ADIT Balance Included in Formula Rate</t>
  </si>
  <si>
    <t>Normalization</t>
  </si>
  <si>
    <t>Other: [H]</t>
  </si>
  <si>
    <t>[H]</t>
  </si>
  <si>
    <t>Include any additional adjustments to ADIT items as may be recognized in the future to be proper for PTRR/ATRR calculation purposes.</t>
  </si>
  <si>
    <t>(A)</t>
  </si>
  <si>
    <t>PJM Bill</t>
  </si>
  <si>
    <t>Month</t>
  </si>
  <si>
    <t>-</t>
  </si>
  <si>
    <t>Attachment 13b line 26, col E</t>
  </si>
  <si>
    <t>Return with incentive adder</t>
  </si>
  <si>
    <t>Income Tax with incentive adder</t>
  </si>
  <si>
    <t>Line 22</t>
  </si>
  <si>
    <t>Line 33</t>
  </si>
  <si>
    <t>Return and income taxes without adder</t>
  </si>
  <si>
    <t>Excess and Deficient ADIT</t>
  </si>
  <si>
    <t>Income Tax Adjustments Worksheet</t>
  </si>
  <si>
    <t>COLUMN G</t>
  </si>
  <si>
    <t>COLUMN H</t>
  </si>
  <si>
    <t>(Excess)/Deficient ADIT Transmission - Beg Balance of Year
(Note B)</t>
  </si>
  <si>
    <t>Current Period Other Activity
(Note C)</t>
  </si>
  <si>
    <t>Amortization Period 
(Note D)</t>
  </si>
  <si>
    <t>Amortization
(Note E)</t>
  </si>
  <si>
    <t>(Excess)/Deficient ADIT Transmission - Ending Balance of Year
(Note F)
(Col. B + Col. C) - Col. F</t>
  </si>
  <si>
    <t>Non-property (Note A):</t>
  </si>
  <si>
    <t>Account 190</t>
  </si>
  <si>
    <t>Account 282</t>
  </si>
  <si>
    <t>Account 283</t>
  </si>
  <si>
    <t>Non-property gross up for Taxes</t>
  </si>
  <si>
    <t xml:space="preserve">Total Non-Property </t>
  </si>
  <si>
    <t>(Excess)/Deficient ADIT Transmission - Beginning Balance of Year
(Note B)</t>
  </si>
  <si>
    <t>Property (Note A):</t>
  </si>
  <si>
    <t>Property Book-Tax Timing Difference - Account 190</t>
  </si>
  <si>
    <t>Property Book-Tax Timing Difference - Account 282</t>
  </si>
  <si>
    <t>Property Book-Tax Timing Difference - Account 283</t>
  </si>
  <si>
    <t xml:space="preserve">Property Gross up for Taxes </t>
  </si>
  <si>
    <t>Total Property (Total of lines 6 thru 9)</t>
  </si>
  <si>
    <t>Amortized Excess/Deficient ADITs  (Note C)</t>
  </si>
  <si>
    <t>Total Non-Property &amp; Property Amortization, excluding gross up for taxes (Total of lines 1-3,6-8 and 11) (Note G)</t>
  </si>
  <si>
    <t>Beginning balance of year is the end of the prior year balance as reflected on FERC Form No. 1, pages 232 (Account 182.3) and 278 (Account 254)</t>
  </si>
  <si>
    <t>In the event the Company populates the data enterable fields, it will support the data entered as just and reasonable in its annual update</t>
  </si>
  <si>
    <t>The amortization periods shall be consistent with the following:</t>
  </si>
  <si>
    <t>Protected Property &amp; Non-Protected Property:</t>
  </si>
  <si>
    <t>ARAM, or directly assigned based on average remaining life of assets for property items not in PowerTax</t>
  </si>
  <si>
    <t>Protected Non-Property &amp; Non-Protected Non-Property will be directly assigned and presented in the table above</t>
  </si>
  <si>
    <t>Ending balance of year is the end of current year balance, as reflected on FERC Form No. 1, pages 232 (Account 182.3) and 278 (Account 254)</t>
  </si>
  <si>
    <t>Ln.</t>
  </si>
  <si>
    <t>Project ID</t>
  </si>
  <si>
    <t>Text Description</t>
  </si>
  <si>
    <t>January 31</t>
  </si>
  <si>
    <t>February 28/29</t>
  </si>
  <si>
    <t>March 31</t>
  </si>
  <si>
    <t>April 30</t>
  </si>
  <si>
    <t>May 31</t>
  </si>
  <si>
    <t>June 30</t>
  </si>
  <si>
    <t>July 31</t>
  </si>
  <si>
    <t>August 31</t>
  </si>
  <si>
    <t>September 30</t>
  </si>
  <si>
    <t>October 31</t>
  </si>
  <si>
    <t>November 30</t>
  </si>
  <si>
    <t>Average (a)</t>
  </si>
  <si>
    <t>[Placeholder 1]</t>
  </si>
  <si>
    <t>[Placeholder 2]</t>
  </si>
  <si>
    <t>Total CWIP in Rate Base</t>
  </si>
  <si>
    <t>Incentive ROE NITS Worksheet Support</t>
  </si>
  <si>
    <t>Additional Annual Allocation Factor for Income Taxes and Return</t>
  </si>
  <si>
    <t>Return and income taxes with ROE adder</t>
  </si>
  <si>
    <t>Plus any increased ROE adder incentive NITS</t>
  </si>
  <si>
    <t>Plus any increased ROE adder incentive TEC</t>
  </si>
  <si>
    <t>Sub-transmission balance from company records</t>
  </si>
  <si>
    <t xml:space="preserve">  Sub-Transmission</t>
  </si>
  <si>
    <t>ROE Basis Pts adder</t>
  </si>
  <si>
    <t>Sub-Transmission [D]</t>
  </si>
  <si>
    <t>Incremental return and income taxes</t>
  </si>
  <si>
    <t>Attach 2a Line 33 / Page 2, Line 14, Col. 5</t>
  </si>
  <si>
    <t>Attach 2a Line 22 / Page 2, Line 14, Col. 5</t>
  </si>
  <si>
    <t xml:space="preserve">  Unamortized Regulatory asset</t>
  </si>
  <si>
    <t xml:space="preserve">Sub-Transmission A&amp;G reduction percent </t>
  </si>
  <si>
    <t xml:space="preserve">Less Sub-Transmission A&amp;G </t>
  </si>
  <si>
    <r>
      <t xml:space="preserve">Tax Effect of Permanent Differences and AFUDC Equity </t>
    </r>
    <r>
      <rPr>
        <strike/>
        <sz val="12"/>
        <rFont val="Times New Roman"/>
        <family val="1"/>
      </rPr>
      <t xml:space="preserve"> </t>
    </r>
  </si>
  <si>
    <t xml:space="preserve">(Excess)/Deficient Deferred Income Taxes </t>
  </si>
  <si>
    <t>Line 37 / Line 38</t>
  </si>
  <si>
    <t>[8]</t>
  </si>
  <si>
    <t>Projected
Attachment 11
p 2 of 2, col. 15</t>
  </si>
  <si>
    <t>Actual
Attachment 11
p 2 of 2, col. 15</t>
  </si>
  <si>
    <t>Attachment 11, Page 2, Line 3, Col. 13</t>
  </si>
  <si>
    <t>1e</t>
  </si>
  <si>
    <t>1f</t>
  </si>
  <si>
    <t>ANNUAL ALLOCATION FACTOR CALCULATION (Note A)</t>
  </si>
  <si>
    <t>(Sum Col. 10 &amp; 12)</t>
  </si>
  <si>
    <t xml:space="preserve">(Sum Col. 13 &amp; 14) </t>
  </si>
  <si>
    <t>ROE Basis Pts Adder for Incentive Projects</t>
  </si>
  <si>
    <t>Total True-up Adjustment with Interest
Over/(Under)</t>
  </si>
  <si>
    <t xml:space="preserve">[A] [C] </t>
  </si>
  <si>
    <t>Monthly Amort. Expense</t>
  </si>
  <si>
    <t>Yearly Amort. Expense</t>
  </si>
  <si>
    <t>Beginning of Amortization Period</t>
  </si>
  <si>
    <t>Amortization Period (months)</t>
  </si>
  <si>
    <t>Project Name (A)</t>
  </si>
  <si>
    <t>Amortization Amount (B)</t>
  </si>
  <si>
    <t>Average (D)</t>
  </si>
  <si>
    <t>Return (E)</t>
  </si>
  <si>
    <t>Income Tax on Return (F)</t>
  </si>
  <si>
    <t>Revenue Requirement (G) (H)</t>
  </si>
  <si>
    <t>Year (C)</t>
  </si>
  <si>
    <t>Months Remaining at year beginning</t>
  </si>
  <si>
    <t>ROE Calculation</t>
  </si>
  <si>
    <t>Return and Taxes</t>
  </si>
  <si>
    <t>Return and Income taxes with ROE</t>
  </si>
  <si>
    <t>Annual Allocation Factor for Income taxes and Return (ROE)</t>
  </si>
  <si>
    <t>Incremental Return and Taxes</t>
  </si>
  <si>
    <t>Transmission [E]</t>
  </si>
  <si>
    <t>Distribution [F]</t>
  </si>
  <si>
    <t>Distribution amount includes sub-transmission</t>
  </si>
  <si>
    <t>Construction Work in Progress (b)</t>
  </si>
  <si>
    <t>(b) CWIP will not be included unless authorized by the Commission</t>
  </si>
  <si>
    <t>Project Gross Plant is the total capital investment for the project, including subsequent capital investments required to maintain the project in-service.  Utilizes a 13-month average.</t>
  </si>
  <si>
    <t>Transmission amount excludes sub-transmission</t>
  </si>
  <si>
    <t>FirstEnergy 2019 Actuarial Study</t>
  </si>
  <si>
    <t>FirstEnergy 2019 Actual: Company Records</t>
  </si>
  <si>
    <t>Source (B)</t>
  </si>
  <si>
    <t>Amortization Amount (C)</t>
  </si>
  <si>
    <t>Year (D)</t>
  </si>
  <si>
    <t>Yearly Amort. Expense (E)</t>
  </si>
  <si>
    <t>Average (F)</t>
  </si>
  <si>
    <t>(E)</t>
  </si>
  <si>
    <t>Cumulative Months Amortized by end of year</t>
  </si>
  <si>
    <t>Regulatory Asset Name (A)</t>
  </si>
  <si>
    <t>Annual MWh in AP Zone - Note B</t>
  </si>
  <si>
    <t>(B)</t>
  </si>
  <si>
    <t>(C)</t>
  </si>
  <si>
    <t>(D)</t>
  </si>
  <si>
    <t>NOTES</t>
  </si>
  <si>
    <t>Col. f - Col. g</t>
  </si>
  <si>
    <t>Col. h line 2x / Col. h line 3  * Col. j line 4</t>
  </si>
  <si>
    <t>Attachment 5, Line 1, Col. 2 (Notes C, F)</t>
  </si>
  <si>
    <t xml:space="preserve">Sourced from Attachment 5a, page 1, Lines 1-5, col. 4 </t>
  </si>
  <si>
    <t xml:space="preserve">     CIT=(T/(1-T)) * (1-(WCLTD/R)) =</t>
  </si>
  <si>
    <t xml:space="preserve">      1 / (1 - T) </t>
  </si>
  <si>
    <t>Company records</t>
  </si>
  <si>
    <t>FERC Account No. 190 is adjusted for the following items.</t>
  </si>
  <si>
    <t>NITS Charge Code (A)</t>
  </si>
  <si>
    <t>TEC Charge Code (A)</t>
  </si>
  <si>
    <t>True-up (B)</t>
  </si>
  <si>
    <t>Return with ROE</t>
  </si>
  <si>
    <t>Income Tax with ROE</t>
  </si>
  <si>
    <t>[C] Company records</t>
  </si>
  <si>
    <t>(A) Amounts represent a subset of the total PJM bill for the entire AP Zone</t>
  </si>
  <si>
    <t>The amortization of the tax reg asset/liability will occur through FERC income statement Accounts 410.1. and 411.1 for property and 410.1 for non-property</t>
  </si>
  <si>
    <t>Total Annual Allocation Factor for Income Taxes and Return (ROE)</t>
  </si>
  <si>
    <t>TOTAL GROSS PLANT (sum Lines 1-5)</t>
  </si>
  <si>
    <t>(Line 1- Line 7)</t>
  </si>
  <si>
    <t>(Line 2- Line 8)</t>
  </si>
  <si>
    <t>(Line 3 - Line 9)</t>
  </si>
  <si>
    <t>(Line 4 - Line 10)</t>
  </si>
  <si>
    <t>(Line 5 - Line 11)</t>
  </si>
  <si>
    <t>TOTAL NET PLANT (sum Lines 13-17)</t>
  </si>
  <si>
    <t>Attachment 7, Line 6z</t>
  </si>
  <si>
    <t>Total transmission plant  (page 2, Line 2, column 3)</t>
  </si>
  <si>
    <t>Transmission plant included in ISO rates  (Line 1 less Lines 2 &amp; 3)</t>
  </si>
  <si>
    <t>Percentage of transmission plant included in ISO Rates  (Line 4 divided by Line 1)</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</si>
  <si>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</si>
  <si>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</si>
  <si>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</si>
  <si>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</si>
  <si>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 xml:space="preserve">  Total  (sum Lines 12-15)</t>
  </si>
  <si>
    <t>(Line 17 / Line 20)</t>
  </si>
  <si>
    <t>(Line 16, col. 6)</t>
  </si>
  <si>
    <t xml:space="preserve">  Total  (sum Lines 17 - 19)</t>
  </si>
  <si>
    <t>General Note:  References to pages in this formulary rate are indicated as:  (page#, Line#, col.#)</t>
  </si>
  <si>
    <t>References to data from FERC Form 1 are indicated as:   #.y.x  (page, Line, column)</t>
  </si>
  <si>
    <t>Line 34 minus Attachment 2 Line 34</t>
  </si>
  <si>
    <t>Annual Allocation Factor for Income taxes and Return (scaled basis points adder)</t>
  </si>
  <si>
    <t>Total Annual Allocation Factor for Income Taxes and Return (scaled basis points adder)</t>
  </si>
  <si>
    <t>(page 4, Line 38)</t>
  </si>
  <si>
    <t>(page 4, Line 39)</t>
  </si>
  <si>
    <t>(page 4, Line 40)</t>
  </si>
  <si>
    <t>Return and Income taxes with scaled basis pts adder</t>
  </si>
  <si>
    <t xml:space="preserve">       where WCLTD=(page 4, Line 31) and R= (page 4, Line 34)</t>
  </si>
  <si>
    <t>Line 22 + Line 23</t>
  </si>
  <si>
    <t>Line 26 + Line 27</t>
  </si>
  <si>
    <t>Line 28 - Line 24</t>
  </si>
  <si>
    <t>Total  (sum Lines 31-33)</t>
  </si>
  <si>
    <t xml:space="preserve">  Less Sub-Transmission O&amp;M</t>
  </si>
  <si>
    <t>Gross Receipts</t>
  </si>
  <si>
    <t>4b</t>
  </si>
  <si>
    <t>4c</t>
  </si>
  <si>
    <t>Taxes Non-Functionalized to Transmission [B]</t>
  </si>
  <si>
    <t>Includes items that are not functionalized to transmission</t>
  </si>
  <si>
    <t xml:space="preserve">Gross Receipts and Taxes Non-Functionalized to Transmission </t>
  </si>
  <si>
    <t xml:space="preserve">        Gross Receipts and Taxes Non-Functionalized to Transmission </t>
  </si>
  <si>
    <t>Amortization of Regulatory Assets</t>
  </si>
  <si>
    <t>Amortization Account</t>
  </si>
  <si>
    <t>Attachment 19, Line 2, Col. K</t>
  </si>
  <si>
    <t>Annual allocation Factor is utilized to calculate the incremental income tax and return for a scaled basis points adder to the ROE and will be utilized only in the instance there exists Commission approved ROE incentive projects; else there will exist no incremental income tax and return.</t>
  </si>
  <si>
    <t>Utilize only in the instance there exists Commission approved ROE incentive projects</t>
  </si>
  <si>
    <t>ADIT Total Transmission-related only, including Plant &amp; Labor Related Transmission ADITs (prior to adjustments from notes below)</t>
  </si>
  <si>
    <t xml:space="preserve">                                      page 1 of 1</t>
  </si>
  <si>
    <t>O&amp;M and A&amp;G</t>
  </si>
  <si>
    <t>Transmission O&amp;M Expense</t>
  </si>
  <si>
    <t>A&amp;G Expense</t>
  </si>
  <si>
    <t>Attachment H-11A, Page 4, Line 7</t>
  </si>
  <si>
    <t>Attachment H-11A, page 2, Line 35, Col. 5</t>
  </si>
  <si>
    <t>Attachment H-11A, page 4, Line 30, Col. 6</t>
  </si>
  <si>
    <t>Attachment H-11A, page 4, Line 31, Col. 3</t>
  </si>
  <si>
    <t>Attachment H-11A, page 4, Line 32, Col. 3</t>
  </si>
  <si>
    <t>Attachment H-11A, page 4, Line 33, Col. 3</t>
  </si>
  <si>
    <t>Attachment H-11A, page 4, Line 34, Col. 3</t>
  </si>
  <si>
    <t>Attachment H-11A, page 4, Line 31, Col. 4</t>
  </si>
  <si>
    <t>Attachment H-11A, page 4, Line 32, Col. 4</t>
  </si>
  <si>
    <t>Attachment H-11A, page 4, Line 33, Col. 4</t>
  </si>
  <si>
    <t>Attachment H-11A, page 4, Line 31, Col. 5</t>
  </si>
  <si>
    <t>Attachment H-11A, page 4, Line 32, Col. 5</t>
  </si>
  <si>
    <t>Attachment H-11A, page 4, Line 33, Col. 5</t>
  </si>
  <si>
    <t>Line 17 will reflect the ROE, as reflected on Attachment H-11A, Page 4, Line 33, Col. 5</t>
  </si>
  <si>
    <t>Attachment H-11A, page 4, Line 33, Col. 5 plus 100 bps (Note A)</t>
  </si>
  <si>
    <t>Col. A*((Attachment H-11A, Page 4, Line 29, Col. 6) * Col. B/100+Attachment H-11A, Page 4, Line 24, Col. 6)</t>
  </si>
  <si>
    <t>Taken to Attachment H-11A, page 2, Lines 1-5, Col. 3</t>
  </si>
  <si>
    <t>Taken to Attachment H-11A, page 2, Lines 7-11, Col. 3</t>
  </si>
  <si>
    <t>Year-end balance with adjustments for FAS143, FAS106, FAS109, CIACs and normalization to populate Attachment H-11A, page 2, Lines 19-23, col. 3 for accounts 281, 282, 283, 190, and 255, respectively</t>
  </si>
  <si>
    <t>** This Total Weighted Average Debt Cost will be shown on page 4, line 31, column 5 of formula rate Attachment H-11A</t>
  </si>
  <si>
    <t>Attach. H-11A, p. 2, line 2, col. 5 (Note A)</t>
  </si>
  <si>
    <t>Attach. H-11A, p. 2, line 14, col. 5 (Note B)</t>
  </si>
  <si>
    <t>To be completed in conjunction with Attachment H-11A</t>
  </si>
  <si>
    <t>Page 2 Col. 6 *(Attachment H-11A, Page 4, line 29 *(Page 2, Col. 11/100))</t>
  </si>
  <si>
    <t xml:space="preserve">Gross Transmission Plant is that identified on page 2 line 2 of Attachment H-11A. </t>
  </si>
  <si>
    <t>Net Transmission Plant is that identified on page 2 line 14 of Attachment H-11A.</t>
  </si>
  <si>
    <t>Refers to Attachment H-11A, page 2, line 6, col. 4</t>
  </si>
  <si>
    <t>Refers to Attachment H-11A, page 4, line 16, col.6</t>
  </si>
  <si>
    <r>
      <t xml:space="preserve">(a) Average calculated as [Sum of Columns (C) through (O)] </t>
    </r>
    <r>
      <rPr>
        <sz val="12"/>
        <rFont val="Calibri"/>
        <family val="2"/>
      </rPr>
      <t>÷</t>
    </r>
    <r>
      <rPr>
        <sz val="12"/>
        <rFont val="Times New Roman"/>
        <family val="1"/>
      </rPr>
      <t xml:space="preserve"> 13.</t>
    </r>
  </si>
  <si>
    <t>True-up adjustment is calculated on the project true-up schedule, attachment 12 column J. Enter values in Col. 14 as negative</t>
  </si>
  <si>
    <t>Abandoned Plant</t>
  </si>
  <si>
    <t>Construction Work in Progress</t>
  </si>
  <si>
    <t>*  z = Average of monthly balances for months outstanding during the year (average of the balances for the 12 months of the year, with zero in months that the issuance is not outstanding in a month.).</t>
  </si>
  <si>
    <t>Sub-transmission includes assets below 100 kV, but which reside in transmission FERC accounts</t>
  </si>
  <si>
    <t>Enter Commission approved project specific ROE incentive basis points adder, which is a scaled factor against a 100 to derive the approved percentage adder</t>
  </si>
  <si>
    <t xml:space="preserve">  b. Bundled Sales for Resale</t>
  </si>
  <si>
    <t>Regulatory Assets</t>
  </si>
  <si>
    <t>(Note H)</t>
  </si>
  <si>
    <t>Col. A * Attachment H-11A, Page 4, Line 24, Col. 6</t>
  </si>
  <si>
    <t xml:space="preserve">Utilizes a 13-month average.   </t>
  </si>
  <si>
    <t>AGC Investment</t>
  </si>
  <si>
    <t>[9]</t>
  </si>
  <si>
    <r>
      <t xml:space="preserve">Equity Adj </t>
    </r>
    <r>
      <rPr>
        <sz val="12"/>
        <rFont val="Calibri"/>
        <family val="2"/>
        <scheme val="minor"/>
      </rPr>
      <t>[B]</t>
    </r>
  </si>
  <si>
    <r>
      <t xml:space="preserve">Renaissance Adj </t>
    </r>
    <r>
      <rPr>
        <sz val="12"/>
        <rFont val="Calibri"/>
        <family val="2"/>
        <scheme val="minor"/>
      </rPr>
      <t>[C]</t>
    </r>
  </si>
  <si>
    <t>(1) - (2) - (3) - (4) - (5) - (6) - (7)</t>
  </si>
  <si>
    <t>AGC’s capital structure adjustment per FERC Docket No. ER84-504-000</t>
  </si>
  <si>
    <t>Renaissance issued securitized debt in 2007and the proceeds were distributed up to Mon Power in the form of a dividend.  The balance in account 216.1 related to Renaissance does not require exclusion as there is an offsetting amount in account 216 and therefore no impact on total equity.</t>
  </si>
  <si>
    <t>Load expressed in MWh consistent with load used for billing under Schedule 1A for the AP Zone.  Data from RTO settlement systems for the calendar year prior to the rate year.</t>
  </si>
  <si>
    <t>Attachment 8, Line 14, Col. 3</t>
  </si>
  <si>
    <t xml:space="preserve">       Less Account 216.1, Renaissance Adj, AGC adj &amp; Goodwill</t>
  </si>
  <si>
    <t>Attachment 8, Line 14, Col. 2, 4, 5 &amp; 7</t>
  </si>
  <si>
    <t>Attachment 8, Line 14, Col. 8</t>
  </si>
  <si>
    <t>Includes only FICA, unemployment, highway, property, gross receipts, and other assessments charged in the current year.  Taxes related to income are excluded.  Gross receipts and taxes non-functionalized to Transmission are not included in transmission revenue requirement in the Rate Formula Template, since they are recovered elsewhere.</t>
  </si>
  <si>
    <t>Any actual ROE incentive must be approved by the Commission; therefore, Line will remain zero until a project(s) is granted a ROE incentive adder.</t>
  </si>
  <si>
    <t>3. Depreciation Rates (1)</t>
  </si>
  <si>
    <t>Attachment H -11A</t>
  </si>
  <si>
    <t>Revenues received pursuant to PJM Schedule 1A revenue allocation procedures for transmission service outside of the AP Zone during the year used to calculate rates under Attachment H-11A</t>
  </si>
  <si>
    <t>(Notes C &amp; D)</t>
  </si>
  <si>
    <t>(Attachment 15, Line 12, Col. F) (Notes C &amp; E)</t>
  </si>
  <si>
    <t xml:space="preserve">SFC's ROE is set to: </t>
  </si>
  <si>
    <t>MP-Depr % (WV)</t>
  </si>
  <si>
    <t>TOTAL ACCUM. DEPRECIATION (sum Lines 7-11)</t>
  </si>
  <si>
    <t>TOTAL ADJUSTMENTS (sum Lines 19-27)</t>
  </si>
  <si>
    <t>WORKING CAPITAL (Note H)</t>
  </si>
  <si>
    <t xml:space="preserve">  Materials &amp; Supplies (Note G)</t>
  </si>
  <si>
    <t>TOTAL WORKING CAPITAL (sum Lines 31 - 33)</t>
  </si>
  <si>
    <t>RATE BASE (sum Lines 18, 28, 29, &amp; 34)</t>
  </si>
  <si>
    <t>Source Reference</t>
  </si>
  <si>
    <t>Total Capitalization</t>
  </si>
  <si>
    <t>Line 17 - ROE adder is a scaling factor to calculate the incremental return and income taxes, which will be utilized to calculate additional revenue requirement only in the instance there exists Commission approved ROE incentive projects.</t>
  </si>
  <si>
    <t>Rate of Return on Rate Base (ROR)</t>
  </si>
  <si>
    <t>Total Long-Term Debt</t>
  </si>
  <si>
    <t>Total Long-Term Debt (WCLTD)</t>
  </si>
  <si>
    <t>End Plant &amp; Labor Related Allocated to Transmission</t>
  </si>
  <si>
    <t>ADIT- 282 From Account Total Below</t>
  </si>
  <si>
    <t>ADIT- 282 From Account Subtotal Below</t>
  </si>
  <si>
    <t>Estimated Ending Balance (Before Adjustments)</t>
  </si>
  <si>
    <t>Actual Ending Balance (Before Adjustments)</t>
  </si>
  <si>
    <t>*sometimes referred to as Other Post-Employment Benefits, or "OPEB"</t>
  </si>
  <si>
    <t>To the extent transmission assets are transferred to KATCo, a proration factor will be applied on a percent of the transmission gross plant transferred</t>
  </si>
  <si>
    <t>MON POWER</t>
  </si>
  <si>
    <t>MON POWER Labor: Company Records</t>
  </si>
  <si>
    <t>MON POWER Account 926: Company Records</t>
  </si>
  <si>
    <t>Attachment H -11A, Attachment 14</t>
  </si>
  <si>
    <t>Text Description (b)</t>
  </si>
  <si>
    <t>Allocator utilized (f)</t>
  </si>
  <si>
    <t>Materials &amp; Supplies - FERC Account No. 154</t>
  </si>
  <si>
    <t>FERC Form No. 1 p.227.8.c &amp; 16.c</t>
  </si>
  <si>
    <t>Land held for Future Use - FERC Account No. 105</t>
  </si>
  <si>
    <r>
      <t>FERC Form No. 1 p.214.</t>
    </r>
    <r>
      <rPr>
        <b/>
        <sz val="12"/>
        <rFont val="Calibri"/>
        <family val="2"/>
        <scheme val="minor"/>
      </rPr>
      <t>x</t>
    </r>
    <r>
      <rPr>
        <sz val="12"/>
        <rFont val="Calibri"/>
        <family val="2"/>
        <scheme val="minor"/>
      </rPr>
      <t>.d</t>
    </r>
  </si>
  <si>
    <t>FERC Account No. 228.1 (d)</t>
  </si>
  <si>
    <t>FERC Account No. 228.2 (d)</t>
  </si>
  <si>
    <t>FERC Account No. 228.3 (d)</t>
  </si>
  <si>
    <t>FERC Account No. 228.4 (d)</t>
  </si>
  <si>
    <t>FERC Account No. 242 (d)</t>
  </si>
  <si>
    <t>Other Reserves (d)</t>
  </si>
  <si>
    <t>(a) Average calculated as [Sum of Columns (C) through (O)] ÷ 13</t>
  </si>
  <si>
    <t>(d) Line items listed are either partially or wholly allocated to transmission and monthly amounts includes transmission-related balance only</t>
  </si>
  <si>
    <t>(e) Prepayments shall exclude prepayments of income taxes</t>
  </si>
  <si>
    <t>(f) Allocator utilized are TE, TP, GP, WS, or EXCL. Any line item allocated by "EXCL" will only show year-end balances</t>
  </si>
  <si>
    <t>FERC A/C</t>
  </si>
  <si>
    <t>Title</t>
  </si>
  <si>
    <t>FERC Form No. 1 Citation</t>
  </si>
  <si>
    <t>FERC Form No. 1 Balance</t>
  </si>
  <si>
    <t>x</t>
  </si>
  <si>
    <t>TE Allocator</t>
  </si>
  <si>
    <t xml:space="preserve">Total Transmission </t>
  </si>
  <si>
    <t xml:space="preserve">To Revenue Req. </t>
  </si>
  <si>
    <t>Page 321.83.b</t>
  </si>
  <si>
    <t>Page 321.85.b</t>
  </si>
  <si>
    <t>Page 321.86.b</t>
  </si>
  <si>
    <t>Page 321.87.b</t>
  </si>
  <si>
    <t>Page 321.88.b</t>
  </si>
  <si>
    <t>Page 321.89.b</t>
  </si>
  <si>
    <t>Page 321.90.b</t>
  </si>
  <si>
    <t>Page 321.91.b</t>
  </si>
  <si>
    <t>Page 321.92.b</t>
  </si>
  <si>
    <t>Page 321.93.b</t>
  </si>
  <si>
    <t>Page 321.94.b</t>
  </si>
  <si>
    <t>Page 321.95.b</t>
  </si>
  <si>
    <t>Page 321.96.b</t>
  </si>
  <si>
    <t>Page 321.97.b</t>
  </si>
  <si>
    <t>Page 321.98.b</t>
  </si>
  <si>
    <t>Page 321.101.b</t>
  </si>
  <si>
    <t>Page 321.102.b</t>
  </si>
  <si>
    <t>Page 321.103.b</t>
  </si>
  <si>
    <t>Page 321.104.b</t>
  </si>
  <si>
    <t>Page 321.105.b</t>
  </si>
  <si>
    <t>Page 321.106.b</t>
  </si>
  <si>
    <t>Page 321.107.b</t>
  </si>
  <si>
    <t>Page 321.108.b</t>
  </si>
  <si>
    <t>Page 321.109.b</t>
  </si>
  <si>
    <t>Page 321.110.b</t>
  </si>
  <si>
    <t>Page 323.181.b</t>
  </si>
  <si>
    <t>Page 323.182.b</t>
  </si>
  <si>
    <t>Page 323.183.b</t>
  </si>
  <si>
    <t>Page 323.184.b</t>
  </si>
  <si>
    <t>Page 323.185.b</t>
  </si>
  <si>
    <t>Page 323.186.b</t>
  </si>
  <si>
    <t>Page 323.187.b</t>
  </si>
  <si>
    <t>Page 323.188.b</t>
  </si>
  <si>
    <t>Page 323.189.b</t>
  </si>
  <si>
    <t>Page 323.190.b</t>
  </si>
  <si>
    <t>Page 323.191.b</t>
  </si>
  <si>
    <t>Page 323.192.b</t>
  </si>
  <si>
    <t>Page 323.193.b</t>
  </si>
  <si>
    <t>Page 323.196.b</t>
  </si>
  <si>
    <t>OTHER REVENUE CREDITS</t>
  </si>
  <si>
    <t>SECTION 30.9 CREDITS</t>
  </si>
  <si>
    <t xml:space="preserve">(B) The PJM NITS &amp; TEC charges will include a true-up for the (over)/under recovery from a prior rate period. The total without true-up for NITS and TEC will be taken to Attachment 12 and Attachment 13 respectively. </t>
  </si>
  <si>
    <t>Other (C)</t>
  </si>
  <si>
    <t xml:space="preserve">Other </t>
  </si>
  <si>
    <t>Firm Point-to-Point</t>
  </si>
  <si>
    <t>Remaining Total Company excluding 100% Non-Tx and 100% Tx</t>
  </si>
  <si>
    <t>Allocated to Transmission</t>
  </si>
  <si>
    <t>(K)</t>
  </si>
  <si>
    <t>Transmission Exclusions (a) (d)</t>
  </si>
  <si>
    <t>The SFCs shall not seek to recover any O&amp;M and A&amp;G costs associated with cancelled projects without seeking Commission approval.</t>
  </si>
  <si>
    <t>100% Non-Transmission (b)</t>
  </si>
  <si>
    <t>3d</t>
  </si>
  <si>
    <t>(page 4, Line 41)</t>
  </si>
  <si>
    <t>(page 4, Line 42)</t>
  </si>
  <si>
    <t>Line 2/ Attachment 20, Line 26, Col C</t>
  </si>
  <si>
    <t>Attachment 20, Line 26, Col. G</t>
  </si>
  <si>
    <t>Line 4 * Page 4, Line 16, Col. 6 * (Attachment 20, Line 41, Col C minus Attachment 20, Line 41, Col D)</t>
  </si>
  <si>
    <t>TOTAL O&amp;M and A&amp;G (sum Lines 1,3,6,7,8 less Lines 2,5)</t>
  </si>
  <si>
    <t>TOTAL DEPRECIATION (sum Lines 10, 11, 13 less 12)</t>
  </si>
  <si>
    <t>TOTAL OTHER TAXES (sum Lines 15 - 21)</t>
  </si>
  <si>
    <t xml:space="preserve">      1 / (1 - T)  (from Line 23)</t>
  </si>
  <si>
    <t>Income Tax Calculation = Line 24 * Line 34</t>
  </si>
  <si>
    <t>ITC adjustment (Line 25 * Line 26)</t>
  </si>
  <si>
    <t>Permanent Differences and AFUDC Equity Tax Adjustment (Line 25 * Line 27)</t>
  </si>
  <si>
    <t>(Excess)/Deficient Deferred Income Tax Adjustment (Line 25 * Line 28)</t>
  </si>
  <si>
    <t>sum Lines 29 through 32</t>
  </si>
  <si>
    <t>PBOP Expense Adjustment in Year</t>
  </si>
  <si>
    <t>(sum Lines 35, 36, 37)</t>
  </si>
  <si>
    <t>Page 3, Line 33, Col. 5 / Page 2, Line 14, Col. 5</t>
  </si>
  <si>
    <t>Page 3, Line 34, Col. 5 / Page 2, Line 14, Col. 5</t>
  </si>
  <si>
    <t>Attachment 20, Line 41, Col. J</t>
  </si>
  <si>
    <t>40 a</t>
  </si>
  <si>
    <t>40 b</t>
  </si>
  <si>
    <t>True-Up Adj.</t>
  </si>
  <si>
    <t>Compounding</t>
  </si>
  <si>
    <t>Principle Amortization</t>
  </si>
  <si>
    <t>Interest Amortization</t>
  </si>
  <si>
    <t>Year 3 Monthly Amortization</t>
  </si>
  <si>
    <t>Total Amount Refunded/Surcharged</t>
  </si>
  <si>
    <t>True-Up Before Interest</t>
  </si>
  <si>
    <t>Interest Refunded/Surcharged</t>
  </si>
  <si>
    <t>(F)</t>
  </si>
  <si>
    <t>Year 1 True-Up Adjustment + Interest</t>
  </si>
  <si>
    <t>Year 2 True-Up Adjustment + Interest</t>
  </si>
  <si>
    <t>Year 3 True-Up Adjustment + Interest</t>
  </si>
  <si>
    <t>[a]</t>
  </si>
  <si>
    <t>[b]</t>
  </si>
  <si>
    <t>Base Over (Under) Recovery</t>
  </si>
  <si>
    <t>NITS Revenue Requirement True-up with Interest</t>
  </si>
  <si>
    <t>20-Months Average Interest Rate (a)</t>
  </si>
  <si>
    <t>Total Over (Under) Recovery plus True-Up with Interest</t>
  </si>
  <si>
    <t>(Line 1 - Line 8 + Line 9)</t>
  </si>
  <si>
    <t>GROSS REVENUE REQUIREMENT [page 3, Line 38, col 5]</t>
  </si>
  <si>
    <t>TOTAL REVENUE CREDITS (sum Lines 2-7)</t>
  </si>
  <si>
    <t>Transmission-related only.</t>
  </si>
  <si>
    <t>The revenues credited on page 1, Lines 2-6 do not include revenues associated with FERC annual charges, gross receipts taxes, ancillary services, or facilities not included in this template (e.g., direct assignment facilities and GSUs) which are not recovered under this Rate Formula Template.  The revenue on Line 7 is supported by its own reference.</t>
  </si>
  <si>
    <t>Prepayments - FERC Account No. 165 (d) (e)</t>
  </si>
  <si>
    <t xml:space="preserve">  Section 30.9 credits</t>
  </si>
  <si>
    <t xml:space="preserve">  Other Revenue credits</t>
  </si>
  <si>
    <t>On Page 4, Line 40, enter revenues from RTO settlements that are associated with NITS and firm Point-to-Point Service for which the load is not included in the divisor to derive AP Zonal rates.  Exclude non-firm Point-to-Point revenues and revenues related to RTEP projects, unless provisions per settlement agreement section 2.23 requires inclusion.</t>
  </si>
  <si>
    <t xml:space="preserve">BB </t>
  </si>
  <si>
    <t>Calculates using a 13-month average balance.</t>
  </si>
  <si>
    <t>The balances in accounts 190 281, 282, and 283 shall be adjusted for items as listed on Attachment 5.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J. Account 281 is not allocated.</t>
  </si>
  <si>
    <t>(Note S)</t>
  </si>
  <si>
    <t>Attachment 3, Line 14, Col. 1 (Notes T&amp;V)</t>
  </si>
  <si>
    <t>Attachment 3, Line 14, Col. 3 (Notes T&amp;V)</t>
  </si>
  <si>
    <t>Attachment 3, Line 14, Col. 4 (Notes T&amp;V)</t>
  </si>
  <si>
    <t>Attachment 3, Line 14, Col. 7 (Notes T&amp;V)</t>
  </si>
  <si>
    <t>Attachment 3, Line 14, Col. 5 &amp; 6 (Notes T&amp;V)</t>
  </si>
  <si>
    <t>Attachment 4, Line 14, Col. 1 (Notes T&amp;V)</t>
  </si>
  <si>
    <t>Attachment 4, Line 14, Col. 3 (Notes T&amp;V)</t>
  </si>
  <si>
    <t>Attachment 4, Line 14, Col. 4 (Notes T&amp;V)</t>
  </si>
  <si>
    <t>Attachment 4, Line 14, Col. 5 &amp; 6 (Notes T&amp;V)</t>
  </si>
  <si>
    <t>Attachment 4, Line 14, Col. 7 (Notes T&amp;V)</t>
  </si>
  <si>
    <t>(Company records, Note Y)</t>
  </si>
  <si>
    <t>TAXES OTHER THAN INCOME TAXES (Note I)</t>
  </si>
  <si>
    <t>(Note J)</t>
  </si>
  <si>
    <t>Attachment 2b, Line 2 (Note X)</t>
  </si>
  <si>
    <t>Attachment 11, Line 4, col 12 (Note X)</t>
  </si>
  <si>
    <t>Less transmission plant excluded from ISO rates  (Note L)</t>
  </si>
  <si>
    <t>Less transmission plant included in OATT Ancillary Services  (Note M )</t>
  </si>
  <si>
    <t>Total transmission expenses  (Attachment 20, Line 26, Col. C)</t>
  </si>
  <si>
    <t>Less transmission expenses included in OATT Ancillary Services  (Attachment 20, Line 2 plus Line 3 and Line 4, Col. C) (Note K)</t>
  </si>
  <si>
    <t>Proration (Note Z)</t>
  </si>
  <si>
    <t>(Note Z)</t>
  </si>
  <si>
    <t>COMMON PLANT ALLOCATOR  (CE)  (Note N)</t>
  </si>
  <si>
    <t xml:space="preserve">  Preferred Stock  (112.3d) (Attachment 8, Line 14, Col. 3) (Note BB)</t>
  </si>
  <si>
    <t xml:space="preserve">  Common Stock Attachment 8, Line 14, Col. 8) (Note BB)</t>
  </si>
  <si>
    <t>REVENUE CREDITS (Note AA)</t>
  </si>
  <si>
    <t>ACCOUNT 451 (MISCELLANEOUS SERVICE REVENUE) (Note R)</t>
  </si>
  <si>
    <t>ACCOUNT 454 (RENT FROM ELECTRIC PROPERTY)  (Note Q)</t>
  </si>
  <si>
    <t>ACCOUNT 456 (OTHER ELECTRIC REVENUE)  (Note U)</t>
  </si>
  <si>
    <t>Q</t>
  </si>
  <si>
    <t>R</t>
  </si>
  <si>
    <t>S</t>
  </si>
  <si>
    <t>T</t>
  </si>
  <si>
    <t>U</t>
  </si>
  <si>
    <t>V</t>
  </si>
  <si>
    <t>X</t>
  </si>
  <si>
    <t>Y</t>
  </si>
  <si>
    <t>Z</t>
  </si>
  <si>
    <t>AA</t>
  </si>
  <si>
    <t>Attachment H-11A, page 3, Line 23, Col. 3</t>
  </si>
  <si>
    <t>Attachment H-11A, page 3, Line 25, Col. 3</t>
  </si>
  <si>
    <t>Attachment H-11A, page 3, Line 26, Col. 3</t>
  </si>
  <si>
    <t>Attachment H-11A, page 3, Line 27, Col. 3</t>
  </si>
  <si>
    <t>Attachment H-11A, page 3, Line 28, Col. 3</t>
  </si>
  <si>
    <r>
      <t>Attachment H-11A, page 3, Line</t>
    </r>
    <r>
      <rPr>
        <strike/>
        <sz val="12"/>
        <rFont val="Arial"/>
        <family val="2"/>
      </rPr>
      <t xml:space="preserve"> </t>
    </r>
    <r>
      <rPr>
        <sz val="12"/>
        <rFont val="Arial"/>
        <family val="2"/>
      </rPr>
      <t>30, Col. 5</t>
    </r>
  </si>
  <si>
    <t>Attachment H-11A, page 3, Line 31, Col. 5</t>
  </si>
  <si>
    <t>Attachment H-11A, page 3, Line 32, Col. 5</t>
  </si>
  <si>
    <t>Attachment H-11A, Page 3, Line 34, Col. 5</t>
  </si>
  <si>
    <t>Attachment H-11A, Page 3, Line 33, Col. 5</t>
  </si>
  <si>
    <t>Attachment H-11A, page 3, Line 30, Col. 5</t>
  </si>
  <si>
    <t>Taken to Attachment H-11A, Page 3, Line 36, Col. 3</t>
  </si>
  <si>
    <t>PBOP Adjustment for Attachment H-11A, page 3, line 6 (line 7 - line 10)</t>
  </si>
  <si>
    <t>(table 2, col. gg)</t>
  </si>
  <si>
    <t>(Table 2, Col. kk)</t>
  </si>
  <si>
    <t>((col. gg/col. cc)*100)</t>
  </si>
  <si>
    <t>Transmission Enhancement Credit taken to Attachment H-11A, Page 1, Line 7, Col. 3</t>
  </si>
  <si>
    <t>Additional TEC Incentive Revenue taken to Attachment H-11A, Page 3, Line 37, Col. 3</t>
  </si>
  <si>
    <t>Project Depreciation Expense is the actual value booked for the project and included in the Depreciation Expense in Attachment H-11A, page 3, line 10.</t>
  </si>
  <si>
    <t>The amortization gross-up for taxes occurs on Attachment H-11A, page 3, line 32, Col. 3. ARO related EDIT shall not be included within the formula rate.</t>
  </si>
  <si>
    <t>Attach. H-11A, p. 3, line 9, col. 5</t>
  </si>
  <si>
    <t>Attach. H-11A, p. 3, lines 11 &amp; 13, col. 5</t>
  </si>
  <si>
    <t>Attach. H-11A, p. 3, line 22, col. 5</t>
  </si>
  <si>
    <t>Attach. H-11A, p. 3, line 33, col. 5</t>
  </si>
  <si>
    <t>Attach. H-11A, p. 3, line 34, col. 5</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</si>
  <si>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25).</t>
  </si>
  <si>
    <t>Page 4, Line 37 must equal zero since all short-term power sales must be unbundled and the transmission component reflected in Account No. 456.1 and all other uses are to be included in the divisor.</t>
  </si>
  <si>
    <t>(col. cc * col. ii)</t>
  </si>
  <si>
    <t>(kk)</t>
  </si>
  <si>
    <t>(entered on Attachment H-11A,
page 5 of 5, Note J)</t>
  </si>
  <si>
    <t>Attachment 14, Line 18, Col. P (Notes C &amp; V)</t>
  </si>
  <si>
    <t>Attachment 17, Line 3, Col P 216.b (Notes V &amp; W)</t>
  </si>
  <si>
    <t>Attachment 19, Line 2, Col. Y (Note V)</t>
  </si>
  <si>
    <t>(Note O)</t>
  </si>
  <si>
    <t>(Attachment 13, Line 47) enter negative</t>
  </si>
  <si>
    <t>See Attachment H-11A, page 5, note J; A utility that elected to utilize amortization of tax credits against taxable income, rather than book tax credits to Account No. 255 and reduce rate base, must reduce its income tax expense by the amount of the Amortized Investment Tax Credit (Form 1, 266.8.f).</t>
  </si>
  <si>
    <t>Total Interest (Sourced from Attachment 13a, line 46)</t>
  </si>
  <si>
    <t>Attachment 14, Line 4, Col. P (Note G)</t>
  </si>
  <si>
    <t>Attachment 14, Line 3, Col. P (Note V)</t>
  </si>
  <si>
    <t xml:space="preserve">Upon enactment of changes in tax law, income tax rates (federal, state)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t>
  </si>
  <si>
    <t>(C) Any charges shall be entered as positives and refunds shall be entered as negatives. Includes any necessary prior period adjustments including those identified through the discovery or challenge procedures, as defined within the protocols.</t>
  </si>
  <si>
    <t>(b) Sublines in Col. (A) could be added or removed  without a FPA Section 205 filing</t>
  </si>
  <si>
    <t>Upon a tax rate change (federal, state), the Company remeasures its deferred tax assets and liabilities to account for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federal or state income tax rate change.</t>
  </si>
  <si>
    <t>42a</t>
  </si>
  <si>
    <t>Labor Related Revenues</t>
  </si>
  <si>
    <t>42b</t>
  </si>
  <si>
    <t>Plant Related Revenues</t>
  </si>
  <si>
    <t>42c</t>
  </si>
  <si>
    <t>Transmission Related Revenues</t>
  </si>
  <si>
    <t>42d</t>
  </si>
  <si>
    <t>Other</t>
  </si>
  <si>
    <t>W&amp;S</t>
  </si>
  <si>
    <t>[This line left intentionally blank]</t>
  </si>
  <si>
    <t>FERC Form No. 1, Page 356.1</t>
  </si>
  <si>
    <t>FERC Form No. 1, 336.7.b (Note T)</t>
  </si>
  <si>
    <t>FERC Form No. 1, 336.1.f &amp; 336.10.f (Note T)</t>
  </si>
  <si>
    <t>FERC Form No. 1, 336.11.b (Note T)</t>
  </si>
  <si>
    <t>Attachment 7, Line 1z</t>
  </si>
  <si>
    <t>Attachment 7, Line 2z</t>
  </si>
  <si>
    <t>Attachment 7, Line 3z</t>
  </si>
  <si>
    <t>Attachment 7, Line 4z</t>
  </si>
  <si>
    <t>Attachment 7, Line 5z</t>
  </si>
  <si>
    <t>FERC Form No. 1, 310-311</t>
  </si>
  <si>
    <t>FERC Form No. 1, 300.17.b</t>
  </si>
  <si>
    <t>FERC Form No. 1, 300.19.b</t>
  </si>
  <si>
    <t>FERC Form No. 1, 330.x.n</t>
  </si>
  <si>
    <t>Plant in Service, Accumulated Depreciation, and Depreciation Expense amounts exclude Asset Retirement Obligation amounts unless authorized by FERC. FERC account 405 – Amortization of Other Electric Plant amounts are excluded unless approved and authorized by FERC.</t>
  </si>
  <si>
    <t xml:space="preserve">The SFCs shall utilize a W/S allocator to the extent that it aligns with distribution treatment, to become effective following the filing of the Settlement in Docket No. ER21-253 with a sunset of three years.  After the sunset period, any revenue credits shall be credited to the formula rate template in the same manner as the underlying associated plant assets or expenses that generate the credits.  </t>
  </si>
  <si>
    <t>Attachment 5 - ADIT Summary, Line 2</t>
  </si>
  <si>
    <t>Attachment 5-ADIT Summary, Lines 3, 4, and 5</t>
  </si>
  <si>
    <t>(col. cc + col. dd - col. ee - col. ff)</t>
  </si>
  <si>
    <t>Note [b]</t>
  </si>
  <si>
    <r>
      <t>(Found using Excel Solver/Goal Seek</t>
    </r>
    <r>
      <rPr>
        <sz val="12"/>
        <color rgb="FFFF0000"/>
        <rFont val="Times New Roman"/>
        <family val="1"/>
      </rPr>
      <t>/or equivalent</t>
    </r>
    <r>
      <rPr>
        <sz val="12"/>
        <rFont val="Times New Roman"/>
        <family val="1"/>
      </rPr>
      <t>) Note [c]</t>
    </r>
  </si>
  <si>
    <t>Interest on any True-up shall be based on the interest rate equal to the interest rate determined by 18 C.F.R. § 35.19a and published on the FERC website. Interest rates will be used to calculate the time value of money for the period that the True-up exists. The interest rate to be applied to the True-up will be determined using the average rate for the twenty (20) months preceding September 1 of the current year.  Interest on refunds and surcharges shall be compounded on a quarterly basis.</t>
  </si>
  <si>
    <t>The ATRR is used to compare against the billed revenue in the true-up calculation. This calculation excludes prior year true-up amounts.</t>
  </si>
  <si>
    <t>[c]</t>
  </si>
  <si>
    <t>The goal is to determine the value to input in Col. (D), Line 28 such that the value in in Col. (D), line 41 becomes zero.  For example, using Excel's Goal Seek function, the goal would be to set Excel cell G64 to 0 by changing only Excel cell G48.</t>
  </si>
  <si>
    <t>FERC Form No. 1, p.111.57.c &amp; d</t>
  </si>
  <si>
    <t>Unfunded Reserve</t>
  </si>
  <si>
    <t>(c) Included as a credit to rate base on Attachment H-11A, page 2, lines 24. Enter credit balances as negatives</t>
  </si>
  <si>
    <t>(A) Only projects approved by the Commission will be included.</t>
  </si>
  <si>
    <t>(A) Only Regulatory Assets approved by the Commission will be included.</t>
  </si>
  <si>
    <t>(B) Regulatory asset references to be noted based on FERC Page. Row. Col.#.</t>
  </si>
  <si>
    <t>(C) Amortization Amount to be entered at year 0. For all future years, the beginning amount will be the ending balance from the previous year.</t>
  </si>
  <si>
    <t>(D) Enter the year of amortization starting with 0 and increment by 1 for every subsequent year until the amortization period ends.</t>
  </si>
  <si>
    <t>(E) Total Yearly amortization expense from Col. (K) line 2 will be taken to Attachment H-11A, page 3, line 8, Col.3 when the amortization begins. Until such time, Attachment H-11A, page 3, line 8, Col.3 will be 0.</t>
  </si>
  <si>
    <r>
      <t xml:space="preserve">(F) Includes only Regulatory assets that are designated to earn a return. Average calculated as [Sum of Columns (L) through (X)] </t>
    </r>
    <r>
      <rPr>
        <sz val="12"/>
        <rFont val="Calibri"/>
        <family val="2"/>
      </rPr>
      <t>÷</t>
    </r>
    <r>
      <rPr>
        <sz val="12"/>
        <rFont val="Times New Roman"/>
        <family val="1"/>
      </rPr>
      <t xml:space="preserve"> 13. Total from Col (Y) line 2 will be taken to Attachment H-11A, page 2, line 27, Col.3 when the amortization begins. Until such time, Attachment H-11A, page 2, line 27, Col.3 will be 0.</t>
    </r>
  </si>
  <si>
    <t>(B) Amortization Amount will be entered at year 0, although the actual amortization will only begin after Commission accepts or approves recovery of the cost of abandoned plant. For all subsequent years, the beginning amount will be the ending balance from the previous year.</t>
  </si>
  <si>
    <t>(C) Enter the year of amortization starting with 1 for the year the amortization begins and increment by 1 for every subsequent year until the amortization period ends.</t>
  </si>
  <si>
    <r>
      <t xml:space="preserve">(D) Average calculated as [Sum of Columns (B) through (N)] </t>
    </r>
    <r>
      <rPr>
        <sz val="12"/>
        <rFont val="Calibri"/>
        <family val="2"/>
      </rPr>
      <t>÷</t>
    </r>
    <r>
      <rPr>
        <sz val="12"/>
        <rFont val="Times New Roman"/>
        <family val="1"/>
      </rPr>
      <t xml:space="preserve"> 13.</t>
    </r>
  </si>
  <si>
    <t>(E) Column O * Attachment H-11A, page 4, line 34, col. 6.</t>
  </si>
  <si>
    <t>(F) Column P * Attachment H-11A, page 3, line 24, col 3.</t>
  </si>
  <si>
    <t>(G) Column A + Column P + Column Q.</t>
  </si>
  <si>
    <t>(H) Revenue Requirement will not be billed until the year the amortization begins. Once a project is fully amortized, it will be removed from this attachment and will have no revenue requirement.</t>
  </si>
  <si>
    <t xml:space="preserve"> 100% Transmission (c)</t>
  </si>
  <si>
    <t>All labor or expenses that are 100% non-transmission related to be excluded from transmission A&amp;G recovery</t>
  </si>
  <si>
    <t>All labor or expenses that are 100% transmission related to be included within transmission A&amp;G recovery</t>
  </si>
  <si>
    <t>Excluded costs specifically include, but are not limited to any amortization related to Regulatory Assets for which FERC approval has not been granted; EPRI dues; non-safety advertising included within 930.1; Regulatory commission expenses within FERC Account 928 that are directly assigned in total or portions allocated to distribution; FERC Account Nos. 561.4, 561.8, and 575.7 that consist of RTO expenses billed to load-serving entities and are not included in Transmission Owner revenue requirements; FERC Account No. 565 Transmission of Electricity by Others; and the Vegetation Management Surcharge Rider.</t>
  </si>
  <si>
    <t>Structure and Improvements</t>
  </si>
  <si>
    <t>Station Equipment - Other</t>
  </si>
  <si>
    <t>Station Eqiupment - SCADA</t>
  </si>
  <si>
    <t>Towers and Fixtures</t>
  </si>
  <si>
    <t>Poles and Fixtures</t>
  </si>
  <si>
    <t>Overhead Conductors &amp; Devices - Other</t>
  </si>
  <si>
    <t>Overhead Conductors &amp; Devices - Clearing</t>
  </si>
  <si>
    <t>Structure and Improvements - Owned</t>
  </si>
  <si>
    <t>Office Furniture &amp; Equipment - Furniture &amp; Fixtures</t>
  </si>
  <si>
    <t>Office Furniture &amp; Equipment - Information Systems</t>
  </si>
  <si>
    <t>Office Furniture &amp; Equipment - Data Handling</t>
  </si>
  <si>
    <t>Personal Computers</t>
  </si>
  <si>
    <t>Transportation Equipment - Autos</t>
  </si>
  <si>
    <t>Transportation Equipment - Light Trucks</t>
  </si>
  <si>
    <t>Transportation Equipment - Medium and Heavy Trucks</t>
  </si>
  <si>
    <t>Transportation Equipment - Trailers</t>
  </si>
  <si>
    <t xml:space="preserve">Earth Moving Equipment </t>
  </si>
  <si>
    <t>Transportation Equipment - ATV</t>
  </si>
  <si>
    <t>Storage equipment</t>
  </si>
  <si>
    <t>Tools, shop and garage equipment</t>
  </si>
  <si>
    <t>Power operated equipment</t>
  </si>
  <si>
    <t>Communication equipment</t>
  </si>
  <si>
    <t>Miscellaneous equipment</t>
  </si>
  <si>
    <t>N/A</t>
  </si>
  <si>
    <t>Land and Land Rights - Easements</t>
  </si>
  <si>
    <t>The goal is to determine the value to input in Col. (D), Line 28 such that the value in Col. (D), line 41 becomes zero.  For example, using Excel's Goal Seek function, the goal would be to set Excel cell G64 to 0 by changing only Excel cell G48.</t>
  </si>
  <si>
    <t>(sum Lines 9, 14, 22, 33, 34)</t>
  </si>
  <si>
    <t>Rate Base (page 2, Line 35) * Rate of Return (page 4, Line 34, col. 6)</t>
  </si>
  <si>
    <t>As agreed to as part of the settlement of Docket No. ER21-253 and ER21-265, Cash Working Capital is a challengeable input that is capped at one-eighth of O&amp;M and A&amp;G allocated to transmission at page 3, Line 9, column 5 minus amortization of regulatory assets (page 3, Line 8, col. 5) unless supported by a fully-developed and reliable lead/lag study.  Interested parties will not challenge the input for the cash working capital allowance for three (3) rate years following the effective date of the ultimately settled formula, provided that the CWC input does not exceed the one-eighth cap.  In no case shall the calculation include service company depreciation expense in the cash working capital base.</t>
  </si>
  <si>
    <t>Laboratory equipment</t>
  </si>
  <si>
    <t>Attachment 14, Line 2, Col. P (Notes B &amp; V)</t>
  </si>
  <si>
    <t>Debt cost rate = Attachment 10, Column (j) total.  Preferred cost rate = preferred dividends (Line 30) / preferred outstanding (Line 32). No change in ROE may be made absent a filing with FERC under Section 205 or Section 206 of the Federal Power Act. The ROE consists of a base ROE of 9.95% and a 50 basis point adder for participation in an RTO as eligible and consistent with the terms of the Settlement Agreement in Docket No. ER21-253-000.</t>
  </si>
  <si>
    <t>112.18-21.c</t>
  </si>
  <si>
    <t xml:space="preserve">  Long Term Debt  (112.18-21.c) (Attachment 8, Line 14, Col. 9) (Note BB) </t>
  </si>
  <si>
    <t>Structure and Improvements - Leased</t>
  </si>
  <si>
    <t xml:space="preserve">  Unfunded Reserves</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</si>
  <si>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 Balance shall not include permanent differences in the income tax allowance calculations (other than Equity AFUDC) unless and until specific Commission approval is obtained to include such differences in a separate 205 proceeding.</t>
  </si>
  <si>
    <t>Clarksburg Service Center</t>
  </si>
  <si>
    <t>Elkins Service Center</t>
  </si>
  <si>
    <t>Fairlea WVP</t>
  </si>
  <si>
    <t>Fairmont Corp. Ctr. - Garage</t>
  </si>
  <si>
    <t>Fairmont Corporate Center</t>
  </si>
  <si>
    <t>Fairmont Tech Service</t>
  </si>
  <si>
    <t>Fairmont Training Center</t>
  </si>
  <si>
    <t>Franklin Service Center</t>
  </si>
  <si>
    <t>Gassaway Service Center</t>
  </si>
  <si>
    <t>Glenville Service Center</t>
  </si>
  <si>
    <t>Harrisville Service Center</t>
  </si>
  <si>
    <t>Hinton WVP</t>
  </si>
  <si>
    <t>Kingwood Service Center</t>
  </si>
  <si>
    <t>Marlington Service Center</t>
  </si>
  <si>
    <t>Morgantown Service Center</t>
  </si>
  <si>
    <t>Parkersburg Service Center</t>
  </si>
  <si>
    <t>Parkersburg - Robinson Bldg</t>
  </si>
  <si>
    <t>Sisterville Service Center</t>
  </si>
  <si>
    <t>Spencer Service Center</t>
  </si>
  <si>
    <t>Sutton</t>
  </si>
  <si>
    <t>Weirton Service Center</t>
  </si>
  <si>
    <t>Weston-Buckannon Serv. Ctr.</t>
  </si>
  <si>
    <t>White Happ Service Center</t>
  </si>
  <si>
    <t>Fairlea</t>
  </si>
  <si>
    <t>Morgantown</t>
  </si>
  <si>
    <t>Parkersburg</t>
  </si>
  <si>
    <t>Robinson Building</t>
  </si>
  <si>
    <t>Summersville</t>
  </si>
  <si>
    <t>Webster</t>
  </si>
  <si>
    <t>Weirton</t>
  </si>
  <si>
    <r>
      <t>Calculates using a 13-month average balance. The Capitalization ratio for a capital component is the ratio of that component's capitalization to total company capitalization, subject to a total equity ceiling (</t>
    </r>
    <r>
      <rPr>
        <i/>
        <sz val="12"/>
        <rFont val="Times New Roman"/>
        <family val="1"/>
      </rPr>
      <t>i.e.</t>
    </r>
    <r>
      <rPr>
        <sz val="12"/>
        <rFont val="Times New Roman"/>
        <family val="1"/>
      </rPr>
      <t>, preferred and common equity) of 56%</t>
    </r>
  </si>
  <si>
    <t>Actual equity capitalization:</t>
  </si>
  <si>
    <t>Account 303 amortization period is 7 years.  Depreciation/amortization rates listed as agreed to as part of the settlement of Docket No. ER21-253 for transmission formula rate purposes.</t>
  </si>
  <si>
    <t>For the 12 months ended 12/31/2022</t>
  </si>
  <si>
    <t>FICA</t>
  </si>
  <si>
    <t>Federal Unemployment Tax</t>
  </si>
  <si>
    <t>PA State Unemployment Tax</t>
  </si>
  <si>
    <t>WV Unemployment Tax</t>
  </si>
  <si>
    <t>Federal Heavy Vehicle Use</t>
  </si>
  <si>
    <t>Motor Fuel Tax</t>
  </si>
  <si>
    <t>OH Property Tax</t>
  </si>
  <si>
    <t>PA Property</t>
  </si>
  <si>
    <t>Gross Receipts Tax</t>
  </si>
  <si>
    <t>Business &amp; Occupation Tax WV</t>
  </si>
  <si>
    <t>Sales &amp; Use Tax</t>
  </si>
  <si>
    <t>Federal Excise Tax</t>
  </si>
  <si>
    <t>Prepayments</t>
  </si>
  <si>
    <t>Accumulated Provision for workers compensation</t>
  </si>
  <si>
    <t>Misc current and accrued liability - emp incentive comp award</t>
  </si>
  <si>
    <t>West Virginia</t>
  </si>
  <si>
    <t>b0577</t>
  </si>
  <si>
    <t>b2609.5</t>
  </si>
  <si>
    <t>(Page 3, Line 9 minus Page 3, Line 8 minus (SC depr expense*Page 4, Line 16))/8</t>
  </si>
  <si>
    <t>2022 Revenue Requirement Collected by PJM Based on Forecast filed on Oct 31, 2021</t>
  </si>
  <si>
    <t>Reconciliation Revenue Requirement For Year 2022 Available June 15, 2023</t>
  </si>
  <si>
    <t>Accrued Taxes: FICA on Vacation Accrual</t>
  </si>
  <si>
    <t>Accum Prov For Inj and Damage-Workers Comp</t>
  </si>
  <si>
    <t>Accum Prov: Asbestos Accrual</t>
  </si>
  <si>
    <t>Deferred Compensation Expense</t>
  </si>
  <si>
    <t>FAS 112 - Medical Benefit Accrual</t>
  </si>
  <si>
    <t>FE Service Timing Allocation</t>
  </si>
  <si>
    <t>Incentive Compensation</t>
  </si>
  <si>
    <t>NOL Deferred Tax Asset - LT WV</t>
  </si>
  <si>
    <t>Pension EDCP-SERP Payments</t>
  </si>
  <si>
    <t>Pension/OPEB : Other Def Cr. or Dr.</t>
  </si>
  <si>
    <t>Pensions Expense</t>
  </si>
  <si>
    <t>State Income Tax Deductible</t>
  </si>
  <si>
    <t>Vacation Pay Accrual</t>
  </si>
  <si>
    <t>WV STIP</t>
  </si>
  <si>
    <t>1g</t>
  </si>
  <si>
    <t>1h</t>
  </si>
  <si>
    <t>1i</t>
  </si>
  <si>
    <t>1j</t>
  </si>
  <si>
    <t>1k</t>
  </si>
  <si>
    <t>1l</t>
  </si>
  <si>
    <t>1m</t>
  </si>
  <si>
    <t>1n</t>
  </si>
  <si>
    <t>1o</t>
  </si>
  <si>
    <t>1p</t>
  </si>
  <si>
    <t>Accum Prov For Inj and Damage-Gen Liability</t>
  </si>
  <si>
    <t>Deferred Charge-EIB</t>
  </si>
  <si>
    <t>SC01 Timing Allocation</t>
  </si>
  <si>
    <t>Storm Damage</t>
  </si>
  <si>
    <t>Vegetation Management</t>
  </si>
  <si>
    <t>3e</t>
  </si>
  <si>
    <t>N &amp; P</t>
  </si>
  <si>
    <t>Capitalized Interest</t>
  </si>
  <si>
    <t>Cost of Removal</t>
  </si>
  <si>
    <t>Accrued Taxes</t>
  </si>
  <si>
    <t>Accum. Prov. For Injuries and Damages</t>
  </si>
  <si>
    <t>Employee Compensation</t>
  </si>
  <si>
    <t>FAS 123R Employee Compensation</t>
  </si>
  <si>
    <t>Federal Long Term</t>
  </si>
  <si>
    <t>Inventory</t>
  </si>
  <si>
    <t>Pension/OPEB</t>
  </si>
  <si>
    <t>Post Retirement Benefits FAS 106</t>
  </si>
  <si>
    <t>Vacation Accrual</t>
  </si>
  <si>
    <t>Property FAS 109</t>
  </si>
  <si>
    <t>A&amp;G Expenses</t>
  </si>
  <si>
    <t>Accelerated Tax Depr</t>
  </si>
  <si>
    <t>AFUDC Debt</t>
  </si>
  <si>
    <t>Capital Vertical Tree Trimming</t>
  </si>
  <si>
    <t>Capitalized Pension</t>
  </si>
  <si>
    <t>Casualty Loss</t>
  </si>
  <si>
    <t>FAS123R Items</t>
  </si>
  <si>
    <t>Highway Relocations</t>
  </si>
  <si>
    <t>Meters and Transformers</t>
  </si>
  <si>
    <t>OPEB</t>
  </si>
  <si>
    <t>Other Basis Differences</t>
  </si>
  <si>
    <t>R&amp;D Cost</t>
  </si>
  <si>
    <t>Tax Repairs</t>
  </si>
  <si>
    <t>Property FAS109</t>
  </si>
  <si>
    <t>Service Company Timing</t>
  </si>
  <si>
    <t>Property FAS109 Gross-up</t>
  </si>
  <si>
    <t>Replace Fort Martin 500 kV breaker 'FL-1'</t>
  </si>
  <si>
    <t>Terminate the Powell Mountain and Goff Run lines into the new Chloe substation and perform any associated relay upgrades or modifications required at Powell Mountain and Goff run to accommodate new substation</t>
  </si>
  <si>
    <t>5.40%, Senior Unsecured Note</t>
  </si>
  <si>
    <t>3.55%, Senior Unsecured Note</t>
  </si>
  <si>
    <t>3.23%, Senior Unsecured Note</t>
  </si>
  <si>
    <t>3.93%, Senior Unsecured Note</t>
  </si>
  <si>
    <t>WV Property Tax</t>
  </si>
  <si>
    <t>For the 12 months ended 12/31/2025</t>
  </si>
  <si>
    <t>Reconciliation Revenue Requirement For Year 2023 Available June 17, 2024</t>
  </si>
  <si>
    <t>2023 Revenue Requirement Collected by PJM Based on Forecast filed on Oct 31, 2022</t>
  </si>
  <si>
    <t>An over or under collection will be recovered prorata over 2023, held for 2024 and returned prorate over 2025</t>
  </si>
  <si>
    <t>5.85%, Senior Unsecured Note</t>
  </si>
  <si>
    <t>AMT Credit Carryforward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</si>
</sst>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
    <numFmt numFmtId="173" formatCode="_(&quot;$&quot;* #,##0_);_(&quot;$&quot;* \(#,##0\);_(&quot;$&quot;* &quot;-&quot;??_);_(@_)"/>
    <numFmt numFmtId="174" formatCode="0_);\(0\)"/>
    <numFmt numFmtId="175" formatCode="#,##0.0000000"/>
    <numFmt numFmtId="176" formatCode="_(* #,##0_);_(* \(#,##0\);_(* &quot;-&quot;??_);_(@_)"/>
    <numFmt numFmtId="177" formatCode="0.000000%"/>
    <numFmt numFmtId="178" formatCode="_(&quot;$&quot;* #,##0.0000_);_(&quot;$&quot;* \(#,##0.0000\);_(&quot;$&quot;* &quot;-&quot;??_);_(@_)"/>
    <numFmt numFmtId="179" formatCode="0.00000_);\(0.00000\)"/>
    <numFmt numFmtId="180" formatCode="0.0000%"/>
    <numFmt numFmtId="181" formatCode="_(* #,##0.0000_);_(* \(#,##0.0000\);_(* &quot;-&quot;??_);_(@_)"/>
    <numFmt numFmtId="182" formatCode="0.00000%"/>
    <numFmt numFmtId="183" formatCode="&quot;$&quot;#,##0.0000"/>
    <numFmt numFmtId="184" formatCode="_(* #,##0.00000_);_(* \(#,##0.00000\);_(* &quot;-&quot;??_);_(@_)"/>
    <numFmt numFmtId="185" formatCode="0.0000000"/>
    <numFmt numFmtId="186" formatCode="_(&quot;$&quot;* #,##0.000_);_(&quot;$&quot;* \(#,##0.000\);_(&quot;$&quot;* &quot;-&quot;_);_(@_)"/>
    <numFmt numFmtId="187" formatCode="[$-409]mmmm\ d\,\ yyyy;@"/>
    <numFmt numFmtId="188" formatCode="0.0%"/>
    <numFmt numFmtId="189" formatCode="&quot;$&quot;#,##0.0000_);[Red]\(&quot;$&quot;#,##0.0000\)"/>
    <numFmt numFmtId="190" formatCode="_(* #,##0.000_);_(* \(#,##0.000\);_(* &quot;-&quot;??_);_(@_)"/>
    <numFmt numFmtId="191" formatCode="0.0"/>
  </numFmts>
  <fonts count="189">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sz val="10"/>
      <name val="Arial MT"/>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sz val="10"/>
      <color theme="1"/>
      <name val="Arial"/>
      <family val="2"/>
    </font>
    <font>
      <b/>
      <sz val="10"/>
      <color theme="1"/>
      <name val="Arial"/>
      <family val="2"/>
    </font>
    <font>
      <i/>
      <sz val="10"/>
      <color theme="1"/>
      <name val="Arial"/>
      <family val="2"/>
    </font>
    <font>
      <sz val="12"/>
      <color rgb="FFFF0000"/>
      <name val="Calibri"/>
      <family val="2"/>
      <scheme val="minor"/>
    </font>
    <font>
      <u/>
      <sz val="12"/>
      <name val="Calibri"/>
      <family val="2"/>
      <scheme val="minor"/>
    </font>
    <font>
      <u val="singleAccounting"/>
      <sz val="12"/>
      <name val="Calibri"/>
      <family val="2"/>
      <scheme val="minor"/>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b/>
      <sz val="12"/>
      <color indexed="13"/>
      <name val="Helv"/>
    </font>
    <font>
      <b/>
      <sz val="12"/>
      <name val="Helv"/>
    </font>
    <font>
      <sz val="12"/>
      <color indexed="12"/>
      <name val="Helv"/>
    </font>
    <font>
      <sz val="12"/>
      <name val="Helv"/>
    </font>
    <font>
      <b/>
      <u/>
      <sz val="10"/>
      <name val="Arial"/>
      <family val="2"/>
    </font>
    <font>
      <sz val="10"/>
      <color indexed="12"/>
      <name val="Arial"/>
      <family val="2"/>
    </font>
    <font>
      <sz val="14"/>
      <name val="Arial"/>
      <family val="2"/>
    </font>
    <font>
      <b/>
      <sz val="10"/>
      <name val="Arial Narrow"/>
      <family val="2"/>
    </font>
    <font>
      <sz val="10"/>
      <color indexed="10"/>
      <name val="Arial"/>
      <family val="2"/>
    </font>
    <font>
      <b/>
      <sz val="10"/>
      <color indexed="10"/>
      <name val="Arial Narrow"/>
      <family val="2"/>
    </font>
    <font>
      <b/>
      <sz val="10"/>
      <color indexed="10"/>
      <name val="Helv"/>
    </font>
    <font>
      <sz val="10"/>
      <color indexed="48"/>
      <name val="Arial"/>
      <family val="2"/>
    </font>
    <font>
      <sz val="10"/>
      <color rgb="FFFF0000"/>
      <name val="Arial"/>
      <family val="2"/>
    </font>
    <font>
      <u/>
      <sz val="12"/>
      <name val="Arial"/>
      <family val="2"/>
    </font>
    <font>
      <u val="singleAccounting"/>
      <sz val="10"/>
      <name val="Arial"/>
      <family val="2"/>
    </font>
    <font>
      <sz val="10"/>
      <name val="Arial"/>
      <family val="2"/>
    </font>
    <font>
      <b/>
      <u/>
      <sz val="12"/>
      <name val="Arial"/>
      <family val="2"/>
    </font>
    <font>
      <b/>
      <sz val="11"/>
      <color theme="1"/>
      <name val="Calibri"/>
      <family val="2"/>
      <scheme val="minor"/>
    </font>
    <font>
      <sz val="12"/>
      <color indexed="10"/>
      <name val="Arial"/>
      <family val="2"/>
    </font>
    <font>
      <sz val="11"/>
      <color theme="1"/>
      <name val="Calibri"/>
      <family val="2"/>
    </font>
    <font>
      <u/>
      <sz val="10"/>
      <color theme="1"/>
      <name val="Arial"/>
      <family val="2"/>
    </font>
    <font>
      <sz val="12"/>
      <color indexed="56"/>
      <name val="Arial"/>
      <family val="2"/>
    </font>
    <font>
      <strike/>
      <vertAlign val="superscript"/>
      <sz val="12"/>
      <name val="Arial"/>
      <family val="2"/>
    </font>
    <font>
      <vertAlign val="subscript"/>
      <sz val="10"/>
      <name val="Arial"/>
      <family val="2"/>
    </font>
    <font>
      <sz val="12"/>
      <name val="Times New Roman"/>
      <family val="1"/>
    </font>
    <font>
      <b/>
      <sz val="12"/>
      <name val="Times New Roman"/>
      <family val="1"/>
    </font>
    <font>
      <strike/>
      <sz val="12"/>
      <name val="Times New Roman"/>
      <family val="1"/>
    </font>
    <font>
      <sz val="10"/>
      <name val="Times New Roman"/>
      <family val="1"/>
    </font>
    <font>
      <b/>
      <sz val="10"/>
      <name val="Times New Roman"/>
      <family val="1"/>
    </font>
    <font>
      <sz val="10"/>
      <name val="Arial MT"/>
    </font>
    <font>
      <strike/>
      <sz val="10"/>
      <name val="Arial MT"/>
    </font>
    <font>
      <sz val="12"/>
      <color rgb="FFFF0000"/>
      <name val="Times New Roman"/>
      <family val="1"/>
    </font>
    <font>
      <sz val="11"/>
      <name val="Calibri"/>
      <family val="2"/>
      <scheme val="minor"/>
    </font>
    <font>
      <b/>
      <sz val="12"/>
      <name val="Arial MT"/>
    </font>
    <font>
      <u/>
      <sz val="10"/>
      <name val="Arial"/>
      <family val="2"/>
    </font>
    <font>
      <b/>
      <u/>
      <sz val="12"/>
      <name val="Times New Roman"/>
      <family val="1"/>
    </font>
    <font>
      <b/>
      <sz val="10"/>
      <color rgb="FFFF0000"/>
      <name val="Arial"/>
      <family val="2"/>
    </font>
    <font>
      <b/>
      <sz val="10"/>
      <color indexed="10"/>
      <name val="Times New Roman"/>
      <family val="1"/>
    </font>
    <font>
      <b/>
      <sz val="12"/>
      <color rgb="FF0070C0"/>
      <name val="Times New Roman"/>
      <family val="1"/>
    </font>
    <font>
      <sz val="10"/>
      <color theme="1"/>
      <name val="Courier New"/>
      <family val="2"/>
    </font>
    <font>
      <b/>
      <u/>
      <sz val="12"/>
      <color theme="1"/>
      <name val="Times New Roman"/>
      <family val="1"/>
    </font>
    <font>
      <sz val="12"/>
      <color theme="1"/>
      <name val="Times New Roman"/>
      <family val="1"/>
    </font>
    <font>
      <strike/>
      <sz val="12"/>
      <name val="Arial"/>
      <family val="2"/>
    </font>
    <font>
      <b/>
      <sz val="12"/>
      <color theme="1"/>
      <name val="Calibri"/>
      <family val="2"/>
      <scheme val="minor"/>
    </font>
    <font>
      <sz val="10"/>
      <color theme="1"/>
      <name val="Calibri"/>
      <family val="2"/>
      <scheme val="minor"/>
    </font>
    <font>
      <sz val="12"/>
      <color theme="1"/>
      <name val="Calibri"/>
      <family val="2"/>
      <scheme val="minor"/>
    </font>
    <font>
      <u/>
      <sz val="10"/>
      <color theme="1"/>
      <name val="Calibri"/>
      <family val="2"/>
      <scheme val="minor"/>
    </font>
    <font>
      <sz val="10"/>
      <color rgb="FFFF0000"/>
      <name val="Calibri"/>
      <family val="2"/>
      <scheme val="minor"/>
    </font>
    <font>
      <b/>
      <sz val="10"/>
      <color theme="1"/>
      <name val="Calibri"/>
      <family val="2"/>
      <scheme val="minor"/>
    </font>
    <font>
      <b/>
      <sz val="12"/>
      <name val="Courier New"/>
      <family val="3"/>
    </font>
    <font>
      <sz val="12"/>
      <name val="Calibri"/>
      <family val="2"/>
    </font>
    <font>
      <b/>
      <strike/>
      <sz val="12"/>
      <name val="Arial"/>
      <family val="2"/>
    </font>
    <font>
      <sz val="12"/>
      <color theme="1"/>
      <name val="Calibri Light"/>
      <family val="2"/>
    </font>
    <font>
      <sz val="8"/>
      <name val="Segoe UI"/>
      <family val="2"/>
    </font>
    <font>
      <b/>
      <sz val="14"/>
      <name val="Times New Roman"/>
      <family val="1"/>
    </font>
    <font>
      <sz val="14"/>
      <name val="Calibri"/>
      <family val="2"/>
      <scheme val="minor"/>
    </font>
    <font>
      <b/>
      <sz val="14"/>
      <name val="Calibri"/>
      <family val="2"/>
      <scheme val="minor"/>
    </font>
    <font>
      <b/>
      <u/>
      <sz val="12"/>
      <name val="Calibri"/>
      <family val="2"/>
      <scheme val="minor"/>
    </font>
    <font>
      <b/>
      <sz val="12"/>
      <color rgb="FF0070C0"/>
      <name val="Calibri"/>
      <family val="2"/>
      <scheme val="minor"/>
    </font>
    <font>
      <sz val="12"/>
      <color theme="1"/>
      <name val="Arial Narrow"/>
      <family val="2"/>
    </font>
    <font>
      <sz val="12"/>
      <color theme="1"/>
      <name val="Arial"/>
      <family val="2"/>
    </font>
    <font>
      <i/>
      <sz val="12"/>
      <name val="Times New Roman"/>
      <family val="1"/>
    </font>
    <font>
      <sz val="11"/>
      <color rgb="FF2F5496"/>
      <name val="Times New Roman"/>
      <family val="1"/>
    </font>
    <font>
      <b/>
      <sz val="10"/>
      <name val="MS Sans Serif"/>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2"/>
      <color theme="1"/>
      <name val="Times New Roman"/>
      <family val="1"/>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1"/>
      <color indexed="8"/>
      <name val="Calibri"/>
      <family val="2"/>
    </font>
    <font>
      <b/>
      <sz val="15"/>
      <color indexed="62"/>
      <name val="Calibri"/>
      <family val="2"/>
    </font>
    <font>
      <b/>
      <sz val="13"/>
      <color indexed="62"/>
      <name val="Calibri"/>
      <family val="2"/>
    </font>
    <font>
      <sz val="11"/>
      <color indexed="48"/>
      <name val="Calibri"/>
      <family val="2"/>
    </font>
    <font>
      <sz val="11"/>
      <color indexed="14"/>
      <name val="Calibri"/>
      <family val="2"/>
    </font>
    <font>
      <sz val="8"/>
      <color indexed="62"/>
      <name val="Arial"/>
      <family val="2"/>
    </font>
  </fonts>
  <fills count="9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theme="5" tint="0.79998168889431442"/>
        <bgColor indexed="64"/>
      </patternFill>
    </fill>
    <fill>
      <patternFill patternType="solid">
        <fgColor theme="1"/>
        <bgColor indexed="64"/>
      </patternFill>
    </fill>
    <fill>
      <patternFill patternType="solid">
        <fgColor indexed="8"/>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1"/>
        <bgColor indexed="11"/>
      </patternFill>
    </fill>
    <fill>
      <patternFill patternType="solid">
        <fgColor indexed="9"/>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64"/>
      </patternFill>
    </fill>
    <fill>
      <patternFill patternType="solid">
        <fgColor indexed="12"/>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s>
  <borders count="6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18"/>
      </left>
      <right style="thin">
        <color indexed="18"/>
      </right>
      <top style="thin">
        <color indexed="18"/>
      </top>
      <bottom style="thin">
        <color indexed="1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auto="1"/>
      </top>
      <bottom style="double">
        <color indexed="64"/>
      </bottom>
      <diagonal/>
    </border>
    <border>
      <left/>
      <right style="thin">
        <color indexed="64"/>
      </right>
      <top style="thin">
        <color indexed="64"/>
      </top>
      <bottom/>
      <diagonal/>
    </border>
  </borders>
  <cellStyleXfs count="647">
    <xf numFmtId="172" fontId="0" fillId="0" borderId="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4" borderId="0" applyNumberFormat="0" applyBorder="0" applyAlignment="0" applyProtection="0"/>
    <xf numFmtId="0" fontId="58" fillId="6" borderId="0" applyNumberFormat="0" applyBorder="0" applyAlignment="0" applyProtection="0"/>
    <xf numFmtId="0" fontId="58" fillId="3"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6" borderId="0" applyNumberFormat="0" applyBorder="0" applyAlignment="0" applyProtection="0"/>
    <xf numFmtId="0" fontId="58" fillId="4" borderId="0" applyNumberFormat="0" applyBorder="0" applyAlignment="0" applyProtection="0"/>
    <xf numFmtId="0" fontId="59" fillId="6"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8" borderId="0" applyNumberFormat="0" applyBorder="0" applyAlignment="0" applyProtection="0"/>
    <xf numFmtId="0" fontId="59" fillId="6" borderId="0" applyNumberFormat="0" applyBorder="0" applyAlignment="0" applyProtection="0"/>
    <xf numFmtId="0" fontId="59" fillId="3" borderId="0" applyNumberFormat="0" applyBorder="0" applyAlignment="0" applyProtection="0"/>
    <xf numFmtId="0" fontId="59" fillId="11"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2"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60" fillId="15" borderId="0" applyNumberFormat="0" applyBorder="0" applyAlignment="0" applyProtection="0"/>
    <xf numFmtId="172" fontId="21" fillId="0" borderId="0" applyFill="0"/>
    <xf numFmtId="172" fontId="21" fillId="0" borderId="0">
      <alignment horizontal="center"/>
    </xf>
    <xf numFmtId="0" fontId="21" fillId="0" borderId="0" applyFill="0">
      <alignment horizontal="center"/>
    </xf>
    <xf numFmtId="172" fontId="22" fillId="0" borderId="1" applyFill="0"/>
    <xf numFmtId="0" fontId="23" fillId="0" borderId="0" applyFont="0" applyAlignment="0"/>
    <xf numFmtId="0" fontId="24" fillId="0" borderId="0" applyFill="0">
      <alignment vertical="top"/>
    </xf>
    <xf numFmtId="0" fontId="22" fillId="0" borderId="0" applyFill="0">
      <alignment horizontal="left" vertical="top"/>
    </xf>
    <xf numFmtId="172" fontId="25" fillId="0" borderId="2" applyFill="0"/>
    <xf numFmtId="0" fontId="23" fillId="0" borderId="0" applyNumberFormat="0" applyFont="0" applyAlignment="0"/>
    <xf numFmtId="0" fontId="24" fillId="0" borderId="0" applyFill="0">
      <alignment wrapText="1"/>
    </xf>
    <xf numFmtId="0" fontId="22" fillId="0" borderId="0" applyFill="0">
      <alignment horizontal="left" vertical="top" wrapText="1"/>
    </xf>
    <xf numFmtId="172" fontId="26" fillId="0" borderId="0" applyFill="0"/>
    <xf numFmtId="0" fontId="27" fillId="0" borderId="0" applyNumberFormat="0" applyFont="0" applyAlignment="0">
      <alignment horizontal="center"/>
    </xf>
    <xf numFmtId="0" fontId="28" fillId="0" borderId="0" applyFill="0">
      <alignment vertical="top" wrapText="1"/>
    </xf>
    <xf numFmtId="0" fontId="25" fillId="0" borderId="0" applyFill="0">
      <alignment horizontal="left" vertical="top" wrapText="1"/>
    </xf>
    <xf numFmtId="172" fontId="23" fillId="0" borderId="0" applyFill="0"/>
    <xf numFmtId="0" fontId="27" fillId="0" borderId="0" applyNumberFormat="0" applyFont="0" applyAlignment="0">
      <alignment horizontal="center"/>
    </xf>
    <xf numFmtId="0" fontId="29" fillId="0" borderId="0" applyFill="0">
      <alignment vertical="center" wrapText="1"/>
    </xf>
    <xf numFmtId="0" fontId="30" fillId="0" borderId="0">
      <alignment horizontal="left" vertical="center" wrapText="1"/>
    </xf>
    <xf numFmtId="172" fontId="31" fillId="0" borderId="0" applyFill="0"/>
    <xf numFmtId="0" fontId="27" fillId="0" borderId="0" applyNumberFormat="0" applyFont="0" applyAlignment="0">
      <alignment horizontal="center"/>
    </xf>
    <xf numFmtId="0" fontId="32" fillId="0" borderId="0" applyFill="0">
      <alignment horizontal="center" vertical="center" wrapText="1"/>
    </xf>
    <xf numFmtId="0" fontId="33" fillId="0" borderId="0" applyFill="0">
      <alignment horizontal="center" vertical="center" wrapText="1"/>
    </xf>
    <xf numFmtId="172" fontId="34" fillId="0" borderId="0" applyFill="0"/>
    <xf numFmtId="0" fontId="27" fillId="0" borderId="0" applyNumberFormat="0" applyFont="0" applyAlignment="0">
      <alignment horizontal="center"/>
    </xf>
    <xf numFmtId="0" fontId="35" fillId="0" borderId="0" applyFill="0">
      <alignment horizontal="center" vertical="center" wrapText="1"/>
    </xf>
    <xf numFmtId="0" fontId="36" fillId="0" borderId="0" applyFill="0">
      <alignment horizontal="center" vertical="center" wrapText="1"/>
    </xf>
    <xf numFmtId="172" fontId="37" fillId="0" borderId="0" applyFill="0"/>
    <xf numFmtId="0" fontId="27" fillId="0" borderId="0" applyNumberFormat="0" applyFont="0" applyAlignment="0">
      <alignment horizontal="center"/>
    </xf>
    <xf numFmtId="0" fontId="38" fillId="0" borderId="0">
      <alignment horizontal="center" wrapText="1"/>
    </xf>
    <xf numFmtId="0" fontId="34" fillId="0" borderId="0" applyFill="0">
      <alignment horizontal="center" wrapText="1"/>
    </xf>
    <xf numFmtId="0" fontId="61" fillId="16" borderId="3" applyNumberFormat="0" applyAlignment="0" applyProtection="0"/>
    <xf numFmtId="0" fontId="62" fillId="17" borderId="4" applyNumberFormat="0" applyAlignment="0" applyProtection="0"/>
    <xf numFmtId="43" fontId="23" fillId="0" borderId="0" applyFont="0" applyFill="0" applyBorder="0" applyAlignment="0" applyProtection="0"/>
    <xf numFmtId="43" fontId="71" fillId="0" borderId="0" applyFont="0" applyFill="0" applyBorder="0" applyAlignment="0" applyProtection="0"/>
    <xf numFmtId="43" fontId="33" fillId="0" borderId="0" applyFont="0" applyFill="0" applyBorder="0" applyAlignment="0" applyProtection="0"/>
    <xf numFmtId="3" fontId="23" fillId="0" borderId="0" applyFont="0" applyFill="0" applyBorder="0" applyAlignment="0" applyProtection="0"/>
    <xf numFmtId="44" fontId="23" fillId="0" borderId="0" applyFont="0" applyFill="0" applyBorder="0" applyAlignment="0" applyProtection="0"/>
    <xf numFmtId="5" fontId="23" fillId="0" borderId="0" applyFont="0" applyFill="0" applyBorder="0" applyAlignment="0" applyProtection="0"/>
    <xf numFmtId="14" fontId="23" fillId="0" borderId="0" applyFont="0" applyFill="0" applyBorder="0" applyAlignment="0" applyProtection="0"/>
    <xf numFmtId="0" fontId="64" fillId="0" borderId="0" applyNumberFormat="0" applyFill="0" applyBorder="0" applyAlignment="0" applyProtection="0"/>
    <xf numFmtId="2" fontId="23" fillId="0" borderId="0" applyFont="0" applyFill="0" applyBorder="0" applyAlignment="0" applyProtection="0"/>
    <xf numFmtId="0" fontId="65" fillId="6" borderId="0" applyNumberFormat="0" applyBorder="0" applyAlignment="0" applyProtection="0"/>
    <xf numFmtId="0" fontId="39" fillId="0" borderId="0" applyFont="0" applyFill="0" applyBorder="0" applyAlignment="0" applyProtection="0"/>
    <xf numFmtId="0" fontId="40" fillId="0" borderId="0" applyFont="0" applyFill="0" applyBorder="0" applyAlignment="0" applyProtection="0"/>
    <xf numFmtId="0" fontId="66" fillId="0" borderId="5" applyNumberFormat="0" applyFill="0" applyAlignment="0" applyProtection="0"/>
    <xf numFmtId="0" fontId="66" fillId="0" borderId="0" applyNumberFormat="0" applyFill="0" applyBorder="0" applyAlignment="0" applyProtection="0"/>
    <xf numFmtId="0" fontId="41" fillId="0" borderId="6"/>
    <xf numFmtId="0" fontId="42" fillId="0" borderId="0"/>
    <xf numFmtId="0" fontId="67" fillId="7" borderId="3" applyNumberFormat="0" applyAlignment="0" applyProtection="0"/>
    <xf numFmtId="0" fontId="68" fillId="0" borderId="7" applyNumberFormat="0" applyFill="0" applyAlignment="0" applyProtection="0"/>
    <xf numFmtId="0" fontId="69" fillId="7" borderId="0" applyNumberFormat="0" applyBorder="0" applyAlignment="0" applyProtection="0"/>
    <xf numFmtId="0" fontId="73" fillId="0" borderId="0">
      <alignment vertical="top"/>
    </xf>
    <xf numFmtId="0" fontId="33" fillId="0" borderId="0"/>
    <xf numFmtId="0" fontId="33" fillId="0" borderId="0"/>
    <xf numFmtId="0" fontId="33" fillId="0" borderId="0"/>
    <xf numFmtId="0" fontId="23" fillId="0" borderId="0"/>
    <xf numFmtId="0" fontId="63" fillId="4" borderId="8" applyNumberFormat="0" applyFont="0" applyAlignment="0" applyProtection="0"/>
    <xf numFmtId="0" fontId="70" fillId="16" borderId="9" applyNumberFormat="0" applyAlignment="0" applyProtection="0"/>
    <xf numFmtId="9" fontId="23" fillId="0" borderId="0" applyFont="0" applyFill="0" applyBorder="0" applyAlignment="0" applyProtection="0"/>
    <xf numFmtId="9" fontId="33" fillId="0" borderId="0" applyFont="0" applyFill="0" applyBorder="0" applyAlignment="0" applyProtection="0"/>
    <xf numFmtId="0" fontId="43" fillId="0" borderId="0" applyNumberFormat="0" applyFont="0" applyFill="0" applyBorder="0" applyAlignment="0" applyProtection="0">
      <alignment horizontal="left"/>
    </xf>
    <xf numFmtId="15" fontId="43" fillId="0" borderId="0" applyFont="0" applyFill="0" applyBorder="0" applyAlignment="0" applyProtection="0"/>
    <xf numFmtId="4" fontId="43" fillId="0" borderId="0" applyFont="0" applyFill="0" applyBorder="0" applyAlignment="0" applyProtection="0"/>
    <xf numFmtId="3" fontId="23" fillId="0" borderId="0">
      <alignment horizontal="left" vertical="top"/>
    </xf>
    <xf numFmtId="0" fontId="44" fillId="0" borderId="6">
      <alignment horizontal="center"/>
    </xf>
    <xf numFmtId="3" fontId="43" fillId="0" borderId="0" applyFont="0" applyFill="0" applyBorder="0" applyAlignment="0" applyProtection="0"/>
    <xf numFmtId="0" fontId="43" fillId="18" borderId="0" applyNumberFormat="0" applyFont="0" applyBorder="0" applyAlignment="0" applyProtection="0"/>
    <xf numFmtId="3" fontId="23" fillId="0" borderId="0">
      <alignment horizontal="right" vertical="top"/>
    </xf>
    <xf numFmtId="41" fontId="30" fillId="19" borderId="10" applyFill="0"/>
    <xf numFmtId="0" fontId="45" fillId="0" borderId="0">
      <alignment horizontal="left" indent="7"/>
    </xf>
    <xf numFmtId="41" fontId="30" fillId="0" borderId="10" applyFill="0">
      <alignment horizontal="left" indent="2"/>
    </xf>
    <xf numFmtId="172" fontId="46" fillId="0" borderId="11" applyFill="0">
      <alignment horizontal="right"/>
    </xf>
    <xf numFmtId="0" fontId="47" fillId="0" borderId="12" applyNumberFormat="0" applyFont="0" applyBorder="0">
      <alignment horizontal="right"/>
    </xf>
    <xf numFmtId="0" fontId="48" fillId="0" borderId="0" applyFill="0"/>
    <xf numFmtId="0" fontId="25" fillId="0" borderId="0" applyFill="0"/>
    <xf numFmtId="4" fontId="46" fillId="0" borderId="11" applyFill="0"/>
    <xf numFmtId="0" fontId="23" fillId="0" borderId="0" applyNumberFormat="0" applyFont="0" applyBorder="0" applyAlignment="0"/>
    <xf numFmtId="0" fontId="28" fillId="0" borderId="0" applyFill="0">
      <alignment horizontal="left" indent="1"/>
    </xf>
    <xf numFmtId="0" fontId="49" fillId="0" borderId="0" applyFill="0">
      <alignment horizontal="left" indent="1"/>
    </xf>
    <xf numFmtId="4" fontId="31" fillId="0" borderId="0" applyFill="0"/>
    <xf numFmtId="0" fontId="23" fillId="0" borderId="0" applyNumberFormat="0" applyFont="0" applyFill="0" applyBorder="0" applyAlignment="0"/>
    <xf numFmtId="0" fontId="28" fillId="0" borderId="0" applyFill="0">
      <alignment horizontal="left" indent="2"/>
    </xf>
    <xf numFmtId="0" fontId="25" fillId="0" borderId="0" applyFill="0">
      <alignment horizontal="left" indent="2"/>
    </xf>
    <xf numFmtId="4" fontId="31" fillId="0" borderId="0" applyFill="0"/>
    <xf numFmtId="0" fontId="23" fillId="0" borderId="0" applyNumberFormat="0" applyFont="0" applyBorder="0" applyAlignment="0"/>
    <xf numFmtId="0" fontId="50" fillId="0" borderId="0">
      <alignment horizontal="left" indent="3"/>
    </xf>
    <xf numFmtId="0" fontId="51" fillId="0" borderId="0" applyFill="0">
      <alignment horizontal="left" indent="3"/>
    </xf>
    <xf numFmtId="4" fontId="31" fillId="0" borderId="0" applyFill="0"/>
    <xf numFmtId="0" fontId="23" fillId="0" borderId="0" applyNumberFormat="0" applyFont="0" applyBorder="0" applyAlignment="0"/>
    <xf numFmtId="0" fontId="32" fillId="0" borderId="0">
      <alignment horizontal="left" indent="4"/>
    </xf>
    <xf numFmtId="0" fontId="33" fillId="0" borderId="0" applyFill="0">
      <alignment horizontal="left" indent="4"/>
    </xf>
    <xf numFmtId="4" fontId="34" fillId="0" borderId="0" applyFill="0"/>
    <xf numFmtId="0" fontId="23" fillId="0" borderId="0" applyNumberFormat="0" applyFont="0" applyBorder="0" applyAlignment="0"/>
    <xf numFmtId="0" fontId="35" fillId="0" borderId="0">
      <alignment horizontal="left" indent="5"/>
    </xf>
    <xf numFmtId="0" fontId="36" fillId="0" borderId="0" applyFill="0">
      <alignment horizontal="left" indent="5"/>
    </xf>
    <xf numFmtId="4" fontId="37" fillId="0" borderId="0" applyFill="0"/>
    <xf numFmtId="0" fontId="23" fillId="0" borderId="0" applyNumberFormat="0" applyFont="0" applyFill="0" applyBorder="0" applyAlignment="0"/>
    <xf numFmtId="0" fontId="38" fillId="0" borderId="0" applyFill="0">
      <alignment horizontal="left" indent="6"/>
    </xf>
    <xf numFmtId="0" fontId="34" fillId="0" borderId="0" applyFill="0">
      <alignment horizontal="left" indent="6"/>
    </xf>
    <xf numFmtId="0" fontId="72" fillId="0" borderId="0" applyNumberFormat="0" applyFill="0" applyBorder="0" applyAlignment="0" applyProtection="0"/>
    <xf numFmtId="0" fontId="23" fillId="0" borderId="0" applyFont="0" applyFill="0" applyBorder="0" applyAlignment="0" applyProtection="0"/>
    <xf numFmtId="0" fontId="68" fillId="0" borderId="0" applyNumberFormat="0" applyFill="0" applyBorder="0" applyAlignment="0" applyProtection="0"/>
    <xf numFmtId="0" fontId="20" fillId="0" borderId="0"/>
    <xf numFmtId="9" fontId="20" fillId="0" borderId="0" applyFont="0" applyFill="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63" fillId="0" borderId="0" applyProtection="0"/>
    <xf numFmtId="43" fontId="23" fillId="0" borderId="0" applyFont="0" applyFill="0" applyBorder="0" applyAlignment="0" applyProtection="0"/>
    <xf numFmtId="0" fontId="110" fillId="0" borderId="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172" fontId="63" fillId="0" borderId="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18" fillId="0" borderId="0"/>
    <xf numFmtId="43" fontId="18" fillId="0" borderId="0" applyFont="0" applyFill="0" applyBorder="0" applyAlignment="0" applyProtection="0"/>
    <xf numFmtId="0" fontId="114" fillId="0" borderId="0"/>
    <xf numFmtId="43" fontId="114" fillId="0" borderId="0" applyFont="0" applyFill="0" applyBorder="0" applyAlignment="0" applyProtection="0"/>
    <xf numFmtId="0" fontId="23" fillId="0" borderId="0"/>
    <xf numFmtId="9" fontId="63" fillId="0" borderId="0" applyFont="0" applyFill="0" applyBorder="0" applyAlignment="0" applyProtection="0"/>
    <xf numFmtId="0" fontId="17" fillId="0" borderId="0"/>
    <xf numFmtId="43" fontId="17" fillId="0" borderId="0" applyFont="0" applyFill="0" applyBorder="0" applyAlignment="0" applyProtection="0"/>
    <xf numFmtId="0" fontId="23" fillId="0" borderId="0"/>
    <xf numFmtId="43" fontId="12" fillId="0" borderId="0" applyFont="0" applyFill="0" applyBorder="0" applyAlignment="0" applyProtection="0"/>
    <xf numFmtId="0" fontId="23" fillId="0" borderId="0"/>
    <xf numFmtId="0" fontId="134" fillId="0" borderId="0"/>
    <xf numFmtId="43" fontId="134" fillId="0" borderId="0" applyFont="0" applyFill="0" applyBorder="0" applyAlignment="0" applyProtection="0"/>
    <xf numFmtId="41" fontId="11" fillId="0" borderId="0" applyFont="0" applyFill="0" applyBorder="0" applyAlignment="0" applyProtection="0"/>
    <xf numFmtId="0" fontId="9" fillId="0" borderId="0"/>
    <xf numFmtId="172" fontId="25" fillId="0" borderId="32" applyFill="0"/>
    <xf numFmtId="0" fontId="23" fillId="0" borderId="0" applyFill="0">
      <alignment horizontal="center" vertical="center" wrapText="1"/>
    </xf>
    <xf numFmtId="43" fontId="23" fillId="0" borderId="0" applyFont="0" applyFill="0" applyBorder="0" applyAlignment="0" applyProtection="0"/>
    <xf numFmtId="0" fontId="25" fillId="0" borderId="0" applyFont="0" applyFill="0" applyBorder="0" applyAlignment="0" applyProtection="0"/>
    <xf numFmtId="0" fontId="23" fillId="0" borderId="0"/>
    <xf numFmtId="0" fontId="23" fillId="0" borderId="0"/>
    <xf numFmtId="0" fontId="23" fillId="0" borderId="0"/>
    <xf numFmtId="0" fontId="23" fillId="0" borderId="0" applyFill="0">
      <alignment horizontal="left" indent="4"/>
    </xf>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23" fillId="0" borderId="0" applyFont="0" applyFill="0" applyBorder="0" applyAlignment="0" applyProtection="0"/>
    <xf numFmtId="4" fontId="21" fillId="0" borderId="42" applyNumberFormat="0" applyProtection="0">
      <alignment horizontal="right" vertical="center"/>
    </xf>
    <xf numFmtId="4" fontId="21" fillId="13" borderId="42" applyNumberFormat="0" applyProtection="0">
      <alignment horizontal="left" vertical="center" indent="1"/>
    </xf>
    <xf numFmtId="4" fontId="21" fillId="7" borderId="42" applyNumberFormat="0" applyProtection="0">
      <alignment vertical="center"/>
    </xf>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23" fillId="0" borderId="0" applyFill="0">
      <alignment horizontal="center" vertical="center" wrapText="1"/>
    </xf>
    <xf numFmtId="43" fontId="23" fillId="0" borderId="0" applyFont="0" applyFill="0" applyBorder="0" applyAlignment="0" applyProtection="0"/>
    <xf numFmtId="0" fontId="25" fillId="0" borderId="0" applyFont="0" applyFill="0" applyBorder="0" applyAlignment="0" applyProtection="0"/>
    <xf numFmtId="0" fontId="23" fillId="0" borderId="0"/>
    <xf numFmtId="0" fontId="23" fillId="0" borderId="0"/>
    <xf numFmtId="0" fontId="23" fillId="0" borderId="0"/>
    <xf numFmtId="0" fontId="71" fillId="0" borderId="0" applyNumberFormat="0" applyFont="0" applyFill="0" applyBorder="0" applyAlignment="0" applyProtection="0">
      <alignment horizontal="left"/>
    </xf>
    <xf numFmtId="15" fontId="71" fillId="0" borderId="0" applyFont="0" applyFill="0" applyBorder="0" applyAlignment="0" applyProtection="0"/>
    <xf numFmtId="4" fontId="71" fillId="0" borderId="0" applyFont="0" applyFill="0" applyBorder="0" applyAlignment="0" applyProtection="0"/>
    <xf numFmtId="0" fontId="158" fillId="0" borderId="6">
      <alignment horizontal="center"/>
    </xf>
    <xf numFmtId="3" fontId="71" fillId="0" borderId="0" applyFont="0" applyFill="0" applyBorder="0" applyAlignment="0" applyProtection="0"/>
    <xf numFmtId="0" fontId="71" fillId="18" borderId="0" applyNumberFormat="0" applyFont="0" applyBorder="0" applyAlignment="0" applyProtection="0"/>
    <xf numFmtId="0" fontId="23" fillId="0" borderId="0" applyFill="0">
      <alignment horizontal="left" indent="4"/>
    </xf>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23" fillId="0" borderId="0"/>
    <xf numFmtId="0" fontId="159" fillId="0" borderId="0" applyNumberFormat="0" applyFill="0" applyBorder="0" applyAlignment="0" applyProtection="0"/>
    <xf numFmtId="0" fontId="160" fillId="0" borderId="43" applyNumberFormat="0" applyFill="0" applyAlignment="0" applyProtection="0"/>
    <xf numFmtId="0" fontId="161" fillId="0" borderId="44" applyNumberFormat="0" applyFill="0" applyAlignment="0" applyProtection="0"/>
    <xf numFmtId="0" fontId="162" fillId="0" borderId="45" applyNumberFormat="0" applyFill="0" applyAlignment="0" applyProtection="0"/>
    <xf numFmtId="0" fontId="162" fillId="0" borderId="0" applyNumberFormat="0" applyFill="0" applyBorder="0" applyAlignment="0" applyProtection="0"/>
    <xf numFmtId="0" fontId="163" fillId="24" borderId="0" applyNumberFormat="0" applyBorder="0" applyAlignment="0" applyProtection="0"/>
    <xf numFmtId="0" fontId="164" fillId="25" borderId="0" applyNumberFormat="0" applyBorder="0" applyAlignment="0" applyProtection="0"/>
    <xf numFmtId="0" fontId="165" fillId="26" borderId="0" applyNumberFormat="0" applyBorder="0" applyAlignment="0" applyProtection="0"/>
    <xf numFmtId="0" fontId="166" fillId="27" borderId="46" applyNumberFormat="0" applyAlignment="0" applyProtection="0"/>
    <xf numFmtId="0" fontId="167" fillId="28" borderId="47" applyNumberFormat="0" applyAlignment="0" applyProtection="0"/>
    <xf numFmtId="0" fontId="168" fillId="28" borderId="46" applyNumberFormat="0" applyAlignment="0" applyProtection="0"/>
    <xf numFmtId="0" fontId="169" fillId="0" borderId="48" applyNumberFormat="0" applyFill="0" applyAlignment="0" applyProtection="0"/>
    <xf numFmtId="0" fontId="170" fillId="29" borderId="49" applyNumberFormat="0" applyAlignment="0" applyProtection="0"/>
    <xf numFmtId="0" fontId="171" fillId="0" borderId="0" applyNumberFormat="0" applyFill="0" applyBorder="0" applyAlignment="0" applyProtection="0"/>
    <xf numFmtId="0" fontId="3" fillId="30" borderId="50" applyNumberFormat="0" applyFont="0" applyAlignment="0" applyProtection="0"/>
    <xf numFmtId="0" fontId="172" fillId="0" borderId="0" applyNumberFormat="0" applyFill="0" applyBorder="0" applyAlignment="0" applyProtection="0"/>
    <xf numFmtId="0" fontId="112" fillId="0" borderId="51" applyNumberFormat="0" applyFill="0" applyAlignment="0" applyProtection="0"/>
    <xf numFmtId="0" fontId="17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17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17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17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17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17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74"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0" fontId="174" fillId="0" borderId="0"/>
    <xf numFmtId="0" fontId="3" fillId="0" borderId="0"/>
    <xf numFmtId="0" fontId="23" fillId="0" borderId="0"/>
    <xf numFmtId="0" fontId="2" fillId="0" borderId="0"/>
    <xf numFmtId="44" fontId="2" fillId="0" borderId="0" applyFont="0" applyFill="0" applyBorder="0" applyAlignment="0" applyProtection="0"/>
    <xf numFmtId="0" fontId="173" fillId="47"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173" fillId="5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44" fontId="174" fillId="0" borderId="0" applyFont="0" applyFill="0" applyBorder="0" applyAlignment="0" applyProtection="0"/>
    <xf numFmtId="0" fontId="174"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74" fillId="0" borderId="0"/>
    <xf numFmtId="41" fontId="23" fillId="0" borderId="0" applyFont="0" applyFill="0" applyBorder="0" applyAlignment="0" applyProtection="0"/>
    <xf numFmtId="0" fontId="58" fillId="5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60" fillId="0" borderId="43" applyNumberFormat="0" applyFill="0" applyAlignment="0" applyProtection="0"/>
    <xf numFmtId="0" fontId="173" fillId="39" borderId="0" applyNumberFormat="0" applyBorder="0" applyAlignment="0" applyProtection="0"/>
    <xf numFmtId="0" fontId="162" fillId="0" borderId="45" applyNumberFormat="0" applyFill="0" applyAlignment="0" applyProtection="0"/>
    <xf numFmtId="0" fontId="162" fillId="0" borderId="0" applyNumberFormat="0" applyFill="0" applyBorder="0" applyAlignment="0" applyProtection="0"/>
    <xf numFmtId="0" fontId="174" fillId="0" borderId="0"/>
    <xf numFmtId="0" fontId="169" fillId="0" borderId="48" applyNumberFormat="0" applyFill="0" applyAlignment="0" applyProtection="0"/>
    <xf numFmtId="0" fontId="171" fillId="0" borderId="0" applyNumberFormat="0" applyFill="0" applyBorder="0" applyAlignment="0" applyProtection="0"/>
    <xf numFmtId="0" fontId="173" fillId="43" borderId="0" applyNumberFormat="0" applyBorder="0" applyAlignment="0" applyProtection="0"/>
    <xf numFmtId="0" fontId="112" fillId="0" borderId="51" applyNumberFormat="0" applyFill="0" applyAlignment="0" applyProtection="0"/>
    <xf numFmtId="0" fontId="2" fillId="0" borderId="0"/>
    <xf numFmtId="0" fontId="23" fillId="0" borderId="0"/>
    <xf numFmtId="41" fontId="2" fillId="0" borderId="0" applyFont="0" applyFill="0" applyBorder="0" applyAlignment="0" applyProtection="0"/>
    <xf numFmtId="0" fontId="2" fillId="0" borderId="0"/>
    <xf numFmtId="43" fontId="2" fillId="0" borderId="0" applyFont="0" applyFill="0" applyBorder="0" applyAlignment="0" applyProtection="0"/>
    <xf numFmtId="44" fontId="23" fillId="0" borderId="0" applyFont="0" applyFill="0" applyBorder="0" applyAlignment="0" applyProtection="0"/>
    <xf numFmtId="0" fontId="2" fillId="0" borderId="0"/>
    <xf numFmtId="0" fontId="173" fillId="31" borderId="0" applyNumberFormat="0" applyBorder="0" applyAlignment="0" applyProtection="0"/>
    <xf numFmtId="172" fontId="63" fillId="0" borderId="0" applyProtection="0"/>
    <xf numFmtId="44" fontId="23" fillId="0" borderId="0" applyFont="0" applyFill="0" applyBorder="0" applyAlignment="0" applyProtection="0"/>
    <xf numFmtId="0" fontId="2" fillId="30" borderId="50" applyNumberFormat="0" applyFont="0" applyAlignment="0" applyProtection="0"/>
    <xf numFmtId="43" fontId="2" fillId="0" borderId="0" applyFont="0" applyFill="0" applyBorder="0" applyAlignment="0" applyProtection="0"/>
    <xf numFmtId="41" fontId="174" fillId="0" borderId="0" applyFont="0" applyFill="0" applyBorder="0" applyAlignment="0" applyProtection="0"/>
    <xf numFmtId="0" fontId="21" fillId="57" borderId="0"/>
    <xf numFmtId="0" fontId="59" fillId="58" borderId="0" applyNumberFormat="0" applyBorder="0" applyAlignment="0" applyProtection="0"/>
    <xf numFmtId="0" fontId="58" fillId="59" borderId="0" applyNumberFormat="0" applyBorder="0" applyAlignment="0" applyProtection="0"/>
    <xf numFmtId="0" fontId="58" fillId="60" borderId="0" applyNumberFormat="0" applyBorder="0" applyAlignment="0" applyProtection="0"/>
    <xf numFmtId="0" fontId="59" fillId="61" borderId="0" applyNumberFormat="0" applyBorder="0" applyAlignment="0" applyProtection="0"/>
    <xf numFmtId="0" fontId="59" fillId="62" borderId="0" applyNumberFormat="0" applyBorder="0" applyAlignment="0" applyProtection="0"/>
    <xf numFmtId="0" fontId="58" fillId="63" borderId="0" applyNumberFormat="0" applyBorder="0" applyAlignment="0" applyProtection="0"/>
    <xf numFmtId="0" fontId="58" fillId="64" borderId="0" applyNumberFormat="0" applyBorder="0" applyAlignment="0" applyProtection="0"/>
    <xf numFmtId="0" fontId="59" fillId="65" borderId="0" applyNumberFormat="0" applyBorder="0" applyAlignment="0" applyProtection="0"/>
    <xf numFmtId="0" fontId="59" fillId="66" borderId="0" applyNumberFormat="0" applyBorder="0" applyAlignment="0" applyProtection="0"/>
    <xf numFmtId="0" fontId="58" fillId="67" borderId="0" applyNumberFormat="0" applyBorder="0" applyAlignment="0" applyProtection="0"/>
    <xf numFmtId="0" fontId="58" fillId="55" borderId="0" applyNumberFormat="0" applyBorder="0" applyAlignment="0" applyProtection="0"/>
    <xf numFmtId="0" fontId="59" fillId="68" borderId="0" applyNumberFormat="0" applyBorder="0" applyAlignment="0" applyProtection="0"/>
    <xf numFmtId="0" fontId="59" fillId="69" borderId="0" applyNumberFormat="0" applyBorder="0" applyAlignment="0" applyProtection="0"/>
    <xf numFmtId="0" fontId="58" fillId="63" borderId="0" applyNumberFormat="0" applyBorder="0" applyAlignment="0" applyProtection="0"/>
    <xf numFmtId="0" fontId="58" fillId="70" borderId="0" applyNumberFormat="0" applyBorder="0" applyAlignment="0" applyProtection="0"/>
    <xf numFmtId="0" fontId="59" fillId="64" borderId="0" applyNumberFormat="0" applyBorder="0" applyAlignment="0" applyProtection="0"/>
    <xf numFmtId="0" fontId="59" fillId="61" borderId="0" applyNumberFormat="0" applyBorder="0" applyAlignment="0" applyProtection="0"/>
    <xf numFmtId="0" fontId="58" fillId="71" borderId="0" applyNumberFormat="0" applyBorder="0" applyAlignment="0" applyProtection="0"/>
    <xf numFmtId="0" fontId="58" fillId="72" borderId="0" applyNumberFormat="0" applyBorder="0" applyAlignment="0" applyProtection="0"/>
    <xf numFmtId="0" fontId="59" fillId="61" borderId="0" applyNumberFormat="0" applyBorder="0" applyAlignment="0" applyProtection="0"/>
    <xf numFmtId="0" fontId="59" fillId="73" borderId="0" applyNumberFormat="0" applyBorder="0" applyAlignment="0" applyProtection="0"/>
    <xf numFmtId="0" fontId="58" fillId="74" borderId="0" applyNumberFormat="0" applyBorder="0" applyAlignment="0" applyProtection="0"/>
    <xf numFmtId="0" fontId="58" fillId="75" borderId="0" applyNumberFormat="0" applyBorder="0" applyAlignment="0" applyProtection="0"/>
    <xf numFmtId="0" fontId="59" fillId="76" borderId="0" applyNumberFormat="0" applyBorder="0" applyAlignment="0" applyProtection="0"/>
    <xf numFmtId="0" fontId="181" fillId="74" borderId="0" applyNumberFormat="0" applyBorder="0" applyAlignment="0" applyProtection="0"/>
    <xf numFmtId="0" fontId="182" fillId="77" borderId="42" applyNumberFormat="0" applyAlignment="0" applyProtection="0"/>
    <xf numFmtId="0" fontId="62" fillId="69" borderId="4" applyNumberFormat="0" applyAlignment="0" applyProtection="0"/>
    <xf numFmtId="0" fontId="183" fillId="78" borderId="0" applyNumberFormat="0" applyBorder="0" applyAlignment="0" applyProtection="0"/>
    <xf numFmtId="0" fontId="183" fillId="79" borderId="0" applyNumberFormat="0" applyBorder="0" applyAlignment="0" applyProtection="0"/>
    <xf numFmtId="0" fontId="183" fillId="80" borderId="0" applyNumberFormat="0" applyBorder="0" applyAlignment="0" applyProtection="0"/>
    <xf numFmtId="0" fontId="184" fillId="0" borderId="52" applyNumberFormat="0" applyFill="0" applyAlignment="0" applyProtection="0"/>
    <xf numFmtId="0" fontId="185" fillId="0" borderId="53" applyNumberFormat="0" applyFill="0" applyAlignment="0" applyProtection="0"/>
    <xf numFmtId="0" fontId="66" fillId="0" borderId="54" applyNumberFormat="0" applyFill="0" applyAlignment="0" applyProtection="0"/>
    <xf numFmtId="0" fontId="66" fillId="0" borderId="0" applyNumberFormat="0" applyFill="0" applyBorder="0" applyAlignment="0" applyProtection="0"/>
    <xf numFmtId="0" fontId="186" fillId="75" borderId="42" applyNumberFormat="0" applyAlignment="0" applyProtection="0"/>
    <xf numFmtId="0" fontId="65" fillId="0" borderId="55" applyNumberFormat="0" applyFill="0" applyAlignment="0" applyProtection="0"/>
    <xf numFmtId="0" fontId="65" fillId="75" borderId="0" applyNumberFormat="0" applyBorder="0" applyAlignment="0" applyProtection="0"/>
    <xf numFmtId="0" fontId="21" fillId="74" borderId="42" applyNumberFormat="0" applyFont="0" applyAlignment="0" applyProtection="0"/>
    <xf numFmtId="0" fontId="70" fillId="77" borderId="9" applyNumberFormat="0" applyAlignment="0" applyProtection="0"/>
    <xf numFmtId="4" fontId="188" fillId="81" borderId="42" applyNumberFormat="0" applyProtection="0">
      <alignment vertical="center"/>
    </xf>
    <xf numFmtId="4" fontId="21" fillId="81" borderId="42" applyNumberFormat="0" applyProtection="0">
      <alignment horizontal="left" vertical="center" indent="1"/>
    </xf>
    <xf numFmtId="0" fontId="178" fillId="7" borderId="56" applyNumberFormat="0" applyProtection="0">
      <alignment horizontal="left" vertical="top" indent="1"/>
    </xf>
    <xf numFmtId="4" fontId="21" fillId="13" borderId="42" applyNumberFormat="0" applyProtection="0">
      <alignment horizontal="left" vertical="center" indent="1"/>
    </xf>
    <xf numFmtId="4" fontId="21" fillId="8" borderId="42" applyNumberFormat="0" applyProtection="0">
      <alignment horizontal="right" vertical="center"/>
    </xf>
    <xf numFmtId="4" fontId="21" fillId="82" borderId="42" applyNumberFormat="0" applyProtection="0">
      <alignment horizontal="right" vertical="center"/>
    </xf>
    <xf numFmtId="4" fontId="21" fillId="14" borderId="57" applyNumberFormat="0" applyProtection="0">
      <alignment horizontal="right" vertical="center"/>
    </xf>
    <xf numFmtId="4" fontId="21" fillId="10" borderId="42" applyNumberFormat="0" applyProtection="0">
      <alignment horizontal="right" vertical="center"/>
    </xf>
    <xf numFmtId="4" fontId="21" fillId="83" borderId="42" applyNumberFormat="0" applyProtection="0">
      <alignment horizontal="right" vertical="center"/>
    </xf>
    <xf numFmtId="4" fontId="21" fillId="9" borderId="42" applyNumberFormat="0" applyProtection="0">
      <alignment horizontal="right" vertical="center"/>
    </xf>
    <xf numFmtId="4" fontId="21" fillId="84" borderId="42" applyNumberFormat="0" applyProtection="0">
      <alignment horizontal="right" vertical="center"/>
    </xf>
    <xf numFmtId="4" fontId="21" fillId="85" borderId="42" applyNumberFormat="0" applyProtection="0">
      <alignment horizontal="right" vertical="center"/>
    </xf>
    <xf numFmtId="4" fontId="21" fillId="86" borderId="42" applyNumberFormat="0" applyProtection="0">
      <alignment horizontal="right" vertical="center"/>
    </xf>
    <xf numFmtId="4" fontId="21" fillId="87" borderId="57" applyNumberFormat="0" applyProtection="0">
      <alignment horizontal="left" vertical="center" indent="1"/>
    </xf>
    <xf numFmtId="4" fontId="23" fillId="12" borderId="57" applyNumberFormat="0" applyProtection="0">
      <alignment horizontal="left" vertical="center" indent="1"/>
    </xf>
    <xf numFmtId="4" fontId="23" fillId="12" borderId="57" applyNumberFormat="0" applyProtection="0">
      <alignment horizontal="left" vertical="center" indent="1"/>
    </xf>
    <xf numFmtId="4" fontId="21" fillId="88" borderId="42" applyNumberFormat="0" applyProtection="0">
      <alignment horizontal="right" vertical="center"/>
    </xf>
    <xf numFmtId="4" fontId="21" fillId="89" borderId="57" applyNumberFormat="0" applyProtection="0">
      <alignment horizontal="left" vertical="center" indent="1"/>
    </xf>
    <xf numFmtId="4" fontId="21" fillId="88" borderId="57" applyNumberFormat="0" applyProtection="0">
      <alignment horizontal="left" vertical="center" indent="1"/>
    </xf>
    <xf numFmtId="0" fontId="21" fillId="90" borderId="42" applyNumberFormat="0" applyProtection="0">
      <alignment horizontal="left" vertical="center" indent="1"/>
    </xf>
    <xf numFmtId="0" fontId="21" fillId="12" borderId="56" applyNumberFormat="0" applyProtection="0">
      <alignment horizontal="left" vertical="top" indent="1"/>
    </xf>
    <xf numFmtId="0" fontId="21" fillId="91" borderId="42" applyNumberFormat="0" applyProtection="0">
      <alignment horizontal="left" vertical="center" indent="1"/>
    </xf>
    <xf numFmtId="0" fontId="21" fillId="88" borderId="56" applyNumberFormat="0" applyProtection="0">
      <alignment horizontal="left" vertical="top" indent="1"/>
    </xf>
    <xf numFmtId="0" fontId="21" fillId="2" borderId="42" applyNumberFormat="0" applyProtection="0">
      <alignment horizontal="left" vertical="center" indent="1"/>
    </xf>
    <xf numFmtId="0" fontId="21" fillId="2" borderId="56" applyNumberFormat="0" applyProtection="0">
      <alignment horizontal="left" vertical="top" indent="1"/>
    </xf>
    <xf numFmtId="0" fontId="21" fillId="89" borderId="42" applyNumberFormat="0" applyProtection="0">
      <alignment horizontal="left" vertical="center" indent="1"/>
    </xf>
    <xf numFmtId="0" fontId="21" fillId="89" borderId="56" applyNumberFormat="0" applyProtection="0">
      <alignment horizontal="left" vertical="top" indent="1"/>
    </xf>
    <xf numFmtId="0" fontId="21" fillId="16" borderId="58" applyNumberFormat="0">
      <protection locked="0"/>
    </xf>
    <xf numFmtId="0" fontId="176" fillId="12" borderId="59" applyBorder="0"/>
    <xf numFmtId="4" fontId="177" fillId="4" borderId="56" applyNumberFormat="0" applyProtection="0">
      <alignment vertical="center"/>
    </xf>
    <xf numFmtId="4" fontId="188" fillId="92" borderId="12" applyNumberFormat="0" applyProtection="0">
      <alignment vertical="center"/>
    </xf>
    <xf numFmtId="4" fontId="177" fillId="90" borderId="56" applyNumberFormat="0" applyProtection="0">
      <alignment horizontal="left" vertical="center" indent="1"/>
    </xf>
    <xf numFmtId="0" fontId="177" fillId="4" borderId="56" applyNumberFormat="0" applyProtection="0">
      <alignment horizontal="left" vertical="top" indent="1"/>
    </xf>
    <xf numFmtId="0" fontId="59" fillId="58" borderId="0" applyNumberFormat="0" applyBorder="0" applyAlignment="0" applyProtection="0"/>
    <xf numFmtId="4" fontId="188" fillId="56" borderId="42" applyNumberFormat="0" applyProtection="0">
      <alignment horizontal="right" vertical="center"/>
    </xf>
    <xf numFmtId="0" fontId="59" fillId="58" borderId="0" applyNumberFormat="0" applyBorder="0" applyAlignment="0" applyProtection="0"/>
    <xf numFmtId="0" fontId="177" fillId="88" borderId="56" applyNumberFormat="0" applyProtection="0">
      <alignment horizontal="left" vertical="top" indent="1"/>
    </xf>
    <xf numFmtId="4" fontId="179" fillId="93" borderId="57" applyNumberFormat="0" applyProtection="0">
      <alignment horizontal="left" vertical="center" indent="1"/>
    </xf>
    <xf numFmtId="0" fontId="21" fillId="94" borderId="12"/>
    <xf numFmtId="4" fontId="180" fillId="16" borderId="42" applyNumberFormat="0" applyProtection="0">
      <alignment horizontal="right" vertical="center"/>
    </xf>
    <xf numFmtId="0" fontId="72" fillId="0" borderId="0" applyNumberFormat="0" applyFill="0" applyBorder="0" applyAlignment="0" applyProtection="0"/>
    <xf numFmtId="0" fontId="183" fillId="0" borderId="60" applyNumberFormat="0" applyFill="0" applyAlignment="0" applyProtection="0"/>
    <xf numFmtId="0" fontId="187" fillId="0" borderId="0" applyNumberFormat="0" applyFill="0" applyBorder="0" applyAlignment="0" applyProtection="0"/>
    <xf numFmtId="0" fontId="59" fillId="62" borderId="0" applyNumberFormat="0" applyBorder="0" applyAlignment="0" applyProtection="0"/>
    <xf numFmtId="0" fontId="59" fillId="66" borderId="0" applyNumberFormat="0" applyBorder="0" applyAlignment="0" applyProtection="0"/>
    <xf numFmtId="0" fontId="59" fillId="69" borderId="0" applyNumberFormat="0" applyBorder="0" applyAlignment="0" applyProtection="0"/>
    <xf numFmtId="0" fontId="59" fillId="61" borderId="0" applyNumberFormat="0" applyBorder="0" applyAlignment="0" applyProtection="0"/>
    <xf numFmtId="0" fontId="59" fillId="73" borderId="0" applyNumberFormat="0" applyBorder="0" applyAlignment="0" applyProtection="0"/>
    <xf numFmtId="0" fontId="59" fillId="73" borderId="0" applyNumberFormat="0" applyBorder="0" applyAlignment="0" applyProtection="0"/>
    <xf numFmtId="0" fontId="59" fillId="73"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9" borderId="0" applyNumberFormat="0" applyBorder="0" applyAlignment="0" applyProtection="0"/>
    <xf numFmtId="0" fontId="59" fillId="66" borderId="0" applyNumberFormat="0" applyBorder="0" applyAlignment="0" applyProtection="0"/>
    <xf numFmtId="0" fontId="59" fillId="69" borderId="0" applyNumberFormat="0" applyBorder="0" applyAlignment="0" applyProtection="0"/>
    <xf numFmtId="0" fontId="59" fillId="62" borderId="0" applyNumberFormat="0" applyBorder="0" applyAlignment="0" applyProtection="0"/>
    <xf numFmtId="0" fontId="59" fillId="66" borderId="0" applyNumberFormat="0" applyBorder="0" applyAlignment="0" applyProtection="0"/>
    <xf numFmtId="0" fontId="59" fillId="73" borderId="0" applyNumberFormat="0" applyBorder="0" applyAlignment="0" applyProtection="0"/>
    <xf numFmtId="0" fontId="21" fillId="57" borderId="0"/>
    <xf numFmtId="0" fontId="59" fillId="58" borderId="0" applyNumberFormat="0" applyBorder="0" applyAlignment="0" applyProtection="0"/>
    <xf numFmtId="0" fontId="59" fillId="62" borderId="0" applyNumberFormat="0" applyBorder="0" applyAlignment="0" applyProtection="0"/>
    <xf numFmtId="0" fontId="59" fillId="66" borderId="0" applyNumberFormat="0" applyBorder="0" applyAlignment="0" applyProtection="0"/>
    <xf numFmtId="0" fontId="59" fillId="73" borderId="0" applyNumberFormat="0" applyBorder="0" applyAlignment="0" applyProtection="0"/>
    <xf numFmtId="0" fontId="59" fillId="73" borderId="0" applyNumberFormat="0" applyBorder="0" applyAlignment="0" applyProtection="0"/>
    <xf numFmtId="0" fontId="59" fillId="73"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9" borderId="0" applyNumberFormat="0" applyBorder="0" applyAlignment="0" applyProtection="0"/>
    <xf numFmtId="0" fontId="59" fillId="69" borderId="0" applyNumberFormat="0" applyBorder="0" applyAlignment="0" applyProtection="0"/>
    <xf numFmtId="0" fontId="59" fillId="69" borderId="0" applyNumberFormat="0" applyBorder="0" applyAlignment="0" applyProtection="0"/>
    <xf numFmtId="0" fontId="59" fillId="73" borderId="0" applyNumberFormat="0" applyBorder="0" applyAlignment="0" applyProtection="0"/>
    <xf numFmtId="0" fontId="59" fillId="66" borderId="0" applyNumberFormat="0" applyBorder="0" applyAlignment="0" applyProtection="0"/>
    <xf numFmtId="0" fontId="59" fillId="69" borderId="0" applyNumberFormat="0" applyBorder="0" applyAlignment="0" applyProtection="0"/>
    <xf numFmtId="0" fontId="59" fillId="73" borderId="0" applyNumberFormat="0" applyBorder="0" applyAlignment="0" applyProtection="0"/>
    <xf numFmtId="0" fontId="59" fillId="61" borderId="0" applyNumberFormat="0" applyBorder="0" applyAlignment="0" applyProtection="0"/>
    <xf numFmtId="0" fontId="59" fillId="66" borderId="0" applyNumberFormat="0" applyBorder="0" applyAlignment="0" applyProtection="0"/>
    <xf numFmtId="0" fontId="59" fillId="62" borderId="0" applyNumberFormat="0" applyBorder="0" applyAlignment="0" applyProtection="0"/>
    <xf numFmtId="0" fontId="59" fillId="61" borderId="0" applyNumberFormat="0" applyBorder="0" applyAlignment="0" applyProtection="0"/>
    <xf numFmtId="0" fontId="59" fillId="69" borderId="0" applyNumberFormat="0" applyBorder="0" applyAlignment="0" applyProtection="0"/>
    <xf numFmtId="0" fontId="59" fillId="66" borderId="0" applyNumberFormat="0" applyBorder="0" applyAlignment="0" applyProtection="0"/>
    <xf numFmtId="0" fontId="59" fillId="58" borderId="0" applyNumberFormat="0" applyBorder="0" applyAlignment="0" applyProtection="0"/>
    <xf numFmtId="0" fontId="59" fillId="66" borderId="0" applyNumberFormat="0" applyBorder="0" applyAlignment="0" applyProtection="0"/>
    <xf numFmtId="0" fontId="59" fillId="62" borderId="0" applyNumberFormat="0" applyBorder="0" applyAlignment="0" applyProtection="0"/>
    <xf numFmtId="0" fontId="59" fillId="58" borderId="0" applyNumberFormat="0" applyBorder="0" applyAlignment="0" applyProtection="0"/>
    <xf numFmtId="0" fontId="59" fillId="69" borderId="0" applyNumberFormat="0" applyBorder="0" applyAlignment="0" applyProtection="0"/>
    <xf numFmtId="0" fontId="59" fillId="73" borderId="0" applyNumberFormat="0" applyBorder="0" applyAlignment="0" applyProtection="0"/>
    <xf numFmtId="0" fontId="59" fillId="62" borderId="0" applyNumberFormat="0" applyBorder="0" applyAlignment="0" applyProtection="0"/>
    <xf numFmtId="0" fontId="59" fillId="61" borderId="0" applyNumberFormat="0" applyBorder="0" applyAlignment="0" applyProtection="0"/>
    <xf numFmtId="0" fontId="59" fillId="58" borderId="0" applyNumberFormat="0" applyBorder="0" applyAlignment="0" applyProtection="0"/>
    <xf numFmtId="0" fontId="59" fillId="61" borderId="0" applyNumberFormat="0" applyBorder="0" applyAlignment="0" applyProtection="0"/>
    <xf numFmtId="0" fontId="59" fillId="69" borderId="0" applyNumberFormat="0" applyBorder="0" applyAlignment="0" applyProtection="0"/>
    <xf numFmtId="0" fontId="59" fillId="69"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62" borderId="0" applyNumberFormat="0" applyBorder="0" applyAlignment="0" applyProtection="0"/>
    <xf numFmtId="0" fontId="174" fillId="0" borderId="0"/>
    <xf numFmtId="41" fontId="2" fillId="0" borderId="0" applyFont="0" applyFill="0" applyBorder="0" applyAlignment="0" applyProtection="0"/>
    <xf numFmtId="0" fontId="59" fillId="58" borderId="0" applyNumberFormat="0" applyBorder="0" applyAlignment="0" applyProtection="0"/>
    <xf numFmtId="0" fontId="59" fillId="62" borderId="0" applyNumberFormat="0" applyBorder="0" applyAlignment="0" applyProtection="0"/>
    <xf numFmtId="0" fontId="59" fillId="73" borderId="0" applyNumberFormat="0" applyBorder="0" applyAlignment="0" applyProtection="0"/>
    <xf numFmtId="0" fontId="59" fillId="58" borderId="0" applyNumberFormat="0" applyBorder="0" applyAlignment="0" applyProtection="0"/>
    <xf numFmtId="0" fontId="59" fillId="62" borderId="0" applyNumberFormat="0" applyBorder="0" applyAlignment="0" applyProtection="0"/>
    <xf numFmtId="0" fontId="2" fillId="0" borderId="0"/>
    <xf numFmtId="0" fontId="59" fillId="58" borderId="0" applyNumberFormat="0" applyBorder="0" applyAlignment="0" applyProtection="0"/>
    <xf numFmtId="0" fontId="59" fillId="62" borderId="0" applyNumberFormat="0" applyBorder="0" applyAlignment="0" applyProtection="0"/>
    <xf numFmtId="0" fontId="59" fillId="58" borderId="0" applyNumberFormat="0" applyBorder="0" applyAlignment="0" applyProtection="0"/>
    <xf numFmtId="0" fontId="59" fillId="73" borderId="0" applyNumberFormat="0" applyBorder="0" applyAlignment="0" applyProtection="0"/>
    <xf numFmtId="0" fontId="59" fillId="61" borderId="0" applyNumberFormat="0" applyBorder="0" applyAlignment="0" applyProtection="0"/>
    <xf numFmtId="0" fontId="59" fillId="73" borderId="0" applyNumberFormat="0" applyBorder="0" applyAlignment="0" applyProtection="0"/>
    <xf numFmtId="0" fontId="59" fillId="69" borderId="0" applyNumberFormat="0" applyBorder="0" applyAlignment="0" applyProtection="0"/>
    <xf numFmtId="0" fontId="59" fillId="61" borderId="0" applyNumberFormat="0" applyBorder="0" applyAlignment="0" applyProtection="0"/>
    <xf numFmtId="0" fontId="59" fillId="69"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62" borderId="0" applyNumberFormat="0" applyBorder="0" applyAlignment="0" applyProtection="0"/>
    <xf numFmtId="0" fontId="59" fillId="62"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66" borderId="0" applyNumberFormat="0" applyBorder="0" applyAlignment="0" applyProtection="0"/>
    <xf numFmtId="0" fontId="59" fillId="62" borderId="0" applyNumberFormat="0" applyBorder="0" applyAlignment="0" applyProtection="0"/>
    <xf numFmtId="0" fontId="59" fillId="58" borderId="0" applyNumberFormat="0" applyBorder="0" applyAlignment="0" applyProtection="0"/>
    <xf numFmtId="0" fontId="23" fillId="0" borderId="0"/>
    <xf numFmtId="0" fontId="174" fillId="0" borderId="0"/>
    <xf numFmtId="0" fontId="59" fillId="58" borderId="0" applyNumberFormat="0" applyBorder="0" applyAlignment="0" applyProtection="0"/>
    <xf numFmtId="0" fontId="59" fillId="62" borderId="0" applyNumberFormat="0" applyBorder="0" applyAlignment="0" applyProtection="0"/>
    <xf numFmtId="0" fontId="59" fillId="66" borderId="0" applyNumberFormat="0" applyBorder="0" applyAlignment="0" applyProtection="0"/>
    <xf numFmtId="0" fontId="59" fillId="69" borderId="0" applyNumberFormat="0" applyBorder="0" applyAlignment="0" applyProtection="0"/>
    <xf numFmtId="0" fontId="59" fillId="61" borderId="0" applyNumberFormat="0" applyBorder="0" applyAlignment="0" applyProtection="0"/>
    <xf numFmtId="0" fontId="59" fillId="73" borderId="0" applyNumberFormat="0" applyBorder="0" applyAlignment="0" applyProtection="0"/>
    <xf numFmtId="0" fontId="59" fillId="58" borderId="0" applyNumberFormat="0" applyBorder="0" applyAlignment="0" applyProtection="0"/>
    <xf numFmtId="0" fontId="59" fillId="62" borderId="0" applyNumberFormat="0" applyBorder="0" applyAlignment="0" applyProtection="0"/>
    <xf numFmtId="0" fontId="59" fillId="66" borderId="0" applyNumberFormat="0" applyBorder="0" applyAlignment="0" applyProtection="0"/>
    <xf numFmtId="0" fontId="59" fillId="69" borderId="0" applyNumberFormat="0" applyBorder="0" applyAlignment="0" applyProtection="0"/>
    <xf numFmtId="0" fontId="59" fillId="61" borderId="0" applyNumberFormat="0" applyBorder="0" applyAlignment="0" applyProtection="0"/>
    <xf numFmtId="0" fontId="59" fillId="73" borderId="0" applyNumberFormat="0" applyBorder="0" applyAlignment="0" applyProtection="0"/>
    <xf numFmtId="0" fontId="59" fillId="73" borderId="0" applyNumberFormat="0" applyBorder="0" applyAlignment="0" applyProtection="0"/>
    <xf numFmtId="0" fontId="59" fillId="61" borderId="0" applyNumberFormat="0" applyBorder="0" applyAlignment="0" applyProtection="0"/>
    <xf numFmtId="0" fontId="59" fillId="69" borderId="0" applyNumberFormat="0" applyBorder="0" applyAlignment="0" applyProtection="0"/>
    <xf numFmtId="0" fontId="59" fillId="66" borderId="0" applyNumberFormat="0" applyBorder="0" applyAlignment="0" applyProtection="0"/>
    <xf numFmtId="0" fontId="59" fillId="62" borderId="0" applyNumberFormat="0" applyBorder="0" applyAlignment="0" applyProtection="0"/>
    <xf numFmtId="0" fontId="59" fillId="58" borderId="0" applyNumberFormat="0" applyBorder="0" applyAlignment="0" applyProtection="0"/>
    <xf numFmtId="0" fontId="21" fillId="57" borderId="0"/>
    <xf numFmtId="0" fontId="59" fillId="58" borderId="0" applyNumberFormat="0" applyBorder="0" applyAlignment="0" applyProtection="0"/>
    <xf numFmtId="0" fontId="59" fillId="62" borderId="0" applyNumberFormat="0" applyBorder="0" applyAlignment="0" applyProtection="0"/>
    <xf numFmtId="0" fontId="59" fillId="66" borderId="0" applyNumberFormat="0" applyBorder="0" applyAlignment="0" applyProtection="0"/>
    <xf numFmtId="0" fontId="59" fillId="69" borderId="0" applyNumberFormat="0" applyBorder="0" applyAlignment="0" applyProtection="0"/>
    <xf numFmtId="0" fontId="59" fillId="61" borderId="0" applyNumberFormat="0" applyBorder="0" applyAlignment="0" applyProtection="0"/>
    <xf numFmtId="0" fontId="59" fillId="7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4" fillId="0" borderId="0" applyFont="0" applyFill="0" applyBorder="0" applyAlignment="0" applyProtection="0"/>
    <xf numFmtId="172" fontId="63" fillId="0" borderId="0" applyProtection="0"/>
    <xf numFmtId="0" fontId="21" fillId="57" borderId="0"/>
    <xf numFmtId="0" fontId="59" fillId="58" borderId="0" applyNumberFormat="0" applyBorder="0" applyAlignment="0" applyProtection="0"/>
    <xf numFmtId="0" fontId="59" fillId="66" borderId="0" applyNumberFormat="0" applyBorder="0" applyAlignment="0" applyProtection="0"/>
    <xf numFmtId="0" fontId="59" fillId="62" borderId="0" applyNumberFormat="0" applyBorder="0" applyAlignment="0" applyProtection="0"/>
    <xf numFmtId="0" fontId="59" fillId="69" borderId="0" applyNumberFormat="0" applyBorder="0" applyAlignment="0" applyProtection="0"/>
    <xf numFmtId="0" fontId="59" fillId="66" borderId="0" applyNumberFormat="0" applyBorder="0" applyAlignment="0" applyProtection="0"/>
    <xf numFmtId="0" fontId="59" fillId="69" borderId="0" applyNumberFormat="0" applyBorder="0" applyAlignment="0" applyProtection="0"/>
    <xf numFmtId="0" fontId="59" fillId="69"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73" borderId="0" applyNumberFormat="0" applyBorder="0" applyAlignment="0" applyProtection="0"/>
    <xf numFmtId="0" fontId="59" fillId="73" borderId="0" applyNumberFormat="0" applyBorder="0" applyAlignment="0" applyProtection="0"/>
    <xf numFmtId="0" fontId="59" fillId="73" borderId="0" applyNumberFormat="0" applyBorder="0" applyAlignment="0" applyProtection="0"/>
    <xf numFmtId="0" fontId="59" fillId="73" borderId="0" applyNumberFormat="0" applyBorder="0" applyAlignment="0" applyProtection="0"/>
    <xf numFmtId="0" fontId="59" fillId="73"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9" borderId="0" applyNumberFormat="0" applyBorder="0" applyAlignment="0" applyProtection="0"/>
    <xf numFmtId="0" fontId="59" fillId="69"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9" fillId="62" borderId="0" applyNumberFormat="0" applyBorder="0" applyAlignment="0" applyProtection="0"/>
    <xf numFmtId="0" fontId="59" fillId="58" borderId="0" applyNumberFormat="0" applyBorder="0" applyAlignment="0" applyProtection="0"/>
    <xf numFmtId="0" fontId="59" fillId="66" borderId="0" applyNumberFormat="0" applyBorder="0" applyAlignment="0" applyProtection="0"/>
    <xf numFmtId="0" fontId="59" fillId="62" borderId="0" applyNumberFormat="0" applyBorder="0" applyAlignment="0" applyProtection="0"/>
    <xf numFmtId="0" fontId="59" fillId="58" borderId="0" applyNumberFormat="0" applyBorder="0" applyAlignment="0" applyProtection="0"/>
    <xf numFmtId="0" fontId="59" fillId="62" borderId="0" applyNumberFormat="0" applyBorder="0" applyAlignment="0" applyProtection="0"/>
    <xf numFmtId="0" fontId="59" fillId="58" borderId="0" applyNumberFormat="0" applyBorder="0" applyAlignment="0" applyProtection="0"/>
    <xf numFmtId="0" fontId="59" fillId="62" borderId="0" applyNumberFormat="0" applyBorder="0" applyAlignment="0" applyProtection="0"/>
    <xf numFmtId="0" fontId="59" fillId="58" borderId="0" applyNumberFormat="0" applyBorder="0" applyAlignment="0" applyProtection="0"/>
    <xf numFmtId="0" fontId="174" fillId="0" borderId="0"/>
    <xf numFmtId="0" fontId="21" fillId="57" borderId="0"/>
    <xf numFmtId="0" fontId="59" fillId="58" borderId="0" applyNumberFormat="0" applyBorder="0" applyAlignment="0" applyProtection="0"/>
    <xf numFmtId="0" fontId="59" fillId="66" borderId="0" applyNumberFormat="0" applyBorder="0" applyAlignment="0" applyProtection="0"/>
    <xf numFmtId="0" fontId="59" fillId="62" borderId="0" applyNumberFormat="0" applyBorder="0" applyAlignment="0" applyProtection="0"/>
    <xf numFmtId="0" fontId="59" fillId="66" borderId="0" applyNumberFormat="0" applyBorder="0" applyAlignment="0" applyProtection="0"/>
    <xf numFmtId="0" fontId="59" fillId="69" borderId="0" applyNumberFormat="0" applyBorder="0" applyAlignment="0" applyProtection="0"/>
    <xf numFmtId="0" fontId="59" fillId="69"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73" borderId="0" applyNumberFormat="0" applyBorder="0" applyAlignment="0" applyProtection="0"/>
    <xf numFmtId="0" fontId="59" fillId="73" borderId="0" applyNumberFormat="0" applyBorder="0" applyAlignment="0" applyProtection="0"/>
    <xf numFmtId="0" fontId="59" fillId="73" borderId="0" applyNumberFormat="0" applyBorder="0" applyAlignment="0" applyProtection="0"/>
    <xf numFmtId="0" fontId="59" fillId="61" borderId="0" applyNumberFormat="0" applyBorder="0" applyAlignment="0" applyProtection="0"/>
    <xf numFmtId="0" fontId="59" fillId="69" borderId="0" applyNumberFormat="0" applyBorder="0" applyAlignment="0" applyProtection="0"/>
    <xf numFmtId="0" fontId="59" fillId="66" borderId="0" applyNumberFormat="0" applyBorder="0" applyAlignment="0" applyProtection="0"/>
    <xf numFmtId="0" fontId="59" fillId="62" borderId="0" applyNumberFormat="0" applyBorder="0" applyAlignment="0" applyProtection="0"/>
    <xf numFmtId="0" fontId="59" fillId="58" borderId="0" applyNumberFormat="0" applyBorder="0" applyAlignment="0" applyProtection="0"/>
    <xf numFmtId="0" fontId="59" fillId="62" borderId="0" applyNumberFormat="0" applyBorder="0" applyAlignment="0" applyProtection="0"/>
    <xf numFmtId="0" fontId="59" fillId="58" borderId="0" applyNumberFormat="0" applyBorder="0" applyAlignment="0" applyProtection="0"/>
    <xf numFmtId="9" fontId="174" fillId="0" borderId="0" applyFont="0" applyFill="0" applyBorder="0" applyAlignment="0" applyProtection="0"/>
    <xf numFmtId="44" fontId="174" fillId="0" borderId="0" applyFont="0" applyFill="0" applyBorder="0" applyAlignment="0" applyProtection="0"/>
    <xf numFmtId="0" fontId="174" fillId="0" borderId="0"/>
    <xf numFmtId="43" fontId="2"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3" fillId="0" borderId="0"/>
    <xf numFmtId="44" fontId="174" fillId="0" borderId="0" applyFont="0" applyFill="0" applyBorder="0" applyAlignment="0" applyProtection="0"/>
    <xf numFmtId="0" fontId="21" fillId="57" borderId="0"/>
    <xf numFmtId="0" fontId="59" fillId="58" borderId="0" applyNumberFormat="0" applyBorder="0" applyAlignment="0" applyProtection="0"/>
    <xf numFmtId="0" fontId="59" fillId="62" borderId="0" applyNumberFormat="0" applyBorder="0" applyAlignment="0" applyProtection="0"/>
    <xf numFmtId="0" fontId="59" fillId="66" borderId="0" applyNumberFormat="0" applyBorder="0" applyAlignment="0" applyProtection="0"/>
    <xf numFmtId="0" fontId="59" fillId="69" borderId="0" applyNumberFormat="0" applyBorder="0" applyAlignment="0" applyProtection="0"/>
    <xf numFmtId="0" fontId="59" fillId="61" borderId="0" applyNumberFormat="0" applyBorder="0" applyAlignment="0" applyProtection="0"/>
    <xf numFmtId="0" fontId="59" fillId="73" borderId="0" applyNumberFormat="0" applyBorder="0" applyAlignment="0" applyProtection="0"/>
    <xf numFmtId="0" fontId="59" fillId="73" borderId="0" applyNumberFormat="0" applyBorder="0" applyAlignment="0" applyProtection="0"/>
    <xf numFmtId="0" fontId="59" fillId="61" borderId="0" applyNumberFormat="0" applyBorder="0" applyAlignment="0" applyProtection="0"/>
    <xf numFmtId="0" fontId="59" fillId="69" borderId="0" applyNumberFormat="0" applyBorder="0" applyAlignment="0" applyProtection="0"/>
    <xf numFmtId="0" fontId="59" fillId="66" borderId="0" applyNumberFormat="0" applyBorder="0" applyAlignment="0" applyProtection="0"/>
    <xf numFmtId="0" fontId="59" fillId="62" borderId="0" applyNumberFormat="0" applyBorder="0" applyAlignment="0" applyProtection="0"/>
    <xf numFmtId="0" fontId="59" fillId="58" borderId="0" applyNumberFormat="0" applyBorder="0" applyAlignment="0" applyProtection="0"/>
    <xf numFmtId="0" fontId="173" fillId="35" borderId="0" applyNumberFormat="0" applyBorder="0" applyAlignment="0" applyProtection="0"/>
    <xf numFmtId="0" fontId="2" fillId="30" borderId="50" applyNumberFormat="0" applyFont="0" applyAlignment="0" applyProtection="0"/>
    <xf numFmtId="4" fontId="21" fillId="0" borderId="42" applyNumberFormat="0" applyProtection="0">
      <alignment horizontal="right" vertical="center"/>
    </xf>
    <xf numFmtId="4" fontId="21" fillId="13" borderId="42" applyNumberFormat="0" applyProtection="0">
      <alignment horizontal="left" vertical="center" indent="1"/>
    </xf>
    <xf numFmtId="4" fontId="21" fillId="7" borderId="42" applyNumberFormat="0" applyProtection="0">
      <alignment vertical="center"/>
    </xf>
    <xf numFmtId="0" fontId="182" fillId="77" borderId="42" applyNumberFormat="0" applyAlignment="0" applyProtection="0"/>
    <xf numFmtId="0" fontId="186" fillId="75" borderId="42" applyNumberFormat="0" applyAlignment="0" applyProtection="0"/>
    <xf numFmtId="0" fontId="21" fillId="74" borderId="42" applyNumberFormat="0" applyFont="0" applyAlignment="0" applyProtection="0"/>
    <xf numFmtId="0" fontId="70" fillId="77" borderId="9" applyNumberFormat="0" applyAlignment="0" applyProtection="0"/>
    <xf numFmtId="4" fontId="188" fillId="81" borderId="42" applyNumberFormat="0" applyProtection="0">
      <alignment vertical="center"/>
    </xf>
    <xf numFmtId="4" fontId="21" fillId="81" borderId="42" applyNumberFormat="0" applyProtection="0">
      <alignment horizontal="left" vertical="center" indent="1"/>
    </xf>
    <xf numFmtId="0" fontId="178" fillId="7" borderId="56" applyNumberFormat="0" applyProtection="0">
      <alignment horizontal="left" vertical="top" indent="1"/>
    </xf>
    <xf numFmtId="4" fontId="21" fillId="13" borderId="42" applyNumberFormat="0" applyProtection="0">
      <alignment horizontal="left" vertical="center" indent="1"/>
    </xf>
    <xf numFmtId="4" fontId="21" fillId="8" borderId="42" applyNumberFormat="0" applyProtection="0">
      <alignment horizontal="right" vertical="center"/>
    </xf>
    <xf numFmtId="4" fontId="21" fillId="82" borderId="42" applyNumberFormat="0" applyProtection="0">
      <alignment horizontal="right" vertical="center"/>
    </xf>
    <xf numFmtId="4" fontId="21" fillId="14" borderId="57" applyNumberFormat="0" applyProtection="0">
      <alignment horizontal="right" vertical="center"/>
    </xf>
    <xf numFmtId="4" fontId="21" fillId="10" borderId="42" applyNumberFormat="0" applyProtection="0">
      <alignment horizontal="right" vertical="center"/>
    </xf>
    <xf numFmtId="4" fontId="21" fillId="83" borderId="42" applyNumberFormat="0" applyProtection="0">
      <alignment horizontal="right" vertical="center"/>
    </xf>
    <xf numFmtId="4" fontId="21" fillId="9" borderId="42" applyNumberFormat="0" applyProtection="0">
      <alignment horizontal="right" vertical="center"/>
    </xf>
    <xf numFmtId="4" fontId="21" fillId="84" borderId="42" applyNumberFormat="0" applyProtection="0">
      <alignment horizontal="right" vertical="center"/>
    </xf>
    <xf numFmtId="4" fontId="21" fillId="85" borderId="42" applyNumberFormat="0" applyProtection="0">
      <alignment horizontal="right" vertical="center"/>
    </xf>
    <xf numFmtId="4" fontId="21" fillId="86" borderId="42" applyNumberFormat="0" applyProtection="0">
      <alignment horizontal="right" vertical="center"/>
    </xf>
    <xf numFmtId="4" fontId="21" fillId="87" borderId="57" applyNumberFormat="0" applyProtection="0">
      <alignment horizontal="left" vertical="center" indent="1"/>
    </xf>
    <xf numFmtId="4" fontId="23" fillId="12" borderId="57" applyNumberFormat="0" applyProtection="0">
      <alignment horizontal="left" vertical="center" indent="1"/>
    </xf>
    <xf numFmtId="4" fontId="23" fillId="12" borderId="57" applyNumberFormat="0" applyProtection="0">
      <alignment horizontal="left" vertical="center" indent="1"/>
    </xf>
    <xf numFmtId="4" fontId="21" fillId="88" borderId="42" applyNumberFormat="0" applyProtection="0">
      <alignment horizontal="right" vertical="center"/>
    </xf>
    <xf numFmtId="4" fontId="21" fillId="89" borderId="57" applyNumberFormat="0" applyProtection="0">
      <alignment horizontal="left" vertical="center" indent="1"/>
    </xf>
    <xf numFmtId="4" fontId="21" fillId="88" borderId="57" applyNumberFormat="0" applyProtection="0">
      <alignment horizontal="left" vertical="center" indent="1"/>
    </xf>
    <xf numFmtId="0" fontId="21" fillId="90" borderId="42" applyNumberFormat="0" applyProtection="0">
      <alignment horizontal="left" vertical="center" indent="1"/>
    </xf>
    <xf numFmtId="0" fontId="21" fillId="12" borderId="56" applyNumberFormat="0" applyProtection="0">
      <alignment horizontal="left" vertical="top" indent="1"/>
    </xf>
    <xf numFmtId="0" fontId="21" fillId="91" borderId="42" applyNumberFormat="0" applyProtection="0">
      <alignment horizontal="left" vertical="center" indent="1"/>
    </xf>
    <xf numFmtId="0" fontId="21" fillId="88" borderId="56" applyNumberFormat="0" applyProtection="0">
      <alignment horizontal="left" vertical="top" indent="1"/>
    </xf>
    <xf numFmtId="0" fontId="21" fillId="2" borderId="42" applyNumberFormat="0" applyProtection="0">
      <alignment horizontal="left" vertical="center" indent="1"/>
    </xf>
    <xf numFmtId="0" fontId="21" fillId="2" borderId="56" applyNumberFormat="0" applyProtection="0">
      <alignment horizontal="left" vertical="top" indent="1"/>
    </xf>
    <xf numFmtId="0" fontId="21" fillId="89" borderId="42" applyNumberFormat="0" applyProtection="0">
      <alignment horizontal="left" vertical="center" indent="1"/>
    </xf>
    <xf numFmtId="0" fontId="21" fillId="89" borderId="56" applyNumberFormat="0" applyProtection="0">
      <alignment horizontal="left" vertical="top" indent="1"/>
    </xf>
    <xf numFmtId="0" fontId="176" fillId="12" borderId="59" applyBorder="0"/>
    <xf numFmtId="4" fontId="177" fillId="4" borderId="56" applyNumberFormat="0" applyProtection="0">
      <alignment vertical="center"/>
    </xf>
    <xf numFmtId="4" fontId="177" fillId="90" borderId="56" applyNumberFormat="0" applyProtection="0">
      <alignment horizontal="left" vertical="center" indent="1"/>
    </xf>
    <xf numFmtId="0" fontId="177" fillId="4" borderId="56" applyNumberFormat="0" applyProtection="0">
      <alignment horizontal="left" vertical="top" indent="1"/>
    </xf>
    <xf numFmtId="4" fontId="188" fillId="56" borderId="42" applyNumberFormat="0" applyProtection="0">
      <alignment horizontal="right" vertical="center"/>
    </xf>
    <xf numFmtId="0" fontId="177" fillId="88" borderId="56" applyNumberFormat="0" applyProtection="0">
      <alignment horizontal="left" vertical="top" indent="1"/>
    </xf>
    <xf numFmtId="4" fontId="179" fillId="93" borderId="57" applyNumberFormat="0" applyProtection="0">
      <alignment horizontal="left" vertical="center" indent="1"/>
    </xf>
    <xf numFmtId="4" fontId="180" fillId="16" borderId="42" applyNumberFormat="0" applyProtection="0">
      <alignment horizontal="right" vertical="center"/>
    </xf>
    <xf numFmtId="0" fontId="183" fillId="0" borderId="60" applyNumberFormat="0" applyFill="0" applyAlignment="0" applyProtection="0"/>
    <xf numFmtId="43" fontId="2" fillId="0" borderId="0" applyFont="0" applyFill="0" applyBorder="0" applyAlignment="0" applyProtection="0"/>
    <xf numFmtId="0" fontId="70" fillId="77" borderId="61" applyNumberFormat="0" applyAlignment="0" applyProtection="0"/>
    <xf numFmtId="0" fontId="178" fillId="7" borderId="62" applyNumberFormat="0" applyProtection="0">
      <alignment horizontal="left" vertical="top" indent="1"/>
    </xf>
    <xf numFmtId="4" fontId="21" fillId="14" borderId="63" applyNumberFormat="0" applyProtection="0">
      <alignment horizontal="right" vertical="center"/>
    </xf>
    <xf numFmtId="4" fontId="21" fillId="87" borderId="63" applyNumberFormat="0" applyProtection="0">
      <alignment horizontal="left" vertical="center" indent="1"/>
    </xf>
    <xf numFmtId="4" fontId="23" fillId="12" borderId="63" applyNumberFormat="0" applyProtection="0">
      <alignment horizontal="left" vertical="center" indent="1"/>
    </xf>
    <xf numFmtId="4" fontId="23" fillId="12" borderId="63" applyNumberFormat="0" applyProtection="0">
      <alignment horizontal="left" vertical="center" indent="1"/>
    </xf>
    <xf numFmtId="4" fontId="21" fillId="89" borderId="63" applyNumberFormat="0" applyProtection="0">
      <alignment horizontal="left" vertical="center" indent="1"/>
    </xf>
    <xf numFmtId="4" fontId="21" fillId="88" borderId="63" applyNumberFormat="0" applyProtection="0">
      <alignment horizontal="left" vertical="center" indent="1"/>
    </xf>
    <xf numFmtId="0" fontId="21" fillId="12" borderId="62" applyNumberFormat="0" applyProtection="0">
      <alignment horizontal="left" vertical="top" indent="1"/>
    </xf>
    <xf numFmtId="0" fontId="21" fillId="88" borderId="62" applyNumberFormat="0" applyProtection="0">
      <alignment horizontal="left" vertical="top" indent="1"/>
    </xf>
    <xf numFmtId="0" fontId="21" fillId="2" borderId="62" applyNumberFormat="0" applyProtection="0">
      <alignment horizontal="left" vertical="top" indent="1"/>
    </xf>
    <xf numFmtId="0" fontId="21" fillId="89" borderId="62" applyNumberFormat="0" applyProtection="0">
      <alignment horizontal="left" vertical="top" indent="1"/>
    </xf>
    <xf numFmtId="0" fontId="176" fillId="12" borderId="64" applyBorder="0"/>
    <xf numFmtId="4" fontId="177" fillId="4" borderId="62" applyNumberFormat="0" applyProtection="0">
      <alignment vertical="center"/>
    </xf>
    <xf numFmtId="4" fontId="177" fillId="90" borderId="62" applyNumberFormat="0" applyProtection="0">
      <alignment horizontal="left" vertical="center" indent="1"/>
    </xf>
    <xf numFmtId="0" fontId="177" fillId="4" borderId="62" applyNumberFormat="0" applyProtection="0">
      <alignment horizontal="left" vertical="top" indent="1"/>
    </xf>
    <xf numFmtId="0" fontId="177" fillId="88" borderId="62" applyNumberFormat="0" applyProtection="0">
      <alignment horizontal="left" vertical="top" indent="1"/>
    </xf>
    <xf numFmtId="4" fontId="179" fillId="93" borderId="63" applyNumberFormat="0" applyProtection="0">
      <alignment horizontal="left" vertical="center" indent="1"/>
    </xf>
    <xf numFmtId="0" fontId="183" fillId="0" borderId="65" applyNumberFormat="0" applyFill="0" applyAlignment="0" applyProtection="0"/>
  </cellStyleXfs>
  <cellXfs count="1176">
    <xf numFmtId="172" fontId="0" fillId="0" borderId="0" xfId="0"/>
    <xf numFmtId="172" fontId="52" fillId="0" borderId="0" xfId="0" applyFont="1"/>
    <xf numFmtId="0" fontId="52" fillId="0" borderId="0" xfId="0" applyNumberFormat="1" applyFont="1"/>
    <xf numFmtId="0" fontId="52" fillId="0" borderId="0" xfId="0" applyNumberFormat="1" applyFont="1" applyAlignment="1">
      <alignment horizontal="right"/>
    </xf>
    <xf numFmtId="3" fontId="52" fillId="0" borderId="0" xfId="82" applyNumberFormat="1" applyFont="1"/>
    <xf numFmtId="0" fontId="23" fillId="0" borderId="0" xfId="82"/>
    <xf numFmtId="0" fontId="54" fillId="0" borderId="0" xfId="82" applyFont="1"/>
    <xf numFmtId="3" fontId="54" fillId="0" borderId="0" xfId="82" applyNumberFormat="1" applyFont="1"/>
    <xf numFmtId="0" fontId="52" fillId="0" borderId="0" xfId="82" applyFont="1"/>
    <xf numFmtId="173" fontId="52" fillId="0" borderId="0" xfId="63" applyNumberFormat="1" applyFont="1" applyFill="1" applyBorder="1" applyAlignment="1"/>
    <xf numFmtId="0" fontId="56" fillId="0" borderId="0" xfId="82" applyFont="1"/>
    <xf numFmtId="173" fontId="52" fillId="0" borderId="0" xfId="63" applyNumberFormat="1" applyFont="1" applyBorder="1" applyAlignment="1"/>
    <xf numFmtId="178" fontId="52" fillId="0" borderId="0" xfId="63" applyNumberFormat="1" applyFont="1" applyBorder="1"/>
    <xf numFmtId="0" fontId="52" fillId="0" borderId="0" xfId="82" applyFont="1" applyAlignment="1">
      <alignment horizontal="left" wrapText="1"/>
    </xf>
    <xf numFmtId="0" fontId="52" fillId="0" borderId="0" xfId="82" applyFont="1" applyAlignment="1">
      <alignment horizontal="left"/>
    </xf>
    <xf numFmtId="0" fontId="56" fillId="0" borderId="0" xfId="82" applyFont="1" applyAlignment="1">
      <alignment horizontal="center"/>
    </xf>
    <xf numFmtId="172" fontId="52" fillId="0" borderId="0" xfId="0" applyFont="1" applyAlignment="1">
      <alignment horizontal="right"/>
    </xf>
    <xf numFmtId="172" fontId="52" fillId="0" borderId="0" xfId="0" applyFont="1" applyAlignment="1">
      <alignment horizontal="center"/>
    </xf>
    <xf numFmtId="172" fontId="53" fillId="0" borderId="0" xfId="0" applyFont="1"/>
    <xf numFmtId="172" fontId="53" fillId="0" borderId="13" xfId="0" applyFont="1" applyBorder="1" applyAlignment="1">
      <alignment horizontal="center" wrapText="1"/>
    </xf>
    <xf numFmtId="172" fontId="53" fillId="0" borderId="14" xfId="0" applyFont="1" applyBorder="1"/>
    <xf numFmtId="172" fontId="53" fillId="0" borderId="14" xfId="0" applyFont="1" applyBorder="1" applyAlignment="1">
      <alignment horizontal="center" wrapText="1"/>
    </xf>
    <xf numFmtId="0" fontId="53" fillId="0" borderId="14" xfId="0" applyNumberFormat="1" applyFont="1" applyBorder="1" applyAlignment="1">
      <alignment horizontal="center" wrapText="1"/>
    </xf>
    <xf numFmtId="0" fontId="52" fillId="0" borderId="13" xfId="0" applyNumberFormat="1" applyFont="1" applyBorder="1"/>
    <xf numFmtId="0" fontId="52" fillId="0" borderId="14" xfId="0" applyNumberFormat="1" applyFont="1" applyBorder="1"/>
    <xf numFmtId="0" fontId="52" fillId="0" borderId="14" xfId="0" applyNumberFormat="1" applyFont="1" applyBorder="1" applyAlignment="1">
      <alignment horizontal="center"/>
    </xf>
    <xf numFmtId="0" fontId="52" fillId="0" borderId="16" xfId="0" applyNumberFormat="1" applyFont="1" applyBorder="1"/>
    <xf numFmtId="1" fontId="52" fillId="0" borderId="0" xfId="0" applyNumberFormat="1" applyFont="1" applyAlignment="1">
      <alignment horizontal="center"/>
    </xf>
    <xf numFmtId="172" fontId="54" fillId="0" borderId="0" xfId="0" applyFont="1"/>
    <xf numFmtId="172" fontId="56" fillId="0" borderId="0" xfId="0" applyFont="1"/>
    <xf numFmtId="172" fontId="53" fillId="0" borderId="14" xfId="0" applyFont="1" applyBorder="1" applyAlignment="1">
      <alignment horizontal="center"/>
    </xf>
    <xf numFmtId="0" fontId="52" fillId="0" borderId="0" xfId="82" applyFont="1" applyAlignment="1">
      <alignment horizontal="center" vertical="top"/>
    </xf>
    <xf numFmtId="0" fontId="52" fillId="20" borderId="0" xfId="0" applyNumberFormat="1" applyFont="1" applyFill="1" applyAlignment="1">
      <alignment horizontal="right"/>
    </xf>
    <xf numFmtId="172" fontId="74" fillId="0" borderId="0" xfId="0" applyFont="1" applyAlignment="1">
      <alignment vertical="center"/>
    </xf>
    <xf numFmtId="43" fontId="74" fillId="0" borderId="0" xfId="59" applyFont="1" applyAlignment="1">
      <alignment vertical="center"/>
    </xf>
    <xf numFmtId="0" fontId="74" fillId="0" borderId="0" xfId="0" applyNumberFormat="1" applyFont="1" applyAlignment="1">
      <alignment vertical="center"/>
    </xf>
    <xf numFmtId="0" fontId="74" fillId="20" borderId="0" xfId="0" applyNumberFormat="1" applyFont="1" applyFill="1" applyAlignment="1">
      <alignment vertical="center"/>
    </xf>
    <xf numFmtId="172" fontId="75" fillId="0" borderId="0" xfId="0" applyFont="1" applyAlignment="1">
      <alignment horizontal="right" vertical="center"/>
    </xf>
    <xf numFmtId="172" fontId="75" fillId="0" borderId="0" xfId="0" applyFont="1" applyAlignment="1">
      <alignment vertical="center"/>
    </xf>
    <xf numFmtId="172" fontId="74" fillId="0" borderId="0" xfId="0" applyFont="1" applyAlignment="1">
      <alignment horizontal="center" vertical="center"/>
    </xf>
    <xf numFmtId="172" fontId="75" fillId="0" borderId="0" xfId="0" applyFont="1" applyAlignment="1">
      <alignment horizontal="center" vertical="center"/>
    </xf>
    <xf numFmtId="172" fontId="76" fillId="0" borderId="0" xfId="0" applyFont="1" applyAlignment="1">
      <alignment horizontal="center" vertical="center"/>
    </xf>
    <xf numFmtId="172" fontId="78" fillId="0" borderId="0" xfId="0" applyFont="1" applyAlignment="1">
      <alignment horizontal="left" vertical="center"/>
    </xf>
    <xf numFmtId="0" fontId="75" fillId="0" borderId="0" xfId="0" applyNumberFormat="1" applyFont="1" applyAlignment="1">
      <alignment horizontal="center" vertical="center"/>
    </xf>
    <xf numFmtId="172" fontId="76" fillId="0" borderId="0" xfId="0" applyFont="1" applyAlignment="1">
      <alignment vertical="center"/>
    </xf>
    <xf numFmtId="43" fontId="74" fillId="0" borderId="0" xfId="59" applyFont="1" applyAlignment="1">
      <alignment horizontal="center" vertical="center"/>
    </xf>
    <xf numFmtId="49" fontId="74" fillId="0" borderId="0" xfId="0" applyNumberFormat="1" applyFont="1" applyAlignment="1">
      <alignment vertical="center"/>
    </xf>
    <xf numFmtId="172" fontId="77" fillId="0" borderId="0" xfId="0" applyFont="1" applyAlignment="1">
      <alignment horizontal="center" vertical="center"/>
    </xf>
    <xf numFmtId="172" fontId="75" fillId="0" borderId="0" xfId="0" applyFont="1" applyAlignment="1">
      <alignment horizontal="left" vertical="center"/>
    </xf>
    <xf numFmtId="172" fontId="77" fillId="0" borderId="0" xfId="0" applyFont="1" applyAlignment="1">
      <alignment horizontal="right" vertical="center"/>
    </xf>
    <xf numFmtId="49" fontId="74" fillId="0" borderId="0" xfId="0" applyNumberFormat="1" applyFont="1" applyAlignment="1">
      <alignment horizontal="center" vertical="center"/>
    </xf>
    <xf numFmtId="49" fontId="75" fillId="0" borderId="0" xfId="0" applyNumberFormat="1" applyFont="1" applyAlignment="1">
      <alignment horizontal="center" vertical="center"/>
    </xf>
    <xf numFmtId="164" fontId="74" fillId="0" borderId="0" xfId="85" applyNumberFormat="1" applyFont="1" applyAlignment="1">
      <alignment horizontal="center" vertical="center"/>
    </xf>
    <xf numFmtId="172" fontId="80" fillId="21" borderId="15" xfId="0" applyFont="1" applyFill="1" applyBorder="1" applyAlignment="1">
      <alignment vertical="center"/>
    </xf>
    <xf numFmtId="172" fontId="81" fillId="21" borderId="2" xfId="0" applyFont="1" applyFill="1" applyBorder="1" applyAlignment="1">
      <alignment vertical="center"/>
    </xf>
    <xf numFmtId="172" fontId="81" fillId="21" borderId="2" xfId="0" applyFont="1" applyFill="1" applyBorder="1" applyAlignment="1">
      <alignment horizontal="center" vertical="center"/>
    </xf>
    <xf numFmtId="172" fontId="81" fillId="21" borderId="20" xfId="0" applyFont="1" applyFill="1" applyBorder="1" applyAlignment="1">
      <alignment vertical="center"/>
    </xf>
    <xf numFmtId="172" fontId="74" fillId="0" borderId="16" xfId="0" applyFont="1" applyBorder="1" applyAlignment="1">
      <alignment vertical="center"/>
    </xf>
    <xf numFmtId="172" fontId="74" fillId="0" borderId="21" xfId="0" applyFont="1" applyBorder="1" applyAlignment="1">
      <alignment vertical="center"/>
    </xf>
    <xf numFmtId="172" fontId="74" fillId="0" borderId="17" xfId="0" applyFont="1" applyBorder="1" applyAlignment="1">
      <alignment vertical="center"/>
    </xf>
    <xf numFmtId="172" fontId="74" fillId="0" borderId="11" xfId="0" applyFont="1" applyBorder="1" applyAlignment="1">
      <alignment vertical="center"/>
    </xf>
    <xf numFmtId="173" fontId="52" fillId="20" borderId="0" xfId="63" applyNumberFormat="1" applyFont="1" applyFill="1" applyBorder="1" applyAlignment="1"/>
    <xf numFmtId="0" fontId="52" fillId="0" borderId="23" xfId="0" applyNumberFormat="1" applyFont="1" applyBorder="1" applyAlignment="1">
      <alignment horizontal="center"/>
    </xf>
    <xf numFmtId="172" fontId="79" fillId="0" borderId="0" xfId="0" applyFont="1" applyAlignment="1">
      <alignment horizontal="left" vertical="center"/>
    </xf>
    <xf numFmtId="172" fontId="52" fillId="0" borderId="0" xfId="0" applyFont="1" applyAlignment="1">
      <alignment vertical="center"/>
    </xf>
    <xf numFmtId="172" fontId="52" fillId="0" borderId="0" xfId="0" applyFont="1" applyAlignment="1">
      <alignment horizontal="right" vertical="center"/>
    </xf>
    <xf numFmtId="172" fontId="52" fillId="0" borderId="0" xfId="0" applyFont="1" applyAlignment="1">
      <alignment horizontal="center" vertical="center"/>
    </xf>
    <xf numFmtId="172" fontId="82" fillId="0" borderId="0" xfId="0" applyFont="1" applyProtection="1">
      <protection locked="0"/>
    </xf>
    <xf numFmtId="172" fontId="30" fillId="0" borderId="0" xfId="0" applyFont="1" applyProtection="1">
      <protection locked="0"/>
    </xf>
    <xf numFmtId="172" fontId="82" fillId="0" borderId="25" xfId="0" applyFont="1" applyBorder="1" applyAlignment="1" applyProtection="1">
      <alignment horizontal="center" wrapText="1"/>
      <protection locked="0"/>
    </xf>
    <xf numFmtId="172" fontId="82" fillId="0" borderId="25" xfId="0" applyFont="1" applyBorder="1" applyProtection="1">
      <protection locked="0"/>
    </xf>
    <xf numFmtId="172" fontId="82" fillId="0" borderId="0" xfId="0" applyFont="1" applyAlignment="1" applyProtection="1">
      <alignment horizontal="center"/>
      <protection locked="0"/>
    </xf>
    <xf numFmtId="176" fontId="82" fillId="0" borderId="0" xfId="0" applyNumberFormat="1" applyFont="1" applyProtection="1">
      <protection locked="0"/>
    </xf>
    <xf numFmtId="172" fontId="83" fillId="0" borderId="0" xfId="0" applyFont="1" applyAlignment="1" applyProtection="1">
      <alignment horizontal="center"/>
      <protection locked="0"/>
    </xf>
    <xf numFmtId="5" fontId="82" fillId="0" borderId="26" xfId="0" applyNumberFormat="1" applyFont="1" applyBorder="1" applyAlignment="1" applyProtection="1">
      <alignment horizontal="center"/>
      <protection locked="0"/>
    </xf>
    <xf numFmtId="176" fontId="82" fillId="0" borderId="6" xfId="0" applyNumberFormat="1" applyFont="1" applyBorder="1" applyProtection="1">
      <protection locked="0"/>
    </xf>
    <xf numFmtId="172" fontId="82" fillId="0" borderId="6" xfId="0" applyFont="1" applyBorder="1" applyAlignment="1" applyProtection="1">
      <alignment horizontal="center"/>
      <protection locked="0"/>
    </xf>
    <xf numFmtId="172" fontId="30" fillId="0" borderId="6" xfId="0" applyFont="1" applyBorder="1" applyProtection="1">
      <protection locked="0"/>
    </xf>
    <xf numFmtId="176" fontId="82" fillId="0" borderId="0" xfId="0" applyNumberFormat="1" applyFont="1" applyAlignment="1" applyProtection="1">
      <alignment horizontal="left"/>
      <protection locked="0"/>
    </xf>
    <xf numFmtId="176" fontId="82" fillId="0" borderId="0" xfId="0" applyNumberFormat="1" applyFont="1" applyAlignment="1" applyProtection="1">
      <alignment horizontal="center"/>
      <protection locked="0"/>
    </xf>
    <xf numFmtId="172" fontId="30" fillId="0" borderId="0" xfId="0" applyFont="1"/>
    <xf numFmtId="173" fontId="30" fillId="0" borderId="0" xfId="63" applyNumberFormat="1" applyFont="1" applyFill="1"/>
    <xf numFmtId="172" fontId="30" fillId="0" borderId="0" xfId="0" applyFont="1" applyAlignment="1" applyProtection="1">
      <alignment wrapText="1"/>
      <protection locked="0"/>
    </xf>
    <xf numFmtId="172" fontId="52" fillId="0" borderId="0" xfId="0" applyFont="1" applyAlignment="1">
      <alignment vertical="center" wrapText="1"/>
    </xf>
    <xf numFmtId="172" fontId="82" fillId="0" borderId="24" xfId="0" applyFont="1" applyBorder="1" applyAlignment="1" applyProtection="1">
      <alignment horizontal="center" vertical="center" wrapText="1"/>
      <protection locked="0"/>
    </xf>
    <xf numFmtId="172" fontId="82" fillId="0" borderId="0" xfId="0" applyFont="1" applyAlignment="1" applyProtection="1">
      <alignment horizontal="center" vertical="center" wrapText="1"/>
      <protection locked="0"/>
    </xf>
    <xf numFmtId="176" fontId="75" fillId="20" borderId="0" xfId="59" applyNumberFormat="1" applyFont="1" applyFill="1" applyAlignment="1">
      <alignment horizontal="center" vertical="center"/>
    </xf>
    <xf numFmtId="176" fontId="75" fillId="0" borderId="0" xfId="59" applyNumberFormat="1" applyFont="1" applyAlignment="1">
      <alignment vertical="center"/>
    </xf>
    <xf numFmtId="176" fontId="75" fillId="0" borderId="0" xfId="59" applyNumberFormat="1" applyFont="1" applyAlignment="1">
      <alignment horizontal="center" vertical="center"/>
    </xf>
    <xf numFmtId="176" fontId="75" fillId="20" borderId="0" xfId="59" applyNumberFormat="1" applyFont="1" applyFill="1" applyBorder="1" applyAlignment="1">
      <alignment horizontal="center" vertical="center"/>
    </xf>
    <xf numFmtId="176" fontId="75" fillId="0" borderId="0" xfId="59" applyNumberFormat="1" applyFont="1" applyBorder="1" applyAlignment="1">
      <alignment horizontal="center" vertical="center"/>
    </xf>
    <xf numFmtId="176" fontId="75" fillId="0" borderId="11" xfId="59" applyNumberFormat="1" applyFont="1" applyBorder="1" applyAlignment="1">
      <alignment horizontal="center" vertical="center"/>
    </xf>
    <xf numFmtId="176" fontId="75" fillId="20" borderId="6" xfId="59" applyNumberFormat="1" applyFont="1" applyFill="1" applyBorder="1" applyAlignment="1">
      <alignment horizontal="center" vertical="center"/>
    </xf>
    <xf numFmtId="176" fontId="75" fillId="0" borderId="0" xfId="59" applyNumberFormat="1" applyFont="1" applyFill="1" applyAlignment="1">
      <alignment horizontal="center" vertical="center"/>
    </xf>
    <xf numFmtId="181" fontId="52" fillId="0" borderId="0" xfId="59" applyNumberFormat="1" applyFont="1" applyFill="1" applyAlignment="1">
      <alignment horizontal="right"/>
    </xf>
    <xf numFmtId="0" fontId="84" fillId="0" borderId="0" xfId="129" applyFont="1"/>
    <xf numFmtId="0" fontId="85" fillId="0" borderId="0" xfId="129" applyFont="1"/>
    <xf numFmtId="0" fontId="84" fillId="0" borderId="0" xfId="129" applyFont="1" applyAlignment="1">
      <alignment horizontal="left" vertical="center"/>
    </xf>
    <xf numFmtId="0" fontId="20" fillId="0" borderId="0" xfId="129" applyAlignment="1">
      <alignment vertical="center"/>
    </xf>
    <xf numFmtId="3" fontId="52" fillId="20" borderId="0" xfId="82" applyNumberFormat="1" applyFont="1" applyFill="1"/>
    <xf numFmtId="173" fontId="52" fillId="20" borderId="11" xfId="63" applyNumberFormat="1" applyFont="1" applyFill="1" applyBorder="1" applyAlignment="1"/>
    <xf numFmtId="172" fontId="87" fillId="0" borderId="0" xfId="0" applyFont="1" applyAlignment="1">
      <alignment vertical="center"/>
    </xf>
    <xf numFmtId="172" fontId="88" fillId="0" borderId="0" xfId="0" applyFont="1" applyAlignment="1">
      <alignment horizontal="center" vertical="center"/>
    </xf>
    <xf numFmtId="1" fontId="74" fillId="0" borderId="0" xfId="0" applyNumberFormat="1" applyFont="1" applyAlignment="1">
      <alignment horizontal="right" vertical="center"/>
    </xf>
    <xf numFmtId="172" fontId="89" fillId="0" borderId="0" xfId="0" applyFont="1" applyAlignment="1">
      <alignment horizontal="center" vertical="center"/>
    </xf>
    <xf numFmtId="0" fontId="47" fillId="0" borderId="0" xfId="129" applyFont="1"/>
    <xf numFmtId="0" fontId="84" fillId="0" borderId="0" xfId="129" applyFont="1" applyAlignment="1">
      <alignment horizontal="center"/>
    </xf>
    <xf numFmtId="0" fontId="84" fillId="0" borderId="0" xfId="129" applyFont="1" applyAlignment="1">
      <alignment horizontal="center" wrapText="1"/>
    </xf>
    <xf numFmtId="0" fontId="85" fillId="0" borderId="6" xfId="129" applyFont="1" applyBorder="1"/>
    <xf numFmtId="10" fontId="84" fillId="20" borderId="0" xfId="129" applyNumberFormat="1" applyFont="1" applyFill="1"/>
    <xf numFmtId="0" fontId="84" fillId="0" borderId="0" xfId="129" applyFont="1" applyAlignment="1">
      <alignment horizontal="right" wrapText="1"/>
    </xf>
    <xf numFmtId="164" fontId="84" fillId="0" borderId="27" xfId="129" applyNumberFormat="1" applyFont="1" applyBorder="1"/>
    <xf numFmtId="172" fontId="74" fillId="0" borderId="0" xfId="0" applyFont="1" applyAlignment="1">
      <alignment horizontal="center" vertical="top"/>
    </xf>
    <xf numFmtId="176" fontId="75" fillId="20" borderId="0" xfId="59" applyNumberFormat="1" applyFont="1" applyFill="1" applyAlignment="1">
      <alignment horizontal="left" vertical="center"/>
    </xf>
    <xf numFmtId="0" fontId="19" fillId="0" borderId="0" xfId="129" applyFont="1" applyAlignment="1">
      <alignment vertical="center"/>
    </xf>
    <xf numFmtId="0" fontId="23" fillId="0" borderId="0" xfId="132"/>
    <xf numFmtId="0" fontId="91" fillId="0" borderId="0" xfId="132" applyFont="1"/>
    <xf numFmtId="0" fontId="30" fillId="0" borderId="0" xfId="132" applyFont="1"/>
    <xf numFmtId="0" fontId="30" fillId="0" borderId="0" xfId="132" applyFont="1" applyAlignment="1">
      <alignment horizontal="center"/>
    </xf>
    <xf numFmtId="3" fontId="30" fillId="0" borderId="0" xfId="132" applyNumberFormat="1" applyFont="1"/>
    <xf numFmtId="176" fontId="30" fillId="0" borderId="0" xfId="133" applyNumberFormat="1" applyFont="1" applyFill="1"/>
    <xf numFmtId="0" fontId="94" fillId="22" borderId="0" xfId="132" applyFont="1" applyFill="1"/>
    <xf numFmtId="0" fontId="30" fillId="22" borderId="0" xfId="132" applyFont="1" applyFill="1"/>
    <xf numFmtId="0" fontId="94" fillId="0" borderId="0" xfId="132" applyFont="1"/>
    <xf numFmtId="0" fontId="25" fillId="0" borderId="0" xfId="132" applyFont="1" applyAlignment="1">
      <alignment horizontal="center"/>
    </xf>
    <xf numFmtId="0" fontId="30" fillId="0" borderId="0" xfId="132" applyFont="1" applyAlignment="1">
      <alignment wrapText="1"/>
    </xf>
    <xf numFmtId="0" fontId="30" fillId="0" borderId="0" xfId="132" applyFont="1" applyAlignment="1">
      <alignment horizontal="left"/>
    </xf>
    <xf numFmtId="3" fontId="30" fillId="0" borderId="0" xfId="132" applyNumberFormat="1" applyFont="1" applyAlignment="1">
      <alignment horizontal="left"/>
    </xf>
    <xf numFmtId="3" fontId="25" fillId="0" borderId="0" xfId="132" applyNumberFormat="1" applyFont="1" applyAlignment="1">
      <alignment horizontal="left"/>
    </xf>
    <xf numFmtId="0" fontId="25" fillId="0" borderId="0" xfId="132" applyFont="1" applyAlignment="1">
      <alignment horizontal="left"/>
    </xf>
    <xf numFmtId="3" fontId="30" fillId="0" borderId="11" xfId="132" applyNumberFormat="1" applyFont="1" applyBorder="1"/>
    <xf numFmtId="3" fontId="30" fillId="0" borderId="11" xfId="132" applyNumberFormat="1" applyFont="1" applyBorder="1" applyAlignment="1">
      <alignment horizontal="left"/>
    </xf>
    <xf numFmtId="0" fontId="30" fillId="0" borderId="2" xfId="132" applyFont="1" applyBorder="1"/>
    <xf numFmtId="0" fontId="25" fillId="0" borderId="2" xfId="132" applyFont="1" applyBorder="1"/>
    <xf numFmtId="3" fontId="30" fillId="0" borderId="2" xfId="132" applyNumberFormat="1" applyFont="1" applyBorder="1"/>
    <xf numFmtId="3" fontId="30" fillId="0" borderId="0" xfId="132" applyNumberFormat="1" applyFont="1" applyAlignment="1">
      <alignment horizontal="center"/>
    </xf>
    <xf numFmtId="180" fontId="30" fillId="0" borderId="0" xfId="134" applyNumberFormat="1" applyFont="1" applyFill="1" applyBorder="1" applyAlignment="1"/>
    <xf numFmtId="169" fontId="30" fillId="0" borderId="0" xfId="132" applyNumberFormat="1" applyFont="1"/>
    <xf numFmtId="3" fontId="30" fillId="0" borderId="0" xfId="132" quotePrefix="1" applyNumberFormat="1" applyFont="1" applyAlignment="1">
      <alignment horizontal="right"/>
    </xf>
    <xf numFmtId="0" fontId="30" fillId="0" borderId="0" xfId="132" applyFont="1" applyAlignment="1">
      <alignment horizontal="right"/>
    </xf>
    <xf numFmtId="0" fontId="30" fillId="0" borderId="11" xfId="132" applyFont="1" applyBorder="1" applyAlignment="1">
      <alignment horizontal="left"/>
    </xf>
    <xf numFmtId="0" fontId="30" fillId="0" borderId="11" xfId="132" applyFont="1" applyBorder="1"/>
    <xf numFmtId="3" fontId="30" fillId="0" borderId="11" xfId="132" applyNumberFormat="1" applyFont="1" applyBorder="1" applyAlignment="1">
      <alignment horizontal="right"/>
    </xf>
    <xf numFmtId="169" fontId="30" fillId="0" borderId="11" xfId="132" applyNumberFormat="1" applyFont="1" applyBorder="1"/>
    <xf numFmtId="0" fontId="25" fillId="0" borderId="0" xfId="132" applyFont="1"/>
    <xf numFmtId="3" fontId="25" fillId="0" borderId="0" xfId="132" quotePrefix="1" applyNumberFormat="1" applyFont="1" applyAlignment="1">
      <alignment horizontal="right"/>
    </xf>
    <xf numFmtId="169" fontId="25" fillId="0" borderId="0" xfId="132" applyNumberFormat="1" applyFont="1"/>
    <xf numFmtId="0" fontId="25" fillId="0" borderId="27" xfId="132" applyFont="1" applyBorder="1"/>
    <xf numFmtId="0" fontId="30" fillId="0" borderId="27" xfId="132" applyFont="1" applyBorder="1"/>
    <xf numFmtId="3" fontId="25" fillId="0" borderId="27" xfId="132" applyNumberFormat="1" applyFont="1" applyBorder="1" applyAlignment="1">
      <alignment horizontal="left"/>
    </xf>
    <xf numFmtId="166" fontId="25" fillId="0" borderId="27" xfId="132" applyNumberFormat="1" applyFont="1" applyBorder="1" applyAlignment="1">
      <alignment horizontal="center"/>
    </xf>
    <xf numFmtId="3" fontId="25" fillId="0" borderId="27" xfId="132" applyNumberFormat="1" applyFont="1" applyBorder="1"/>
    <xf numFmtId="0" fontId="95" fillId="22" borderId="0" xfId="132" applyFont="1" applyFill="1" applyAlignment="1">
      <alignment horizontal="left"/>
    </xf>
    <xf numFmtId="0" fontId="95" fillId="22" borderId="0" xfId="132" applyFont="1" applyFill="1"/>
    <xf numFmtId="0" fontId="96" fillId="22" borderId="0" xfId="132" applyFont="1" applyFill="1" applyAlignment="1">
      <alignment horizontal="left"/>
    </xf>
    <xf numFmtId="0" fontId="96" fillId="22" borderId="0" xfId="132" applyFont="1" applyFill="1" applyAlignment="1">
      <alignment horizontal="center"/>
    </xf>
    <xf numFmtId="0" fontId="30" fillId="22" borderId="0" xfId="132" applyFont="1" applyFill="1" applyAlignment="1">
      <alignment horizontal="center" wrapText="1"/>
    </xf>
    <xf numFmtId="180" fontId="25" fillId="0" borderId="0" xfId="134" applyNumberFormat="1" applyFont="1" applyAlignment="1"/>
    <xf numFmtId="164" fontId="25" fillId="0" borderId="0" xfId="132" applyNumberFormat="1" applyFont="1" applyAlignment="1">
      <alignment horizontal="left"/>
    </xf>
    <xf numFmtId="166" fontId="30" fillId="0" borderId="0" xfId="132" applyNumberFormat="1" applyFont="1" applyAlignment="1">
      <alignment horizontal="center"/>
    </xf>
    <xf numFmtId="0" fontId="63" fillId="0" borderId="0" xfId="132" applyFont="1"/>
    <xf numFmtId="10" fontId="63" fillId="0" borderId="0" xfId="132" applyNumberFormat="1" applyFont="1"/>
    <xf numFmtId="172" fontId="30" fillId="0" borderId="0" xfId="132" applyNumberFormat="1" applyFont="1"/>
    <xf numFmtId="43" fontId="63" fillId="0" borderId="0" xfId="132" applyNumberFormat="1" applyFont="1"/>
    <xf numFmtId="164" fontId="30" fillId="0" borderId="0" xfId="132" applyNumberFormat="1" applyFont="1" applyAlignment="1">
      <alignment horizontal="left"/>
    </xf>
    <xf numFmtId="10" fontId="30" fillId="0" borderId="0" xfId="132" applyNumberFormat="1" applyFont="1"/>
    <xf numFmtId="164" fontId="30" fillId="0" borderId="0" xfId="132" applyNumberFormat="1" applyFont="1" applyAlignment="1">
      <alignment horizontal="center"/>
    </xf>
    <xf numFmtId="10" fontId="30" fillId="0" borderId="0" xfId="132" applyNumberFormat="1" applyFont="1" applyAlignment="1">
      <alignment horizontal="right"/>
    </xf>
    <xf numFmtId="10" fontId="93" fillId="0" borderId="0" xfId="132" applyNumberFormat="1" applyFont="1" applyAlignment="1">
      <alignment horizontal="right"/>
    </xf>
    <xf numFmtId="3" fontId="97" fillId="0" borderId="0" xfId="132" applyNumberFormat="1" applyFont="1" applyAlignment="1">
      <alignment horizontal="right"/>
    </xf>
    <xf numFmtId="3" fontId="98" fillId="0" borderId="0" xfId="132" applyNumberFormat="1" applyFont="1" applyAlignment="1">
      <alignment horizontal="right"/>
    </xf>
    <xf numFmtId="3" fontId="30" fillId="0" borderId="0" xfId="132" applyNumberFormat="1" applyFont="1" applyAlignment="1">
      <alignment horizontal="right"/>
    </xf>
    <xf numFmtId="166" fontId="30" fillId="0" borderId="0" xfId="132" applyNumberFormat="1" applyFont="1"/>
    <xf numFmtId="182" fontId="30" fillId="0" borderId="0" xfId="134" applyNumberFormat="1" applyFont="1" applyFill="1" applyAlignment="1">
      <alignment horizontal="right"/>
    </xf>
    <xf numFmtId="0" fontId="92" fillId="0" borderId="0" xfId="132" applyFont="1"/>
    <xf numFmtId="43" fontId="30" fillId="0" borderId="0" xfId="59" applyFont="1" applyFill="1" applyAlignment="1">
      <alignment horizontal="right"/>
    </xf>
    <xf numFmtId="43" fontId="30" fillId="0" borderId="28" xfId="59" applyFont="1" applyFill="1" applyBorder="1" applyAlignment="1">
      <alignment horizontal="right"/>
    </xf>
    <xf numFmtId="10" fontId="63" fillId="0" borderId="0" xfId="85" applyNumberFormat="1" applyFont="1" applyFill="1"/>
    <xf numFmtId="164" fontId="25" fillId="0" borderId="18" xfId="132" applyNumberFormat="1" applyFont="1" applyBorder="1" applyAlignment="1">
      <alignment horizontal="left"/>
    </xf>
    <xf numFmtId="0" fontId="25" fillId="0" borderId="18" xfId="132" applyFont="1" applyBorder="1"/>
    <xf numFmtId="0" fontId="25" fillId="0" borderId="18" xfId="132" applyFont="1" applyBorder="1" applyAlignment="1">
      <alignment horizontal="center"/>
    </xf>
    <xf numFmtId="3" fontId="25" fillId="0" borderId="18" xfId="132" applyNumberFormat="1" applyFont="1" applyBorder="1"/>
    <xf numFmtId="166" fontId="25" fillId="0" borderId="18" xfId="132" applyNumberFormat="1" applyFont="1" applyBorder="1"/>
    <xf numFmtId="3" fontId="25" fillId="0" borderId="18" xfId="133" applyNumberFormat="1" applyFont="1" applyFill="1" applyBorder="1" applyAlignment="1">
      <alignment horizontal="right"/>
    </xf>
    <xf numFmtId="0" fontId="77" fillId="0" borderId="0" xfId="0" applyNumberFormat="1" applyFont="1" applyAlignment="1">
      <alignment horizontal="center" vertical="center"/>
    </xf>
    <xf numFmtId="0" fontId="23" fillId="0" borderId="0" xfId="80" applyFont="1"/>
    <xf numFmtId="0" fontId="99" fillId="0" borderId="0" xfId="80" applyFont="1" applyAlignment="1">
      <alignment horizontal="left"/>
    </xf>
    <xf numFmtId="0" fontId="23" fillId="0" borderId="0" xfId="80" applyFont="1" applyAlignment="1">
      <alignment horizontal="center"/>
    </xf>
    <xf numFmtId="3" fontId="30" fillId="0" borderId="0" xfId="80" applyNumberFormat="1" applyFont="1"/>
    <xf numFmtId="172" fontId="23" fillId="0" borderId="0" xfId="0" applyFont="1"/>
    <xf numFmtId="172" fontId="51" fillId="0" borderId="0" xfId="0" applyFont="1"/>
    <xf numFmtId="170" fontId="23" fillId="0" borderId="0" xfId="0" applyNumberFormat="1" applyFont="1"/>
    <xf numFmtId="43" fontId="23" fillId="0" borderId="0" xfId="59" applyFont="1" applyFill="1" applyBorder="1" applyAlignment="1"/>
    <xf numFmtId="176" fontId="23" fillId="0" borderId="0" xfId="59" applyNumberFormat="1" applyFont="1" applyFill="1" applyBorder="1" applyAlignment="1"/>
    <xf numFmtId="183" fontId="23" fillId="0" borderId="0" xfId="0" applyNumberFormat="1" applyFont="1" applyAlignment="1">
      <alignment horizontal="right"/>
    </xf>
    <xf numFmtId="43" fontId="100" fillId="0" borderId="0" xfId="59" applyFont="1" applyFill="1" applyBorder="1" applyAlignment="1">
      <alignment horizontal="right"/>
    </xf>
    <xf numFmtId="184" fontId="30" fillId="0" borderId="0" xfId="59" applyNumberFormat="1" applyFont="1" applyFill="1" applyAlignment="1">
      <alignment horizontal="right"/>
    </xf>
    <xf numFmtId="0" fontId="95" fillId="0" borderId="0" xfId="132" applyFont="1" applyAlignment="1">
      <alignment horizontal="left"/>
    </xf>
    <xf numFmtId="0" fontId="95" fillId="0" borderId="0" xfId="132" applyFont="1"/>
    <xf numFmtId="0" fontId="96" fillId="0" borderId="0" xfId="132" applyFont="1" applyAlignment="1">
      <alignment horizontal="left"/>
    </xf>
    <xf numFmtId="0" fontId="96" fillId="0" borderId="0" xfId="132" applyFont="1" applyAlignment="1">
      <alignment horizontal="center"/>
    </xf>
    <xf numFmtId="0" fontId="30" fillId="0" borderId="0" xfId="132" applyFont="1" applyAlignment="1">
      <alignment horizontal="center" wrapText="1"/>
    </xf>
    <xf numFmtId="43" fontId="30" fillId="0" borderId="0" xfId="132" applyNumberFormat="1" applyFont="1" applyAlignment="1">
      <alignment horizontal="right"/>
    </xf>
    <xf numFmtId="164" fontId="30" fillId="0" borderId="0" xfId="0" applyNumberFormat="1" applyFont="1" applyAlignment="1">
      <alignment horizontal="left"/>
    </xf>
    <xf numFmtId="0" fontId="30" fillId="0" borderId="0" xfId="0" applyNumberFormat="1" applyFont="1"/>
    <xf numFmtId="0" fontId="101" fillId="0" borderId="0" xfId="132" applyFont="1"/>
    <xf numFmtId="0" fontId="23" fillId="0" borderId="0" xfId="132" applyAlignment="1">
      <alignment horizontal="centerContinuous"/>
    </xf>
    <xf numFmtId="0" fontId="47" fillId="0" borderId="0" xfId="132" applyFont="1"/>
    <xf numFmtId="0" fontId="47" fillId="0" borderId="0" xfId="132" applyFont="1" applyAlignment="1">
      <alignment horizontal="center"/>
    </xf>
    <xf numFmtId="176" fontId="23" fillId="0" borderId="0" xfId="59" applyNumberFormat="1" applyFont="1" applyBorder="1"/>
    <xf numFmtId="176" fontId="23" fillId="0" borderId="0" xfId="59" applyNumberFormat="1" applyFont="1"/>
    <xf numFmtId="176" fontId="23" fillId="0" borderId="0" xfId="132" applyNumberFormat="1"/>
    <xf numFmtId="176" fontId="23" fillId="0" borderId="11" xfId="59" applyNumberFormat="1" applyFont="1" applyBorder="1"/>
    <xf numFmtId="176" fontId="23" fillId="0" borderId="0" xfId="59" applyNumberFormat="1" applyFont="1" applyFill="1" applyBorder="1"/>
    <xf numFmtId="0" fontId="23" fillId="0" borderId="0" xfId="132" applyAlignment="1">
      <alignment horizontal="center"/>
    </xf>
    <xf numFmtId="0" fontId="73" fillId="0" borderId="0" xfId="132" applyFont="1"/>
    <xf numFmtId="176" fontId="102" fillId="0" borderId="0" xfId="59" applyNumberFormat="1" applyFont="1" applyBorder="1"/>
    <xf numFmtId="176" fontId="23" fillId="0" borderId="0" xfId="59" applyNumberFormat="1" applyFont="1" applyFill="1"/>
    <xf numFmtId="0" fontId="103" fillId="0" borderId="0" xfId="132" applyFont="1"/>
    <xf numFmtId="176" fontId="102" fillId="0" borderId="0" xfId="59" applyNumberFormat="1" applyFont="1" applyFill="1" applyBorder="1"/>
    <xf numFmtId="176" fontId="23" fillId="0" borderId="0" xfId="59" applyNumberFormat="1" applyFont="1" applyFill="1" applyAlignment="1">
      <alignment horizontal="center"/>
    </xf>
    <xf numFmtId="176" fontId="23" fillId="0" borderId="0" xfId="59" applyNumberFormat="1" applyFont="1" applyFill="1" applyBorder="1" applyAlignment="1">
      <alignment horizontal="center"/>
    </xf>
    <xf numFmtId="176" fontId="104" fillId="0" borderId="0" xfId="59" applyNumberFormat="1" applyFont="1" applyFill="1" applyBorder="1"/>
    <xf numFmtId="176" fontId="105" fillId="0" borderId="0" xfId="59" applyNumberFormat="1" applyFont="1" applyFill="1" applyBorder="1"/>
    <xf numFmtId="176" fontId="105" fillId="0" borderId="0" xfId="59" applyNumberFormat="1" applyFont="1" applyFill="1" applyBorder="1" applyAlignment="1">
      <alignment horizontal="left"/>
    </xf>
    <xf numFmtId="176" fontId="23" fillId="0" borderId="0" xfId="59" applyNumberFormat="1" applyFont="1" applyAlignment="1">
      <alignment wrapText="1"/>
    </xf>
    <xf numFmtId="176" fontId="47" fillId="0" borderId="0" xfId="59" applyNumberFormat="1" applyFont="1"/>
    <xf numFmtId="176" fontId="47" fillId="0" borderId="0" xfId="59" applyNumberFormat="1" applyFont="1" applyFill="1" applyAlignment="1">
      <alignment horizontal="center"/>
    </xf>
    <xf numFmtId="176" fontId="73" fillId="0" borderId="0" xfId="59" applyNumberFormat="1" applyFont="1"/>
    <xf numFmtId="43" fontId="23" fillId="0" borderId="0" xfId="132" applyNumberFormat="1"/>
    <xf numFmtId="0" fontId="100" fillId="0" borderId="0" xfId="132" applyFont="1"/>
    <xf numFmtId="176" fontId="104" fillId="0" borderId="0" xfId="59" applyNumberFormat="1" applyFont="1" applyFill="1" applyBorder="1" applyAlignment="1">
      <alignment horizontal="left"/>
    </xf>
    <xf numFmtId="0" fontId="47" fillId="0" borderId="0" xfId="132" applyFont="1" applyAlignment="1">
      <alignment horizontal="left"/>
    </xf>
    <xf numFmtId="176" fontId="47" fillId="0" borderId="0" xfId="59" applyNumberFormat="1" applyFont="1" applyFill="1" applyBorder="1"/>
    <xf numFmtId="37" fontId="23" fillId="0" borderId="0" xfId="132" applyNumberFormat="1"/>
    <xf numFmtId="43" fontId="30" fillId="0" borderId="0" xfId="132" applyNumberFormat="1" applyFont="1"/>
    <xf numFmtId="172" fontId="74" fillId="0" borderId="0" xfId="0" applyFont="1" applyAlignment="1">
      <alignment horizontal="left" vertical="center"/>
    </xf>
    <xf numFmtId="3" fontId="52" fillId="0" borderId="0" xfId="0" applyNumberFormat="1" applyFont="1" applyProtection="1">
      <protection locked="0"/>
    </xf>
    <xf numFmtId="0" fontId="52" fillId="0" borderId="0" xfId="0" applyNumberFormat="1" applyFont="1" applyProtection="1">
      <protection locked="0"/>
    </xf>
    <xf numFmtId="17" fontId="53" fillId="0" borderId="14" xfId="0" applyNumberFormat="1" applyFont="1" applyBorder="1" applyAlignment="1">
      <alignment horizontal="center" wrapText="1"/>
    </xf>
    <xf numFmtId="17" fontId="53" fillId="21" borderId="14" xfId="0" applyNumberFormat="1" applyFont="1" applyFill="1" applyBorder="1" applyAlignment="1">
      <alignment horizontal="center" wrapText="1"/>
    </xf>
    <xf numFmtId="172" fontId="0" fillId="21" borderId="14" xfId="0" applyFill="1" applyBorder="1"/>
    <xf numFmtId="17" fontId="53" fillId="0" borderId="0" xfId="0" applyNumberFormat="1" applyFont="1" applyAlignment="1">
      <alignment horizontal="center" wrapText="1"/>
    </xf>
    <xf numFmtId="0" fontId="53" fillId="0" borderId="23" xfId="0" applyNumberFormat="1" applyFont="1" applyBorder="1" applyAlignment="1">
      <alignment horizontal="center" wrapText="1"/>
    </xf>
    <xf numFmtId="172" fontId="0" fillId="21" borderId="0" xfId="0" applyFill="1"/>
    <xf numFmtId="172" fontId="0" fillId="0" borderId="21" xfId="0" applyBorder="1"/>
    <xf numFmtId="172" fontId="0" fillId="0" borderId="16" xfId="0" applyBorder="1"/>
    <xf numFmtId="172" fontId="0" fillId="0" borderId="17" xfId="0" applyBorder="1"/>
    <xf numFmtId="172" fontId="0" fillId="0" borderId="11" xfId="0" applyBorder="1"/>
    <xf numFmtId="172" fontId="0" fillId="0" borderId="22" xfId="0" applyBorder="1"/>
    <xf numFmtId="180" fontId="23" fillId="0" borderId="0" xfId="85" applyNumberFormat="1" applyFont="1" applyFill="1"/>
    <xf numFmtId="10" fontId="23" fillId="0" borderId="0" xfId="85" applyNumberFormat="1" applyFont="1"/>
    <xf numFmtId="43" fontId="109" fillId="0" borderId="0" xfId="132" applyNumberFormat="1" applyFont="1"/>
    <xf numFmtId="176" fontId="109" fillId="0" borderId="0" xfId="132" applyNumberFormat="1" applyFont="1"/>
    <xf numFmtId="0" fontId="23" fillId="0" borderId="0" xfId="132" applyAlignment="1">
      <alignment horizontal="center" vertical="center"/>
    </xf>
    <xf numFmtId="172" fontId="88" fillId="0" borderId="0" xfId="0" applyFont="1" applyAlignment="1">
      <alignment horizontal="center" vertical="center" wrapText="1"/>
    </xf>
    <xf numFmtId="0" fontId="22" fillId="0" borderId="0" xfId="137" applyFont="1"/>
    <xf numFmtId="0" fontId="25" fillId="0" borderId="0" xfId="137" applyFont="1"/>
    <xf numFmtId="0" fontId="25" fillId="0" borderId="0" xfId="137" applyFont="1" applyAlignment="1">
      <alignment horizontal="left"/>
    </xf>
    <xf numFmtId="0" fontId="25" fillId="0" borderId="32" xfId="137" applyFont="1" applyBorder="1" applyAlignment="1">
      <alignment horizontal="left"/>
    </xf>
    <xf numFmtId="0" fontId="25" fillId="0" borderId="0" xfId="137" applyFont="1" applyAlignment="1">
      <alignment horizontal="center"/>
    </xf>
    <xf numFmtId="0" fontId="111" fillId="0" borderId="0" xfId="137" applyFont="1"/>
    <xf numFmtId="0" fontId="23" fillId="0" borderId="0" xfId="137" applyFont="1"/>
    <xf numFmtId="44" fontId="25" fillId="0" borderId="0" xfId="137" applyNumberFormat="1" applyFont="1"/>
    <xf numFmtId="0" fontId="111" fillId="0" borderId="32" xfId="137" applyFont="1" applyBorder="1"/>
    <xf numFmtId="0" fontId="18" fillId="0" borderId="0" xfId="148"/>
    <xf numFmtId="0" fontId="112" fillId="0" borderId="0" xfId="148" applyFont="1" applyAlignment="1">
      <alignment horizontal="center"/>
    </xf>
    <xf numFmtId="0" fontId="18" fillId="0" borderId="35" xfId="148" applyBorder="1"/>
    <xf numFmtId="0" fontId="18" fillId="0" borderId="36" xfId="148" applyBorder="1"/>
    <xf numFmtId="0" fontId="18" fillId="0" borderId="37" xfId="148" applyBorder="1"/>
    <xf numFmtId="37" fontId="18" fillId="0" borderId="0" xfId="148" applyNumberFormat="1"/>
    <xf numFmtId="37" fontId="112" fillId="0" borderId="0" xfId="148" applyNumberFormat="1" applyFont="1"/>
    <xf numFmtId="37" fontId="112" fillId="0" borderId="34" xfId="148" applyNumberFormat="1" applyFont="1" applyBorder="1"/>
    <xf numFmtId="37" fontId="18" fillId="0" borderId="33" xfId="148" applyNumberFormat="1" applyBorder="1"/>
    <xf numFmtId="37" fontId="18" fillId="0" borderId="34" xfId="148" applyNumberFormat="1" applyBorder="1"/>
    <xf numFmtId="172" fontId="52" fillId="0" borderId="16" xfId="0" quotePrefix="1" applyFont="1" applyBorder="1" applyAlignment="1">
      <alignment horizontal="center"/>
    </xf>
    <xf numFmtId="176" fontId="52" fillId="0" borderId="0" xfId="59" applyNumberFormat="1" applyFont="1" applyAlignment="1">
      <alignment horizontal="center" vertical="center"/>
    </xf>
    <xf numFmtId="176" fontId="25" fillId="0" borderId="0" xfId="59" applyNumberFormat="1" applyFont="1" applyAlignment="1">
      <alignment horizontal="center"/>
    </xf>
    <xf numFmtId="170" fontId="23" fillId="0" borderId="0" xfId="0" applyNumberFormat="1" applyFont="1" applyAlignment="1">
      <alignment horizontal="right"/>
    </xf>
    <xf numFmtId="176" fontId="23" fillId="20" borderId="0" xfId="59" applyNumberFormat="1" applyFont="1" applyFill="1" applyAlignment="1">
      <alignment horizontal="right"/>
    </xf>
    <xf numFmtId="0" fontId="30" fillId="0" borderId="0" xfId="0" applyNumberFormat="1" applyFont="1" applyAlignment="1">
      <alignment horizontal="right"/>
    </xf>
    <xf numFmtId="172" fontId="25" fillId="0" borderId="0" xfId="0" applyFont="1"/>
    <xf numFmtId="0" fontId="30" fillId="0" borderId="0" xfId="0" applyNumberFormat="1" applyFont="1" applyAlignment="1" applyProtection="1">
      <alignment horizontal="center"/>
      <protection locked="0"/>
    </xf>
    <xf numFmtId="49" fontId="30" fillId="0" borderId="0" xfId="0" applyNumberFormat="1" applyFont="1"/>
    <xf numFmtId="172" fontId="30" fillId="0" borderId="16" xfId="0" applyFont="1" applyBorder="1"/>
    <xf numFmtId="0" fontId="30" fillId="0" borderId="0" xfId="0" applyNumberFormat="1" applyFont="1" applyAlignment="1">
      <alignment horizontal="center"/>
    </xf>
    <xf numFmtId="49" fontId="30" fillId="0" borderId="0" xfId="0" applyNumberFormat="1" applyFont="1" applyAlignment="1">
      <alignment horizontal="center"/>
    </xf>
    <xf numFmtId="3" fontId="25" fillId="0" borderId="0" xfId="0" applyNumberFormat="1" applyFont="1" applyAlignment="1">
      <alignment horizontal="center"/>
    </xf>
    <xf numFmtId="3" fontId="30" fillId="0" borderId="0" xfId="0" applyNumberFormat="1" applyFont="1"/>
    <xf numFmtId="172" fontId="25" fillId="0" borderId="0" xfId="0" applyFont="1" applyAlignment="1">
      <alignment horizontal="center"/>
    </xf>
    <xf numFmtId="0" fontId="25" fillId="0" borderId="0" xfId="0" applyNumberFormat="1" applyFont="1" applyAlignment="1" applyProtection="1">
      <alignment horizontal="center"/>
      <protection locked="0"/>
    </xf>
    <xf numFmtId="0" fontId="25" fillId="0" borderId="0" xfId="0" applyNumberFormat="1" applyFont="1"/>
    <xf numFmtId="0" fontId="111" fillId="0" borderId="0" xfId="0" applyNumberFormat="1" applyFont="1" applyAlignment="1" applyProtection="1">
      <alignment horizontal="center"/>
      <protection locked="0"/>
    </xf>
    <xf numFmtId="3" fontId="30" fillId="0" borderId="0" xfId="0" applyNumberFormat="1" applyFont="1" applyAlignment="1">
      <alignment horizontal="center"/>
    </xf>
    <xf numFmtId="173" fontId="30" fillId="0" borderId="0" xfId="63" applyNumberFormat="1" applyFont="1" applyFill="1" applyBorder="1" applyAlignment="1"/>
    <xf numFmtId="177" fontId="30" fillId="0" borderId="0" xfId="0" applyNumberFormat="1" applyFont="1"/>
    <xf numFmtId="177" fontId="30" fillId="0" borderId="0" xfId="85" applyNumberFormat="1" applyFont="1" applyFill="1" applyBorder="1" applyAlignment="1"/>
    <xf numFmtId="172" fontId="30" fillId="0" borderId="0" xfId="0" applyFont="1" applyAlignment="1">
      <alignment horizontal="center"/>
    </xf>
    <xf numFmtId="49" fontId="25" fillId="0" borderId="0" xfId="0" applyNumberFormat="1" applyFont="1" applyAlignment="1">
      <alignment horizontal="center"/>
    </xf>
    <xf numFmtId="3" fontId="25" fillId="0" borderId="0" xfId="0" applyNumberFormat="1" applyFont="1"/>
    <xf numFmtId="177" fontId="25" fillId="0" borderId="0" xfId="85" applyNumberFormat="1" applyFont="1" applyFill="1" applyBorder="1" applyAlignment="1"/>
    <xf numFmtId="164" fontId="30" fillId="0" borderId="0" xfId="0" applyNumberFormat="1" applyFont="1" applyAlignment="1">
      <alignment horizontal="center"/>
    </xf>
    <xf numFmtId="172" fontId="30" fillId="0" borderId="11" xfId="0" applyFont="1" applyBorder="1"/>
    <xf numFmtId="172" fontId="30" fillId="0" borderId="0" xfId="0" applyFont="1" applyAlignment="1">
      <alignment horizontal="right"/>
    </xf>
    <xf numFmtId="174" fontId="25" fillId="0" borderId="0" xfId="0" applyNumberFormat="1" applyFont="1" applyAlignment="1">
      <alignment horizontal="center"/>
    </xf>
    <xf numFmtId="172" fontId="25" fillId="0" borderId="13" xfId="0" applyFont="1" applyBorder="1" applyAlignment="1">
      <alignment horizontal="center" wrapText="1"/>
    </xf>
    <xf numFmtId="172" fontId="25" fillId="0" borderId="14" xfId="0" applyFont="1" applyBorder="1"/>
    <xf numFmtId="172" fontId="25" fillId="0" borderId="14" xfId="0" applyFont="1" applyBorder="1" applyAlignment="1">
      <alignment horizontal="center"/>
    </xf>
    <xf numFmtId="172" fontId="25" fillId="0" borderId="14" xfId="0" applyFont="1" applyBorder="1" applyAlignment="1">
      <alignment horizontal="center" wrapText="1"/>
    </xf>
    <xf numFmtId="0" fontId="25" fillId="0" borderId="14" xfId="0" applyNumberFormat="1" applyFont="1" applyBorder="1" applyAlignment="1">
      <alignment horizontal="center" wrapText="1"/>
    </xf>
    <xf numFmtId="172" fontId="25" fillId="0" borderId="12" xfId="0" applyFont="1" applyBorder="1" applyAlignment="1">
      <alignment horizontal="center" wrapText="1"/>
    </xf>
    <xf numFmtId="3" fontId="25" fillId="0" borderId="12" xfId="0" applyNumberFormat="1" applyFont="1" applyBorder="1" applyAlignment="1">
      <alignment horizontal="center" wrapText="1"/>
    </xf>
    <xf numFmtId="0" fontId="30" fillId="0" borderId="13" xfId="0" applyNumberFormat="1" applyFont="1" applyBorder="1"/>
    <xf numFmtId="0" fontId="30" fillId="0" borderId="14" xfId="0" applyNumberFormat="1" applyFont="1" applyBorder="1"/>
    <xf numFmtId="0" fontId="30" fillId="0" borderId="14" xfId="0" applyNumberFormat="1" applyFont="1" applyBorder="1" applyAlignment="1">
      <alignment horizontal="center"/>
    </xf>
    <xf numFmtId="0" fontId="30" fillId="0" borderId="12" xfId="0" applyNumberFormat="1" applyFont="1" applyBorder="1" applyAlignment="1">
      <alignment horizontal="center"/>
    </xf>
    <xf numFmtId="0" fontId="30" fillId="0" borderId="12" xfId="0" applyNumberFormat="1" applyFont="1" applyBorder="1" applyAlignment="1">
      <alignment horizontal="center" wrapText="1"/>
    </xf>
    <xf numFmtId="0" fontId="30" fillId="0" borderId="16" xfId="0" applyNumberFormat="1" applyFont="1" applyBorder="1" applyAlignment="1">
      <alignment horizontal="center" wrapText="1"/>
    </xf>
    <xf numFmtId="0" fontId="30" fillId="0" borderId="10" xfId="0" applyNumberFormat="1" applyFont="1" applyBorder="1"/>
    <xf numFmtId="170" fontId="30" fillId="0" borderId="10" xfId="0" applyNumberFormat="1" applyFont="1" applyBorder="1"/>
    <xf numFmtId="173" fontId="30" fillId="20" borderId="0" xfId="63" applyNumberFormat="1" applyFont="1" applyFill="1" applyBorder="1" applyAlignment="1"/>
    <xf numFmtId="170" fontId="30" fillId="0" borderId="10" xfId="59" applyNumberFormat="1" applyFont="1" applyFill="1" applyBorder="1" applyAlignment="1"/>
    <xf numFmtId="43" fontId="30" fillId="20" borderId="10" xfId="59" applyFont="1" applyFill="1" applyBorder="1" applyAlignment="1"/>
    <xf numFmtId="172" fontId="23" fillId="0" borderId="10" xfId="0" applyFont="1" applyBorder="1"/>
    <xf numFmtId="172" fontId="30" fillId="0" borderId="17" xfId="0" applyFont="1" applyBorder="1"/>
    <xf numFmtId="172" fontId="23" fillId="0" borderId="11" xfId="0" applyFont="1" applyBorder="1"/>
    <xf numFmtId="172" fontId="23" fillId="0" borderId="19" xfId="0" applyFont="1" applyBorder="1"/>
    <xf numFmtId="43" fontId="30" fillId="0" borderId="0" xfId="59" applyFont="1" applyFill="1" applyBorder="1" applyAlignment="1"/>
    <xf numFmtId="172" fontId="30" fillId="0" borderId="0" xfId="0" quotePrefix="1" applyFont="1" applyAlignment="1">
      <alignment horizontal="center"/>
    </xf>
    <xf numFmtId="172" fontId="108" fillId="0" borderId="0" xfId="0" applyFont="1"/>
    <xf numFmtId="172" fontId="30" fillId="0" borderId="0" xfId="0" applyFont="1" applyAlignment="1">
      <alignment horizontal="center" vertical="top"/>
    </xf>
    <xf numFmtId="172" fontId="23" fillId="0" borderId="0" xfId="0" applyFont="1" applyAlignment="1">
      <alignment horizontal="center"/>
    </xf>
    <xf numFmtId="10" fontId="30" fillId="0" borderId="0" xfId="0" applyNumberFormat="1" applyFont="1"/>
    <xf numFmtId="172" fontId="25" fillId="0" borderId="14" xfId="0" applyFont="1" applyBorder="1" applyAlignment="1">
      <alignment wrapText="1"/>
    </xf>
    <xf numFmtId="3" fontId="25" fillId="0" borderId="23" xfId="0" applyNumberFormat="1" applyFont="1" applyBorder="1" applyAlignment="1">
      <alignment horizontal="center" wrapText="1"/>
    </xf>
    <xf numFmtId="172" fontId="30" fillId="0" borderId="0" xfId="0" applyFont="1" applyAlignment="1">
      <alignment wrapText="1"/>
    </xf>
    <xf numFmtId="0" fontId="30" fillId="0" borderId="14" xfId="0" applyNumberFormat="1" applyFont="1" applyBorder="1" applyAlignment="1">
      <alignment horizontal="center" wrapText="1"/>
    </xf>
    <xf numFmtId="0" fontId="30" fillId="0" borderId="23" xfId="0" applyNumberFormat="1" applyFont="1" applyBorder="1" applyAlignment="1">
      <alignment horizontal="center"/>
    </xf>
    <xf numFmtId="0" fontId="30" fillId="0" borderId="16" xfId="0" applyNumberFormat="1" applyFont="1" applyBorder="1" applyAlignment="1">
      <alignment horizontal="center"/>
    </xf>
    <xf numFmtId="0" fontId="30" fillId="0" borderId="2" xfId="0" applyNumberFormat="1" applyFont="1" applyBorder="1"/>
    <xf numFmtId="0" fontId="30" fillId="0" borderId="32" xfId="0" applyNumberFormat="1" applyFont="1" applyBorder="1"/>
    <xf numFmtId="0" fontId="30" fillId="0" borderId="20" xfId="0" applyNumberFormat="1" applyFont="1" applyBorder="1"/>
    <xf numFmtId="0" fontId="30" fillId="0" borderId="16" xfId="0" applyNumberFormat="1" applyFont="1" applyBorder="1"/>
    <xf numFmtId="0" fontId="30" fillId="0" borderId="21" xfId="0" applyNumberFormat="1" applyFont="1" applyBorder="1"/>
    <xf numFmtId="43" fontId="30" fillId="0" borderId="0" xfId="85" applyNumberFormat="1" applyFont="1" applyFill="1" applyBorder="1" applyAlignment="1"/>
    <xf numFmtId="43" fontId="30" fillId="0" borderId="21" xfId="59" applyFont="1" applyFill="1" applyBorder="1" applyAlignment="1"/>
    <xf numFmtId="43" fontId="23" fillId="0" borderId="21" xfId="59" applyFont="1" applyFill="1" applyBorder="1" applyAlignment="1"/>
    <xf numFmtId="43" fontId="23" fillId="0" borderId="11" xfId="59" applyFont="1" applyFill="1" applyBorder="1" applyAlignment="1"/>
    <xf numFmtId="43" fontId="23" fillId="0" borderId="22" xfId="59" applyFont="1" applyFill="1" applyBorder="1" applyAlignment="1"/>
    <xf numFmtId="172" fontId="113" fillId="0" borderId="0" xfId="0" applyFont="1"/>
    <xf numFmtId="43" fontId="30" fillId="0" borderId="0" xfId="59" applyFont="1" applyFill="1" applyBorder="1" applyAlignment="1">
      <alignment horizontal="center"/>
    </xf>
    <xf numFmtId="49" fontId="30" fillId="0" borderId="0" xfId="0" applyNumberFormat="1" applyFont="1" applyAlignment="1">
      <alignment horizontal="left"/>
    </xf>
    <xf numFmtId="176" fontId="73" fillId="20" borderId="0" xfId="136" applyNumberFormat="1" applyFont="1" applyFill="1"/>
    <xf numFmtId="176" fontId="23" fillId="20" borderId="0" xfId="136" applyNumberFormat="1" applyFont="1" applyFill="1"/>
    <xf numFmtId="176" fontId="23" fillId="20" borderId="0" xfId="59" applyNumberFormat="1" applyFont="1" applyFill="1"/>
    <xf numFmtId="176" fontId="23" fillId="20" borderId="0" xfId="59" applyNumberFormat="1" applyFont="1" applyFill="1" applyAlignment="1">
      <alignment wrapText="1"/>
    </xf>
    <xf numFmtId="176" fontId="73" fillId="20" borderId="0" xfId="136" applyNumberFormat="1" applyFont="1" applyFill="1" applyBorder="1"/>
    <xf numFmtId="176" fontId="23" fillId="20" borderId="11" xfId="59" applyNumberFormat="1" applyFont="1" applyFill="1" applyBorder="1"/>
    <xf numFmtId="176" fontId="23" fillId="20" borderId="11" xfId="59" applyNumberFormat="1" applyFont="1" applyFill="1" applyBorder="1" applyAlignment="1">
      <alignment wrapText="1"/>
    </xf>
    <xf numFmtId="0" fontId="47" fillId="0" borderId="0" xfId="132" applyFont="1" applyAlignment="1">
      <alignment horizontal="center" wrapText="1"/>
    </xf>
    <xf numFmtId="176" fontId="100" fillId="20" borderId="0" xfId="59" applyNumberFormat="1" applyFont="1" applyFill="1"/>
    <xf numFmtId="176" fontId="106" fillId="20" borderId="0" xfId="59" applyNumberFormat="1" applyFont="1" applyFill="1"/>
    <xf numFmtId="0" fontId="23" fillId="20" borderId="0" xfId="132" applyFill="1"/>
    <xf numFmtId="176" fontId="107" fillId="20" borderId="0" xfId="59" applyNumberFormat="1" applyFont="1" applyFill="1"/>
    <xf numFmtId="0" fontId="23" fillId="20" borderId="0" xfId="132" applyFill="1" applyAlignment="1">
      <alignment wrapText="1"/>
    </xf>
    <xf numFmtId="176" fontId="23" fillId="20" borderId="0" xfId="136" applyNumberFormat="1" applyFont="1" applyFill="1" applyBorder="1"/>
    <xf numFmtId="176" fontId="73" fillId="20" borderId="0" xfId="59" applyNumberFormat="1" applyFont="1" applyFill="1"/>
    <xf numFmtId="176" fontId="100" fillId="20" borderId="0" xfId="59" applyNumberFormat="1" applyFont="1" applyFill="1" applyBorder="1"/>
    <xf numFmtId="176" fontId="106" fillId="20" borderId="0" xfId="59" applyNumberFormat="1" applyFont="1" applyFill="1" applyBorder="1"/>
    <xf numFmtId="176" fontId="100" fillId="0" borderId="0" xfId="59" applyNumberFormat="1" applyFont="1" applyFill="1"/>
    <xf numFmtId="176" fontId="106" fillId="0" borderId="0" xfId="59" applyNumberFormat="1" applyFont="1" applyFill="1"/>
    <xf numFmtId="176" fontId="23" fillId="20" borderId="11" xfId="136" applyNumberFormat="1" applyFont="1" applyFill="1" applyBorder="1"/>
    <xf numFmtId="176" fontId="75" fillId="0" borderId="0" xfId="59" applyNumberFormat="1" applyFont="1" applyFill="1" applyAlignment="1">
      <alignment horizontal="left" vertical="center"/>
    </xf>
    <xf numFmtId="10" fontId="84" fillId="0" borderId="0" xfId="85" applyNumberFormat="1" applyFont="1"/>
    <xf numFmtId="0" fontId="23" fillId="0" borderId="0" xfId="0" applyNumberFormat="1" applyFont="1" applyAlignment="1">
      <alignment horizontal="left"/>
    </xf>
    <xf numFmtId="3" fontId="74" fillId="0" borderId="0" xfId="0" applyNumberFormat="1" applyFont="1" applyAlignment="1">
      <alignment horizontal="center" vertical="center"/>
    </xf>
    <xf numFmtId="3" fontId="74" fillId="0" borderId="0" xfId="0" applyNumberFormat="1" applyFont="1" applyAlignment="1">
      <alignment vertical="center"/>
    </xf>
    <xf numFmtId="3" fontId="73" fillId="0" borderId="0" xfId="132" applyNumberFormat="1" applyFont="1"/>
    <xf numFmtId="176" fontId="75" fillId="20" borderId="0" xfId="151" applyNumberFormat="1" applyFont="1" applyFill="1" applyBorder="1" applyAlignment="1">
      <alignment horizontal="center" vertical="center"/>
    </xf>
    <xf numFmtId="37" fontId="18" fillId="0" borderId="6" xfId="148" applyNumberFormat="1" applyBorder="1"/>
    <xf numFmtId="172" fontId="76" fillId="0" borderId="21" xfId="0" applyFont="1" applyBorder="1" applyAlignment="1">
      <alignment horizontal="center" vertical="center"/>
    </xf>
    <xf numFmtId="176" fontId="75" fillId="0" borderId="22" xfId="59" applyNumberFormat="1" applyFont="1" applyBorder="1" applyAlignment="1">
      <alignment horizontal="center" vertical="center"/>
    </xf>
    <xf numFmtId="172" fontId="74" fillId="21" borderId="0" xfId="0" applyFont="1" applyFill="1" applyAlignment="1">
      <alignment vertical="center"/>
    </xf>
    <xf numFmtId="176" fontId="18" fillId="0" borderId="0" xfId="148" applyNumberFormat="1"/>
    <xf numFmtId="172" fontId="87" fillId="0" borderId="0" xfId="0" applyFont="1" applyAlignment="1">
      <alignment horizontal="center" vertical="center"/>
    </xf>
    <xf numFmtId="0" fontId="84" fillId="0" borderId="0" xfId="129" applyFont="1" applyAlignment="1">
      <alignment horizontal="left"/>
    </xf>
    <xf numFmtId="9" fontId="84" fillId="0" borderId="0" xfId="85" applyFont="1"/>
    <xf numFmtId="172" fontId="74" fillId="21" borderId="21" xfId="0" applyFont="1" applyFill="1" applyBorder="1" applyAlignment="1">
      <alignment vertical="center"/>
    </xf>
    <xf numFmtId="172" fontId="74" fillId="20" borderId="0" xfId="0" applyFont="1" applyFill="1" applyAlignment="1">
      <alignment vertical="center"/>
    </xf>
    <xf numFmtId="176" fontId="23" fillId="0" borderId="0" xfId="132" applyNumberFormat="1" applyAlignment="1">
      <alignment horizontal="center"/>
    </xf>
    <xf numFmtId="43" fontId="23" fillId="0" borderId="0" xfId="132" applyNumberFormat="1" applyAlignment="1">
      <alignment horizontal="center"/>
    </xf>
    <xf numFmtId="0" fontId="23" fillId="0" borderId="0" xfId="132" applyAlignment="1">
      <alignment horizontal="center" wrapText="1"/>
    </xf>
    <xf numFmtId="176" fontId="109" fillId="0" borderId="0" xfId="132" applyNumberFormat="1" applyFont="1" applyAlignment="1">
      <alignment horizontal="center"/>
    </xf>
    <xf numFmtId="43" fontId="109" fillId="0" borderId="0" xfId="132" applyNumberFormat="1" applyFont="1" applyAlignment="1">
      <alignment horizontal="center"/>
    </xf>
    <xf numFmtId="172" fontId="82" fillId="20" borderId="24" xfId="0" applyFont="1" applyFill="1" applyBorder="1" applyAlignment="1" applyProtection="1">
      <alignment horizontal="center" vertical="center" wrapText="1"/>
      <protection locked="0"/>
    </xf>
    <xf numFmtId="172" fontId="30" fillId="20" borderId="16" xfId="0" applyFont="1" applyFill="1" applyBorder="1" applyAlignment="1">
      <alignment horizontal="center"/>
    </xf>
    <xf numFmtId="172" fontId="0" fillId="20" borderId="0" xfId="0" applyFill="1" applyAlignment="1">
      <alignment horizontal="left"/>
    </xf>
    <xf numFmtId="172" fontId="0" fillId="20" borderId="0" xfId="0" applyFill="1"/>
    <xf numFmtId="172" fontId="30" fillId="20" borderId="0" xfId="0" applyFont="1" applyFill="1" applyAlignment="1">
      <alignment horizontal="left" wrapText="1"/>
    </xf>
    <xf numFmtId="176" fontId="77" fillId="0" borderId="0" xfId="59" applyNumberFormat="1" applyFont="1" applyFill="1" applyAlignment="1">
      <alignment horizontal="center" vertical="center"/>
    </xf>
    <xf numFmtId="176" fontId="75" fillId="0" borderId="0" xfId="59" applyNumberFormat="1" applyFont="1" applyFill="1" applyAlignment="1">
      <alignment vertical="center"/>
    </xf>
    <xf numFmtId="170" fontId="82" fillId="20" borderId="26" xfId="0" applyNumberFormat="1" applyFont="1" applyFill="1" applyBorder="1" applyAlignment="1" applyProtection="1">
      <alignment horizontal="center"/>
      <protection locked="0"/>
    </xf>
    <xf numFmtId="0" fontId="86" fillId="0" borderId="0" xfId="129" applyFont="1"/>
    <xf numFmtId="37" fontId="112" fillId="0" borderId="39" xfId="148" applyNumberFormat="1" applyFont="1" applyBorder="1"/>
    <xf numFmtId="37" fontId="18" fillId="0" borderId="40" xfId="148" applyNumberFormat="1" applyBorder="1"/>
    <xf numFmtId="0" fontId="84" fillId="0" borderId="0" xfId="129" applyFont="1" applyAlignment="1">
      <alignment vertical="top"/>
    </xf>
    <xf numFmtId="0" fontId="84" fillId="0" borderId="0" xfId="129" applyFont="1" applyAlignment="1">
      <alignment horizontal="left" vertical="top"/>
    </xf>
    <xf numFmtId="0" fontId="30" fillId="0" borderId="0" xfId="137" applyFont="1"/>
    <xf numFmtId="0" fontId="30" fillId="0" borderId="15" xfId="137" applyFont="1" applyBorder="1"/>
    <xf numFmtId="0" fontId="25" fillId="0" borderId="20" xfId="137" applyFont="1" applyBorder="1" applyAlignment="1">
      <alignment horizontal="left"/>
    </xf>
    <xf numFmtId="0" fontId="30" fillId="0" borderId="16" xfId="137" applyFont="1" applyBorder="1"/>
    <xf numFmtId="0" fontId="93" fillId="0" borderId="0" xfId="137" applyFont="1" applyAlignment="1">
      <alignment horizontal="left"/>
    </xf>
    <xf numFmtId="0" fontId="25" fillId="0" borderId="21" xfId="137" applyFont="1" applyBorder="1" applyAlignment="1">
      <alignment horizontal="left"/>
    </xf>
    <xf numFmtId="0" fontId="25" fillId="0" borderId="29" xfId="137" applyFont="1" applyBorder="1"/>
    <xf numFmtId="14" fontId="25" fillId="0" borderId="31" xfId="137" applyNumberFormat="1" applyFont="1" applyBorder="1"/>
    <xf numFmtId="0" fontId="30" fillId="0" borderId="0" xfId="137" applyFont="1" applyAlignment="1">
      <alignment horizontal="left"/>
    </xf>
    <xf numFmtId="0" fontId="25" fillId="0" borderId="16" xfId="137" applyFont="1" applyBorder="1" applyAlignment="1">
      <alignment horizontal="center"/>
    </xf>
    <xf numFmtId="0" fontId="25" fillId="0" borderId="0" xfId="137" quotePrefix="1" applyFont="1" applyAlignment="1">
      <alignment horizontal="center"/>
    </xf>
    <xf numFmtId="0" fontId="25" fillId="0" borderId="21" xfId="137" applyFont="1" applyBorder="1" applyAlignment="1">
      <alignment horizontal="center"/>
    </xf>
    <xf numFmtId="0" fontId="30" fillId="0" borderId="0" xfId="137" applyFont="1" applyAlignment="1">
      <alignment horizontal="center"/>
    </xf>
    <xf numFmtId="0" fontId="113" fillId="0" borderId="0" xfId="137" applyFont="1"/>
    <xf numFmtId="0" fontId="30" fillId="0" borderId="21" xfId="137" applyFont="1" applyBorder="1"/>
    <xf numFmtId="173" fontId="30" fillId="0" borderId="0" xfId="137" applyNumberFormat="1" applyFont="1"/>
    <xf numFmtId="10" fontId="111" fillId="0" borderId="0" xfId="137" applyNumberFormat="1" applyFont="1" applyAlignment="1">
      <alignment horizontal="left"/>
    </xf>
    <xf numFmtId="10" fontId="29" fillId="0" borderId="0" xfId="137" applyNumberFormat="1" applyFont="1" applyAlignment="1">
      <alignment horizontal="left"/>
    </xf>
    <xf numFmtId="0" fontId="108" fillId="0" borderId="0" xfId="137" applyFont="1" applyAlignment="1">
      <alignment horizontal="center"/>
    </xf>
    <xf numFmtId="17" fontId="30" fillId="0" borderId="0" xfId="137" applyNumberFormat="1" applyFont="1" applyAlignment="1">
      <alignment horizontal="left"/>
    </xf>
    <xf numFmtId="41" fontId="30" fillId="0" borderId="0" xfId="137" applyNumberFormat="1" applyFont="1"/>
    <xf numFmtId="14" fontId="25" fillId="0" borderId="0" xfId="137" applyNumberFormat="1" applyFont="1" applyAlignment="1">
      <alignment horizontal="left"/>
    </xf>
    <xf numFmtId="0" fontId="108" fillId="0" borderId="0" xfId="137" applyFont="1"/>
    <xf numFmtId="6" fontId="30" fillId="0" borderId="0" xfId="137" applyNumberFormat="1" applyFont="1" applyAlignment="1">
      <alignment horizontal="center"/>
    </xf>
    <xf numFmtId="0" fontId="30" fillId="0" borderId="16" xfId="137" quotePrefix="1" applyFont="1" applyBorder="1"/>
    <xf numFmtId="173" fontId="30" fillId="0" borderId="0" xfId="138" applyNumberFormat="1" applyFont="1" applyBorder="1" applyAlignment="1">
      <alignment horizontal="center"/>
    </xf>
    <xf numFmtId="173" fontId="30" fillId="20" borderId="0" xfId="138" applyNumberFormat="1" applyFont="1" applyFill="1" applyBorder="1" applyAlignment="1">
      <alignment horizontal="center"/>
    </xf>
    <xf numFmtId="44" fontId="30" fillId="0" borderId="0" xfId="138" applyFont="1" applyFill="1" applyBorder="1" applyAlignment="1">
      <alignment horizontal="center"/>
    </xf>
    <xf numFmtId="10" fontId="30" fillId="0" borderId="0" xfId="137" applyNumberFormat="1" applyFont="1"/>
    <xf numFmtId="44" fontId="30" fillId="0" borderId="0" xfId="137" applyNumberFormat="1" applyFont="1"/>
    <xf numFmtId="0" fontId="116" fillId="0" borderId="0" xfId="137" applyFont="1"/>
    <xf numFmtId="176" fontId="116" fillId="0" borderId="0" xfId="139" applyNumberFormat="1" applyFont="1" applyFill="1" applyBorder="1"/>
    <xf numFmtId="176" fontId="116" fillId="0" borderId="0" xfId="137" applyNumberFormat="1" applyFont="1"/>
    <xf numFmtId="164" fontId="108" fillId="0" borderId="0" xfId="137" applyNumberFormat="1" applyFont="1"/>
    <xf numFmtId="176" fontId="30" fillId="0" borderId="0" xfId="139" applyNumberFormat="1" applyFont="1" applyFill="1" applyBorder="1"/>
    <xf numFmtId="173" fontId="30" fillId="0" borderId="0" xfId="138" applyNumberFormat="1" applyFont="1" applyFill="1" applyBorder="1"/>
    <xf numFmtId="176" fontId="30" fillId="0" borderId="0" xfId="137" applyNumberFormat="1" applyFont="1"/>
    <xf numFmtId="173" fontId="30" fillId="0" borderId="0" xfId="138" applyNumberFormat="1" applyFont="1" applyBorder="1"/>
    <xf numFmtId="164" fontId="30" fillId="0" borderId="0" xfId="137" applyNumberFormat="1" applyFont="1"/>
    <xf numFmtId="44" fontId="113" fillId="0" borderId="0" xfId="137" applyNumberFormat="1" applyFont="1"/>
    <xf numFmtId="44" fontId="30" fillId="0" borderId="21" xfId="137" applyNumberFormat="1" applyFont="1" applyBorder="1"/>
    <xf numFmtId="0" fontId="30" fillId="0" borderId="17" xfId="137" applyFont="1" applyBorder="1"/>
    <xf numFmtId="44" fontId="30" fillId="0" borderId="11" xfId="137" applyNumberFormat="1" applyFont="1" applyBorder="1"/>
    <xf numFmtId="44" fontId="30" fillId="0" borderId="22" xfId="137" applyNumberFormat="1" applyFont="1" applyBorder="1"/>
    <xf numFmtId="0" fontId="30" fillId="0" borderId="11" xfId="137" applyFont="1" applyBorder="1"/>
    <xf numFmtId="44" fontId="30" fillId="0" borderId="32" xfId="137" applyNumberFormat="1" applyFont="1" applyBorder="1"/>
    <xf numFmtId="44" fontId="30" fillId="0" borderId="20" xfId="137" applyNumberFormat="1" applyFont="1" applyBorder="1"/>
    <xf numFmtId="0" fontId="30" fillId="0" borderId="20" xfId="137" applyFont="1" applyBorder="1"/>
    <xf numFmtId="42" fontId="25" fillId="0" borderId="0" xfId="137" applyNumberFormat="1" applyFont="1" applyAlignment="1">
      <alignment horizontal="center"/>
    </xf>
    <xf numFmtId="0" fontId="30" fillId="0" borderId="21" xfId="137" applyFont="1" applyBorder="1" applyAlignment="1">
      <alignment horizontal="center"/>
    </xf>
    <xf numFmtId="0" fontId="108" fillId="0" borderId="21" xfId="137" applyFont="1" applyBorder="1" applyAlignment="1">
      <alignment horizontal="center"/>
    </xf>
    <xf numFmtId="0" fontId="30" fillId="0" borderId="16" xfId="137" quotePrefix="1" applyFont="1" applyBorder="1" applyAlignment="1">
      <alignment horizontal="center"/>
    </xf>
    <xf numFmtId="42" fontId="30" fillId="0" borderId="0" xfId="137" applyNumberFormat="1" applyFont="1"/>
    <xf numFmtId="42" fontId="30" fillId="0" borderId="21" xfId="139" applyNumberFormat="1" applyFont="1" applyBorder="1"/>
    <xf numFmtId="169" fontId="30" fillId="0" borderId="0" xfId="137" applyNumberFormat="1" applyFont="1"/>
    <xf numFmtId="10" fontId="30" fillId="0" borderId="21" xfId="139" applyNumberFormat="1" applyFont="1" applyBorder="1" applyAlignment="1">
      <alignment horizontal="center"/>
    </xf>
    <xf numFmtId="185" fontId="30" fillId="0" borderId="0" xfId="137" applyNumberFormat="1" applyFont="1"/>
    <xf numFmtId="166" fontId="30" fillId="0" borderId="0" xfId="137" applyNumberFormat="1" applyFont="1"/>
    <xf numFmtId="176" fontId="30" fillId="0" borderId="0" xfId="139" applyNumberFormat="1" applyFont="1" applyBorder="1"/>
    <xf numFmtId="0" fontId="30" fillId="0" borderId="0" xfId="137" quotePrefix="1" applyFont="1" applyAlignment="1">
      <alignment horizontal="center"/>
    </xf>
    <xf numFmtId="14" fontId="30" fillId="0" borderId="0" xfId="137" quotePrefix="1" applyNumberFormat="1" applyFont="1" applyAlignment="1">
      <alignment horizontal="center"/>
    </xf>
    <xf numFmtId="42" fontId="30" fillId="0" borderId="0" xfId="139" applyNumberFormat="1" applyFont="1" applyBorder="1"/>
    <xf numFmtId="169" fontId="30" fillId="0" borderId="21" xfId="137" applyNumberFormat="1" applyFont="1" applyBorder="1"/>
    <xf numFmtId="43" fontId="30" fillId="0" borderId="11" xfId="139" applyFont="1" applyBorder="1"/>
    <xf numFmtId="0" fontId="30" fillId="0" borderId="22" xfId="137" applyFont="1" applyBorder="1"/>
    <xf numFmtId="185" fontId="30" fillId="0" borderId="22" xfId="137" applyNumberFormat="1" applyFont="1" applyBorder="1"/>
    <xf numFmtId="43" fontId="30" fillId="0" borderId="0" xfId="139" applyFont="1"/>
    <xf numFmtId="0" fontId="117" fillId="0" borderId="0" xfId="137" applyFont="1"/>
    <xf numFmtId="43" fontId="30" fillId="0" borderId="0" xfId="137" applyNumberFormat="1" applyFont="1"/>
    <xf numFmtId="10" fontId="30" fillId="0" borderId="0" xfId="141" applyNumberFormat="1" applyFont="1" applyBorder="1"/>
    <xf numFmtId="173" fontId="30" fillId="0" borderId="0" xfId="142" applyNumberFormat="1" applyFont="1" applyBorder="1"/>
    <xf numFmtId="0" fontId="30" fillId="0" borderId="0" xfId="137" applyFont="1" applyAlignment="1">
      <alignment horizontal="right"/>
    </xf>
    <xf numFmtId="0" fontId="111" fillId="0" borderId="0" xfId="137" applyFont="1" applyAlignment="1">
      <alignment horizontal="left"/>
    </xf>
    <xf numFmtId="164" fontId="30" fillId="0" borderId="0" xfId="137" applyNumberFormat="1" applyFont="1" applyAlignment="1">
      <alignment horizontal="center"/>
    </xf>
    <xf numFmtId="43" fontId="30" fillId="0" borderId="0" xfId="139" applyFont="1" applyBorder="1"/>
    <xf numFmtId="164" fontId="30" fillId="0" borderId="0" xfId="141" applyNumberFormat="1" applyFont="1" applyBorder="1"/>
    <xf numFmtId="164" fontId="23" fillId="0" borderId="0" xfId="137" applyNumberFormat="1" applyFont="1"/>
    <xf numFmtId="164" fontId="23" fillId="0" borderId="11" xfId="137" applyNumberFormat="1" applyFont="1" applyBorder="1"/>
    <xf numFmtId="172" fontId="51" fillId="0" borderId="0" xfId="0" applyFont="1" applyAlignment="1">
      <alignment horizontal="left"/>
    </xf>
    <xf numFmtId="172" fontId="51" fillId="20" borderId="0" xfId="0" applyFont="1" applyFill="1" applyAlignment="1">
      <alignment horizontal="left"/>
    </xf>
    <xf numFmtId="17" fontId="53" fillId="20" borderId="14" xfId="0" applyNumberFormat="1" applyFont="1" applyFill="1" applyBorder="1" applyAlignment="1">
      <alignment horizontal="center" wrapText="1"/>
    </xf>
    <xf numFmtId="170" fontId="0" fillId="0" borderId="21" xfId="0" applyNumberFormat="1" applyBorder="1"/>
    <xf numFmtId="0" fontId="84" fillId="0" borderId="0" xfId="129" applyFont="1" applyAlignment="1">
      <alignment horizontal="left" wrapText="1"/>
    </xf>
    <xf numFmtId="37" fontId="112" fillId="0" borderId="6" xfId="148" applyNumberFormat="1" applyFont="1" applyBorder="1"/>
    <xf numFmtId="172" fontId="75" fillId="0" borderId="21" xfId="0" applyFont="1" applyBorder="1" applyAlignment="1">
      <alignment horizontal="center" vertical="center"/>
    </xf>
    <xf numFmtId="172" fontId="52" fillId="0" borderId="0" xfId="0" applyFont="1" applyAlignment="1">
      <alignment horizontal="center" vertical="top"/>
    </xf>
    <xf numFmtId="0" fontId="30" fillId="0" borderId="0" xfId="152" applyFont="1"/>
    <xf numFmtId="14" fontId="30" fillId="20" borderId="0" xfId="152" applyNumberFormat="1" applyFont="1" applyFill="1" applyAlignment="1">
      <alignment horizontal="center"/>
    </xf>
    <xf numFmtId="169" fontId="30" fillId="20" borderId="0" xfId="152" applyNumberFormat="1" applyFont="1" applyFill="1"/>
    <xf numFmtId="0" fontId="113" fillId="0" borderId="0" xfId="152" applyFont="1"/>
    <xf numFmtId="6" fontId="30" fillId="0" borderId="0" xfId="152" applyNumberFormat="1" applyFont="1" applyAlignment="1">
      <alignment horizontal="center"/>
    </xf>
    <xf numFmtId="0" fontId="116" fillId="0" borderId="0" xfId="152" applyFont="1"/>
    <xf numFmtId="176" fontId="30" fillId="0" borderId="0" xfId="152" applyNumberFormat="1" applyFont="1"/>
    <xf numFmtId="10" fontId="0" fillId="0" borderId="0" xfId="85" applyNumberFormat="1" applyFont="1" applyBorder="1" applyAlignment="1"/>
    <xf numFmtId="173" fontId="30" fillId="20" borderId="0" xfId="138" applyNumberFormat="1" applyFont="1" applyFill="1" applyBorder="1"/>
    <xf numFmtId="170" fontId="74" fillId="0" borderId="0" xfId="0" applyNumberFormat="1" applyFont="1" applyAlignment="1">
      <alignment vertical="center"/>
    </xf>
    <xf numFmtId="172" fontId="119" fillId="0" borderId="0" xfId="0" applyFont="1"/>
    <xf numFmtId="0" fontId="119" fillId="0" borderId="0" xfId="0" applyNumberFormat="1" applyFont="1"/>
    <xf numFmtId="0" fontId="119" fillId="0" borderId="0" xfId="0" applyNumberFormat="1" applyFont="1" applyAlignment="1">
      <alignment horizontal="left"/>
    </xf>
    <xf numFmtId="0" fontId="119" fillId="0" borderId="0" xfId="0" applyNumberFormat="1" applyFont="1" applyAlignment="1">
      <alignment horizontal="right"/>
    </xf>
    <xf numFmtId="0" fontId="119" fillId="20" borderId="0" xfId="0" applyNumberFormat="1" applyFont="1" applyFill="1"/>
    <xf numFmtId="172" fontId="119" fillId="20" borderId="0" xfId="0" applyFont="1" applyFill="1"/>
    <xf numFmtId="3" fontId="119" fillId="0" borderId="0" xfId="0" applyNumberFormat="1" applyFont="1"/>
    <xf numFmtId="0" fontId="119" fillId="0" borderId="0" xfId="0" applyNumberFormat="1" applyFont="1" applyAlignment="1">
      <alignment horizontal="center"/>
    </xf>
    <xf numFmtId="49" fontId="119" fillId="0" borderId="0" xfId="0" applyNumberFormat="1" applyFont="1"/>
    <xf numFmtId="49" fontId="119" fillId="0" borderId="0" xfId="0" applyNumberFormat="1" applyFont="1" applyAlignment="1">
      <alignment horizontal="left"/>
    </xf>
    <xf numFmtId="49" fontId="119" fillId="0" borderId="0" xfId="0" applyNumberFormat="1" applyFont="1" applyAlignment="1">
      <alignment horizontal="center"/>
    </xf>
    <xf numFmtId="0" fontId="119" fillId="0" borderId="6" xfId="0" applyNumberFormat="1" applyFont="1" applyBorder="1" applyAlignment="1">
      <alignment horizontal="center"/>
    </xf>
    <xf numFmtId="42" fontId="119" fillId="0" borderId="0" xfId="0" applyNumberFormat="1" applyFont="1"/>
    <xf numFmtId="176" fontId="119" fillId="0" borderId="0" xfId="59" applyNumberFormat="1" applyFont="1"/>
    <xf numFmtId="177" fontId="119" fillId="0" borderId="0" xfId="85" applyNumberFormat="1" applyFont="1" applyAlignment="1"/>
    <xf numFmtId="186" fontId="119" fillId="0" borderId="0" xfId="0" applyNumberFormat="1" applyFont="1"/>
    <xf numFmtId="0" fontId="119" fillId="0" borderId="6" xfId="0" applyNumberFormat="1" applyFont="1" applyBorder="1" applyAlignment="1">
      <alignment horizontal="centerContinuous"/>
    </xf>
    <xf numFmtId="176" fontId="119" fillId="0" borderId="0" xfId="0" applyNumberFormat="1" applyFont="1" applyAlignment="1">
      <alignment horizontal="center"/>
    </xf>
    <xf numFmtId="166" fontId="119" fillId="0" borderId="0" xfId="0" applyNumberFormat="1" applyFont="1"/>
    <xf numFmtId="176" fontId="119" fillId="0" borderId="0" xfId="59" applyNumberFormat="1" applyFont="1" applyFill="1"/>
    <xf numFmtId="176" fontId="119" fillId="0" borderId="0" xfId="59" applyNumberFormat="1" applyFont="1" applyFill="1" applyAlignment="1"/>
    <xf numFmtId="176" fontId="119" fillId="20" borderId="0" xfId="59" applyNumberFormat="1" applyFont="1" applyFill="1" applyAlignment="1"/>
    <xf numFmtId="176" fontId="119" fillId="0" borderId="0" xfId="63" applyNumberFormat="1" applyFont="1" applyFill="1" applyAlignment="1">
      <alignment horizontal="right"/>
    </xf>
    <xf numFmtId="176" fontId="119" fillId="0" borderId="0" xfId="63" applyNumberFormat="1" applyFont="1" applyFill="1" applyBorder="1"/>
    <xf numFmtId="173" fontId="119" fillId="0" borderId="0" xfId="63" applyNumberFormat="1" applyFont="1" applyFill="1" applyAlignment="1">
      <alignment horizontal="right"/>
    </xf>
    <xf numFmtId="176" fontId="119" fillId="0" borderId="0" xfId="59" applyNumberFormat="1" applyFont="1" applyFill="1" applyBorder="1"/>
    <xf numFmtId="3" fontId="119" fillId="0" borderId="0" xfId="0" applyNumberFormat="1" applyFont="1" applyAlignment="1">
      <alignment horizontal="fill"/>
    </xf>
    <xf numFmtId="42" fontId="119" fillId="0" borderId="0" xfId="0" applyNumberFormat="1" applyFont="1" applyAlignment="1">
      <alignment horizontal="right"/>
    </xf>
    <xf numFmtId="3" fontId="119" fillId="0" borderId="6" xfId="0" applyNumberFormat="1" applyFont="1" applyBorder="1" applyAlignment="1">
      <alignment horizontal="center"/>
    </xf>
    <xf numFmtId="43" fontId="119" fillId="0" borderId="0" xfId="59" applyFont="1" applyAlignment="1"/>
    <xf numFmtId="168" fontId="119" fillId="0" borderId="0" xfId="0" applyNumberFormat="1" applyFont="1"/>
    <xf numFmtId="168" fontId="119" fillId="0" borderId="0" xfId="0" applyNumberFormat="1" applyFont="1" applyAlignment="1">
      <alignment horizontal="center"/>
    </xf>
    <xf numFmtId="43" fontId="119" fillId="0" borderId="0" xfId="59" applyFont="1" applyFill="1" applyBorder="1"/>
    <xf numFmtId="43" fontId="119" fillId="0" borderId="0" xfId="59" applyFont="1" applyBorder="1"/>
    <xf numFmtId="43" fontId="119" fillId="0" borderId="0" xfId="59" applyFont="1"/>
    <xf numFmtId="43" fontId="119" fillId="0" borderId="0" xfId="59" applyFont="1" applyFill="1"/>
    <xf numFmtId="43" fontId="119" fillId="0" borderId="0" xfId="59" applyFont="1" applyFill="1" applyAlignment="1"/>
    <xf numFmtId="43" fontId="119" fillId="0" borderId="0" xfId="59" applyFont="1" applyFill="1" applyBorder="1" applyAlignment="1"/>
    <xf numFmtId="43" fontId="119" fillId="0" borderId="0" xfId="59" applyFont="1" applyBorder="1" applyAlignment="1"/>
    <xf numFmtId="44" fontId="119" fillId="0" borderId="0" xfId="63" applyFont="1" applyFill="1" applyBorder="1" applyAlignment="1"/>
    <xf numFmtId="172" fontId="120" fillId="0" borderId="0" xfId="0" applyFont="1" applyAlignment="1">
      <alignment horizontal="center"/>
    </xf>
    <xf numFmtId="0" fontId="120" fillId="0" borderId="0" xfId="0" applyNumberFormat="1" applyFont="1" applyAlignment="1">
      <alignment horizontal="center"/>
    </xf>
    <xf numFmtId="0" fontId="120" fillId="0" borderId="0" xfId="0" applyNumberFormat="1" applyFont="1" applyAlignment="1">
      <alignment horizontal="right"/>
    </xf>
    <xf numFmtId="3" fontId="120" fillId="0" borderId="0" xfId="0" applyNumberFormat="1" applyFont="1"/>
    <xf numFmtId="3" fontId="119" fillId="0" borderId="0" xfId="0" applyNumberFormat="1" applyFont="1" applyAlignment="1">
      <alignment horizontal="right"/>
    </xf>
    <xf numFmtId="0" fontId="120" fillId="0" borderId="0" xfId="0" applyNumberFormat="1" applyFont="1"/>
    <xf numFmtId="165" fontId="119" fillId="0" borderId="0" xfId="0" applyNumberFormat="1" applyFont="1"/>
    <xf numFmtId="176" fontId="119" fillId="0" borderId="0" xfId="59" applyNumberFormat="1" applyFont="1" applyAlignment="1"/>
    <xf numFmtId="176" fontId="119" fillId="0" borderId="6" xfId="59" applyNumberFormat="1" applyFont="1" applyFill="1" applyBorder="1" applyAlignment="1"/>
    <xf numFmtId="176" fontId="119" fillId="0" borderId="6" xfId="59" applyNumberFormat="1" applyFont="1" applyBorder="1" applyAlignment="1"/>
    <xf numFmtId="164" fontId="119" fillId="0" borderId="0" xfId="0" applyNumberFormat="1" applyFont="1" applyAlignment="1">
      <alignment horizontal="center"/>
    </xf>
    <xf numFmtId="43" fontId="119" fillId="0" borderId="0" xfId="59" applyFont="1" applyFill="1" applyBorder="1" applyAlignment="1">
      <alignment horizontal="center"/>
    </xf>
    <xf numFmtId="180" fontId="119" fillId="0" borderId="0" xfId="85" applyNumberFormat="1" applyFont="1" applyAlignment="1"/>
    <xf numFmtId="0" fontId="119" fillId="0" borderId="0" xfId="0" applyNumberFormat="1" applyFont="1" applyAlignment="1">
      <alignment horizontal="fill"/>
    </xf>
    <xf numFmtId="43" fontId="119" fillId="0" borderId="0" xfId="59" applyFont="1" applyAlignment="1">
      <alignment horizontal="center"/>
    </xf>
    <xf numFmtId="165" fontId="121" fillId="0" borderId="0" xfId="0" applyNumberFormat="1" applyFont="1" applyAlignment="1">
      <alignment horizontal="right"/>
    </xf>
    <xf numFmtId="164" fontId="119" fillId="0" borderId="0" xfId="0" applyNumberFormat="1" applyFont="1" applyAlignment="1">
      <alignment horizontal="left"/>
    </xf>
    <xf numFmtId="176" fontId="119" fillId="0" borderId="0" xfId="59" applyNumberFormat="1" applyFont="1" applyFill="1" applyBorder="1" applyAlignment="1"/>
    <xf numFmtId="176" fontId="119" fillId="0" borderId="0" xfId="59" applyNumberFormat="1" applyFont="1" applyBorder="1" applyAlignment="1"/>
    <xf numFmtId="37" fontId="119" fillId="0" borderId="0" xfId="0" applyNumberFormat="1" applyFont="1"/>
    <xf numFmtId="3" fontId="119" fillId="0" borderId="0" xfId="0" applyNumberFormat="1" applyFont="1" applyAlignment="1">
      <alignment horizontal="center"/>
    </xf>
    <xf numFmtId="176" fontId="119" fillId="0" borderId="18" xfId="59" applyNumberFormat="1" applyFont="1" applyBorder="1" applyAlignment="1"/>
    <xf numFmtId="0" fontId="119" fillId="0" borderId="0" xfId="0" applyNumberFormat="1" applyFont="1" applyProtection="1">
      <protection locked="0"/>
    </xf>
    <xf numFmtId="176" fontId="119" fillId="0" borderId="0" xfId="0" applyNumberFormat="1" applyFont="1"/>
    <xf numFmtId="171" fontId="119" fillId="0" borderId="0" xfId="0" applyNumberFormat="1" applyFont="1" applyAlignment="1">
      <alignment horizontal="left"/>
    </xf>
    <xf numFmtId="3" fontId="119" fillId="0" borderId="0" xfId="0" applyNumberFormat="1" applyFont="1" applyAlignment="1">
      <alignment horizontal="left"/>
    </xf>
    <xf numFmtId="166" fontId="121" fillId="0" borderId="0" xfId="0" applyNumberFormat="1" applyFont="1" applyAlignment="1">
      <alignment horizontal="right"/>
    </xf>
    <xf numFmtId="166" fontId="119" fillId="0" borderId="0" xfId="0" applyNumberFormat="1" applyFont="1" applyAlignment="1">
      <alignment horizontal="center"/>
    </xf>
    <xf numFmtId="10" fontId="119" fillId="0" borderId="0" xfId="85" applyNumberFormat="1" applyFont="1" applyAlignment="1"/>
    <xf numFmtId="175" fontId="119" fillId="0" borderId="0" xfId="0" applyNumberFormat="1" applyFont="1"/>
    <xf numFmtId="174" fontId="119" fillId="0" borderId="0" xfId="0" applyNumberFormat="1" applyFont="1"/>
    <xf numFmtId="179" fontId="119" fillId="0" borderId="0" xfId="0" applyNumberFormat="1" applyFont="1"/>
    <xf numFmtId="0" fontId="119" fillId="0" borderId="6" xfId="0" applyNumberFormat="1" applyFont="1" applyBorder="1"/>
    <xf numFmtId="176" fontId="119" fillId="20" borderId="6" xfId="59" applyNumberFormat="1" applyFont="1" applyFill="1" applyBorder="1" applyAlignment="1"/>
    <xf numFmtId="165" fontId="119" fillId="0" borderId="0" xfId="0" applyNumberFormat="1" applyFont="1" applyAlignment="1">
      <alignment horizontal="right"/>
    </xf>
    <xf numFmtId="3" fontId="119" fillId="0" borderId="6" xfId="0" applyNumberFormat="1" applyFont="1" applyBorder="1"/>
    <xf numFmtId="4" fontId="119" fillId="0" borderId="0" xfId="0" applyNumberFormat="1" applyFont="1"/>
    <xf numFmtId="3" fontId="119" fillId="0" borderId="0" xfId="0" quotePrefix="1" applyNumberFormat="1" applyFont="1"/>
    <xf numFmtId="3" fontId="120" fillId="0" borderId="0" xfId="0" applyNumberFormat="1" applyFont="1" applyAlignment="1">
      <alignment horizontal="center"/>
    </xf>
    <xf numFmtId="43" fontId="119" fillId="20" borderId="0" xfId="59" applyFont="1" applyFill="1" applyAlignment="1"/>
    <xf numFmtId="3" fontId="123" fillId="0" borderId="0" xfId="0" applyNumberFormat="1" applyFont="1"/>
    <xf numFmtId="172" fontId="123" fillId="0" borderId="0" xfId="0" applyFont="1"/>
    <xf numFmtId="172" fontId="122" fillId="0" borderId="0" xfId="0" applyFont="1"/>
    <xf numFmtId="43" fontId="119" fillId="20" borderId="6" xfId="59" applyFont="1" applyFill="1" applyBorder="1" applyAlignment="1"/>
    <xf numFmtId="3" fontId="122" fillId="0" borderId="0" xfId="0" applyNumberFormat="1" applyFont="1"/>
    <xf numFmtId="172" fontId="124" fillId="0" borderId="0" xfId="0" applyFont="1"/>
    <xf numFmtId="3" fontId="124" fillId="0" borderId="0" xfId="0" applyNumberFormat="1" applyFont="1"/>
    <xf numFmtId="0" fontId="124" fillId="0" borderId="0" xfId="0" applyNumberFormat="1" applyFont="1"/>
    <xf numFmtId="172" fontId="125" fillId="0" borderId="0" xfId="0" applyFont="1"/>
    <xf numFmtId="169" fontId="119" fillId="0" borderId="0" xfId="0" applyNumberFormat="1" applyFont="1"/>
    <xf numFmtId="169" fontId="119" fillId="0" borderId="6" xfId="0" applyNumberFormat="1" applyFont="1" applyBorder="1"/>
    <xf numFmtId="3" fontId="121" fillId="0" borderId="0" xfId="0" applyNumberFormat="1" applyFont="1"/>
    <xf numFmtId="172" fontId="119" fillId="0" borderId="0" xfId="0" applyFont="1" applyProtection="1"/>
    <xf numFmtId="176" fontId="119" fillId="20" borderId="0" xfId="59" applyNumberFormat="1" applyFont="1" applyFill="1" applyBorder="1" applyProtection="1">
      <protection locked="0"/>
    </xf>
    <xf numFmtId="38" fontId="119" fillId="0" borderId="0" xfId="0" applyNumberFormat="1" applyFont="1" applyProtection="1"/>
    <xf numFmtId="176" fontId="119" fillId="20" borderId="6" xfId="59" applyNumberFormat="1" applyFont="1" applyFill="1" applyBorder="1" applyProtection="1">
      <protection locked="0"/>
    </xf>
    <xf numFmtId="38" fontId="119" fillId="0" borderId="0" xfId="0" applyNumberFormat="1" applyFont="1"/>
    <xf numFmtId="176" fontId="119" fillId="0" borderId="0" xfId="59" applyNumberFormat="1" applyFont="1" applyFill="1" applyBorder="1" applyProtection="1"/>
    <xf numFmtId="1" fontId="119" fillId="0" borderId="0" xfId="0" applyNumberFormat="1" applyFont="1" applyAlignment="1" applyProtection="1">
      <alignment horizontal="right"/>
    </xf>
    <xf numFmtId="176" fontId="119" fillId="20" borderId="0" xfId="59" applyNumberFormat="1" applyFont="1" applyFill="1" applyBorder="1" applyProtection="1"/>
    <xf numFmtId="176" fontId="119" fillId="20" borderId="0" xfId="59" applyNumberFormat="1" applyFont="1" applyFill="1" applyBorder="1" applyAlignment="1" applyProtection="1">
      <protection locked="0"/>
    </xf>
    <xf numFmtId="3" fontId="119" fillId="0" borderId="0" xfId="0" applyNumberFormat="1" applyFont="1" applyProtection="1"/>
    <xf numFmtId="170" fontId="119" fillId="0" borderId="0" xfId="0" applyNumberFormat="1" applyFont="1" applyProtection="1"/>
    <xf numFmtId="170" fontId="119" fillId="0" borderId="0" xfId="0" applyNumberFormat="1" applyFont="1"/>
    <xf numFmtId="0" fontId="119" fillId="0" borderId="0" xfId="0" applyNumberFormat="1" applyFont="1" applyAlignment="1">
      <alignment horizontal="left" indent="8"/>
    </xf>
    <xf numFmtId="0" fontId="119" fillId="0" borderId="0" xfId="0" applyNumberFormat="1" applyFont="1" applyAlignment="1">
      <alignment horizontal="center" vertical="top" wrapText="1"/>
    </xf>
    <xf numFmtId="0" fontId="119" fillId="0" borderId="0" xfId="0" applyNumberFormat="1" applyFont="1" applyAlignment="1">
      <alignment horizontal="left" vertical="top" wrapText="1" indent="8"/>
    </xf>
    <xf numFmtId="0" fontId="119" fillId="0" borderId="0" xfId="0" applyNumberFormat="1" applyFont="1" applyAlignment="1">
      <alignment vertical="top" wrapText="1"/>
    </xf>
    <xf numFmtId="10" fontId="119" fillId="0" borderId="0" xfId="59" applyNumberFormat="1" applyFont="1" applyFill="1" applyAlignment="1">
      <alignment vertical="top" wrapText="1"/>
    </xf>
    <xf numFmtId="43" fontId="119" fillId="20" borderId="0" xfId="59" applyFont="1" applyFill="1" applyAlignment="1">
      <alignment vertical="top" wrapText="1"/>
    </xf>
    <xf numFmtId="172" fontId="119" fillId="0" borderId="0" xfId="0" applyFont="1" applyAlignment="1">
      <alignment wrapText="1"/>
    </xf>
    <xf numFmtId="172" fontId="119" fillId="0" borderId="0" xfId="0" applyFont="1" applyAlignment="1">
      <alignment horizontal="center"/>
    </xf>
    <xf numFmtId="172" fontId="120" fillId="0" borderId="0" xfId="0" applyFont="1"/>
    <xf numFmtId="0" fontId="119" fillId="0" borderId="0" xfId="0" applyNumberFormat="1" applyFont="1" applyAlignment="1">
      <alignment horizontal="left" indent="1"/>
    </xf>
    <xf numFmtId="172" fontId="99" fillId="0" borderId="0" xfId="0" applyFont="1"/>
    <xf numFmtId="1" fontId="99" fillId="0" borderId="0" xfId="80" applyNumberFormat="1" applyFont="1" applyAlignment="1">
      <alignment horizontal="center"/>
    </xf>
    <xf numFmtId="0" fontId="16" fillId="0" borderId="0" xfId="148" applyFont="1" applyAlignment="1">
      <alignment horizontal="center"/>
    </xf>
    <xf numFmtId="3" fontId="129" fillId="0" borderId="0" xfId="79" applyNumberFormat="1" applyFont="1" applyAlignment="1">
      <alignment horizontal="center" wrapText="1"/>
    </xf>
    <xf numFmtId="0" fontId="112" fillId="0" borderId="29" xfId="148" applyFont="1" applyBorder="1" applyAlignment="1">
      <alignment horizontal="center"/>
    </xf>
    <xf numFmtId="37" fontId="18" fillId="0" borderId="30" xfId="148" applyNumberFormat="1" applyBorder="1"/>
    <xf numFmtId="0" fontId="112" fillId="0" borderId="34" xfId="148" applyFont="1" applyBorder="1" applyAlignment="1">
      <alignment wrapText="1"/>
    </xf>
    <xf numFmtId="0" fontId="112" fillId="0" borderId="0" xfId="148" applyFont="1" applyAlignment="1">
      <alignment horizontal="left" indent="2"/>
    </xf>
    <xf numFmtId="0" fontId="16" fillId="0" borderId="0" xfId="148" applyFont="1" applyAlignment="1">
      <alignment horizontal="center" wrapText="1"/>
    </xf>
    <xf numFmtId="0" fontId="112" fillId="0" borderId="0" xfId="148" applyFont="1" applyAlignment="1">
      <alignment horizontal="center" wrapText="1"/>
    </xf>
    <xf numFmtId="0" fontId="112" fillId="0" borderId="33" xfId="148" applyFont="1" applyBorder="1" applyAlignment="1">
      <alignment horizontal="center" wrapText="1"/>
    </xf>
    <xf numFmtId="0" fontId="18" fillId="0" borderId="0" xfId="148" applyAlignment="1">
      <alignment horizontal="center"/>
    </xf>
    <xf numFmtId="37" fontId="18" fillId="20" borderId="34" xfId="148" applyNumberFormat="1" applyFill="1" applyBorder="1"/>
    <xf numFmtId="37" fontId="18" fillId="20" borderId="0" xfId="148" applyNumberFormat="1" applyFill="1"/>
    <xf numFmtId="37" fontId="112" fillId="0" borderId="34" xfId="148" applyNumberFormat="1" applyFont="1" applyBorder="1" applyAlignment="1">
      <alignment wrapText="1"/>
    </xf>
    <xf numFmtId="0" fontId="18" fillId="0" borderId="21" xfId="148" applyBorder="1"/>
    <xf numFmtId="0" fontId="16" fillId="0" borderId="11" xfId="148" applyFont="1" applyBorder="1"/>
    <xf numFmtId="0" fontId="127" fillId="0" borderId="11" xfId="79" applyFont="1" applyBorder="1" applyAlignment="1">
      <alignment horizontal="center" wrapText="1"/>
    </xf>
    <xf numFmtId="0" fontId="23" fillId="0" borderId="11" xfId="79" applyFont="1" applyBorder="1" applyAlignment="1">
      <alignment horizontal="center" wrapText="1"/>
    </xf>
    <xf numFmtId="0" fontId="16" fillId="0" borderId="0" xfId="148" applyFont="1"/>
    <xf numFmtId="176" fontId="16" fillId="20" borderId="0" xfId="59" applyNumberFormat="1" applyFont="1" applyFill="1"/>
    <xf numFmtId="176" fontId="112" fillId="0" borderId="0" xfId="148" applyNumberFormat="1" applyFont="1"/>
    <xf numFmtId="176" fontId="16" fillId="0" borderId="0" xfId="59" applyNumberFormat="1" applyFont="1"/>
    <xf numFmtId="37" fontId="16" fillId="20" borderId="0" xfId="148" applyNumberFormat="1" applyFont="1" applyFill="1"/>
    <xf numFmtId="0" fontId="18" fillId="0" borderId="40" xfId="148" applyBorder="1"/>
    <xf numFmtId="176" fontId="16" fillId="0" borderId="0" xfId="59" applyNumberFormat="1" applyFont="1" applyFill="1"/>
    <xf numFmtId="43" fontId="16" fillId="0" borderId="0" xfId="59" applyFont="1"/>
    <xf numFmtId="176" fontId="52" fillId="0" borderId="0" xfId="59" applyNumberFormat="1" applyFont="1" applyFill="1" applyBorder="1" applyAlignment="1"/>
    <xf numFmtId="176" fontId="52" fillId="0" borderId="0" xfId="59" applyNumberFormat="1" applyFont="1" applyFill="1" applyAlignment="1"/>
    <xf numFmtId="176" fontId="52" fillId="0" borderId="6" xfId="59" applyNumberFormat="1" applyFont="1" applyFill="1" applyBorder="1" applyAlignment="1"/>
    <xf numFmtId="3" fontId="52" fillId="0" borderId="0" xfId="0" applyNumberFormat="1" applyFont="1"/>
    <xf numFmtId="0" fontId="15" fillId="0" borderId="0" xfId="148" applyFont="1" applyAlignment="1">
      <alignment horizontal="center"/>
    </xf>
    <xf numFmtId="0" fontId="15" fillId="0" borderId="0" xfId="148" applyFont="1" applyAlignment="1">
      <alignment horizontal="center" wrapText="1"/>
    </xf>
    <xf numFmtId="0" fontId="102" fillId="0" borderId="0" xfId="132" applyFont="1" applyAlignment="1">
      <alignment horizontal="left" wrapText="1"/>
    </xf>
    <xf numFmtId="0" fontId="52" fillId="0" borderId="0" xfId="0" applyNumberFormat="1" applyFont="1" applyAlignment="1">
      <alignment horizontal="center"/>
    </xf>
    <xf numFmtId="43" fontId="52" fillId="0" borderId="0" xfId="59" applyFont="1" applyFill="1" applyAlignment="1"/>
    <xf numFmtId="176" fontId="52" fillId="0" borderId="18" xfId="59" applyNumberFormat="1" applyFont="1" applyFill="1" applyBorder="1" applyAlignment="1"/>
    <xf numFmtId="0" fontId="52" fillId="0" borderId="0" xfId="0" applyNumberFormat="1" applyFont="1" applyAlignment="1">
      <alignment horizontal="left"/>
    </xf>
    <xf numFmtId="176" fontId="52" fillId="20" borderId="0" xfId="59" applyNumberFormat="1" applyFont="1" applyFill="1" applyAlignment="1"/>
    <xf numFmtId="176" fontId="52" fillId="20" borderId="0" xfId="59" applyNumberFormat="1" applyFont="1" applyFill="1" applyBorder="1" applyAlignment="1"/>
    <xf numFmtId="176" fontId="52" fillId="0" borderId="0" xfId="59" applyNumberFormat="1" applyFont="1" applyAlignment="1"/>
    <xf numFmtId="3" fontId="53" fillId="0" borderId="0" xfId="0" applyNumberFormat="1" applyFont="1"/>
    <xf numFmtId="10" fontId="52" fillId="0" borderId="0" xfId="0" applyNumberFormat="1" applyFont="1" applyAlignment="1">
      <alignment horizontal="right"/>
    </xf>
    <xf numFmtId="10" fontId="52" fillId="0" borderId="0" xfId="0" applyNumberFormat="1" applyFont="1" applyAlignment="1">
      <alignment horizontal="left"/>
    </xf>
    <xf numFmtId="176" fontId="52" fillId="0" borderId="0" xfId="59" applyNumberFormat="1" applyFont="1" applyBorder="1" applyAlignment="1"/>
    <xf numFmtId="176" fontId="52" fillId="0" borderId="11" xfId="59" applyNumberFormat="1" applyFont="1" applyFill="1" applyBorder="1" applyAlignment="1"/>
    <xf numFmtId="176" fontId="52" fillId="0" borderId="38" xfId="59" applyNumberFormat="1" applyFont="1" applyFill="1" applyBorder="1" applyAlignment="1"/>
    <xf numFmtId="164" fontId="52" fillId="0" borderId="0" xfId="0" applyNumberFormat="1" applyFont="1" applyAlignment="1">
      <alignment horizontal="left"/>
    </xf>
    <xf numFmtId="167" fontId="52" fillId="0" borderId="0" xfId="0" applyNumberFormat="1" applyFont="1"/>
    <xf numFmtId="164" fontId="121" fillId="0" borderId="0" xfId="0" applyNumberFormat="1" applyFont="1" applyAlignment="1">
      <alignment horizontal="left"/>
    </xf>
    <xf numFmtId="0" fontId="52" fillId="0" borderId="0" xfId="0" applyNumberFormat="1" applyFont="1" applyAlignment="1">
      <alignment wrapText="1"/>
    </xf>
    <xf numFmtId="172" fontId="74" fillId="0" borderId="0" xfId="0" applyFont="1" applyAlignment="1">
      <alignment horizontal="center" vertical="top" wrapText="1"/>
    </xf>
    <xf numFmtId="170" fontId="30" fillId="0" borderId="0" xfId="59" applyNumberFormat="1" applyFont="1" applyFill="1" applyBorder="1" applyAlignment="1"/>
    <xf numFmtId="0" fontId="30" fillId="20" borderId="16" xfId="152" quotePrefix="1" applyFont="1" applyFill="1" applyBorder="1"/>
    <xf numFmtId="176" fontId="16" fillId="0" borderId="0" xfId="59" applyNumberFormat="1" applyFont="1" applyFill="1" applyBorder="1"/>
    <xf numFmtId="164" fontId="23" fillId="0" borderId="0" xfId="85" applyNumberFormat="1" applyFont="1" applyFill="1" applyBorder="1" applyAlignment="1"/>
    <xf numFmtId="3" fontId="52" fillId="0" borderId="0" xfId="0" applyNumberFormat="1" applyFont="1" applyAlignment="1">
      <alignment vertical="top"/>
    </xf>
    <xf numFmtId="3" fontId="119" fillId="0" borderId="0" xfId="0" applyNumberFormat="1" applyFont="1" applyAlignment="1">
      <alignment vertical="top"/>
    </xf>
    <xf numFmtId="172" fontId="52" fillId="0" borderId="0" xfId="0" applyFont="1" applyAlignment="1" applyProtection="1">
      <alignment vertical="top" wrapText="1"/>
    </xf>
    <xf numFmtId="0" fontId="22" fillId="0" borderId="0" xfId="132" applyFont="1" applyAlignment="1">
      <alignment vertical="top"/>
    </xf>
    <xf numFmtId="0" fontId="30" fillId="0" borderId="18" xfId="137" applyFont="1" applyBorder="1"/>
    <xf numFmtId="172" fontId="128" fillId="0" borderId="0" xfId="0" applyFont="1" applyAlignment="1">
      <alignment vertical="top"/>
    </xf>
    <xf numFmtId="0" fontId="13" fillId="0" borderId="0" xfId="148" applyFont="1" applyAlignment="1">
      <alignment horizontal="center" wrapText="1"/>
    </xf>
    <xf numFmtId="172" fontId="30" fillId="20" borderId="0" xfId="152" quotePrefix="1" applyNumberFormat="1" applyFont="1" applyFill="1" applyAlignment="1">
      <alignment horizontal="center"/>
    </xf>
    <xf numFmtId="172" fontId="74" fillId="0" borderId="0" xfId="0" applyFont="1" applyAlignment="1">
      <alignment horizontal="center" vertical="center" wrapText="1"/>
    </xf>
    <xf numFmtId="172" fontId="74" fillId="0" borderId="0" xfId="0" applyFont="1" applyAlignment="1">
      <alignment horizontal="right" vertical="center"/>
    </xf>
    <xf numFmtId="176" fontId="52" fillId="0" borderId="16" xfId="59" quotePrefix="1" applyNumberFormat="1" applyFont="1" applyFill="1" applyBorder="1" applyAlignment="1">
      <alignment horizontal="center"/>
    </xf>
    <xf numFmtId="176" fontId="52" fillId="0" borderId="0" xfId="59" applyNumberFormat="1" applyFont="1" applyFill="1" applyBorder="1" applyAlignment="1">
      <alignment horizontal="center"/>
    </xf>
    <xf numFmtId="176" fontId="52" fillId="0" borderId="0" xfId="59" applyNumberFormat="1" applyFont="1" applyFill="1" applyBorder="1" applyAlignment="1">
      <alignment horizontal="left" wrapText="1"/>
    </xf>
    <xf numFmtId="176" fontId="52" fillId="0" borderId="0" xfId="59" applyNumberFormat="1" applyFont="1" applyFill="1" applyBorder="1" applyAlignment="1">
      <alignment horizontal="left"/>
    </xf>
    <xf numFmtId="176" fontId="52" fillId="0" borderId="0" xfId="59" applyNumberFormat="1" applyFont="1" applyFill="1" applyAlignment="1">
      <alignment horizontal="center"/>
    </xf>
    <xf numFmtId="176" fontId="119" fillId="0" borderId="0" xfId="59" applyNumberFormat="1" applyFont="1" applyFill="1" applyAlignment="1">
      <alignment horizontal="center"/>
    </xf>
    <xf numFmtId="176" fontId="73" fillId="0" borderId="0" xfId="59" applyNumberFormat="1" applyFont="1" applyFill="1" applyBorder="1" applyAlignment="1">
      <alignment horizontal="left"/>
    </xf>
    <xf numFmtId="0" fontId="30" fillId="0" borderId="13" xfId="0" applyNumberFormat="1" applyFont="1" applyBorder="1" applyAlignment="1">
      <alignment horizontal="center"/>
    </xf>
    <xf numFmtId="0" fontId="132" fillId="0" borderId="0" xfId="132" applyFont="1"/>
    <xf numFmtId="172" fontId="88" fillId="20" borderId="0" xfId="0" applyFont="1" applyFill="1" applyAlignment="1">
      <alignment horizontal="center" vertical="center"/>
    </xf>
    <xf numFmtId="176" fontId="52" fillId="0" borderId="0" xfId="157" applyNumberFormat="1" applyFont="1" applyAlignment="1">
      <alignment horizontal="center"/>
    </xf>
    <xf numFmtId="0" fontId="52" fillId="0" borderId="0" xfId="158" applyFont="1"/>
    <xf numFmtId="176" fontId="53" fillId="0" borderId="0" xfId="59" applyNumberFormat="1" applyFont="1" applyBorder="1" applyAlignment="1"/>
    <xf numFmtId="0" fontId="53" fillId="0" borderId="11" xfId="0" applyNumberFormat="1" applyFont="1" applyBorder="1" applyAlignment="1">
      <alignment horizontal="center"/>
    </xf>
    <xf numFmtId="172" fontId="53" fillId="0" borderId="11" xfId="0" applyFont="1" applyBorder="1" applyAlignment="1">
      <alignment horizontal="center"/>
    </xf>
    <xf numFmtId="172" fontId="52" fillId="0" borderId="0" xfId="0" quotePrefix="1" applyFont="1"/>
    <xf numFmtId="172" fontId="126" fillId="0" borderId="0" xfId="0" applyFont="1"/>
    <xf numFmtId="172" fontId="133" fillId="0" borderId="0" xfId="0" applyFont="1"/>
    <xf numFmtId="176" fontId="52" fillId="0" borderId="32" xfId="59" applyNumberFormat="1" applyFont="1" applyBorder="1" applyAlignment="1"/>
    <xf numFmtId="0" fontId="53" fillId="0" borderId="0" xfId="0" applyNumberFormat="1" applyFont="1" applyAlignment="1">
      <alignment horizontal="center"/>
    </xf>
    <xf numFmtId="0" fontId="135" fillId="0" borderId="0" xfId="159" applyFont="1"/>
    <xf numFmtId="0" fontId="0" fillId="0" borderId="0" xfId="0" applyNumberFormat="1"/>
    <xf numFmtId="0" fontId="53" fillId="0" borderId="0" xfId="160" applyNumberFormat="1" applyFont="1" applyFill="1" applyAlignment="1">
      <alignment vertical="top"/>
    </xf>
    <xf numFmtId="0" fontId="30" fillId="0" borderId="0" xfId="156" applyFont="1"/>
    <xf numFmtId="1" fontId="138" fillId="0" borderId="0" xfId="78" applyNumberFormat="1" applyFont="1" applyAlignment="1">
      <alignment vertical="center"/>
    </xf>
    <xf numFmtId="0" fontId="139" fillId="0" borderId="0" xfId="132" applyFont="1"/>
    <xf numFmtId="0" fontId="140" fillId="0" borderId="0" xfId="132" applyFont="1"/>
    <xf numFmtId="0" fontId="140" fillId="0" borderId="0" xfId="78" applyFont="1" applyAlignment="1">
      <alignment horizontal="right"/>
    </xf>
    <xf numFmtId="0" fontId="138" fillId="0" borderId="0" xfId="132" applyFont="1" applyAlignment="1">
      <alignment vertical="top"/>
    </xf>
    <xf numFmtId="0" fontId="112" fillId="0" borderId="0" xfId="132" applyFont="1"/>
    <xf numFmtId="0" fontId="138" fillId="0" borderId="0" xfId="154" applyFont="1" applyAlignment="1">
      <alignment horizontal="center" vertical="center"/>
    </xf>
    <xf numFmtId="0" fontId="140" fillId="0" borderId="0" xfId="154" applyFont="1" applyAlignment="1">
      <alignment horizontal="right"/>
    </xf>
    <xf numFmtId="0" fontId="138" fillId="0" borderId="0" xfId="78" applyFont="1" applyAlignment="1"/>
    <xf numFmtId="0" fontId="140" fillId="0" borderId="0" xfId="78" applyFont="1" applyAlignment="1"/>
    <xf numFmtId="0" fontId="139" fillId="0" borderId="0" xfId="132" applyFont="1" applyAlignment="1">
      <alignment horizontal="center" vertical="center"/>
    </xf>
    <xf numFmtId="0" fontId="141" fillId="0" borderId="0" xfId="156" applyFont="1" applyAlignment="1">
      <alignment horizontal="center"/>
    </xf>
    <xf numFmtId="0" fontId="138" fillId="0" borderId="12" xfId="132" applyFont="1" applyBorder="1" applyAlignment="1">
      <alignment horizontal="center" vertical="center" wrapText="1"/>
    </xf>
    <xf numFmtId="0" fontId="138" fillId="0" borderId="0" xfId="132" applyFont="1" applyAlignment="1">
      <alignment horizontal="center" vertical="center" wrapText="1"/>
    </xf>
    <xf numFmtId="0" fontId="138" fillId="0" borderId="0" xfId="132" applyFont="1" applyAlignment="1">
      <alignment vertical="center" wrapText="1"/>
    </xf>
    <xf numFmtId="0" fontId="138" fillId="0" borderId="0" xfId="132" applyFont="1" applyAlignment="1">
      <alignment horizontal="center" wrapText="1"/>
    </xf>
    <xf numFmtId="0" fontId="140" fillId="20" borderId="0" xfId="132" applyFont="1" applyFill="1" applyAlignment="1">
      <alignment horizontal="center"/>
    </xf>
    <xf numFmtId="0" fontId="140" fillId="20" borderId="0" xfId="132" applyFont="1" applyFill="1"/>
    <xf numFmtId="176" fontId="140" fillId="20" borderId="0" xfId="133" applyNumberFormat="1" applyFont="1" applyFill="1" applyAlignment="1">
      <alignment vertical="center"/>
    </xf>
    <xf numFmtId="176" fontId="140" fillId="0" borderId="0" xfId="132" applyNumberFormat="1" applyFont="1"/>
    <xf numFmtId="176" fontId="139" fillId="0" borderId="0" xfId="132" applyNumberFormat="1" applyFont="1"/>
    <xf numFmtId="0" fontId="140" fillId="0" borderId="0" xfId="132" applyFont="1" applyAlignment="1">
      <alignment horizontal="center"/>
    </xf>
    <xf numFmtId="176" fontId="140" fillId="0" borderId="0" xfId="133" applyNumberFormat="1" applyFont="1" applyFill="1" applyAlignment="1">
      <alignment vertical="center"/>
    </xf>
    <xf numFmtId="0" fontId="142" fillId="0" borderId="0" xfId="132" applyFont="1"/>
    <xf numFmtId="0" fontId="139" fillId="0" borderId="0" xfId="78" applyFont="1" applyAlignment="1"/>
    <xf numFmtId="176" fontId="139" fillId="0" borderId="0" xfId="78" applyNumberFormat="1" applyFont="1" applyAlignment="1"/>
    <xf numFmtId="0" fontId="138" fillId="20" borderId="0" xfId="132" applyFont="1" applyFill="1"/>
    <xf numFmtId="0" fontId="138" fillId="0" borderId="0" xfId="132" applyFont="1"/>
    <xf numFmtId="176" fontId="140" fillId="0" borderId="11" xfId="133" applyNumberFormat="1" applyFont="1" applyFill="1" applyBorder="1" applyAlignment="1">
      <alignment vertical="center"/>
    </xf>
    <xf numFmtId="176" fontId="140" fillId="0" borderId="11" xfId="132" applyNumberFormat="1" applyFont="1" applyBorder="1"/>
    <xf numFmtId="176" fontId="138" fillId="0" borderId="0" xfId="133" applyNumberFormat="1" applyFont="1" applyFill="1" applyBorder="1"/>
    <xf numFmtId="176" fontId="140" fillId="0" borderId="0" xfId="133" applyNumberFormat="1" applyFont="1"/>
    <xf numFmtId="176" fontId="140" fillId="0" borderId="0" xfId="133" applyNumberFormat="1" applyFont="1" applyAlignment="1">
      <alignment horizontal="center"/>
    </xf>
    <xf numFmtId="176" fontId="140" fillId="20" borderId="0" xfId="133" applyNumberFormat="1" applyFont="1" applyFill="1"/>
    <xf numFmtId="176" fontId="140" fillId="20" borderId="0" xfId="133" applyNumberFormat="1" applyFont="1" applyFill="1" applyBorder="1" applyAlignment="1">
      <alignment vertical="center"/>
    </xf>
    <xf numFmtId="176" fontId="140" fillId="20" borderId="11" xfId="133" applyNumberFormat="1" applyFont="1" applyFill="1" applyBorder="1" applyAlignment="1">
      <alignment vertical="center"/>
    </xf>
    <xf numFmtId="176" fontId="138" fillId="0" borderId="0" xfId="132" applyNumberFormat="1" applyFont="1"/>
    <xf numFmtId="176" fontId="138" fillId="0" borderId="0" xfId="133" applyNumberFormat="1" applyFont="1" applyFill="1" applyBorder="1" applyAlignment="1">
      <alignment vertical="center"/>
    </xf>
    <xf numFmtId="176" fontId="138" fillId="0" borderId="0" xfId="133" applyNumberFormat="1" applyFont="1" applyFill="1"/>
    <xf numFmtId="176" fontId="140" fillId="0" borderId="0" xfId="133" applyNumberFormat="1" applyFont="1" applyFill="1"/>
    <xf numFmtId="0" fontId="139" fillId="0" borderId="0" xfId="132" applyFont="1" applyAlignment="1">
      <alignment horizontal="center"/>
    </xf>
    <xf numFmtId="0" fontId="139" fillId="0" borderId="0" xfId="132" applyFont="1" applyAlignment="1">
      <alignment horizontal="left"/>
    </xf>
    <xf numFmtId="176" fontId="139" fillId="0" borderId="0" xfId="133" applyNumberFormat="1" applyFont="1"/>
    <xf numFmtId="176" fontId="143" fillId="0" borderId="0" xfId="133" applyNumberFormat="1" applyFont="1" applyFill="1" applyBorder="1"/>
    <xf numFmtId="0" fontId="139" fillId="0" borderId="0" xfId="132" applyFont="1" applyAlignment="1">
      <alignment horizontal="center" vertical="top"/>
    </xf>
    <xf numFmtId="0" fontId="139" fillId="0" borderId="0" xfId="132" applyFont="1" applyAlignment="1">
      <alignment vertical="center"/>
    </xf>
    <xf numFmtId="0" fontId="139" fillId="0" borderId="0" xfId="132" applyFont="1" applyAlignment="1">
      <alignment vertical="top"/>
    </xf>
    <xf numFmtId="176" fontId="139" fillId="0" borderId="0" xfId="133" applyNumberFormat="1" applyFont="1" applyFill="1" applyAlignment="1">
      <alignment vertical="top"/>
    </xf>
    <xf numFmtId="176" fontId="139" fillId="0" borderId="0" xfId="133" applyNumberFormat="1" applyFont="1" applyAlignment="1">
      <alignment vertical="top"/>
    </xf>
    <xf numFmtId="176" fontId="143" fillId="0" borderId="0" xfId="133" applyNumberFormat="1" applyFont="1" applyFill="1" applyBorder="1" applyAlignment="1">
      <alignment vertical="top"/>
    </xf>
    <xf numFmtId="0" fontId="139" fillId="0" borderId="0" xfId="132" applyFont="1" applyAlignment="1">
      <alignment horizontal="right"/>
    </xf>
    <xf numFmtId="172" fontId="30" fillId="0" borderId="0" xfId="0" applyFont="1" applyAlignment="1">
      <alignment horizontal="left"/>
    </xf>
    <xf numFmtId="172" fontId="30" fillId="0" borderId="0" xfId="0" applyFont="1" applyAlignment="1">
      <alignment horizontal="left" wrapText="1"/>
    </xf>
    <xf numFmtId="0" fontId="52" fillId="0" borderId="0" xfId="158" applyFont="1" applyAlignment="1">
      <alignment horizontal="center"/>
    </xf>
    <xf numFmtId="0" fontId="53" fillId="0" borderId="11" xfId="157" applyNumberFormat="1" applyFont="1" applyBorder="1" applyAlignment="1">
      <alignment horizontal="center" wrapText="1"/>
    </xf>
    <xf numFmtId="0" fontId="53" fillId="0" borderId="11" xfId="158" applyFont="1" applyBorder="1" applyAlignment="1">
      <alignment horizontal="center" wrapText="1"/>
    </xf>
    <xf numFmtId="0" fontId="144" fillId="0" borderId="0" xfId="157" applyNumberFormat="1" applyFont="1" applyAlignment="1">
      <alignment horizontal="center" wrapText="1"/>
    </xf>
    <xf numFmtId="0" fontId="53" fillId="0" borderId="11" xfId="161" applyNumberFormat="1" applyFont="1" applyBorder="1"/>
    <xf numFmtId="49" fontId="53" fillId="0" borderId="11" xfId="157" applyNumberFormat="1" applyFont="1" applyBorder="1" applyAlignment="1">
      <alignment horizontal="left" wrapText="1"/>
    </xf>
    <xf numFmtId="0" fontId="53" fillId="0" borderId="11" xfId="161" applyNumberFormat="1" applyFont="1" applyBorder="1" applyAlignment="1">
      <alignment horizontal="center" wrapText="1"/>
    </xf>
    <xf numFmtId="49" fontId="53" fillId="0" borderId="11" xfId="157" applyNumberFormat="1" applyFont="1" applyBorder="1" applyAlignment="1">
      <alignment horizontal="center" wrapText="1"/>
    </xf>
    <xf numFmtId="0" fontId="53" fillId="0" borderId="0" xfId="156" applyFont="1" applyAlignment="1">
      <alignment horizontal="center"/>
    </xf>
    <xf numFmtId="0" fontId="52" fillId="0" borderId="0" xfId="158" applyFont="1" applyAlignment="1">
      <alignment horizontal="center" wrapText="1"/>
    </xf>
    <xf numFmtId="0" fontId="53" fillId="0" borderId="0" xfId="156" applyFont="1"/>
    <xf numFmtId="0" fontId="53" fillId="0" borderId="0" xfId="161" applyNumberFormat="1" applyFont="1"/>
    <xf numFmtId="176" fontId="53" fillId="0" borderId="0" xfId="157" applyNumberFormat="1" applyFont="1" applyAlignment="1">
      <alignment horizontal="center" wrapText="1"/>
    </xf>
    <xf numFmtId="176" fontId="52" fillId="20" borderId="0" xfId="157" applyNumberFormat="1" applyFont="1" applyFill="1" applyAlignment="1">
      <alignment horizontal="left"/>
    </xf>
    <xf numFmtId="176" fontId="52" fillId="0" borderId="0" xfId="157" applyNumberFormat="1" applyFont="1"/>
    <xf numFmtId="176" fontId="52" fillId="0" borderId="0" xfId="157" applyNumberFormat="1" applyFont="1" applyBorder="1"/>
    <xf numFmtId="176" fontId="52" fillId="0" borderId="32" xfId="157" applyNumberFormat="1" applyFont="1" applyBorder="1"/>
    <xf numFmtId="0" fontId="130" fillId="0" borderId="0" xfId="158" applyFont="1" applyAlignment="1">
      <alignment horizontal="left"/>
    </xf>
    <xf numFmtId="176" fontId="53" fillId="0" borderId="0" xfId="157" applyNumberFormat="1" applyFont="1" applyFill="1" applyAlignment="1">
      <alignment vertical="top"/>
    </xf>
    <xf numFmtId="0" fontId="52" fillId="0" borderId="0" xfId="158" applyFont="1" applyAlignment="1">
      <alignment wrapText="1"/>
    </xf>
    <xf numFmtId="0" fontId="126" fillId="0" borderId="0" xfId="158" applyFont="1"/>
    <xf numFmtId="0" fontId="121" fillId="0" borderId="0" xfId="0" applyNumberFormat="1" applyFont="1"/>
    <xf numFmtId="172" fontId="121" fillId="0" borderId="0" xfId="0" applyFont="1"/>
    <xf numFmtId="0" fontId="124" fillId="0" borderId="0" xfId="0" applyNumberFormat="1" applyFont="1" applyAlignment="1">
      <alignment horizontal="center"/>
    </xf>
    <xf numFmtId="170" fontId="0" fillId="0" borderId="0" xfId="0" applyNumberFormat="1"/>
    <xf numFmtId="49" fontId="136" fillId="20" borderId="0" xfId="0" applyNumberFormat="1" applyFont="1" applyFill="1"/>
    <xf numFmtId="176" fontId="52" fillId="20" borderId="16" xfId="59" quotePrefix="1" applyNumberFormat="1" applyFont="1" applyFill="1" applyBorder="1" applyAlignment="1">
      <alignment horizontal="center"/>
    </xf>
    <xf numFmtId="176" fontId="52" fillId="20" borderId="0" xfId="59" applyNumberFormat="1" applyFont="1" applyFill="1" applyBorder="1" applyAlignment="1">
      <alignment horizontal="left" wrapText="1"/>
    </xf>
    <xf numFmtId="176" fontId="52" fillId="20" borderId="0" xfId="59" applyNumberFormat="1" applyFont="1" applyFill="1" applyBorder="1" applyAlignment="1">
      <alignment horizontal="left"/>
    </xf>
    <xf numFmtId="3" fontId="137" fillId="0" borderId="0" xfId="0" applyNumberFormat="1" applyFont="1"/>
    <xf numFmtId="172" fontId="137" fillId="0" borderId="0" xfId="0" applyFont="1"/>
    <xf numFmtId="49" fontId="137" fillId="0" borderId="0" xfId="0" applyNumberFormat="1" applyFont="1" applyAlignment="1">
      <alignment horizontal="center"/>
    </xf>
    <xf numFmtId="172" fontId="146" fillId="0" borderId="0" xfId="0" applyFont="1" applyAlignment="1">
      <alignment horizontal="center"/>
    </xf>
    <xf numFmtId="3" fontId="137" fillId="0" borderId="0" xfId="0" applyNumberFormat="1" applyFont="1" applyAlignment="1">
      <alignment horizontal="center"/>
    </xf>
    <xf numFmtId="173" fontId="137" fillId="0" borderId="0" xfId="63" applyNumberFormat="1" applyFont="1" applyFill="1" applyBorder="1" applyAlignment="1"/>
    <xf numFmtId="177" fontId="137" fillId="0" borderId="0" xfId="0" applyNumberFormat="1" applyFont="1"/>
    <xf numFmtId="0" fontId="137" fillId="0" borderId="0" xfId="0" applyNumberFormat="1" applyFont="1"/>
    <xf numFmtId="164" fontId="137" fillId="0" borderId="0" xfId="0" applyNumberFormat="1" applyFont="1" applyAlignment="1">
      <alignment horizontal="center"/>
    </xf>
    <xf numFmtId="177" fontId="137" fillId="0" borderId="0" xfId="85" applyNumberFormat="1" applyFont="1" applyFill="1" applyBorder="1" applyAlignment="1"/>
    <xf numFmtId="0" fontId="146" fillId="0" borderId="0" xfId="0" applyNumberFormat="1" applyFont="1"/>
    <xf numFmtId="3" fontId="146" fillId="0" borderId="0" xfId="0" applyNumberFormat="1" applyFont="1" applyAlignment="1">
      <alignment horizontal="center"/>
    </xf>
    <xf numFmtId="3" fontId="146" fillId="0" borderId="0" xfId="0" applyNumberFormat="1" applyFont="1"/>
    <xf numFmtId="172" fontId="137" fillId="0" borderId="0" xfId="0" applyFont="1" applyAlignment="1">
      <alignment horizontal="center"/>
    </xf>
    <xf numFmtId="49" fontId="146" fillId="0" borderId="0" xfId="0" applyNumberFormat="1" applyFont="1" applyAlignment="1">
      <alignment horizontal="center"/>
    </xf>
    <xf numFmtId="177" fontId="146" fillId="0" borderId="0" xfId="85" applyNumberFormat="1" applyFont="1" applyFill="1" applyBorder="1" applyAlignment="1"/>
    <xf numFmtId="172" fontId="146" fillId="0" borderId="0" xfId="0" applyFont="1"/>
    <xf numFmtId="182" fontId="146" fillId="0" borderId="0" xfId="85" applyNumberFormat="1" applyFont="1" applyFill="1" applyBorder="1" applyAlignment="1"/>
    <xf numFmtId="0" fontId="23" fillId="0" borderId="10" xfId="0" applyNumberFormat="1" applyFont="1" applyBorder="1"/>
    <xf numFmtId="0" fontId="30" fillId="0" borderId="10" xfId="59" applyNumberFormat="1" applyFont="1" applyFill="1" applyBorder="1" applyAlignment="1"/>
    <xf numFmtId="0" fontId="30" fillId="20" borderId="10" xfId="59" applyNumberFormat="1" applyFont="1" applyFill="1" applyBorder="1" applyAlignment="1"/>
    <xf numFmtId="0" fontId="53" fillId="20" borderId="11" xfId="157" applyNumberFormat="1" applyFont="1" applyFill="1" applyBorder="1" applyAlignment="1">
      <alignment horizontal="center" wrapText="1"/>
    </xf>
    <xf numFmtId="181" fontId="52" fillId="0" borderId="0" xfId="59" applyNumberFormat="1" applyFont="1" applyAlignment="1">
      <alignment horizontal="center"/>
    </xf>
    <xf numFmtId="0" fontId="130" fillId="0" borderId="0" xfId="158" applyFont="1" applyAlignment="1">
      <alignment horizontal="center" wrapText="1"/>
    </xf>
    <xf numFmtId="181" fontId="53" fillId="0" borderId="11" xfId="59" applyNumberFormat="1" applyFont="1" applyBorder="1" applyAlignment="1">
      <alignment horizontal="center" wrapText="1"/>
    </xf>
    <xf numFmtId="176" fontId="52" fillId="0" borderId="0" xfId="59" applyNumberFormat="1" applyFont="1"/>
    <xf numFmtId="0" fontId="52" fillId="20" borderId="0" xfId="162" applyFont="1" applyFill="1" applyAlignment="1">
      <alignment horizontal="left"/>
    </xf>
    <xf numFmtId="176" fontId="52" fillId="20" borderId="0" xfId="59" applyNumberFormat="1" applyFont="1" applyFill="1" applyAlignment="1">
      <alignment horizontal="left"/>
    </xf>
    <xf numFmtId="0" fontId="52" fillId="0" borderId="0" xfId="59" applyNumberFormat="1" applyFont="1" applyAlignment="1">
      <alignment horizontal="center"/>
    </xf>
    <xf numFmtId="43" fontId="52" fillId="20" borderId="0" xfId="59" applyFont="1" applyFill="1" applyAlignment="1">
      <alignment horizontal="center"/>
    </xf>
    <xf numFmtId="0" fontId="53" fillId="0" borderId="0" xfId="158" applyFont="1" applyAlignment="1">
      <alignment horizontal="center"/>
    </xf>
    <xf numFmtId="0" fontId="53" fillId="0" borderId="0" xfId="158" applyFont="1"/>
    <xf numFmtId="176" fontId="53" fillId="0" borderId="0" xfId="157" applyNumberFormat="1" applyFont="1"/>
    <xf numFmtId="176" fontId="53" fillId="0" borderId="0" xfId="158" applyNumberFormat="1" applyFont="1" applyAlignment="1">
      <alignment horizontal="center"/>
    </xf>
    <xf numFmtId="181" fontId="53" fillId="0" borderId="0" xfId="59" applyNumberFormat="1" applyFont="1" applyAlignment="1">
      <alignment horizontal="center"/>
    </xf>
    <xf numFmtId="172" fontId="128" fillId="0" borderId="0" xfId="0" applyFont="1"/>
    <xf numFmtId="172" fontId="147" fillId="0" borderId="0" xfId="0" applyFont="1"/>
    <xf numFmtId="172" fontId="136" fillId="0" borderId="0" xfId="0" applyFont="1" applyAlignment="1">
      <alignment horizontal="right" vertical="center"/>
    </xf>
    <xf numFmtId="0" fontId="136" fillId="0" borderId="0" xfId="0" applyNumberFormat="1" applyFont="1" applyAlignment="1">
      <alignment horizontal="right"/>
    </xf>
    <xf numFmtId="173" fontId="119" fillId="0" borderId="0" xfId="63" applyNumberFormat="1" applyFont="1" applyFill="1" applyBorder="1"/>
    <xf numFmtId="49" fontId="84" fillId="20" borderId="0" xfId="129" applyNumberFormat="1" applyFont="1" applyFill="1" applyAlignment="1">
      <alignment horizontal="center"/>
    </xf>
    <xf numFmtId="0" fontId="75" fillId="20" borderId="0" xfId="0" applyNumberFormat="1" applyFont="1" applyFill="1" applyAlignment="1">
      <alignment horizontal="center" vertical="center"/>
    </xf>
    <xf numFmtId="172" fontId="74" fillId="0" borderId="0" xfId="0" applyFont="1" applyAlignment="1">
      <alignment vertical="center" wrapText="1"/>
    </xf>
    <xf numFmtId="172" fontId="81" fillId="21" borderId="32" xfId="0" applyFont="1" applyFill="1" applyBorder="1" applyAlignment="1">
      <alignment vertical="center"/>
    </xf>
    <xf numFmtId="172" fontId="81" fillId="21" borderId="32" xfId="0" applyFont="1" applyFill="1" applyBorder="1" applyAlignment="1">
      <alignment horizontal="center" vertical="center"/>
    </xf>
    <xf numFmtId="172" fontId="81" fillId="0" borderId="0" xfId="0" applyFont="1" applyAlignment="1">
      <alignment horizontal="center" vertical="center"/>
    </xf>
    <xf numFmtId="172" fontId="81" fillId="0" borderId="0" xfId="0" applyFont="1" applyAlignment="1">
      <alignment vertical="center"/>
    </xf>
    <xf numFmtId="165" fontId="52" fillId="0" borderId="0" xfId="0" applyNumberFormat="1" applyFont="1"/>
    <xf numFmtId="176" fontId="52" fillId="0" borderId="0" xfId="157" applyNumberFormat="1" applyFont="1" applyBorder="1" applyAlignment="1">
      <alignment horizontal="center"/>
    </xf>
    <xf numFmtId="181" fontId="52" fillId="0" borderId="0" xfId="59" applyNumberFormat="1" applyFont="1" applyBorder="1" applyAlignment="1">
      <alignment horizontal="center"/>
    </xf>
    <xf numFmtId="181" fontId="53" fillId="0" borderId="0" xfId="59" applyNumberFormat="1" applyFont="1" applyBorder="1" applyAlignment="1">
      <alignment horizontal="center" wrapText="1"/>
    </xf>
    <xf numFmtId="49" fontId="53" fillId="0" borderId="0" xfId="157" applyNumberFormat="1" applyFont="1" applyBorder="1" applyAlignment="1">
      <alignment horizontal="center" wrapText="1"/>
    </xf>
    <xf numFmtId="0" fontId="52" fillId="0" borderId="0" xfId="59" applyNumberFormat="1" applyFont="1" applyBorder="1" applyAlignment="1">
      <alignment horizontal="center"/>
    </xf>
    <xf numFmtId="1" fontId="52" fillId="20" borderId="0" xfId="59" applyNumberFormat="1" applyFont="1" applyFill="1" applyAlignment="1">
      <alignment horizontal="center"/>
    </xf>
    <xf numFmtId="187" fontId="52" fillId="20" borderId="0" xfId="59" applyNumberFormat="1" applyFont="1" applyFill="1" applyAlignment="1">
      <alignment horizontal="center"/>
    </xf>
    <xf numFmtId="176" fontId="53" fillId="0" borderId="0" xfId="157" applyNumberFormat="1" applyFont="1" applyFill="1"/>
    <xf numFmtId="181" fontId="53" fillId="0" borderId="0" xfId="59" applyNumberFormat="1" applyFont="1" applyFill="1" applyAlignment="1">
      <alignment horizontal="center"/>
    </xf>
    <xf numFmtId="176" fontId="53" fillId="0" borderId="27" xfId="157" applyNumberFormat="1" applyFont="1" applyFill="1" applyBorder="1"/>
    <xf numFmtId="176" fontId="53" fillId="0" borderId="27" xfId="158" applyNumberFormat="1" applyFont="1" applyBorder="1" applyAlignment="1">
      <alignment horizontal="center"/>
    </xf>
    <xf numFmtId="172" fontId="0" fillId="0" borderId="0" xfId="0" applyAlignment="1">
      <alignment horizontal="center"/>
    </xf>
    <xf numFmtId="172" fontId="55" fillId="0" borderId="0" xfId="0" applyFont="1"/>
    <xf numFmtId="172" fontId="76" fillId="0" borderId="0" xfId="0" quotePrefix="1" applyFont="1" applyAlignment="1">
      <alignment horizontal="center" vertical="center"/>
    </xf>
    <xf numFmtId="172" fontId="30" fillId="0" borderId="0" xfId="0" applyFont="1" applyAlignment="1">
      <alignment horizontal="center" vertical="center"/>
    </xf>
    <xf numFmtId="172" fontId="0" fillId="0" borderId="0" xfId="0" quotePrefix="1"/>
    <xf numFmtId="0" fontId="53" fillId="0" borderId="11" xfId="157" applyNumberFormat="1" applyFont="1" applyFill="1" applyBorder="1" applyAlignment="1">
      <alignment horizontal="center" wrapText="1"/>
    </xf>
    <xf numFmtId="172" fontId="148" fillId="0" borderId="0" xfId="0" applyFont="1" applyAlignment="1">
      <alignment vertical="center" wrapText="1"/>
    </xf>
    <xf numFmtId="176" fontId="52" fillId="0" borderId="0" xfId="157" applyNumberFormat="1" applyFont="1" applyAlignment="1"/>
    <xf numFmtId="10" fontId="84" fillId="0" borderId="0" xfId="129" applyNumberFormat="1" applyFont="1"/>
    <xf numFmtId="176" fontId="75" fillId="0" borderId="0" xfId="59" applyNumberFormat="1" applyFont="1" applyFill="1" applyBorder="1" applyAlignment="1">
      <alignment horizontal="center" vertical="center"/>
    </xf>
    <xf numFmtId="43" fontId="74" fillId="0" borderId="0" xfId="59" applyFont="1" applyFill="1" applyAlignment="1">
      <alignment horizontal="center" vertical="center"/>
    </xf>
    <xf numFmtId="172" fontId="76" fillId="0" borderId="0" xfId="0" applyFont="1" applyAlignment="1">
      <alignment horizontal="center" vertical="center" wrapText="1"/>
    </xf>
    <xf numFmtId="172" fontId="75" fillId="0" borderId="0" xfId="0" applyFont="1" applyAlignment="1">
      <alignment vertical="center" wrapText="1"/>
    </xf>
    <xf numFmtId="172" fontId="76" fillId="0" borderId="0" xfId="0" applyFont="1" applyAlignment="1">
      <alignment vertical="center" wrapText="1"/>
    </xf>
    <xf numFmtId="0" fontId="75" fillId="20" borderId="0" xfId="0" applyNumberFormat="1" applyFont="1" applyFill="1" applyAlignment="1">
      <alignment vertical="center" wrapText="1"/>
    </xf>
    <xf numFmtId="0" fontId="77" fillId="0" borderId="0" xfId="0" applyNumberFormat="1" applyFont="1" applyAlignment="1">
      <alignment horizontal="right" vertical="center" wrapText="1"/>
    </xf>
    <xf numFmtId="172" fontId="77" fillId="0" borderId="0" xfId="0" applyFont="1" applyAlignment="1">
      <alignment horizontal="right" vertical="center" wrapText="1"/>
    </xf>
    <xf numFmtId="172" fontId="75" fillId="20" borderId="0" xfId="0" applyFont="1" applyFill="1" applyAlignment="1">
      <alignment vertical="center" wrapText="1"/>
    </xf>
    <xf numFmtId="172" fontId="52" fillId="0" borderId="6" xfId="0" applyFont="1" applyBorder="1"/>
    <xf numFmtId="183" fontId="23" fillId="0" borderId="0" xfId="0" quotePrefix="1" applyNumberFormat="1" applyFont="1" applyAlignment="1">
      <alignment horizontal="right"/>
    </xf>
    <xf numFmtId="172" fontId="119" fillId="0" borderId="0" xfId="0" applyFont="1" applyAlignment="1">
      <alignment vertical="center" wrapText="1"/>
    </xf>
    <xf numFmtId="172" fontId="119" fillId="0" borderId="0" xfId="0" applyFont="1" applyAlignment="1">
      <alignment vertical="center"/>
    </xf>
    <xf numFmtId="164" fontId="52" fillId="0" borderId="0" xfId="0" applyNumberFormat="1" applyFont="1" applyAlignment="1">
      <alignment horizontal="left" wrapText="1"/>
    </xf>
    <xf numFmtId="174" fontId="52" fillId="0" borderId="0" xfId="0" applyNumberFormat="1" applyFont="1"/>
    <xf numFmtId="0" fontId="52" fillId="0" borderId="0" xfId="0" applyNumberFormat="1" applyFont="1" applyAlignment="1">
      <alignment horizontal="left" indent="1"/>
    </xf>
    <xf numFmtId="176" fontId="53" fillId="0" borderId="41" xfId="59" applyNumberFormat="1" applyFont="1" applyFill="1" applyBorder="1" applyAlignment="1">
      <alignment horizontal="center"/>
    </xf>
    <xf numFmtId="176" fontId="53" fillId="0" borderId="16" xfId="59" applyNumberFormat="1" applyFont="1" applyFill="1" applyBorder="1" applyAlignment="1"/>
    <xf numFmtId="0" fontId="136" fillId="0" borderId="0" xfId="159" applyFont="1"/>
    <xf numFmtId="169" fontId="30" fillId="0" borderId="0" xfId="133" applyNumberFormat="1" applyFont="1" applyFill="1" applyBorder="1" applyAlignment="1"/>
    <xf numFmtId="172" fontId="0" fillId="0" borderId="14" xfId="0" applyBorder="1" applyAlignment="1">
      <alignment horizontal="center"/>
    </xf>
    <xf numFmtId="172" fontId="0" fillId="0" borderId="23" xfId="0" applyBorder="1" applyAlignment="1">
      <alignment horizontal="center"/>
    </xf>
    <xf numFmtId="0" fontId="30" fillId="0" borderId="12" xfId="0" applyNumberFormat="1" applyFont="1" applyBorder="1" applyAlignment="1">
      <alignment horizontal="center" vertical="center" wrapText="1"/>
    </xf>
    <xf numFmtId="164" fontId="119" fillId="0" borderId="0" xfId="0" applyNumberFormat="1" applyFont="1" applyAlignment="1">
      <alignment horizontal="right"/>
    </xf>
    <xf numFmtId="42" fontId="119" fillId="0" borderId="0" xfId="0" applyNumberFormat="1" applyFont="1" applyAlignment="1">
      <alignment horizontal="center"/>
    </xf>
    <xf numFmtId="176" fontId="119" fillId="0" borderId="32" xfId="63" applyNumberFormat="1" applyFont="1" applyFill="1" applyBorder="1" applyAlignment="1">
      <alignment horizontal="center"/>
    </xf>
    <xf numFmtId="176" fontId="119" fillId="0" borderId="32" xfId="63" applyNumberFormat="1" applyFont="1" applyFill="1" applyBorder="1"/>
    <xf numFmtId="176" fontId="52" fillId="0" borderId="0" xfId="59" applyNumberFormat="1" applyFont="1" applyFill="1"/>
    <xf numFmtId="172" fontId="149" fillId="0" borderId="0" xfId="0" applyFont="1"/>
    <xf numFmtId="176" fontId="149" fillId="0" borderId="0" xfId="157" applyNumberFormat="1" applyFont="1"/>
    <xf numFmtId="0" fontId="149" fillId="0" borderId="0" xfId="158" applyFont="1"/>
    <xf numFmtId="0" fontId="52" fillId="0" borderId="6" xfId="0" applyNumberFormat="1" applyFont="1" applyBorder="1" applyAlignment="1">
      <alignment horizontal="centerContinuous"/>
    </xf>
    <xf numFmtId="9" fontId="119" fillId="20" borderId="0" xfId="85" applyFont="1" applyFill="1" applyAlignment="1"/>
    <xf numFmtId="172" fontId="0" fillId="0" borderId="0" xfId="0" applyAlignment="1">
      <alignment horizontal="right"/>
    </xf>
    <xf numFmtId="10" fontId="23" fillId="0" borderId="0" xfId="85" applyNumberFormat="1" applyFont="1" applyFill="1" applyAlignment="1">
      <alignment vertical="top" wrapText="1"/>
    </xf>
    <xf numFmtId="0" fontId="90" fillId="0" borderId="0" xfId="129" applyFont="1" applyAlignment="1">
      <alignment vertical="top" wrapText="1"/>
    </xf>
    <xf numFmtId="10" fontId="84" fillId="0" borderId="0" xfId="85" applyNumberFormat="1" applyFont="1" applyFill="1" applyAlignment="1">
      <alignment horizontal="center"/>
    </xf>
    <xf numFmtId="10" fontId="84" fillId="0" borderId="0" xfId="85" applyNumberFormat="1" applyFont="1" applyFill="1" applyAlignment="1">
      <alignment horizontal="center" vertical="top"/>
    </xf>
    <xf numFmtId="10" fontId="115" fillId="0" borderId="0" xfId="85" applyNumberFormat="1" applyFont="1" applyAlignment="1">
      <alignment horizontal="center" wrapText="1"/>
    </xf>
    <xf numFmtId="10" fontId="84" fillId="0" borderId="0" xfId="85" applyNumberFormat="1" applyFont="1" applyAlignment="1">
      <alignment horizontal="center"/>
    </xf>
    <xf numFmtId="0" fontId="84" fillId="0" borderId="0" xfId="129" quotePrefix="1" applyFont="1" applyAlignment="1">
      <alignment horizontal="right"/>
    </xf>
    <xf numFmtId="0" fontId="7" fillId="0" borderId="11" xfId="148" applyFont="1" applyBorder="1" applyAlignment="1">
      <alignment horizontal="center" wrapText="1"/>
    </xf>
    <xf numFmtId="176" fontId="30" fillId="0" borderId="0" xfId="133" applyNumberFormat="1" applyFont="1" applyFill="1" applyAlignment="1"/>
    <xf numFmtId="49" fontId="99" fillId="0" borderId="0" xfId="80" applyNumberFormat="1" applyFont="1"/>
    <xf numFmtId="0" fontId="74" fillId="0" borderId="0" xfId="154" applyFont="1" applyAlignment="1">
      <alignment vertical="center"/>
    </xf>
    <xf numFmtId="172" fontId="150" fillId="0" borderId="0" xfId="0" applyFont="1" applyAlignment="1">
      <alignment vertical="center"/>
    </xf>
    <xf numFmtId="172" fontId="151" fillId="0" borderId="0" xfId="0" applyFont="1" applyAlignment="1">
      <alignment horizontal="center" vertical="center"/>
    </xf>
    <xf numFmtId="0" fontId="74" fillId="0" borderId="0" xfId="0" applyNumberFormat="1" applyFont="1" applyAlignment="1">
      <alignment horizontal="right"/>
    </xf>
    <xf numFmtId="0" fontId="74" fillId="0" borderId="0" xfId="158" applyFont="1" applyAlignment="1">
      <alignment horizontal="center"/>
    </xf>
    <xf numFmtId="0" fontId="74" fillId="0" borderId="0" xfId="158" applyFont="1"/>
    <xf numFmtId="176" fontId="74" fillId="0" borderId="0" xfId="157" applyNumberFormat="1" applyFont="1" applyAlignment="1">
      <alignment horizontal="center"/>
    </xf>
    <xf numFmtId="0" fontId="76" fillId="20" borderId="11" xfId="157" applyNumberFormat="1" applyFont="1" applyFill="1" applyBorder="1" applyAlignment="1">
      <alignment horizontal="center" wrapText="1"/>
    </xf>
    <xf numFmtId="0" fontId="76" fillId="0" borderId="11" xfId="157" applyNumberFormat="1" applyFont="1" applyBorder="1" applyAlignment="1">
      <alignment horizontal="center" wrapText="1"/>
    </xf>
    <xf numFmtId="0" fontId="76" fillId="0" borderId="11" xfId="158" applyFont="1" applyBorder="1" applyAlignment="1">
      <alignment horizontal="center" wrapText="1"/>
    </xf>
    <xf numFmtId="0" fontId="152" fillId="0" borderId="0" xfId="158" applyFont="1"/>
    <xf numFmtId="49" fontId="76" fillId="0" borderId="11" xfId="157" applyNumberFormat="1" applyFont="1" applyBorder="1" applyAlignment="1">
      <alignment horizontal="left" wrapText="1"/>
    </xf>
    <xf numFmtId="0" fontId="76" fillId="0" borderId="0" xfId="158" applyFont="1"/>
    <xf numFmtId="49" fontId="76" fillId="0" borderId="0" xfId="157" applyNumberFormat="1" applyFont="1" applyFill="1" applyBorder="1" applyAlignment="1">
      <alignment horizontal="left" wrapText="1"/>
    </xf>
    <xf numFmtId="49" fontId="76" fillId="0" borderId="11" xfId="157" applyNumberFormat="1" applyFont="1" applyBorder="1" applyAlignment="1">
      <alignment horizontal="center" wrapText="1"/>
    </xf>
    <xf numFmtId="0" fontId="76" fillId="0" borderId="0" xfId="156" applyFont="1" applyAlignment="1">
      <alignment horizontal="center"/>
    </xf>
    <xf numFmtId="49" fontId="76" fillId="0" borderId="11" xfId="157" applyNumberFormat="1" applyFont="1" applyFill="1" applyBorder="1" applyAlignment="1">
      <alignment horizontal="center" wrapText="1"/>
    </xf>
    <xf numFmtId="0" fontId="76" fillId="0" borderId="0" xfId="158" applyFont="1" applyAlignment="1">
      <alignment horizontal="center" wrapText="1"/>
    </xf>
    <xf numFmtId="49" fontId="76" fillId="0" borderId="0" xfId="157" applyNumberFormat="1" applyFont="1" applyBorder="1" applyAlignment="1">
      <alignment horizontal="left" wrapText="1"/>
    </xf>
    <xf numFmtId="49" fontId="76" fillId="0" borderId="0" xfId="157" applyNumberFormat="1" applyFont="1" applyBorder="1" applyAlignment="1">
      <alignment horizontal="center" wrapText="1"/>
    </xf>
    <xf numFmtId="49" fontId="76" fillId="0" borderId="0" xfId="157" applyNumberFormat="1" applyFont="1" applyFill="1" applyBorder="1" applyAlignment="1">
      <alignment horizontal="center" wrapText="1"/>
    </xf>
    <xf numFmtId="0" fontId="74" fillId="0" borderId="0" xfId="158" applyFont="1" applyAlignment="1">
      <alignment horizontal="center" wrapText="1"/>
    </xf>
    <xf numFmtId="0" fontId="76" fillId="0" borderId="0" xfId="161" applyNumberFormat="1" applyFont="1"/>
    <xf numFmtId="0" fontId="76" fillId="0" borderId="0" xfId="161" applyNumberFormat="1" applyFont="1" applyFill="1"/>
    <xf numFmtId="176" fontId="74" fillId="0" borderId="0" xfId="157" applyNumberFormat="1" applyFont="1"/>
    <xf numFmtId="176" fontId="74" fillId="0" borderId="0" xfId="157" applyNumberFormat="1" applyFont="1" applyFill="1" applyAlignment="1">
      <alignment horizontal="left"/>
    </xf>
    <xf numFmtId="0" fontId="74" fillId="20" borderId="0" xfId="158" applyFont="1" applyFill="1" applyAlignment="1">
      <alignment horizontal="center"/>
    </xf>
    <xf numFmtId="176" fontId="74" fillId="20" borderId="0" xfId="157" applyNumberFormat="1" applyFont="1" applyFill="1" applyAlignment="1">
      <alignment horizontal="left"/>
    </xf>
    <xf numFmtId="49" fontId="76" fillId="20" borderId="0" xfId="157" applyNumberFormat="1" applyFont="1" applyFill="1" applyBorder="1" applyAlignment="1">
      <alignment horizontal="center" wrapText="1"/>
    </xf>
    <xf numFmtId="176" fontId="74" fillId="0" borderId="32" xfId="157" applyNumberFormat="1" applyFont="1" applyBorder="1"/>
    <xf numFmtId="0" fontId="76" fillId="20" borderId="0" xfId="158" applyFont="1" applyFill="1"/>
    <xf numFmtId="176" fontId="74" fillId="0" borderId="0" xfId="157" applyNumberFormat="1" applyFont="1" applyAlignment="1">
      <alignment horizontal="left"/>
    </xf>
    <xf numFmtId="0" fontId="74" fillId="0" borderId="0" xfId="162" applyFont="1" applyAlignment="1">
      <alignment horizontal="left"/>
    </xf>
    <xf numFmtId="172" fontId="151" fillId="0" borderId="0" xfId="0" applyFont="1" applyAlignment="1">
      <alignment vertical="center"/>
    </xf>
    <xf numFmtId="176" fontId="76" fillId="0" borderId="0" xfId="157" applyNumberFormat="1" applyFont="1" applyAlignment="1">
      <alignment horizontal="center" wrapText="1"/>
    </xf>
    <xf numFmtId="43" fontId="74" fillId="20" borderId="0" xfId="59" applyFont="1" applyFill="1" applyAlignment="1">
      <alignment horizontal="center"/>
    </xf>
    <xf numFmtId="0" fontId="74" fillId="20" borderId="0" xfId="162" applyFont="1" applyFill="1" applyAlignment="1">
      <alignment horizontal="left"/>
    </xf>
    <xf numFmtId="176" fontId="74" fillId="0" borderId="0" xfId="157" applyNumberFormat="1" applyFont="1" applyFill="1"/>
    <xf numFmtId="176" fontId="74" fillId="0" borderId="0" xfId="157" applyNumberFormat="1" applyFont="1" applyAlignment="1">
      <alignment horizontal="right"/>
    </xf>
    <xf numFmtId="0" fontId="150" fillId="0" borderId="0" xfId="158" applyFont="1"/>
    <xf numFmtId="176" fontId="74" fillId="0" borderId="11" xfId="158" applyNumberFormat="1" applyFont="1" applyBorder="1"/>
    <xf numFmtId="0" fontId="76" fillId="0" borderId="0" xfId="157" applyNumberFormat="1" applyFont="1" applyFill="1" applyAlignment="1">
      <alignment vertical="top"/>
    </xf>
    <xf numFmtId="0" fontId="152" fillId="0" borderId="0" xfId="158" applyFont="1" applyAlignment="1">
      <alignment horizontal="left"/>
    </xf>
    <xf numFmtId="176" fontId="87" fillId="0" borderId="0" xfId="157" applyNumberFormat="1" applyFont="1" applyFill="1"/>
    <xf numFmtId="176" fontId="153" fillId="0" borderId="0" xfId="157" applyNumberFormat="1" applyFont="1"/>
    <xf numFmtId="0" fontId="153" fillId="0" borderId="0" xfId="158" applyFont="1"/>
    <xf numFmtId="176" fontId="76" fillId="0" borderId="0" xfId="157" applyNumberFormat="1" applyFont="1" applyFill="1" applyAlignment="1">
      <alignment vertical="top"/>
    </xf>
    <xf numFmtId="176" fontId="53" fillId="0" borderId="11" xfId="157" applyNumberFormat="1" applyFont="1" applyBorder="1" applyAlignment="1">
      <alignment horizontal="left" wrapText="1"/>
    </xf>
    <xf numFmtId="176" fontId="53" fillId="0" borderId="0" xfId="157" applyNumberFormat="1" applyFont="1" applyBorder="1" applyAlignment="1">
      <alignment horizontal="left" wrapText="1"/>
    </xf>
    <xf numFmtId="176" fontId="53" fillId="0" borderId="11" xfId="157" applyNumberFormat="1" applyFont="1" applyBorder="1" applyAlignment="1">
      <alignment horizontal="center" wrapText="1"/>
    </xf>
    <xf numFmtId="0" fontId="52" fillId="0" borderId="0" xfId="158" quotePrefix="1" applyFont="1" applyAlignment="1">
      <alignment horizontal="center" wrapText="1"/>
    </xf>
    <xf numFmtId="176" fontId="53" fillId="0" borderId="11" xfId="157" applyNumberFormat="1" applyFont="1" applyFill="1" applyBorder="1" applyAlignment="1">
      <alignment horizontal="center" wrapText="1"/>
    </xf>
    <xf numFmtId="0" fontId="53" fillId="0" borderId="0" xfId="158" quotePrefix="1" applyFont="1" applyAlignment="1">
      <alignment horizontal="center" wrapText="1"/>
    </xf>
    <xf numFmtId="176" fontId="53" fillId="0" borderId="0" xfId="157" applyNumberFormat="1" applyFont="1" applyFill="1" applyBorder="1" applyAlignment="1">
      <alignment horizontal="center" wrapText="1"/>
    </xf>
    <xf numFmtId="176" fontId="52" fillId="0" borderId="0" xfId="157" applyNumberFormat="1" applyFont="1" applyAlignment="1">
      <alignment wrapText="1"/>
    </xf>
    <xf numFmtId="181" fontId="52" fillId="0" borderId="0" xfId="59" applyNumberFormat="1" applyFont="1" applyAlignment="1">
      <alignment horizontal="center" wrapText="1"/>
    </xf>
    <xf numFmtId="0" fontId="52" fillId="0" borderId="0" xfId="158" applyFont="1" applyAlignment="1">
      <alignment horizontal="left" indent="1"/>
    </xf>
    <xf numFmtId="176" fontId="52" fillId="20" borderId="0" xfId="157" applyNumberFormat="1" applyFont="1" applyFill="1"/>
    <xf numFmtId="184" fontId="52" fillId="0" borderId="0" xfId="59" applyNumberFormat="1" applyFont="1" applyFill="1"/>
    <xf numFmtId="176" fontId="52" fillId="0" borderId="0" xfId="157" applyNumberFormat="1" applyFont="1" applyFill="1" applyBorder="1"/>
    <xf numFmtId="0" fontId="53" fillId="0" borderId="0" xfId="157" applyNumberFormat="1" applyFont="1" applyFill="1" applyBorder="1" applyAlignment="1">
      <alignment vertical="top"/>
    </xf>
    <xf numFmtId="176" fontId="52" fillId="0" borderId="11" xfId="59" applyNumberFormat="1" applyFont="1" applyFill="1" applyBorder="1"/>
    <xf numFmtId="0" fontId="52" fillId="0" borderId="0" xfId="158" applyFont="1" applyAlignment="1">
      <alignment horizontal="right"/>
    </xf>
    <xf numFmtId="176" fontId="52" fillId="0" borderId="0" xfId="158" applyNumberFormat="1" applyFont="1" applyAlignment="1">
      <alignment horizontal="center"/>
    </xf>
    <xf numFmtId="176" fontId="52" fillId="0" borderId="0" xfId="157" applyNumberFormat="1" applyFont="1" applyFill="1"/>
    <xf numFmtId="169" fontId="52" fillId="0" borderId="0" xfId="158" applyNumberFormat="1" applyFont="1" applyAlignment="1">
      <alignment horizontal="center"/>
    </xf>
    <xf numFmtId="176" fontId="53" fillId="0" borderId="11" xfId="157" applyNumberFormat="1" applyFont="1" applyFill="1" applyBorder="1" applyAlignment="1">
      <alignment horizontal="left" wrapText="1"/>
    </xf>
    <xf numFmtId="176" fontId="53" fillId="0" borderId="0" xfId="157" applyNumberFormat="1" applyFont="1" applyFill="1" applyBorder="1" applyAlignment="1">
      <alignment horizontal="left" wrapText="1"/>
    </xf>
    <xf numFmtId="181" fontId="52" fillId="0" borderId="0" xfId="59" applyNumberFormat="1" applyFont="1" applyFill="1"/>
    <xf numFmtId="43" fontId="52" fillId="0" borderId="0" xfId="59" applyFont="1"/>
    <xf numFmtId="0" fontId="52" fillId="0" borderId="0" xfId="158" applyFont="1" applyAlignment="1">
      <alignment horizontal="right" indent="1"/>
    </xf>
    <xf numFmtId="170" fontId="52" fillId="0" borderId="0" xfId="0" applyNumberFormat="1" applyFont="1"/>
    <xf numFmtId="172" fontId="52" fillId="0" borderId="0" xfId="0" applyFont="1" applyAlignment="1">
      <alignment vertical="top"/>
    </xf>
    <xf numFmtId="172" fontId="52" fillId="0" borderId="0" xfId="0" applyFont="1" applyAlignment="1">
      <alignment vertical="top" wrapText="1"/>
    </xf>
    <xf numFmtId="0" fontId="52" fillId="0" borderId="0" xfId="0" applyNumberFormat="1" applyFont="1" applyAlignment="1">
      <alignment horizontal="center" vertical="top"/>
    </xf>
    <xf numFmtId="0" fontId="52" fillId="0" borderId="0" xfId="0" applyNumberFormat="1" applyFont="1" applyAlignment="1">
      <alignment vertical="top"/>
    </xf>
    <xf numFmtId="170" fontId="119" fillId="20" borderId="0" xfId="0" applyNumberFormat="1" applyFont="1" applyFill="1" applyProtection="1">
      <protection locked="0"/>
    </xf>
    <xf numFmtId="172" fontId="53" fillId="0" borderId="0" xfId="0" applyFont="1" applyAlignment="1">
      <alignment horizontal="center" vertical="center"/>
    </xf>
    <xf numFmtId="0" fontId="52" fillId="0" borderId="11" xfId="0" applyNumberFormat="1" applyFont="1" applyBorder="1"/>
    <xf numFmtId="172" fontId="52" fillId="0" borderId="11" xfId="0" applyFont="1" applyBorder="1"/>
    <xf numFmtId="176" fontId="52" fillId="0" borderId="0" xfId="157" applyNumberFormat="1" applyFont="1" applyFill="1" applyAlignment="1">
      <alignment wrapText="1"/>
    </xf>
    <xf numFmtId="176" fontId="52" fillId="0" borderId="0" xfId="157" applyNumberFormat="1" applyFont="1" applyFill="1" applyBorder="1" applyAlignment="1">
      <alignment horizontal="center"/>
    </xf>
    <xf numFmtId="176" fontId="52" fillId="0" borderId="0" xfId="157" applyNumberFormat="1" applyFont="1" applyFill="1" applyBorder="1" applyAlignment="1">
      <alignment wrapText="1"/>
    </xf>
    <xf numFmtId="176" fontId="119" fillId="0" borderId="0" xfId="59" applyNumberFormat="1" applyFont="1" applyFill="1" applyBorder="1" applyAlignment="1" applyProtection="1">
      <protection locked="0"/>
    </xf>
    <xf numFmtId="176" fontId="52" fillId="0" borderId="36" xfId="59" applyNumberFormat="1" applyFont="1" applyBorder="1" applyAlignment="1"/>
    <xf numFmtId="176" fontId="119" fillId="0" borderId="36" xfId="59" applyNumberFormat="1" applyFont="1" applyBorder="1" applyAlignment="1"/>
    <xf numFmtId="1" fontId="30" fillId="20" borderId="0" xfId="152" applyNumberFormat="1" applyFont="1" applyFill="1" applyAlignment="1">
      <alignment horizontal="center"/>
    </xf>
    <xf numFmtId="181" fontId="52" fillId="0" borderId="0" xfId="160" applyNumberFormat="1" applyFont="1" applyFill="1"/>
    <xf numFmtId="181" fontId="82" fillId="0" borderId="0" xfId="0" applyNumberFormat="1" applyFont="1" applyProtection="1">
      <protection locked="0"/>
    </xf>
    <xf numFmtId="17" fontId="136" fillId="0" borderId="0" xfId="159" applyNumberFormat="1" applyFont="1" applyAlignment="1">
      <alignment horizontal="center"/>
    </xf>
    <xf numFmtId="181" fontId="52" fillId="0" borderId="0" xfId="160" applyNumberFormat="1" applyFont="1"/>
    <xf numFmtId="181" fontId="52" fillId="0" borderId="11" xfId="160" applyNumberFormat="1" applyFont="1" applyFill="1" applyBorder="1"/>
    <xf numFmtId="181" fontId="52" fillId="0" borderId="0" xfId="160" applyNumberFormat="1" applyFont="1" applyAlignment="1">
      <alignment horizontal="right"/>
    </xf>
    <xf numFmtId="181" fontId="52" fillId="0" borderId="0" xfId="160" applyNumberFormat="1" applyFont="1" applyFill="1" applyAlignment="1">
      <alignment horizontal="right"/>
    </xf>
    <xf numFmtId="189" fontId="126" fillId="0" borderId="0" xfId="159" applyNumberFormat="1" applyFont="1"/>
    <xf numFmtId="17" fontId="136" fillId="20" borderId="0" xfId="159" applyNumberFormat="1" applyFont="1" applyFill="1" applyAlignment="1">
      <alignment horizontal="center"/>
    </xf>
    <xf numFmtId="181" fontId="82" fillId="20" borderId="0" xfId="0" applyNumberFormat="1" applyFont="1" applyFill="1" applyProtection="1">
      <protection locked="0"/>
    </xf>
    <xf numFmtId="0" fontId="154" fillId="0" borderId="0" xfId="159" applyFont="1"/>
    <xf numFmtId="181" fontId="82" fillId="0" borderId="0" xfId="160" applyNumberFormat="1" applyFont="1" applyAlignment="1">
      <alignment horizontal="right"/>
    </xf>
    <xf numFmtId="176" fontId="83" fillId="0" borderId="0" xfId="59" applyNumberFormat="1" applyFont="1" applyAlignment="1">
      <alignment horizontal="center"/>
    </xf>
    <xf numFmtId="176" fontId="83" fillId="0" borderId="0" xfId="0" applyNumberFormat="1" applyFont="1" applyAlignment="1" applyProtection="1">
      <alignment horizontal="center"/>
      <protection locked="0"/>
    </xf>
    <xf numFmtId="172" fontId="53" fillId="0" borderId="0" xfId="0" applyFont="1" applyAlignment="1">
      <alignment vertical="center"/>
    </xf>
    <xf numFmtId="172" fontId="30" fillId="0" borderId="0" xfId="0" applyFont="1" applyAlignment="1" applyProtection="1">
      <alignment horizontal="center"/>
      <protection locked="0"/>
    </xf>
    <xf numFmtId="184" fontId="52" fillId="0" borderId="0" xfId="160" applyNumberFormat="1" applyFont="1" applyFill="1"/>
    <xf numFmtId="184" fontId="52" fillId="20" borderId="18" xfId="160" applyNumberFormat="1" applyFont="1" applyFill="1" applyBorder="1"/>
    <xf numFmtId="0" fontId="122" fillId="0" borderId="0" xfId="135" applyFont="1" applyAlignment="1">
      <alignment vertical="top" wrapText="1"/>
    </xf>
    <xf numFmtId="0" fontId="119" fillId="0" borderId="0" xfId="0" applyNumberFormat="1" applyFont="1" applyAlignment="1">
      <alignment wrapText="1"/>
    </xf>
    <xf numFmtId="3" fontId="52" fillId="0" borderId="0" xfId="0" applyNumberFormat="1" applyFont="1" applyAlignment="1">
      <alignment wrapText="1"/>
    </xf>
    <xf numFmtId="188" fontId="119" fillId="0" borderId="0" xfId="59" applyNumberFormat="1" applyFont="1" applyFill="1" applyAlignment="1">
      <alignment horizontal="right"/>
    </xf>
    <xf numFmtId="165" fontId="121" fillId="0" borderId="0" xfId="0" applyNumberFormat="1" applyFont="1"/>
    <xf numFmtId="10" fontId="121" fillId="0" borderId="0" xfId="59" applyNumberFormat="1" applyFont="1" applyFill="1" applyAlignment="1">
      <alignment horizontal="right"/>
    </xf>
    <xf numFmtId="176" fontId="52" fillId="0" borderId="36" xfId="59" applyNumberFormat="1" applyFont="1" applyFill="1" applyBorder="1" applyAlignment="1"/>
    <xf numFmtId="176" fontId="119" fillId="0" borderId="36" xfId="59" applyNumberFormat="1" applyFont="1" applyFill="1" applyBorder="1" applyAlignment="1"/>
    <xf numFmtId="0" fontId="52" fillId="0" borderId="6" xfId="0" applyNumberFormat="1" applyFont="1" applyBorder="1"/>
    <xf numFmtId="3" fontId="52" fillId="0" borderId="0" xfId="0" applyNumberFormat="1" applyFont="1" applyAlignment="1">
      <alignment horizontal="center"/>
    </xf>
    <xf numFmtId="181" fontId="119" fillId="20" borderId="0" xfId="59" applyNumberFormat="1" applyFont="1" applyFill="1" applyAlignment="1"/>
    <xf numFmtId="0" fontId="119" fillId="0" borderId="0" xfId="0" applyNumberFormat="1" applyFont="1" applyAlignment="1">
      <alignment horizontal="center" vertical="center" wrapText="1"/>
    </xf>
    <xf numFmtId="0" fontId="52" fillId="0" borderId="0" xfId="0" applyNumberFormat="1" applyFont="1" applyAlignment="1">
      <alignment horizontal="center" vertical="top" wrapText="1"/>
    </xf>
    <xf numFmtId="0" fontId="52" fillId="0" borderId="0" xfId="0" applyNumberFormat="1" applyFont="1" applyAlignment="1">
      <alignment horizontal="center" vertical="center" wrapText="1"/>
    </xf>
    <xf numFmtId="3" fontId="30" fillId="0" borderId="0" xfId="132" applyNumberFormat="1" applyFont="1" applyAlignment="1">
      <alignment horizontal="left" wrapText="1"/>
    </xf>
    <xf numFmtId="0" fontId="146" fillId="0" borderId="0" xfId="137" applyFont="1" applyAlignment="1">
      <alignment horizontal="center"/>
    </xf>
    <xf numFmtId="0" fontId="137" fillId="0" borderId="0" xfId="137" applyFont="1" applyAlignment="1">
      <alignment horizontal="center"/>
    </xf>
    <xf numFmtId="44" fontId="25" fillId="0" borderId="21" xfId="137" applyNumberFormat="1" applyFont="1" applyBorder="1" applyAlignment="1">
      <alignment horizontal="center"/>
    </xf>
    <xf numFmtId="44" fontId="25" fillId="0" borderId="0" xfId="137" applyNumberFormat="1" applyFont="1" applyAlignment="1">
      <alignment horizontal="center"/>
    </xf>
    <xf numFmtId="0" fontId="30" fillId="0" borderId="0" xfId="137" applyFont="1" applyAlignment="1">
      <alignment horizontal="center" wrapText="1"/>
    </xf>
    <xf numFmtId="176" fontId="52" fillId="0" borderId="0" xfId="59" applyNumberFormat="1" applyFont="1" applyFill="1" applyAlignment="1">
      <alignment horizontal="center" vertical="center"/>
    </xf>
    <xf numFmtId="170" fontId="30" fillId="0" borderId="0" xfId="0" applyNumberFormat="1" applyFont="1"/>
    <xf numFmtId="176" fontId="23" fillId="20" borderId="0" xfId="59" applyNumberFormat="1" applyFont="1" applyFill="1" applyBorder="1"/>
    <xf numFmtId="0" fontId="52" fillId="0" borderId="0" xfId="82" applyFont="1" applyAlignment="1">
      <alignment horizontal="center" vertical="center"/>
    </xf>
    <xf numFmtId="3" fontId="119" fillId="20" borderId="0" xfId="0" applyNumberFormat="1" applyFont="1" applyFill="1"/>
    <xf numFmtId="0" fontId="52" fillId="0" borderId="6" xfId="0" applyNumberFormat="1" applyFont="1" applyBorder="1" applyAlignment="1">
      <alignment horizontal="center"/>
    </xf>
    <xf numFmtId="0" fontId="83" fillId="20" borderId="0" xfId="0" applyNumberFormat="1" applyFont="1" applyFill="1" applyAlignment="1" applyProtection="1">
      <alignment horizontal="left"/>
      <protection locked="0"/>
    </xf>
    <xf numFmtId="172" fontId="82" fillId="20" borderId="0" xfId="0" applyFont="1" applyFill="1" applyAlignment="1" applyProtection="1">
      <alignment horizontal="center"/>
      <protection locked="0"/>
    </xf>
    <xf numFmtId="172" fontId="30" fillId="20" borderId="0" xfId="0" applyFont="1" applyFill="1" applyProtection="1">
      <protection locked="0"/>
    </xf>
    <xf numFmtId="180" fontId="82" fillId="20" borderId="0" xfId="85" applyNumberFormat="1" applyFont="1" applyFill="1" applyProtection="1">
      <protection locked="0"/>
    </xf>
    <xf numFmtId="176" fontId="82" fillId="20" borderId="0" xfId="0" applyNumberFormat="1" applyFont="1" applyFill="1" applyProtection="1">
      <protection locked="0"/>
    </xf>
    <xf numFmtId="0" fontId="74" fillId="0" borderId="0" xfId="158" applyFont="1" applyAlignment="1">
      <alignment vertical="top"/>
    </xf>
    <xf numFmtId="0" fontId="136" fillId="0" borderId="0" xfId="0" applyNumberFormat="1" applyFont="1" applyAlignment="1">
      <alignment horizontal="center"/>
    </xf>
    <xf numFmtId="172" fontId="136" fillId="0" borderId="0" xfId="0" applyFont="1"/>
    <xf numFmtId="179" fontId="119" fillId="0" borderId="0" xfId="0" applyNumberFormat="1" applyFont="1" applyAlignment="1">
      <alignment horizontal="right"/>
    </xf>
    <xf numFmtId="0" fontId="52" fillId="0" borderId="0" xfId="0" quotePrefix="1" applyNumberFormat="1" applyFont="1"/>
    <xf numFmtId="0" fontId="6" fillId="0" borderId="0" xfId="148" applyFont="1" applyAlignment="1">
      <alignment horizontal="center" wrapText="1"/>
    </xf>
    <xf numFmtId="0" fontId="155" fillId="0" borderId="21" xfId="137" applyFont="1" applyBorder="1" applyAlignment="1">
      <alignment horizontal="center" wrapText="1"/>
    </xf>
    <xf numFmtId="176" fontId="74" fillId="0" borderId="0" xfId="157" applyNumberFormat="1" applyFont="1" applyBorder="1"/>
    <xf numFmtId="176" fontId="74" fillId="20" borderId="0" xfId="157" applyNumberFormat="1" applyFont="1" applyFill="1" applyBorder="1"/>
    <xf numFmtId="0" fontId="52" fillId="0" borderId="0" xfId="0" applyNumberFormat="1" applyFont="1" applyAlignment="1">
      <alignment vertical="top" wrapText="1"/>
    </xf>
    <xf numFmtId="0" fontId="5" fillId="0" borderId="0" xfId="148" applyFont="1" applyAlignment="1">
      <alignment horizontal="center" wrapText="1"/>
    </xf>
    <xf numFmtId="188" fontId="119" fillId="0" borderId="0" xfId="85" applyNumberFormat="1" applyFont="1" applyFill="1"/>
    <xf numFmtId="9" fontId="52" fillId="20" borderId="0" xfId="0" applyNumberFormat="1" applyFont="1" applyFill="1"/>
    <xf numFmtId="172" fontId="157" fillId="0" borderId="0" xfId="0" applyFont="1" applyAlignment="1">
      <alignment horizontal="left" vertical="center" indent="3"/>
    </xf>
    <xf numFmtId="0" fontId="84" fillId="0" borderId="0" xfId="129" applyFont="1" applyAlignment="1">
      <alignment horizontal="right" vertical="top"/>
    </xf>
    <xf numFmtId="170" fontId="74" fillId="20" borderId="0" xfId="0" applyNumberFormat="1" applyFont="1" applyFill="1" applyAlignment="1">
      <alignment vertical="center"/>
    </xf>
    <xf numFmtId="176" fontId="30" fillId="20" borderId="2" xfId="59" applyNumberFormat="1" applyFont="1" applyFill="1" applyBorder="1"/>
    <xf numFmtId="172" fontId="52" fillId="20" borderId="0" xfId="143" applyFont="1" applyFill="1" applyAlignment="1">
      <alignment wrapText="1"/>
    </xf>
    <xf numFmtId="164" fontId="119" fillId="0" borderId="0" xfId="85" applyNumberFormat="1" applyFont="1"/>
    <xf numFmtId="176" fontId="23" fillId="20" borderId="0" xfId="59" applyNumberFormat="1" applyFont="1" applyFill="1" applyBorder="1" applyAlignment="1">
      <alignment wrapText="1"/>
    </xf>
    <xf numFmtId="0" fontId="4" fillId="0" borderId="0" xfId="148" applyFont="1"/>
    <xf numFmtId="0" fontId="112" fillId="0" borderId="0" xfId="148" applyFont="1"/>
    <xf numFmtId="43" fontId="18" fillId="0" borderId="0" xfId="148" applyNumberFormat="1"/>
    <xf numFmtId="172" fontId="74" fillId="23" borderId="0" xfId="0" applyFont="1" applyFill="1" applyAlignment="1">
      <alignment vertical="center"/>
    </xf>
    <xf numFmtId="176" fontId="119" fillId="0" borderId="0" xfId="85" applyNumberFormat="1" applyFont="1" applyAlignment="1">
      <alignment horizontal="left"/>
    </xf>
    <xf numFmtId="176" fontId="119" fillId="0" borderId="0" xfId="85" applyNumberFormat="1" applyFont="1" applyAlignment="1"/>
    <xf numFmtId="172" fontId="78" fillId="0" borderId="0" xfId="0" applyFont="1" applyAlignment="1">
      <alignment horizontal="center" vertical="center"/>
    </xf>
    <xf numFmtId="43" fontId="74" fillId="0" borderId="0" xfId="59" applyFont="1" applyFill="1" applyBorder="1" applyAlignment="1">
      <alignment horizontal="center" vertical="center"/>
    </xf>
    <xf numFmtId="43" fontId="74" fillId="0" borderId="0" xfId="59" applyFont="1" applyBorder="1" applyAlignment="1">
      <alignment horizontal="center" vertical="center"/>
    </xf>
    <xf numFmtId="176" fontId="53" fillId="0" borderId="0" xfId="59" applyNumberFormat="1" applyFont="1" applyFill="1"/>
    <xf numFmtId="181" fontId="52" fillId="0" borderId="0" xfId="160" applyNumberFormat="1" applyFont="1" applyFill="1" applyBorder="1"/>
    <xf numFmtId="176" fontId="175" fillId="0" borderId="0" xfId="59" applyNumberFormat="1" applyFont="1" applyFill="1" applyBorder="1"/>
    <xf numFmtId="176" fontId="175" fillId="0" borderId="0" xfId="159" applyNumberFormat="1" applyFont="1"/>
    <xf numFmtId="0" fontId="175" fillId="0" borderId="0" xfId="159" applyFont="1"/>
    <xf numFmtId="170" fontId="74" fillId="0" borderId="0" xfId="0" applyNumberFormat="1" applyFont="1" applyAlignment="1">
      <alignment vertical="center" wrapText="1"/>
    </xf>
    <xf numFmtId="14" fontId="76" fillId="0" borderId="0" xfId="0" quotePrefix="1" applyNumberFormat="1" applyFont="1" applyAlignment="1">
      <alignment vertical="center"/>
    </xf>
    <xf numFmtId="14" fontId="76" fillId="0" borderId="0" xfId="0" applyNumberFormat="1" applyFont="1" applyAlignment="1">
      <alignment horizontal="center" vertical="center"/>
    </xf>
    <xf numFmtId="170" fontId="76" fillId="0" borderId="0" xfId="0" applyNumberFormat="1" applyFont="1" applyAlignment="1">
      <alignment horizontal="center" vertical="center"/>
    </xf>
    <xf numFmtId="172" fontId="75" fillId="0" borderId="0" xfId="0" applyFont="1" applyAlignment="1">
      <alignment horizontal="center" vertical="center" wrapText="1"/>
    </xf>
    <xf numFmtId="43" fontId="74" fillId="0" borderId="0" xfId="59" applyFont="1" applyBorder="1" applyAlignment="1">
      <alignment horizontal="center" vertical="center" wrapText="1"/>
    </xf>
    <xf numFmtId="43" fontId="74" fillId="0" borderId="0" xfId="59" applyFont="1" applyFill="1" applyBorder="1" applyAlignment="1">
      <alignment horizontal="center" vertical="center" wrapText="1"/>
    </xf>
    <xf numFmtId="190" fontId="52" fillId="0" borderId="0" xfId="59" applyNumberFormat="1" applyFont="1" applyFill="1" applyAlignment="1">
      <alignment horizontal="right"/>
    </xf>
    <xf numFmtId="176" fontId="119" fillId="0" borderId="0" xfId="59" applyNumberFormat="1" applyFont="1" applyFill="1" applyAlignment="1">
      <alignment horizontal="right"/>
    </xf>
    <xf numFmtId="176" fontId="30" fillId="20" borderId="0" xfId="59" applyNumberFormat="1" applyFont="1" applyFill="1" applyBorder="1" applyAlignment="1"/>
    <xf numFmtId="43" fontId="30" fillId="0" borderId="10" xfId="59" applyFont="1" applyFill="1" applyBorder="1" applyAlignment="1"/>
    <xf numFmtId="176" fontId="52" fillId="20" borderId="6" xfId="59" applyNumberFormat="1" applyFont="1" applyFill="1" applyBorder="1" applyAlignment="1"/>
    <xf numFmtId="173" fontId="30" fillId="0" borderId="32" xfId="138" applyNumberFormat="1" applyFont="1" applyBorder="1"/>
    <xf numFmtId="173" fontId="30" fillId="0" borderId="32" xfId="138" applyNumberFormat="1" applyFont="1" applyFill="1" applyBorder="1"/>
    <xf numFmtId="164" fontId="30" fillId="0" borderId="32" xfId="152" applyNumberFormat="1" applyFont="1" applyBorder="1"/>
    <xf numFmtId="0" fontId="30" fillId="0" borderId="16" xfId="152" applyFont="1" applyBorder="1"/>
    <xf numFmtId="164" fontId="30" fillId="0" borderId="32" xfId="152" applyNumberFormat="1" applyFont="1" applyBorder="1" applyAlignment="1">
      <alignment horizontal="right"/>
    </xf>
    <xf numFmtId="0" fontId="30" fillId="0" borderId="0" xfId="152" quotePrefix="1" applyFont="1" applyAlignment="1">
      <alignment horizontal="center"/>
    </xf>
    <xf numFmtId="14" fontId="30" fillId="0" borderId="0" xfId="152" quotePrefix="1" applyNumberFormat="1" applyFont="1" applyAlignment="1">
      <alignment horizontal="center"/>
    </xf>
    <xf numFmtId="42" fontId="30" fillId="0" borderId="32" xfId="139" applyNumberFormat="1" applyFont="1" applyBorder="1"/>
    <xf numFmtId="176" fontId="30" fillId="0" borderId="32" xfId="139" applyNumberFormat="1" applyFont="1" applyBorder="1"/>
    <xf numFmtId="0" fontId="30" fillId="0" borderId="0" xfId="152" applyFont="1" applyAlignment="1">
      <alignment horizontal="center"/>
    </xf>
    <xf numFmtId="42" fontId="30" fillId="0" borderId="67" xfId="152" applyNumberFormat="1" applyFont="1" applyBorder="1"/>
    <xf numFmtId="166" fontId="30" fillId="0" borderId="0" xfId="152" applyNumberFormat="1" applyFont="1"/>
    <xf numFmtId="10" fontId="25" fillId="0" borderId="66" xfId="152" applyNumberFormat="1" applyFont="1" applyBorder="1"/>
    <xf numFmtId="176" fontId="1" fillId="0" borderId="0" xfId="59" applyNumberFormat="1" applyFont="1" applyFill="1" applyBorder="1"/>
    <xf numFmtId="1" fontId="18" fillId="0" borderId="0" xfId="148" applyNumberFormat="1"/>
    <xf numFmtId="191" fontId="18" fillId="0" borderId="0" xfId="148" applyNumberFormat="1"/>
    <xf numFmtId="0" fontId="52" fillId="0" borderId="0" xfId="0" applyNumberFormat="1" applyFont="1" applyAlignment="1">
      <alignment vertical="top" wrapText="1"/>
    </xf>
    <xf numFmtId="0" fontId="119" fillId="0" borderId="0" xfId="0" applyNumberFormat="1" applyFont="1" applyAlignment="1">
      <alignment vertical="top" wrapText="1"/>
    </xf>
    <xf numFmtId="172" fontId="119" fillId="0" borderId="0" xfId="0" applyFont="1" applyAlignment="1">
      <alignment horizontal="left" vertical="top" wrapText="1"/>
    </xf>
    <xf numFmtId="0" fontId="52" fillId="0" borderId="0" xfId="0" applyNumberFormat="1" applyFont="1" applyAlignment="1">
      <alignment horizontal="left" vertical="top" wrapText="1"/>
    </xf>
    <xf numFmtId="0" fontId="119" fillId="0" borderId="0" xfId="0" applyNumberFormat="1" applyFont="1" applyAlignment="1">
      <alignment horizontal="left" vertical="top" wrapText="1"/>
    </xf>
    <xf numFmtId="0" fontId="52" fillId="0" borderId="0" xfId="0" applyNumberFormat="1" applyFont="1" applyAlignment="1">
      <alignment horizontal="left" wrapText="1"/>
    </xf>
    <xf numFmtId="0" fontId="52" fillId="0" borderId="0" xfId="0" applyNumberFormat="1" applyFont="1" applyAlignment="1">
      <alignment horizontal="left" vertical="center" wrapText="1"/>
    </xf>
    <xf numFmtId="0" fontId="119" fillId="0" borderId="0" xfId="0" applyNumberFormat="1" applyFont="1" applyAlignment="1">
      <alignment horizontal="left" vertical="center" wrapText="1"/>
    </xf>
    <xf numFmtId="172" fontId="119" fillId="0" borderId="0" xfId="0" applyFont="1"/>
    <xf numFmtId="0" fontId="124" fillId="0" borderId="0" xfId="0" applyNumberFormat="1" applyFont="1" applyAlignment="1">
      <alignment horizontal="center"/>
    </xf>
    <xf numFmtId="0" fontId="119" fillId="0" borderId="0" xfId="0" applyNumberFormat="1" applyFont="1" applyAlignment="1">
      <alignment horizontal="left"/>
    </xf>
    <xf numFmtId="0" fontId="119" fillId="0" borderId="0" xfId="0" applyNumberFormat="1" applyFont="1" applyAlignment="1">
      <alignment horizontal="left" wrapText="1"/>
    </xf>
    <xf numFmtId="0" fontId="52" fillId="0" borderId="0" xfId="82" applyFont="1" applyAlignment="1">
      <alignment horizontal="left" wrapText="1"/>
    </xf>
    <xf numFmtId="0" fontId="52" fillId="0" borderId="0" xfId="82" applyFont="1" applyAlignment="1">
      <alignment horizontal="left"/>
    </xf>
    <xf numFmtId="0" fontId="53" fillId="0" borderId="0" xfId="82" applyFont="1" applyAlignment="1">
      <alignment horizontal="center"/>
    </xf>
    <xf numFmtId="49" fontId="22" fillId="0" borderId="0" xfId="132" applyNumberFormat="1" applyFont="1" applyAlignment="1">
      <alignment horizontal="center"/>
    </xf>
    <xf numFmtId="0" fontId="22" fillId="0" borderId="0" xfId="132" applyFont="1" applyAlignment="1">
      <alignment horizontal="center"/>
    </xf>
    <xf numFmtId="0" fontId="92" fillId="0" borderId="0" xfId="132" applyFont="1" applyAlignment="1">
      <alignment horizontal="center"/>
    </xf>
    <xf numFmtId="0" fontId="30" fillId="0" borderId="0" xfId="132" applyFont="1" applyAlignment="1">
      <alignment horizontal="left" vertical="center" wrapText="1"/>
    </xf>
    <xf numFmtId="0" fontId="52" fillId="0" borderId="0" xfId="0" applyNumberFormat="1" applyFont="1" applyAlignment="1">
      <alignment horizontal="right"/>
    </xf>
    <xf numFmtId="0" fontId="52" fillId="0" borderId="0" xfId="0" applyNumberFormat="1" applyFont="1" applyAlignment="1">
      <alignment horizontal="center"/>
    </xf>
    <xf numFmtId="0" fontId="30" fillId="0" borderId="0" xfId="132" applyFont="1" applyAlignment="1">
      <alignment horizontal="left" wrapText="1"/>
    </xf>
    <xf numFmtId="172" fontId="53" fillId="0" borderId="0" xfId="0" applyFont="1" applyAlignment="1">
      <alignment horizontal="center"/>
    </xf>
    <xf numFmtId="3" fontId="52" fillId="0" borderId="0" xfId="0" applyNumberFormat="1" applyFont="1" applyAlignment="1" applyProtection="1">
      <alignment horizontal="center"/>
      <protection locked="0"/>
    </xf>
    <xf numFmtId="172" fontId="52" fillId="0" borderId="0" xfId="0" applyFont="1" applyAlignment="1">
      <alignment horizontal="left"/>
    </xf>
    <xf numFmtId="172" fontId="0" fillId="0" borderId="0" xfId="0"/>
    <xf numFmtId="172" fontId="52" fillId="0" borderId="0" xfId="0" applyFont="1" applyAlignment="1">
      <alignment horizontal="left" wrapText="1"/>
    </xf>
    <xf numFmtId="172" fontId="74" fillId="0" borderId="0" xfId="0" applyFont="1" applyAlignment="1">
      <alignment horizontal="left" vertical="top" wrapText="1"/>
    </xf>
    <xf numFmtId="172" fontId="74" fillId="0" borderId="0" xfId="0" applyFont="1" applyAlignment="1">
      <alignment horizontal="center" vertical="center"/>
    </xf>
    <xf numFmtId="172" fontId="74" fillId="0" borderId="0" xfId="0" applyFont="1" applyAlignment="1">
      <alignment horizontal="left" vertical="center"/>
    </xf>
    <xf numFmtId="0" fontId="47" fillId="0" borderId="0" xfId="132" applyFont="1" applyAlignment="1">
      <alignment horizontal="center"/>
    </xf>
    <xf numFmtId="0" fontId="25" fillId="0" borderId="0" xfId="132" applyFont="1" applyAlignment="1">
      <alignment horizontal="center"/>
    </xf>
    <xf numFmtId="49" fontId="131" fillId="0" borderId="35" xfId="132" applyNumberFormat="1" applyFont="1" applyBorder="1" applyAlignment="1">
      <alignment horizontal="center" vertical="center"/>
    </xf>
    <xf numFmtId="0" fontId="131" fillId="0" borderId="36" xfId="132" applyFont="1" applyBorder="1" applyAlignment="1">
      <alignment horizontal="center" vertical="center"/>
    </xf>
    <xf numFmtId="0" fontId="131" fillId="0" borderId="37" xfId="132" applyFont="1" applyBorder="1" applyAlignment="1">
      <alignment horizontal="center" vertical="center"/>
    </xf>
    <xf numFmtId="0" fontId="47" fillId="0" borderId="39" xfId="132" applyFont="1" applyBorder="1" applyAlignment="1">
      <alignment horizontal="center"/>
    </xf>
    <xf numFmtId="0" fontId="47" fillId="0" borderId="6" xfId="132" applyFont="1" applyBorder="1" applyAlignment="1">
      <alignment horizontal="center"/>
    </xf>
    <xf numFmtId="0" fontId="47" fillId="0" borderId="40" xfId="132" applyFont="1" applyBorder="1" applyAlignment="1">
      <alignment horizontal="center"/>
    </xf>
    <xf numFmtId="0" fontId="73" fillId="0" borderId="0" xfId="132" applyFont="1" applyAlignment="1">
      <alignment horizontal="left" wrapText="1"/>
    </xf>
    <xf numFmtId="0" fontId="47" fillId="0" borderId="29" xfId="132" applyFont="1" applyBorder="1" applyAlignment="1">
      <alignment horizontal="center"/>
    </xf>
    <xf numFmtId="0" fontId="47" fillId="0" borderId="30" xfId="132" applyFont="1" applyBorder="1" applyAlignment="1">
      <alignment horizontal="center"/>
    </xf>
    <xf numFmtId="0" fontId="47" fillId="0" borderId="31" xfId="132" applyFont="1" applyBorder="1" applyAlignment="1">
      <alignment horizontal="center"/>
    </xf>
    <xf numFmtId="0" fontId="47" fillId="0" borderId="35" xfId="132" applyFont="1" applyBorder="1" applyAlignment="1">
      <alignment horizontal="center" vertical="center"/>
    </xf>
    <xf numFmtId="0" fontId="47" fillId="0" borderId="36" xfId="132" applyFont="1" applyBorder="1" applyAlignment="1">
      <alignment horizontal="center" vertical="center"/>
    </xf>
    <xf numFmtId="0" fontId="47" fillId="0" borderId="37" xfId="132" applyFont="1" applyBorder="1" applyAlignment="1">
      <alignment horizontal="center" vertical="center"/>
    </xf>
    <xf numFmtId="0" fontId="112" fillId="20" borderId="30" xfId="148" applyFont="1" applyFill="1" applyBorder="1" applyAlignment="1">
      <alignment horizontal="center"/>
    </xf>
    <xf numFmtId="0" fontId="112" fillId="20" borderId="31" xfId="148" applyFont="1" applyFill="1" applyBorder="1" applyAlignment="1">
      <alignment horizontal="center"/>
    </xf>
    <xf numFmtId="0" fontId="8" fillId="20" borderId="0" xfId="148" applyFont="1" applyFill="1" applyAlignment="1">
      <alignment horizontal="center" wrapText="1"/>
    </xf>
    <xf numFmtId="0" fontId="18" fillId="20" borderId="0" xfId="148" applyFill="1" applyAlignment="1">
      <alignment horizontal="center" wrapText="1"/>
    </xf>
    <xf numFmtId="0" fontId="16" fillId="0" borderId="0" xfId="148" applyFont="1" applyAlignment="1">
      <alignment horizontal="left" wrapText="1"/>
    </xf>
    <xf numFmtId="0" fontId="14" fillId="0" borderId="0" xfId="148" applyFont="1" applyAlignment="1">
      <alignment horizontal="left" wrapText="1"/>
    </xf>
    <xf numFmtId="0" fontId="10" fillId="20" borderId="0" xfId="148" applyFont="1" applyFill="1" applyAlignment="1">
      <alignment horizontal="center" wrapText="1"/>
    </xf>
    <xf numFmtId="172" fontId="74" fillId="0" borderId="0" xfId="0" applyFont="1" applyAlignment="1">
      <alignment horizontal="left" vertical="center" wrapText="1"/>
    </xf>
    <xf numFmtId="0" fontId="23" fillId="0" borderId="0" xfId="129" applyFont="1" applyAlignment="1">
      <alignment horizontal="center" vertical="top" wrapText="1"/>
    </xf>
    <xf numFmtId="0" fontId="84" fillId="0" borderId="0" xfId="129" applyFont="1" applyAlignment="1">
      <alignment horizontal="left" vertical="top" wrapText="1"/>
    </xf>
    <xf numFmtId="0" fontId="30" fillId="0" borderId="0" xfId="137" applyFont="1" applyAlignment="1">
      <alignment horizontal="center"/>
    </xf>
    <xf numFmtId="172" fontId="30" fillId="0" borderId="0" xfId="0" applyFont="1" applyAlignment="1">
      <alignment horizontal="left"/>
    </xf>
    <xf numFmtId="172" fontId="25" fillId="0" borderId="0" xfId="0" applyFont="1" applyAlignment="1">
      <alignment horizontal="center"/>
    </xf>
    <xf numFmtId="3" fontId="30" fillId="0" borderId="0" xfId="0" applyNumberFormat="1" applyFont="1" applyAlignment="1" applyProtection="1">
      <alignment horizontal="center"/>
      <protection locked="0"/>
    </xf>
    <xf numFmtId="49" fontId="25" fillId="0" borderId="0" xfId="0" applyNumberFormat="1" applyFont="1" applyAlignment="1">
      <alignment horizontal="center"/>
    </xf>
    <xf numFmtId="3" fontId="30" fillId="0" borderId="0" xfId="0" applyNumberFormat="1" applyFont="1" applyAlignment="1">
      <alignment horizontal="center"/>
    </xf>
    <xf numFmtId="172" fontId="30" fillId="0" borderId="0" xfId="0" applyFont="1" applyAlignment="1">
      <alignment horizontal="left" wrapText="1"/>
    </xf>
    <xf numFmtId="172" fontId="137" fillId="0" borderId="0" xfId="0" applyFont="1" applyAlignment="1">
      <alignment horizontal="center"/>
    </xf>
    <xf numFmtId="0" fontId="30" fillId="0" borderId="0" xfId="0" applyNumberFormat="1" applyFont="1" applyAlignment="1" applyProtection="1">
      <alignment horizontal="center"/>
      <protection locked="0"/>
    </xf>
    <xf numFmtId="172" fontId="53" fillId="0" borderId="0" xfId="0" applyFont="1" applyAlignment="1">
      <alignment horizontal="center" vertical="center"/>
    </xf>
    <xf numFmtId="172" fontId="52" fillId="0" borderId="0" xfId="0" applyFont="1" applyAlignment="1">
      <alignment horizontal="left" vertical="top" wrapText="1"/>
    </xf>
    <xf numFmtId="172" fontId="52" fillId="0" borderId="0" xfId="0" applyFont="1" applyAlignment="1">
      <alignment horizontal="left" vertical="center"/>
    </xf>
    <xf numFmtId="172" fontId="52" fillId="0" borderId="0" xfId="0" applyFont="1" applyAlignment="1">
      <alignment horizontal="left" vertical="center" wrapText="1"/>
    </xf>
    <xf numFmtId="0" fontId="52" fillId="0" borderId="0" xfId="159" applyFont="1" applyAlignment="1">
      <alignment horizontal="left" vertical="top" wrapText="1"/>
    </xf>
    <xf numFmtId="0" fontId="136" fillId="0" borderId="0" xfId="159" applyFont="1" applyAlignment="1">
      <alignment horizontal="left" vertical="top" wrapText="1"/>
    </xf>
    <xf numFmtId="0" fontId="74" fillId="0" borderId="0" xfId="158" applyFont="1" applyAlignment="1">
      <alignment horizontal="left"/>
    </xf>
    <xf numFmtId="0" fontId="74" fillId="0" borderId="0" xfId="158" applyFont="1" applyAlignment="1">
      <alignment horizontal="left" wrapText="1"/>
    </xf>
    <xf numFmtId="0" fontId="74" fillId="0" borderId="0" xfId="158" applyFont="1" applyAlignment="1">
      <alignment horizontal="left" vertical="top" wrapText="1"/>
    </xf>
    <xf numFmtId="0" fontId="138" fillId="0" borderId="0" xfId="78" applyFont="1" applyAlignment="1">
      <alignment horizontal="center"/>
    </xf>
    <xf numFmtId="0" fontId="139" fillId="0" borderId="0" xfId="132" applyFont="1" applyAlignment="1">
      <alignment horizontal="left" vertical="top" wrapText="1"/>
    </xf>
    <xf numFmtId="0" fontId="52" fillId="0" borderId="0" xfId="158" applyFont="1" applyAlignment="1">
      <alignment horizontal="right"/>
    </xf>
    <xf numFmtId="172" fontId="52" fillId="0" borderId="0" xfId="0" applyFont="1" applyAlignment="1">
      <alignment horizontal="right" vertical="center"/>
    </xf>
  </cellXfs>
  <cellStyles count="647">
    <cellStyle name="20% - Accent1" xfId="1" builtinId="30" customBuiltin="1"/>
    <cellStyle name="20% - Accent1 2" xfId="227" xr:uid="{FD130A56-DEA3-4794-8C95-E1340D331220}"/>
    <cellStyle name="20% - Accent1 3" xfId="262" xr:uid="{68C8EBA3-5C39-4442-8977-75A62643CFAF}"/>
    <cellStyle name="20% - Accent2" xfId="2" builtinId="34" customBuiltin="1"/>
    <cellStyle name="20% - Accent2 2" xfId="231" xr:uid="{129417E3-62D7-4DEB-B198-BF7FB39078ED}"/>
    <cellStyle name="20% - Accent2 3" xfId="265" xr:uid="{0731D3B4-365E-410D-9165-74B3C49FFF43}"/>
    <cellStyle name="20% - Accent3" xfId="3" builtinId="38" customBuiltin="1"/>
    <cellStyle name="20% - Accent3 2" xfId="235" xr:uid="{E0C392AA-D9ED-4B4D-93A9-BE02B49023FD}"/>
    <cellStyle name="20% - Accent3 3" xfId="268" xr:uid="{A4747015-5B38-4ACB-B333-2887D4784295}"/>
    <cellStyle name="20% - Accent4" xfId="4" builtinId="42" customBuiltin="1"/>
    <cellStyle name="20% - Accent4 2" xfId="239" xr:uid="{1AA8E4EA-5F27-40EB-B71B-B028E5D85524}"/>
    <cellStyle name="20% - Accent4 3" xfId="272" xr:uid="{CC43B404-E465-4D90-97CD-42AB05D82A58}"/>
    <cellStyle name="20% - Accent5" xfId="5" builtinId="46" customBuiltin="1"/>
    <cellStyle name="20% - Accent5 2" xfId="243" xr:uid="{0484712F-E124-4B9C-A36F-85DBA86C28A3}"/>
    <cellStyle name="20% - Accent5 3" xfId="275" xr:uid="{F1C9CD58-91BA-41C9-989E-5CE8F66D5CA5}"/>
    <cellStyle name="20% - Accent6" xfId="6" builtinId="50" customBuiltin="1"/>
    <cellStyle name="20% - Accent6 2" xfId="247" xr:uid="{1F5AC97D-9B95-45C0-98BF-402C9BE1FF2A}"/>
    <cellStyle name="20% - Accent6 3" xfId="278" xr:uid="{1C149DD7-321C-4A8B-9EA2-981CF185A0FD}"/>
    <cellStyle name="40% - Accent1" xfId="7" builtinId="31" customBuiltin="1"/>
    <cellStyle name="40% - Accent1 2" xfId="228" xr:uid="{7C7431E6-5EDE-432F-9E95-DD7FD9AAA37A}"/>
    <cellStyle name="40% - Accent1 3" xfId="263" xr:uid="{37B01D31-2EE5-4181-9E9C-4A58355D7757}"/>
    <cellStyle name="40% - Accent2" xfId="8" builtinId="35" customBuiltin="1"/>
    <cellStyle name="40% - Accent2 2" xfId="232" xr:uid="{98B1380B-A63A-45E4-B9C3-2704A6FCCB60}"/>
    <cellStyle name="40% - Accent2 3" xfId="266" xr:uid="{9F1B16A2-A3BE-4C9B-A8DD-EFBB3002FE9E}"/>
    <cellStyle name="40% - Accent3" xfId="9" builtinId="39" customBuiltin="1"/>
    <cellStyle name="40% - Accent3 2" xfId="236" xr:uid="{39CCEC99-75B3-439A-AA17-BDDDBFEE895D}"/>
    <cellStyle name="40% - Accent3 3" xfId="269" xr:uid="{87091700-A269-4FDF-9E35-CF43CC8CA6D7}"/>
    <cellStyle name="40% - Accent4" xfId="10" builtinId="43" customBuiltin="1"/>
    <cellStyle name="40% - Accent4 2" xfId="240" xr:uid="{29D75E0E-B075-45AE-86DF-4E2128C505E2}"/>
    <cellStyle name="40% - Accent4 3" xfId="273" xr:uid="{1DEAF962-A385-4246-BFF4-621815A637FE}"/>
    <cellStyle name="40% - Accent5" xfId="11" builtinId="47" customBuiltin="1"/>
    <cellStyle name="40% - Accent5 2" xfId="244" xr:uid="{1CC5C01D-1FB8-4BD5-B76D-CC1516BDA717}"/>
    <cellStyle name="40% - Accent5 3" xfId="276" xr:uid="{3B97B177-5CBF-4874-BCB5-CDC850CFF5D0}"/>
    <cellStyle name="40% - Accent6" xfId="12" builtinId="51" customBuiltin="1"/>
    <cellStyle name="40% - Accent6 2" xfId="248" xr:uid="{99F2E6E2-524E-44EE-A197-92B195BE66A0}"/>
    <cellStyle name="40% - Accent6 3" xfId="279" xr:uid="{480B85CC-2C4F-4D33-9654-C9649E74F52C}"/>
    <cellStyle name="60% - Accent1" xfId="13" builtinId="32" customBuiltin="1"/>
    <cellStyle name="60% - Accent1 2" xfId="229" xr:uid="{ED8C3266-10A9-47F1-9350-CD368A805691}"/>
    <cellStyle name="60% - Accent1 3" xfId="264" xr:uid="{4225A754-0514-4CB2-B9DA-3752C9AE9EC5}"/>
    <cellStyle name="60% - Accent2" xfId="14" builtinId="36" customBuiltin="1"/>
    <cellStyle name="60% - Accent2 2" xfId="233" xr:uid="{EAE11954-7633-47CE-A06B-F18C073BD886}"/>
    <cellStyle name="60% - Accent2 3" xfId="267" xr:uid="{59EE9E47-62AA-4BB8-91F6-576B5D243F59}"/>
    <cellStyle name="60% - Accent3" xfId="15" builtinId="40" customBuiltin="1"/>
    <cellStyle name="60% - Accent3 2" xfId="237" xr:uid="{68E8E4FB-8CF2-4740-8AD8-301AC74A74C7}"/>
    <cellStyle name="60% - Accent3 3" xfId="270" xr:uid="{622B57A4-44B7-4C85-B859-360412F552CF}"/>
    <cellStyle name="60% - Accent4" xfId="16" builtinId="44" customBuiltin="1"/>
    <cellStyle name="60% - Accent4 2" xfId="241" xr:uid="{5597C81E-A664-4137-8ED4-D9F539D97E9C}"/>
    <cellStyle name="60% - Accent4 3" xfId="274" xr:uid="{C1C4CA40-68B4-4DC7-AA65-72CE48E63F33}"/>
    <cellStyle name="60% - Accent5" xfId="17" builtinId="48" customBuiltin="1"/>
    <cellStyle name="60% - Accent5 2" xfId="245" xr:uid="{AC936C4E-6A9D-4C9F-BD78-9CAAA35606A7}"/>
    <cellStyle name="60% - Accent5 3" xfId="277" xr:uid="{5C1FAFFB-0E26-4ACA-8796-BDE41029DC3A}"/>
    <cellStyle name="60% - Accent6" xfId="18" builtinId="52" customBuiltin="1"/>
    <cellStyle name="60% - Accent6 2" xfId="249" xr:uid="{0FA1A344-E7B3-4817-9501-2A1615B85216}"/>
    <cellStyle name="60% - Accent6 3" xfId="280" xr:uid="{F79FCBBB-624A-496D-9A1E-73CAC5DD324C}"/>
    <cellStyle name="Accent1" xfId="19" builtinId="29" customBuiltin="1"/>
    <cellStyle name="Accent1 - 20%" xfId="316" xr:uid="{92608F07-8518-498F-B5EE-3FBF09B373EA}"/>
    <cellStyle name="Accent1 - 40%" xfId="317" xr:uid="{22EBACA5-3490-4747-9929-89C701D48784}"/>
    <cellStyle name="Accent1 - 60%" xfId="318" xr:uid="{C7830F17-5245-4A21-87F3-0EC11034E37E}"/>
    <cellStyle name="Accent1 10" xfId="459" xr:uid="{7F2CA139-6044-4AA6-845C-83F3913690EA}"/>
    <cellStyle name="Accent1 11" xfId="461" xr:uid="{DD896BC4-F3EF-4441-AB78-F5B30B90DFB3}"/>
    <cellStyle name="Accent1 12" xfId="413" xr:uid="{E503CBE0-5958-49D4-A807-135789C8054F}"/>
    <cellStyle name="Accent1 13" xfId="473" xr:uid="{AC10F16C-1BF6-46B3-A317-BE0375F565F0}"/>
    <cellStyle name="Accent1 14" xfId="476" xr:uid="{32DECC57-D968-4947-BC31-983EF0B82E79}"/>
    <cellStyle name="Accent1 15" xfId="472" xr:uid="{D685F79E-81DF-4A4A-AA17-39785AE83546}"/>
    <cellStyle name="Accent1 16" xfId="479" xr:uid="{3F8E2DF8-DE53-4BDF-B033-EC2BA0B826E7}"/>
    <cellStyle name="Accent1 17" xfId="485" xr:uid="{0264A646-1EF0-4821-AE2C-E93C67DE501A}"/>
    <cellStyle name="Accent1 18" xfId="496" xr:uid="{EAFFEF63-D2A5-44AA-A3F0-19ADC924289C}"/>
    <cellStyle name="Accent1 19" xfId="498" xr:uid="{FA38BF74-2A6D-4E3C-AF87-B3CF56953917}"/>
    <cellStyle name="Accent1 2" xfId="226" xr:uid="{9B54394A-967C-43C4-9F82-E9EB86AB0F05}"/>
    <cellStyle name="Accent1 2 2" xfId="315" xr:uid="{BEDEE017-DDF7-4534-B45A-C4AA3285E174}"/>
    <cellStyle name="Accent1 20" xfId="509" xr:uid="{A7C44DE1-BF8D-49AB-8039-AB4BF0344A31}"/>
    <cellStyle name="Accent1 21" xfId="531" xr:uid="{F93ACE77-FA7B-45BE-9C0F-B8312DB25C20}"/>
    <cellStyle name="Accent1 22" xfId="534" xr:uid="{4F2582BB-0847-47F7-9D8A-C3CF366A2E2E}"/>
    <cellStyle name="Accent1 23" xfId="536" xr:uid="{8AA79D72-9FA0-4ABA-A0BF-9B4602F07E1C}"/>
    <cellStyle name="Accent1 24" xfId="538" xr:uid="{6BA79A61-B21D-412F-A88F-F6FD53FD16F0}"/>
    <cellStyle name="Accent1 25" xfId="541" xr:uid="{5C00C15F-4E64-453B-A835-25D59399EFF2}"/>
    <cellStyle name="Accent1 26" xfId="556" xr:uid="{4E32A2C6-A873-49C0-AF89-5AE730CB1555}"/>
    <cellStyle name="Accent1 27" xfId="558" xr:uid="{FFA970C0-1621-490B-A431-A2AF8060EFD3}"/>
    <cellStyle name="Accent1 28" xfId="570" xr:uid="{D100882E-EC8D-4FD7-9B52-7580D514FA7E}"/>
    <cellStyle name="Accent1 29" xfId="581" xr:uid="{9695F2A2-3C32-46DE-AFB6-FE67311FC55B}"/>
    <cellStyle name="Accent1 3" xfId="387" xr:uid="{36D7B97B-9C64-4420-B581-20E9133EF1D8}"/>
    <cellStyle name="Accent1 30" xfId="308" xr:uid="{D906B88E-1CFE-4A25-9A7A-635EE0855060}"/>
    <cellStyle name="Accent1 4" xfId="389" xr:uid="{8A3BB383-4F1D-4695-8C7A-675C692F45CF}"/>
    <cellStyle name="Accent1 5" xfId="439" xr:uid="{29506AEF-0E0E-4AAD-A753-5300E7D0DD70}"/>
    <cellStyle name="Accent1 6" xfId="444" xr:uid="{54BB411D-5A52-4CFB-B002-0C5A21F9B459}"/>
    <cellStyle name="Accent1 7" xfId="436" xr:uid="{D714BB1E-AC9E-4A6B-AA7C-82640B21339E}"/>
    <cellStyle name="Accent1 8" xfId="453" xr:uid="{02044DBE-3C21-4370-AC79-43EA87520AFC}"/>
    <cellStyle name="Accent1 9" xfId="456" xr:uid="{52DF2E45-3684-4E21-90EE-9D232F482749}"/>
    <cellStyle name="Accent2" xfId="20" builtinId="33" customBuiltin="1"/>
    <cellStyle name="Accent2 - 20%" xfId="320" xr:uid="{55707CFA-61DB-4EC7-88D8-478D0D8FAD98}"/>
    <cellStyle name="Accent2 - 40%" xfId="321" xr:uid="{78547ED1-F742-4784-8A01-1BB5BB0B1380}"/>
    <cellStyle name="Accent2 - 60%" xfId="322" xr:uid="{A823B9A5-55DA-4C55-8BF9-EB445FF2EBC1}"/>
    <cellStyle name="Accent2 10" xfId="457" xr:uid="{A59C90B6-0F56-43F6-B19E-24CED4C78F86}"/>
    <cellStyle name="Accent2 11" xfId="460" xr:uid="{E991D91F-3A7A-49F0-912F-294DA4E59133}"/>
    <cellStyle name="Accent2 12" xfId="414" xr:uid="{FBEECEB1-61C7-4C35-A397-E5F8CF6A6C5D}"/>
    <cellStyle name="Accent2 13" xfId="471" xr:uid="{D68A5D27-21BD-420F-B28A-A461133A10F9}"/>
    <cellStyle name="Accent2 14" xfId="475" xr:uid="{448E893E-02E4-4667-9412-2A4F7621DDF3}"/>
    <cellStyle name="Accent2 15" xfId="470" xr:uid="{FA144238-D38F-49D0-8F4E-1A29A9F87D1F}"/>
    <cellStyle name="Accent2 16" xfId="480" xr:uid="{BBAADA62-7577-40B1-8B48-2B9A85CB3E9C}"/>
    <cellStyle name="Accent2 17" xfId="486" xr:uid="{711DA191-4A75-4CCF-809F-9D80DCBBDF6D}"/>
    <cellStyle name="Accent2 18" xfId="495" xr:uid="{2BB7F8C2-C343-483A-A56E-A45C10803074}"/>
    <cellStyle name="Accent2 19" xfId="499" xr:uid="{76F33CD9-BB98-432E-8BBC-B21BF6F49586}"/>
    <cellStyle name="Accent2 2" xfId="230" xr:uid="{912E95E4-902C-4737-A48F-196616640FCF}"/>
    <cellStyle name="Accent2 2 2" xfId="319" xr:uid="{C67BC2B3-8AD8-4B4A-B4F8-713B8A4E2AD6}"/>
    <cellStyle name="Accent2 20" xfId="511" xr:uid="{E5716A5A-326E-46BF-AC38-0712FDCB6CBC}"/>
    <cellStyle name="Accent2 21" xfId="530" xr:uid="{48B2EE17-D4E5-4241-A8F0-8FCCAB1CC1F1}"/>
    <cellStyle name="Accent2 22" xfId="533" xr:uid="{E83FBADE-4AA2-49D7-BD96-032AF2202494}"/>
    <cellStyle name="Accent2 23" xfId="535" xr:uid="{CF7A9FD3-CE3B-4190-B831-8545979F20CD}"/>
    <cellStyle name="Accent2 24" xfId="537" xr:uid="{1C9D2E54-A28B-4F74-BFDA-5E912323F8E2}"/>
    <cellStyle name="Accent2 25" xfId="543" xr:uid="{F1EBE019-8761-4E87-9221-D91C1FD9F971}"/>
    <cellStyle name="Accent2 26" xfId="555" xr:uid="{31109BD7-AEAA-4D4D-B5DE-5A8EE3F59C87}"/>
    <cellStyle name="Accent2 27" xfId="557" xr:uid="{3BDC3595-558C-4CA3-8DAC-28B0BCE0E41B}"/>
    <cellStyle name="Accent2 28" xfId="571" xr:uid="{F22BFB19-4C88-4273-8018-C3D414778667}"/>
    <cellStyle name="Accent2 29" xfId="580" xr:uid="{7E271AEA-79D3-46F7-B95B-4010234F306F}"/>
    <cellStyle name="Accent2 3" xfId="397" xr:uid="{9A03E41C-1547-4050-A3FA-29440C63FA4E}"/>
    <cellStyle name="Accent2 30" xfId="582" xr:uid="{9CAB205B-6F05-4032-B61A-84F053638E0A}"/>
    <cellStyle name="Accent2 4" xfId="409" xr:uid="{139955F1-623E-45FB-A109-EDE99AC4836A}"/>
    <cellStyle name="Accent2 5" xfId="438" xr:uid="{D395CC89-7EE8-4D85-B3CC-740DE997DFD3}"/>
    <cellStyle name="Accent2 6" xfId="442" xr:uid="{FC95E5B1-C130-454B-8D90-E7B557120EF2}"/>
    <cellStyle name="Accent2 7" xfId="432" xr:uid="{D3241497-601A-4EDF-88E7-5830933FE90F}"/>
    <cellStyle name="Accent2 8" xfId="450" xr:uid="{C13A4516-BDF0-4EBC-A060-356507174584}"/>
    <cellStyle name="Accent2 9" xfId="454" xr:uid="{1296AD7B-8A9B-47E0-A448-B2F27F9CAB1C}"/>
    <cellStyle name="Accent3" xfId="21" builtinId="37" customBuiltin="1"/>
    <cellStyle name="Accent3 - 20%" xfId="324" xr:uid="{3BE65CEC-C546-4FB2-A21A-744B0B7BE0DD}"/>
    <cellStyle name="Accent3 - 40%" xfId="325" xr:uid="{7C16C1B9-8340-4EC7-8068-2A7EBE20F828}"/>
    <cellStyle name="Accent3 - 60%" xfId="326" xr:uid="{C5769D61-2B7A-4207-ABF5-7AF1A2BC678F}"/>
    <cellStyle name="Accent3 10" xfId="449" xr:uid="{2FDF86CE-D1DE-4C4A-9669-87660F438FA7}"/>
    <cellStyle name="Accent3 11" xfId="435" xr:uid="{157C5F05-2C96-4FFE-A771-DE3540C91E0D}"/>
    <cellStyle name="Accent3 12" xfId="415" xr:uid="{210D1F12-F38E-4291-8EDC-789718C10AD6}"/>
    <cellStyle name="Accent3 13" xfId="469" xr:uid="{C2ED9D66-0361-417E-8071-975C3BDDFEEF}"/>
    <cellStyle name="Accent3 14" xfId="474" xr:uid="{694C2658-2B71-4849-AD4A-84717D42C681}"/>
    <cellStyle name="Accent3 15" xfId="468" xr:uid="{8B24EAA7-7A06-455C-8157-AB863A0EC520}"/>
    <cellStyle name="Accent3 16" xfId="481" xr:uid="{783C58DD-0F64-4583-BE8F-D8A5B43F48C6}"/>
    <cellStyle name="Accent3 17" xfId="487" xr:uid="{0E33C2EF-472B-4278-B4E7-9D42811D1141}"/>
    <cellStyle name="Accent3 18" xfId="494" xr:uid="{6E7A2F4F-683C-4423-BFE8-12DF1792F5DA}"/>
    <cellStyle name="Accent3 19" xfId="500" xr:uid="{AFB7B0C5-18E9-4B12-B973-71B32B11D857}"/>
    <cellStyle name="Accent3 2" xfId="234" xr:uid="{2A3CB279-E863-405E-B13E-8805076438EE}"/>
    <cellStyle name="Accent3 2 2" xfId="323" xr:uid="{DDCC1121-32EF-4268-A019-34EC3DE9D085}"/>
    <cellStyle name="Accent3 20" xfId="513" xr:uid="{013379DD-B0A8-4FB5-9966-441147F68A01}"/>
    <cellStyle name="Accent3 21" xfId="528" xr:uid="{305BD2BF-F025-4771-B13A-A72241E8EF91}"/>
    <cellStyle name="Accent3 22" xfId="510" xr:uid="{70B0B7A0-6DA5-4CF5-AD9B-98B1D0332EDF}"/>
    <cellStyle name="Accent3 23" xfId="529" xr:uid="{8FEA85CE-A9A5-40E6-8043-74650481C6D1}"/>
    <cellStyle name="Accent3 24" xfId="532" xr:uid="{8CB1AA8B-9189-4A74-9330-F93E766D8AF1}"/>
    <cellStyle name="Accent3 25" xfId="544" xr:uid="{01B374F9-38D3-4F17-8259-DF88CF4112AA}"/>
    <cellStyle name="Accent3 26" xfId="554" xr:uid="{49516F32-D84A-4EF2-B566-AE3B3BA64956}"/>
    <cellStyle name="Accent3 27" xfId="542" xr:uid="{9B70AC18-CAAA-4C58-A356-0D7781B9FB82}"/>
    <cellStyle name="Accent3 28" xfId="572" xr:uid="{45CDEC4D-C1E0-475D-8CBD-17CA83BD6369}"/>
    <cellStyle name="Accent3 29" xfId="579" xr:uid="{66649DB1-7416-4534-9314-3AD5EC8E1A61}"/>
    <cellStyle name="Accent3 3" xfId="398" xr:uid="{3A73B3A2-ADEC-42F6-844F-AEE421B182EC}"/>
    <cellStyle name="Accent3 30" xfId="293" xr:uid="{2B125B0B-286B-4474-AE2F-D20B0EA10156}"/>
    <cellStyle name="Accent3 4" xfId="407" xr:uid="{BFF7B206-B943-4025-8303-041D2D807A83}"/>
    <cellStyle name="Accent3 5" xfId="437" xr:uid="{3A82A063-2406-4296-B849-0BF8335ACABC}"/>
    <cellStyle name="Accent3 6" xfId="410" xr:uid="{FE3E6184-E8C4-48A6-8F07-E6F798EEDD8B}"/>
    <cellStyle name="Accent3 7" xfId="427" xr:uid="{F32335EF-AC81-4698-9940-DED981607885}"/>
    <cellStyle name="Accent3 8" xfId="448" xr:uid="{E87E37FB-4600-4CED-8E26-48196460A57B}"/>
    <cellStyle name="Accent3 9" xfId="431" xr:uid="{70D6BB05-31EC-4356-A27B-98A734F6253B}"/>
    <cellStyle name="Accent4" xfId="22" builtinId="41" customBuiltin="1"/>
    <cellStyle name="Accent4 - 20%" xfId="328" xr:uid="{A2949CB6-31A0-4B66-81B1-77C9CF2405E7}"/>
    <cellStyle name="Accent4 - 40%" xfId="329" xr:uid="{134E87EA-63E9-4B62-9ACB-28A9AA0C728C}"/>
    <cellStyle name="Accent4 - 60%" xfId="330" xr:uid="{E199E6EA-3ED6-4271-8B84-6503A1DE7F7D}"/>
    <cellStyle name="Accent4 10" xfId="447" xr:uid="{08C491BB-7425-4FFA-A778-A0117865A8DD}"/>
    <cellStyle name="Accent4 11" xfId="428" xr:uid="{BF3EE97F-C696-43B0-8AAB-68E2032FBA89}"/>
    <cellStyle name="Accent4 12" xfId="423" xr:uid="{E36A6CF9-AC7B-4FAB-9429-0B005B9AE03B}"/>
    <cellStyle name="Accent4 13" xfId="467" xr:uid="{1B3437B7-7B59-433A-9CC3-FB4EA65E24D7}"/>
    <cellStyle name="Accent4 14" xfId="440" xr:uid="{FB546B8F-2AD3-4FEB-8989-B80D3BBFE13C}"/>
    <cellStyle name="Accent4 15" xfId="465" xr:uid="{3929046B-80A3-45F2-9E5A-AD79D9FCA59E}"/>
    <cellStyle name="Accent4 16" xfId="482" xr:uid="{2E7683CA-9198-41CD-93CD-823E2F322F13}"/>
    <cellStyle name="Accent4 17" xfId="488" xr:uid="{5020C76C-CF34-44AA-9688-D6A98C05EF0E}"/>
    <cellStyle name="Accent4 18" xfId="493" xr:uid="{5DF9FAE0-7575-4C9A-8CFE-D86B540E962E}"/>
    <cellStyle name="Accent4 19" xfId="501" xr:uid="{8B7FE6D1-FB6B-49D3-8360-807F6990AE94}"/>
    <cellStyle name="Accent4 2" xfId="238" xr:uid="{08A956BE-83E2-4436-9599-5CE984F5A28E}"/>
    <cellStyle name="Accent4 2 2" xfId="327" xr:uid="{A899E95B-DF30-4145-8A84-F82FF711CAEA}"/>
    <cellStyle name="Accent4 20" xfId="515" xr:uid="{3AE04BA4-FB0D-4250-A8EC-50F0141393EF}"/>
    <cellStyle name="Accent4 21" xfId="526" xr:uid="{45283DA1-9926-4D72-9D40-9FD58AF1BC11}"/>
    <cellStyle name="Accent4 22" xfId="514" xr:uid="{D9B568F1-8CF4-4B4B-8F72-49CB185577AC}"/>
    <cellStyle name="Accent4 23" xfId="527" xr:uid="{414DA1DD-1A94-4854-A4A7-A8A17F808A6C}"/>
    <cellStyle name="Accent4 24" xfId="512" xr:uid="{8DA8D282-F71C-4400-AC2C-2EF64B824F55}"/>
    <cellStyle name="Accent4 25" xfId="546" xr:uid="{79312AD7-1B50-4AC3-A2AA-A55A252195FF}"/>
    <cellStyle name="Accent4 26" xfId="553" xr:uid="{925A46BF-0333-40E2-8BA7-FEA54487B8AD}"/>
    <cellStyle name="Accent4 27" xfId="545" xr:uid="{A34688FD-5A5F-4978-92FE-DDD66D268E68}"/>
    <cellStyle name="Accent4 28" xfId="573" xr:uid="{BB1E2F0C-B7FA-4AA8-B72E-CACFA729843B}"/>
    <cellStyle name="Accent4 29" xfId="578" xr:uid="{139AAEC6-E17D-4F91-8DAE-1C292BC12B22}"/>
    <cellStyle name="Accent4 3" xfId="399" xr:uid="{5ACDB971-8539-4AA5-AB0F-A491816B603F}"/>
    <cellStyle name="Accent4 30" xfId="299" xr:uid="{AB5C5248-0621-46F1-BDD3-9656951FF0A3}"/>
    <cellStyle name="Accent4 4" xfId="406" xr:uid="{CAEECD54-0407-4E2D-829A-346E9A44FE6A}"/>
    <cellStyle name="Accent4 5" xfId="434" xr:uid="{CCB014D1-B3C1-4C0C-A545-91B564234655}"/>
    <cellStyle name="Accent4 6" xfId="408" xr:uid="{FA5C052F-D847-4186-BE8D-1279F52C11B9}"/>
    <cellStyle name="Accent4 7" xfId="424" xr:uid="{7FF4E595-A2F1-45AC-B8C5-746674F6B1BB}"/>
    <cellStyle name="Accent4 8" xfId="446" xr:uid="{BF26479F-67C8-4805-A2E3-580C9CEACA2F}"/>
    <cellStyle name="Accent4 9" xfId="425" xr:uid="{A1F94F12-45EB-4ED9-BF71-241C4FAA4848}"/>
    <cellStyle name="Accent5" xfId="23" builtinId="45" customBuiltin="1"/>
    <cellStyle name="Accent5 - 20%" xfId="332" xr:uid="{5412D077-37D9-4781-819F-F42B9D4153E5}"/>
    <cellStyle name="Accent5 - 40%" xfId="333" xr:uid="{C9FD5FEB-54A3-431F-A8E2-53CF5271BBFB}"/>
    <cellStyle name="Accent5 - 60%" xfId="334" xr:uid="{A62DDA62-58AA-4101-981A-3BDFE13D9E83}"/>
    <cellStyle name="Accent5 10" xfId="445" xr:uid="{84B7D015-6BBA-4BE9-94E2-0579FB81EAFC}"/>
    <cellStyle name="Accent5 11" xfId="422" xr:uid="{9FF20E2B-2E1D-470F-8E2E-0917C9C66ADE}"/>
    <cellStyle name="Accent5 12" xfId="433" xr:uid="{30029AF5-DBD6-4E56-B24E-861D92C39D16}"/>
    <cellStyle name="Accent5 13" xfId="466" xr:uid="{CBC4BD0A-2523-441D-AF48-0267E24F4342}"/>
    <cellStyle name="Accent5 14" xfId="419" xr:uid="{35CCCB7B-F11B-43DE-8055-42C560F77397}"/>
    <cellStyle name="Accent5 15" xfId="463" xr:uid="{9BF0F355-D193-43D0-87D4-7694520F32C8}"/>
    <cellStyle name="Accent5 16" xfId="483" xr:uid="{67BA848C-EF29-4764-9603-2E37935CC47F}"/>
    <cellStyle name="Accent5 17" xfId="489" xr:uid="{A4F676CC-F291-4586-8B9C-A2FF4DFD4FCC}"/>
    <cellStyle name="Accent5 18" xfId="492" xr:uid="{6A2F2AFF-47AC-4CFC-A2C7-E9724205C678}"/>
    <cellStyle name="Accent5 19" xfId="502" xr:uid="{179769B5-0E86-4728-B051-65DA2AC09B04}"/>
    <cellStyle name="Accent5 2" xfId="242" xr:uid="{FDDDF188-2C71-43F0-B02B-2418081C98A0}"/>
    <cellStyle name="Accent5 2 2" xfId="331" xr:uid="{9F592FA2-7B50-45E4-8AB3-FC239E8CEE19}"/>
    <cellStyle name="Accent5 20" xfId="518" xr:uid="{4D2E7925-5227-4E09-B90A-D5901732D111}"/>
    <cellStyle name="Accent5 21" xfId="524" xr:uid="{B179417C-D605-418C-A77D-80E0345E1859}"/>
    <cellStyle name="Accent5 22" xfId="517" xr:uid="{1BD1BB4A-EC4A-4AD9-81AE-0457B936F38E}"/>
    <cellStyle name="Accent5 23" xfId="525" xr:uid="{EA79E319-00CC-4165-A7AD-7FFCDA38AC8C}"/>
    <cellStyle name="Accent5 24" xfId="516" xr:uid="{8D6576B9-1D40-4979-9F50-FB8DC692D116}"/>
    <cellStyle name="Accent5 25" xfId="548" xr:uid="{431BAD88-EE3F-458E-BB5D-55FD78690BB8}"/>
    <cellStyle name="Accent5 26" xfId="552" xr:uid="{DBC51390-916E-4303-A26B-1873F40D6E56}"/>
    <cellStyle name="Accent5 27" xfId="547" xr:uid="{B6703838-E8A5-42D4-AE14-C9A4BED764C1}"/>
    <cellStyle name="Accent5 28" xfId="574" xr:uid="{27508D97-8982-4C9C-96A6-E2E573C2BA8A}"/>
    <cellStyle name="Accent5 29" xfId="577" xr:uid="{E1021170-997D-4B8C-9B33-78D5D47CDE4F}"/>
    <cellStyle name="Accent5 3" xfId="400" xr:uid="{68DDD6F7-9250-42F7-A608-91A31034345E}"/>
    <cellStyle name="Accent5 30" xfId="261" xr:uid="{24F5461C-8253-43C8-9F26-733065B8B113}"/>
    <cellStyle name="Accent5 4" xfId="404" xr:uid="{EF17E2B6-88D4-4862-B606-F46F769EEB8D}"/>
    <cellStyle name="Accent5 5" xfId="430" xr:uid="{030DAA72-95F0-4642-82B1-F0AAF3CDFA08}"/>
    <cellStyle name="Accent5 6" xfId="405" xr:uid="{E263D3DA-2CC7-4CEC-B40F-D4073AB3B481}"/>
    <cellStyle name="Accent5 7" xfId="420" xr:uid="{B01B14CA-8464-4311-8532-7973E37EE6DD}"/>
    <cellStyle name="Accent5 8" xfId="443" xr:uid="{0974D079-1A8F-405F-88A5-618C4DEFB836}"/>
    <cellStyle name="Accent5 9" xfId="421" xr:uid="{4410F564-F265-4260-B34C-948A07607804}"/>
    <cellStyle name="Accent6" xfId="24" builtinId="49" customBuiltin="1"/>
    <cellStyle name="Accent6 - 20%" xfId="336" xr:uid="{3FEF80B8-2513-4DA0-8AB7-BAF162AB824E}"/>
    <cellStyle name="Accent6 - 40%" xfId="337" xr:uid="{10546C77-8474-4720-90A6-298071AA1030}"/>
    <cellStyle name="Accent6 - 60%" xfId="338" xr:uid="{A6CD0C2E-5BDF-45A8-B650-0063C09E90A8}"/>
    <cellStyle name="Accent6 10" xfId="411" xr:uid="{EB48160A-5742-4EB9-AF6C-99AA7FD27BFB}"/>
    <cellStyle name="Accent6 11" xfId="416" xr:uid="{6744D1DC-C005-4AB5-A58D-155699077D3D}"/>
    <cellStyle name="Accent6 12" xfId="455" xr:uid="{8AA71519-4D10-4ACD-9D57-827448ACEFB4}"/>
    <cellStyle name="Accent6 13" xfId="464" xr:uid="{BD9BE993-8BAF-42B1-B8A9-ED32492AB9AA}"/>
    <cellStyle name="Accent6 14" xfId="429" xr:uid="{A4C0CCA4-7198-4982-AFFE-8DA9BE41592D}"/>
    <cellStyle name="Accent6 15" xfId="462" xr:uid="{A8752283-6932-450E-B377-80D5B7A35504}"/>
    <cellStyle name="Accent6 16" xfId="484" xr:uid="{B7C7BDC0-521F-438F-B27F-4EC58A60CAA9}"/>
    <cellStyle name="Accent6 17" xfId="490" xr:uid="{9FAF4CD6-EE92-40AD-B788-BEEB195EB47E}"/>
    <cellStyle name="Accent6 18" xfId="491" xr:uid="{145546E2-C0E7-4FBA-93C3-B41BD697D41F}"/>
    <cellStyle name="Accent6 19" xfId="503" xr:uid="{A0DB1936-4A78-44D8-AF74-E90BF86D9D6F}"/>
    <cellStyle name="Accent6 2" xfId="246" xr:uid="{0F74DD97-DBDA-49A9-9C54-B0689C6D080F}"/>
    <cellStyle name="Accent6 2 2" xfId="335" xr:uid="{9CD41F83-C357-4864-831E-B907D67E080B}"/>
    <cellStyle name="Accent6 20" xfId="520" xr:uid="{DFFAF874-BA44-4189-B9C5-86F425E61F5D}"/>
    <cellStyle name="Accent6 21" xfId="523" xr:uid="{95D682CE-69B8-46DC-B060-E9E5F3F82B1B}"/>
    <cellStyle name="Accent6 22" xfId="519" xr:uid="{E0F18A79-551F-4A18-96DC-00381A566A66}"/>
    <cellStyle name="Accent6 23" xfId="522" xr:uid="{0BBC1749-821D-43DA-AF56-032C3CE487DE}"/>
    <cellStyle name="Accent6 24" xfId="521" xr:uid="{C3A62A59-D956-4AF7-9240-6DF2AADAFABA}"/>
    <cellStyle name="Accent6 25" xfId="550" xr:uid="{90E06968-B84D-467A-B4FB-25F1011F85EA}"/>
    <cellStyle name="Accent6 26" xfId="551" xr:uid="{18FE0294-65D0-421F-8134-315D593A33D4}"/>
    <cellStyle name="Accent6 27" xfId="549" xr:uid="{085951C5-3A53-4596-A300-82E6D381D057}"/>
    <cellStyle name="Accent6 28" xfId="575" xr:uid="{61C1330D-1EF5-476F-9459-EB9643552856}"/>
    <cellStyle name="Accent6 29" xfId="576" xr:uid="{F25DDC53-29BB-4B00-88A1-DD868464A5AD}"/>
    <cellStyle name="Accent6 3" xfId="403" xr:uid="{EB642A6B-84B8-41B8-81A1-5480CAE5B1A7}"/>
    <cellStyle name="Accent6 30" xfId="271" xr:uid="{B4C96EE7-B555-4425-9C0B-C221510FB6A0}"/>
    <cellStyle name="Accent6 4" xfId="401" xr:uid="{3AB908C2-F648-4B40-A095-75AA8BE80A07}"/>
    <cellStyle name="Accent6 5" xfId="426" xr:uid="{44F11829-8248-4F5E-BBE5-6B2BBE1BF67B}"/>
    <cellStyle name="Accent6 6" xfId="402" xr:uid="{E5F14958-892C-4367-88B8-A3B528614C14}"/>
    <cellStyle name="Accent6 7" xfId="418" xr:uid="{60AB199D-E06D-4C6C-893E-8FE5B849E0DA}"/>
    <cellStyle name="Accent6 8" xfId="441" xr:uid="{309231D3-CA43-457C-BB35-EF846AB21EE7}"/>
    <cellStyle name="Accent6 9" xfId="417" xr:uid="{E20205C8-79B0-4506-91CB-C795AE988122}"/>
    <cellStyle name="Bad" xfId="25" builtinId="27" customBuiltin="1"/>
    <cellStyle name="Bad 2" xfId="215" xr:uid="{2C182C9D-B3D0-40E6-8C73-FC41E3079647}"/>
    <cellStyle name="Bad 2 2" xfId="339" xr:uid="{48C4174D-0F9E-4453-8940-C08005417F84}"/>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A 2" xfId="163" xr:uid="{CBDCA8D7-9C04-402E-8F8A-0FEA662FCCC7}"/>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5L 2" xfId="185" xr:uid="{20293CAC-B654-4B8D-8F42-283FF6D1CFDC}"/>
    <cellStyle name="C05L 3" xfId="164" xr:uid="{50FB649B-2A03-4301-BADF-BB438FB396D2}"/>
    <cellStyle name="C06A" xfId="49" xr:uid="{00000000-0005-0000-0000-000030000000}"/>
    <cellStyle name="C06B" xfId="50" xr:uid="{00000000-0005-0000-0000-000031000000}"/>
    <cellStyle name="C06H" xfId="51" xr:uid="{00000000-0005-0000-0000-000032000000}"/>
    <cellStyle name="C06L" xfId="52" xr:uid="{00000000-0005-0000-0000-000033000000}"/>
    <cellStyle name="C07A" xfId="53" xr:uid="{00000000-0005-0000-0000-000034000000}"/>
    <cellStyle name="C07B" xfId="54" xr:uid="{00000000-0005-0000-0000-000035000000}"/>
    <cellStyle name="C07H" xfId="55" xr:uid="{00000000-0005-0000-0000-000036000000}"/>
    <cellStyle name="C07L" xfId="56" xr:uid="{00000000-0005-0000-0000-000037000000}"/>
    <cellStyle name="Calculation" xfId="57" builtinId="22" customBuiltin="1"/>
    <cellStyle name="Calculation 2" xfId="219" xr:uid="{22D9AF97-8C68-4DD0-8B54-DE84779B5D38}"/>
    <cellStyle name="Calculation 2 2" xfId="587" xr:uid="{C2CDAF4D-9E38-4936-B9EA-0EBEB57FFF57}"/>
    <cellStyle name="Calculation 2 3" xfId="340" xr:uid="{32DD4685-209C-48B7-943A-82907774018C}"/>
    <cellStyle name="Check Cell" xfId="58" builtinId="23" customBuiltin="1"/>
    <cellStyle name="Check Cell 2" xfId="221" xr:uid="{664D20D3-DEB4-4C26-812A-73F680525695}"/>
    <cellStyle name="Check Cell 2 2" xfId="341" xr:uid="{D4843376-7B0A-40BB-BDBE-981E84D416AC}"/>
    <cellStyle name="Comma" xfId="59" builtinId="3"/>
    <cellStyle name="Comma [0] 2" xfId="161" xr:uid="{07B2F304-DCA3-486A-934E-08847D73644B}"/>
    <cellStyle name="Comma [0] 2 2" xfId="204" xr:uid="{9FEA5DA0-D8B3-4A6C-90C4-004AE61B0A2F}"/>
    <cellStyle name="Comma [0] 2 2 2" xfId="452" xr:uid="{87393FA6-87FF-4BF0-B128-AB9909ECE062}"/>
    <cellStyle name="Comma [0] 2 2 3" xfId="288" xr:uid="{68B26906-396B-4775-96F3-CD2DA8239C36}"/>
    <cellStyle name="Comma [0] 2 3" xfId="255" xr:uid="{09B4CB2C-D4C9-4BA9-83D7-528AF3DCFE0A}"/>
    <cellStyle name="Comma [0] 2 4" xfId="181" xr:uid="{247933E7-829C-4B55-8172-27AA0B7EFE68}"/>
    <cellStyle name="Comma [0] 2 5" xfId="313" xr:uid="{413BE746-FD32-45D1-B436-66F2D442045C}"/>
    <cellStyle name="Comma [0] 3" xfId="303" xr:uid="{E1C85DF1-06AA-402E-9FDC-7D3C4AA0847A}"/>
    <cellStyle name="Comma 10" xfId="250" xr:uid="{6A683651-FBE4-4746-B830-DE1F241E17B7}"/>
    <cellStyle name="Comma 10 2" xfId="563" xr:uid="{23A6A91F-F082-4382-8EC4-AE217D4FF1A5}"/>
    <cellStyle name="Comma 11" xfId="251" xr:uid="{B573D3CE-D295-45AF-9E5F-5B5E0B48FA00}"/>
    <cellStyle name="Comma 11 2" xfId="562" xr:uid="{1553C504-6849-4B4F-8E32-FFC9F32B6BE8}"/>
    <cellStyle name="Comma 12" xfId="565" xr:uid="{7CF7A5B0-3B8C-44B6-A414-93DFB733CEB6}"/>
    <cellStyle name="Comma 13" xfId="627" xr:uid="{A3EDA772-11B6-4E48-9B15-BA53AC5E53FA}"/>
    <cellStyle name="Comma 2" xfId="60" xr:uid="{00000000-0005-0000-0000-00003B000000}"/>
    <cellStyle name="Comma 2 2" xfId="61" xr:uid="{00000000-0005-0000-0000-00003C000000}"/>
    <cellStyle name="Comma 2 2 2" xfId="186" xr:uid="{973FAFA1-7813-4C61-9AB8-4EF342AE584D}"/>
    <cellStyle name="Comma 2 2 2 2" xfId="306" xr:uid="{0EFFF961-966C-4627-8B80-FB00529FCD71}"/>
    <cellStyle name="Comma 2 2 3" xfId="165" xr:uid="{D7617A94-25D2-41CB-AD60-5DD78E4CB986}"/>
    <cellStyle name="Comma 2 2 4" xfId="305" xr:uid="{EC032E82-C1D3-4816-B0E3-888A6D83D5A3}"/>
    <cellStyle name="Comma 2 3" xfId="136" xr:uid="{00000000-0005-0000-0000-00003D000000}"/>
    <cellStyle name="Comma 2 3 2" xfId="310" xr:uid="{16E07D6E-6A89-405B-AD2E-25260A9D504F}"/>
    <cellStyle name="Comma 2 4" xfId="177" xr:uid="{83942C56-BDC3-411A-AC2D-DE4272ED388D}"/>
    <cellStyle name="Comma 2 5" xfId="254" xr:uid="{345E3D11-5BDD-466F-9275-7E9986464B9E}"/>
    <cellStyle name="Comma 2 6" xfId="284" xr:uid="{0BABA042-0A69-4BA8-8F64-23F3F8D9C366}"/>
    <cellStyle name="Comma 20" xfId="146" xr:uid="{00000000-0005-0000-0000-00003E000000}"/>
    <cellStyle name="Comma 21" xfId="147" xr:uid="{00000000-0005-0000-0000-00003F000000}"/>
    <cellStyle name="Comma 3" xfId="133" xr:uid="{00000000-0005-0000-0000-000040000000}"/>
    <cellStyle name="Comma 3 2" xfId="139" xr:uid="{00000000-0005-0000-0000-000041000000}"/>
    <cellStyle name="Comma 3 3" xfId="290" xr:uid="{56D412C1-77B8-4877-8F17-856ED98B38F3}"/>
    <cellStyle name="Comma 4" xfId="140" xr:uid="{00000000-0005-0000-0000-000042000000}"/>
    <cellStyle name="Comma 4 2" xfId="291" xr:uid="{BDBD644F-8506-445E-B82D-16B7462E3BBE}"/>
    <cellStyle name="Comma 5" xfId="149" xr:uid="{00000000-0005-0000-0000-000043000000}"/>
    <cellStyle name="Comma 5 2" xfId="201" xr:uid="{730D2B1A-CBDE-4DB9-9E82-802C42B37002}"/>
    <cellStyle name="Comma 5 3" xfId="174" xr:uid="{0059A9A5-4831-4070-990D-B5EF0B8CA7A1}"/>
    <cellStyle name="Comma 5 4" xfId="312" xr:uid="{9C59F932-4875-4F69-B2A9-1B96E10826CA}"/>
    <cellStyle name="Comma 6" xfId="151" xr:uid="{00000000-0005-0000-0000-000044000000}"/>
    <cellStyle name="Comma 6 2" xfId="505" xr:uid="{BEBC4A72-2469-4FDD-B90E-8BB41BB3D97E}"/>
    <cellStyle name="Comma 7" xfId="157" xr:uid="{AE705269-E130-4ED3-A4E9-7FFA16C806D0}"/>
    <cellStyle name="Comma 7 2" xfId="203" xr:uid="{DD35C260-EB16-4097-B65A-0778C535420E}"/>
    <cellStyle name="Comma 7 3" xfId="176" xr:uid="{DC4071F8-C4B2-425F-9A89-D5E315B9145C}"/>
    <cellStyle name="Comma 7 4" xfId="504" xr:uid="{FF504A74-09B9-433B-8E64-8E47D70D999C}"/>
    <cellStyle name="Comma 8" xfId="160" xr:uid="{CB53FB3B-9328-4B96-86A7-4090C466A53E}"/>
    <cellStyle name="Comma 8 2" xfId="205" xr:uid="{FDA217AD-8894-46C5-9F7C-E2BDA1A60022}"/>
    <cellStyle name="Comma 8 3" xfId="182" xr:uid="{6FAF03D3-63A3-4DF9-AA58-9E78050445D1}"/>
    <cellStyle name="Comma 8 4" xfId="506" xr:uid="{33DE65AE-5266-4BED-ADFA-19A9CA443B1F}"/>
    <cellStyle name="Comma 9" xfId="155" xr:uid="{A4571CB2-D93D-49BF-A7C2-D44C6A8CEF42}"/>
    <cellStyle name="Comma 9 2" xfId="207" xr:uid="{C56B0415-0CC5-46E8-B12A-E9F4D781DDEB}"/>
    <cellStyle name="Comma 9 3" xfId="184" xr:uid="{BBFA6887-A255-4ECF-9B2D-B2C89F9D79FC}"/>
    <cellStyle name="Comma 9 4" xfId="564" xr:uid="{E74A3CC4-4DBE-4F53-9AB2-39F3D85BABDE}"/>
    <cellStyle name="Comma0" xfId="62" xr:uid="{00000000-0005-0000-0000-000045000000}"/>
    <cellStyle name="Currency" xfId="63" builtinId="4"/>
    <cellStyle name="Currency 2" xfId="131" xr:uid="{00000000-0005-0000-0000-000047000000}"/>
    <cellStyle name="Currency 2 2" xfId="142" xr:uid="{00000000-0005-0000-0000-000048000000}"/>
    <cellStyle name="Currency 2 2 2" xfId="568" xr:uid="{DE0BEA99-38CB-49D6-8C2C-2C54E29B388E}"/>
    <cellStyle name="Currency 2 3" xfId="285" xr:uid="{2E31A10E-1574-4933-9AEA-FC3ABED7C11F}"/>
    <cellStyle name="Currency 3" xfId="138" xr:uid="{00000000-0005-0000-0000-000049000000}"/>
    <cellStyle name="Currency 3 2" xfId="560" xr:uid="{8D940B5D-4212-4457-8DFE-BF70EC3D996D}"/>
    <cellStyle name="Currency 4" xfId="281" xr:uid="{17557089-2D35-4183-ADE0-A42B4886980D}"/>
    <cellStyle name="Currency 5" xfId="260" xr:uid="{C8F7FD55-E0DD-4257-929F-01B640E791EA}"/>
    <cellStyle name="Currency0" xfId="64" xr:uid="{00000000-0005-0000-0000-00004A000000}"/>
    <cellStyle name="Date" xfId="65" xr:uid="{00000000-0005-0000-0000-00004B000000}"/>
    <cellStyle name="Emphasis 1" xfId="342" xr:uid="{F323C7EE-B3DA-4580-895A-EAB0CD056FF2}"/>
    <cellStyle name="Emphasis 2" xfId="343" xr:uid="{D7F47FEB-3A64-42EA-A8E0-304E1C3D7BBF}"/>
    <cellStyle name="Emphasis 3" xfId="344" xr:uid="{E7F500F4-BCB6-4F48-A561-09522CB25D7C}"/>
    <cellStyle name="Explanatory Text" xfId="66" builtinId="53" customBuiltin="1"/>
    <cellStyle name="Explanatory Text 2" xfId="224" xr:uid="{FBE6A9D8-BE90-4039-B4DF-393A0DEBDB1E}"/>
    <cellStyle name="Fixed" xfId="67" xr:uid="{00000000-0005-0000-0000-00004D000000}"/>
    <cellStyle name="Good" xfId="68" builtinId="26" customBuiltin="1"/>
    <cellStyle name="Good 2" xfId="214" xr:uid="{A5020BEB-83E1-48C8-91D8-B75ED8AF27B1}"/>
    <cellStyle name="Good 2 2" xfId="289" xr:uid="{5D330796-A4E4-46BC-89C7-17EC3982154E}"/>
    <cellStyle name="Heading 1" xfId="69" builtinId="16" customBuiltin="1"/>
    <cellStyle name="Heading 1 2" xfId="210" xr:uid="{EC719AEB-DA04-466C-9A75-D4BDCA6470CE}"/>
    <cellStyle name="Heading 1 2 2" xfId="345" xr:uid="{6FC2517F-C78E-4F9B-9F21-C3B3454FE086}"/>
    <cellStyle name="Heading 1 3" xfId="292" xr:uid="{0B27CC78-E3D4-4535-87BB-B3C7A927DAC7}"/>
    <cellStyle name="Heading 2" xfId="70" builtinId="17" customBuiltin="1"/>
    <cellStyle name="Heading 2 2" xfId="187" xr:uid="{5CAE4C5B-214E-4847-9407-B54E76647E2A}"/>
    <cellStyle name="Heading 2 2 2" xfId="346" xr:uid="{8FAD4E45-BC50-4B2B-84EB-96D35EBA1EF7}"/>
    <cellStyle name="Heading 2 3" xfId="211" xr:uid="{56036A15-37CA-44CC-8151-1CC29F296062}"/>
    <cellStyle name="Heading 2 4" xfId="166" xr:uid="{D9E76B52-EDB8-4847-8535-0D70B883C2CF}"/>
    <cellStyle name="Heading 3" xfId="71" builtinId="18" customBuiltin="1"/>
    <cellStyle name="Heading 3 2" xfId="212" xr:uid="{AA8E6648-994A-4A23-B56A-A772E507C914}"/>
    <cellStyle name="Heading 3 2 2" xfId="347" xr:uid="{A68FC213-983A-494B-8A94-49A69F271123}"/>
    <cellStyle name="Heading 3 3" xfId="294" xr:uid="{D1D55227-5D78-4851-B799-0139BBF21D7E}"/>
    <cellStyle name="Heading 4" xfId="72" builtinId="19" customBuiltin="1"/>
    <cellStyle name="Heading 4 2" xfId="213" xr:uid="{52E304D7-C32D-4807-A92D-3DF7262A9F65}"/>
    <cellStyle name="Heading 4 2 2" xfId="348" xr:uid="{F63448D1-3F5E-4537-944E-88B0C3CDBDC4}"/>
    <cellStyle name="Heading 4 3" xfId="295" xr:uid="{DC781D96-E7DA-4091-ADCE-236CB4E27316}"/>
    <cellStyle name="Heading1" xfId="73" xr:uid="{00000000-0005-0000-0000-000053000000}"/>
    <cellStyle name="Heading2" xfId="74" xr:uid="{00000000-0005-0000-0000-000054000000}"/>
    <cellStyle name="Input" xfId="75" builtinId="20" customBuiltin="1"/>
    <cellStyle name="Input 2" xfId="217" xr:uid="{DB991F89-6C5F-4CF8-8CCD-6A03A0F72AAF}"/>
    <cellStyle name="Input 2 2" xfId="588" xr:uid="{492DBC91-457E-443D-8B72-C09801CF3814}"/>
    <cellStyle name="Input 2 3" xfId="349" xr:uid="{E67B17AA-A5F6-4D76-8811-2BE78D353035}"/>
    <cellStyle name="Linked Cell" xfId="76" builtinId="24" customBuiltin="1"/>
    <cellStyle name="Linked Cell 2" xfId="220" xr:uid="{86B39A68-B0FD-490D-9610-6B2DC59304E8}"/>
    <cellStyle name="Linked Cell 2 2" xfId="350" xr:uid="{514FEB59-5A49-4B45-886D-C80956FBCF9E}"/>
    <cellStyle name="Linked Cell 3" xfId="297" xr:uid="{152A78B4-BFAC-486D-A295-551FC96ADA5B}"/>
    <cellStyle name="Neutral" xfId="77" builtinId="28" customBuiltin="1"/>
    <cellStyle name="Neutral 2" xfId="216" xr:uid="{28DBA895-E331-427F-A8AC-B4F6E42F7CE3}"/>
    <cellStyle name="Neutral 2 2" xfId="351" xr:uid="{BAFDCAA4-946F-4473-A249-8C5BEB9055E4}"/>
    <cellStyle name="Normal" xfId="0" builtinId="0"/>
    <cellStyle name="Normal 10" xfId="154" xr:uid="{767CFB30-76F7-46BF-B7FF-9EBA9CC227CB}"/>
    <cellStyle name="Normal 10 2" xfId="144" xr:uid="{00000000-0005-0000-0000-000059000000}"/>
    <cellStyle name="Normal 10 3" xfId="206" xr:uid="{3BF16DBF-125E-4425-A412-C6EE66EB5424}"/>
    <cellStyle name="Normal 10 4" xfId="183" xr:uid="{08CA4964-AFDA-4F95-AAC1-800582113B4F}"/>
    <cellStyle name="Normal 10 5" xfId="307" xr:uid="{75D62EB9-400B-47C1-B565-97D1F39E5E56}"/>
    <cellStyle name="Normal 11" xfId="159" xr:uid="{3893BC9C-C9FE-4315-95B7-1C6E40B4D033}"/>
    <cellStyle name="Normal 11 2" xfId="208" xr:uid="{A98DC545-1D6C-42D1-ABC2-AB554BCD9CC6}"/>
    <cellStyle name="Normal 11 3" xfId="478" xr:uid="{B9D98B30-D334-4949-B2B1-3D715B89D8DE}"/>
    <cellStyle name="Normal 12" xfId="252" xr:uid="{6ED1C674-2268-4BAA-8C4C-3CAC5B886BA1}"/>
    <cellStyle name="Normal 12 2" xfId="508" xr:uid="{55D52A82-CC28-4A8B-8F10-409C08885BB0}"/>
    <cellStyle name="Normal 13" xfId="540" xr:uid="{D085E0AB-3245-4EBB-B69E-E9EE5B7EF1BE}"/>
    <cellStyle name="Normal 14" xfId="287" xr:uid="{F2925762-4616-44E3-9132-030B832294C1}"/>
    <cellStyle name="Normal 15" xfId="296" xr:uid="{CA202B8B-A6E9-4ED1-9EB0-F17A7FB1BA9B}"/>
    <cellStyle name="Normal 16" xfId="539" xr:uid="{77421E05-F9E2-4D0A-BF9B-17EB21E31066}"/>
    <cellStyle name="Normal 17" xfId="507" xr:uid="{159E98B2-E399-4FDE-842F-756AC6A039CA}"/>
    <cellStyle name="Normal 18" xfId="561" xr:uid="{0DD09577-65F7-437D-9166-FFD93CE45ED4}"/>
    <cellStyle name="Normal 19" xfId="569" xr:uid="{339C5328-E147-41DE-B65E-F5D9D318A327}"/>
    <cellStyle name="Normal 2" xfId="78" xr:uid="{00000000-0005-0000-0000-00005A000000}"/>
    <cellStyle name="Normal 2 2" xfId="79" xr:uid="{00000000-0005-0000-0000-00005B000000}"/>
    <cellStyle name="Normal 2 2 2" xfId="188" xr:uid="{BF433A9D-A07B-4B64-BF24-5168404126F7}"/>
    <cellStyle name="Normal 2 2 3" xfId="167" xr:uid="{E271630C-BE70-4FAC-BB30-4A19E1626AB3}"/>
    <cellStyle name="Normal 2 2 4" xfId="304" xr:uid="{69BC48AC-D559-46CC-8FD8-2C0608F6C8EC}"/>
    <cellStyle name="Normal 2 3" xfId="156" xr:uid="{1453020E-E75E-45DD-938E-F0CC83AC8E22}"/>
    <cellStyle name="Normal 2 3 2" xfId="258" xr:uid="{6EBB1196-4617-49A1-A9E9-C994B01FFBB5}"/>
    <cellStyle name="Normal 2 3 3" xfId="451" xr:uid="{8DC812DB-7BE0-414C-8042-7DA048BA5A4D}"/>
    <cellStyle name="Normal 2 4" xfId="256" xr:uid="{F4600AAF-E7E9-40EB-9B01-EB87B997F9BF}"/>
    <cellStyle name="Normal 2 4 2" xfId="302" xr:uid="{1AAE0F76-9D99-4515-9021-700B4A9D516B}"/>
    <cellStyle name="Normal 20" xfId="145" xr:uid="{00000000-0005-0000-0000-00005C000000}"/>
    <cellStyle name="Normal 21" xfId="259" xr:uid="{8679B039-279C-43C0-91D6-AB2C1588230B}"/>
    <cellStyle name="Normal 3" xfId="80" xr:uid="{00000000-0005-0000-0000-00005D000000}"/>
    <cellStyle name="Normal 3 2" xfId="81" xr:uid="{00000000-0005-0000-0000-00005E000000}"/>
    <cellStyle name="Normal 3 2 2" xfId="190" xr:uid="{BAE2B737-3191-4F4E-8147-B5D886279078}"/>
    <cellStyle name="Normal 3 2 3" xfId="169" xr:uid="{5B96C819-52FF-4A55-8FE6-4E7BCEBF99F6}"/>
    <cellStyle name="Normal 3 3" xfId="189" xr:uid="{CABC745B-9680-484C-8520-578C09722470}"/>
    <cellStyle name="Normal 3 3 2" xfId="458" xr:uid="{CBAE3452-A5E7-4624-97BE-C70CF041AE36}"/>
    <cellStyle name="Normal 3 4" xfId="253" xr:uid="{D408846C-C008-42A7-AAA2-7A2289D2581C}"/>
    <cellStyle name="Normal 3 5" xfId="168" xr:uid="{9329DBB8-8C12-4D97-A4DD-26E0A817E0F8}"/>
    <cellStyle name="Normal 3 6" xfId="282" xr:uid="{C2A3463E-863F-4527-936F-29476F29F07A}"/>
    <cellStyle name="Normal 4" xfId="129" xr:uid="{00000000-0005-0000-0000-00005F000000}"/>
    <cellStyle name="Normal 4 2" xfId="158" xr:uid="{83DA8D5B-8D39-42E7-B6F0-0C26C0938D1F}"/>
    <cellStyle name="Normal 4 2 2" xfId="198" xr:uid="{C8649012-6E9B-4DDA-BDAA-CDD317768D8F}"/>
    <cellStyle name="Normal 4 2 3" xfId="309" xr:uid="{6431755B-DAB8-48E1-932D-CAADAFD79E79}"/>
    <cellStyle name="Normal 4 3" xfId="171" xr:uid="{6C9A68D4-00F7-4EF6-A136-56DE13383068}"/>
    <cellStyle name="Normal 4 4" xfId="283" xr:uid="{9D72B4FF-9061-45DD-B1D3-1484D567629C}"/>
    <cellStyle name="Normal 5" xfId="132" xr:uid="{00000000-0005-0000-0000-000060000000}"/>
    <cellStyle name="Normal 5 2" xfId="257" xr:uid="{02BABE7E-04B4-4D05-9C8F-FE61DF871F3D}"/>
    <cellStyle name="Normal 5 3" xfId="314" xr:uid="{A8A29CA9-D6ED-4403-AEF2-6ED90449EFBB}"/>
    <cellStyle name="Normal 6" xfId="137" xr:uid="{00000000-0005-0000-0000-000061000000}"/>
    <cellStyle name="Normal 6 2" xfId="152" xr:uid="{00000000-0005-0000-0000-000062000000}"/>
    <cellStyle name="Normal 6 3" xfId="412" xr:uid="{02E4763A-8C25-40E9-B782-C6DE64BC85C7}"/>
    <cellStyle name="Normal 7" xfId="148" xr:uid="{00000000-0005-0000-0000-000063000000}"/>
    <cellStyle name="Normal 7 2" xfId="200" xr:uid="{97A6F2C1-3AB6-4DDD-89C4-F453AFB50835}"/>
    <cellStyle name="Normal 7 3" xfId="173" xr:uid="{FAE753F0-52D4-4E53-99E2-E6A7B56D0A07}"/>
    <cellStyle name="Normal 7 4" xfId="477" xr:uid="{819E8466-2B37-4026-BCF3-1EEDD362DE23}"/>
    <cellStyle name="Normal 8" xfId="150" xr:uid="{00000000-0005-0000-0000-000064000000}"/>
    <cellStyle name="Normal 8 2" xfId="497" xr:uid="{94347686-17C2-4775-8D27-AAE3E1D934F6}"/>
    <cellStyle name="Normal 9" xfId="162" xr:uid="{FF83C6D7-6E35-417E-96AE-B8638D900175}"/>
    <cellStyle name="Normal 9 2" xfId="202" xr:uid="{C9DDF2D5-F600-4FCE-A618-1489A3B79336}"/>
    <cellStyle name="Normal 9 2 2" xfId="567" xr:uid="{070A9097-60A2-44B6-9617-F6457CE7386E}"/>
    <cellStyle name="Normal 9 3" xfId="175" xr:uid="{1BF4A2B7-C149-47FC-AB37-728EFD28BA66}"/>
    <cellStyle name="Normal 9 4" xfId="301" xr:uid="{D3C1948C-C5CF-4BF5-97C6-BFD603A765C3}"/>
    <cellStyle name="Normal_21 Exh B" xfId="135" xr:uid="{00000000-0005-0000-0000-000065000000}"/>
    <cellStyle name="Normal_ATSI Attachment H-20A-Appendix A- Schedule 1A_7-29-2010 " xfId="82" xr:uid="{00000000-0005-0000-0000-000066000000}"/>
    <cellStyle name="Normal_Attachment Os for 2002 True-up" xfId="143" xr:uid="{00000000-0005-0000-0000-000067000000}"/>
    <cellStyle name="Note" xfId="83" builtinId="10" customBuiltin="1"/>
    <cellStyle name="Note 2" xfId="223" xr:uid="{1A82CD45-6415-4929-95D4-D06233083A95}"/>
    <cellStyle name="Note 2 2" xfId="589" xr:uid="{01695630-633A-41D3-906A-51537BE0E21F}"/>
    <cellStyle name="Note 2 3" xfId="352" xr:uid="{1CC32689-A005-4A25-AA8C-6479539B6AA0}"/>
    <cellStyle name="Note 3" xfId="311" xr:uid="{BD29E2DA-3293-4A0B-BE9A-1F9C0197F357}"/>
    <cellStyle name="Note 4" xfId="583" xr:uid="{FCF19FFC-19A2-452A-AF76-03357C26A8E1}"/>
    <cellStyle name="Output" xfId="84" builtinId="21" customBuiltin="1"/>
    <cellStyle name="Output 2" xfId="218" xr:uid="{2C262E59-A361-4711-AFA8-45C626722EA8}"/>
    <cellStyle name="Output 2 2" xfId="590" xr:uid="{E3B82C8D-8920-4E48-8189-35F9F209423A}"/>
    <cellStyle name="Output 2 2 2" xfId="628" xr:uid="{D24047E1-66C2-420C-A530-55F39AE421E1}"/>
    <cellStyle name="Output 2 3" xfId="353" xr:uid="{6E8B4FD0-9C10-45D2-A64F-68BE98027F69}"/>
    <cellStyle name="Percent" xfId="85" builtinId="5"/>
    <cellStyle name="Percent 2" xfId="130" xr:uid="{00000000-0005-0000-0000-00006B000000}"/>
    <cellStyle name="Percent 2 2" xfId="86" xr:uid="{00000000-0005-0000-0000-00006C000000}"/>
    <cellStyle name="Percent 2 2 2" xfId="141" xr:uid="{00000000-0005-0000-0000-00006D000000}"/>
    <cellStyle name="Percent 2 3" xfId="199" xr:uid="{F756BB70-4393-439D-A848-90975A4DB699}"/>
    <cellStyle name="Percent 2 4" xfId="172" xr:uid="{6C0E3A2B-AE6C-4095-B856-B9FD6755C315}"/>
    <cellStyle name="Percent 2 5" xfId="286" xr:uid="{C4BDABFC-F396-43C0-87D8-4E9F6CDA9888}"/>
    <cellStyle name="Percent 3" xfId="134" xr:uid="{00000000-0005-0000-0000-00006E000000}"/>
    <cellStyle name="Percent 3 2" xfId="559" xr:uid="{35BC765F-E735-424A-86ED-DE1ECD578811}"/>
    <cellStyle name="Percent 4" xfId="153" xr:uid="{00000000-0005-0000-0000-00006F000000}"/>
    <cellStyle name="Percent 5" xfId="566" xr:uid="{16364435-6813-44A0-8925-245F24B1E9DF}"/>
    <cellStyle name="PSChar" xfId="87" xr:uid="{00000000-0005-0000-0000-000070000000}"/>
    <cellStyle name="PSChar 2" xfId="191" xr:uid="{1B05BA0B-6F3A-41E9-B81F-1B23C5181334}"/>
    <cellStyle name="PSDate" xfId="88" xr:uid="{00000000-0005-0000-0000-000071000000}"/>
    <cellStyle name="PSDate 2" xfId="192" xr:uid="{0D04E0EB-84FA-47EC-BC6A-AE1798177B0B}"/>
    <cellStyle name="PSDec" xfId="89" xr:uid="{00000000-0005-0000-0000-000072000000}"/>
    <cellStyle name="PSDec 2" xfId="193" xr:uid="{226EE5FB-07C4-46CB-9745-4A9FAFA0E77C}"/>
    <cellStyle name="PSdesc" xfId="90" xr:uid="{00000000-0005-0000-0000-000073000000}"/>
    <cellStyle name="PSHeading" xfId="91" xr:uid="{00000000-0005-0000-0000-000074000000}"/>
    <cellStyle name="PSHeading 2" xfId="194" xr:uid="{3BAAC691-60BD-424B-A43F-E8C678FE14E2}"/>
    <cellStyle name="PSInt" xfId="92" xr:uid="{00000000-0005-0000-0000-000075000000}"/>
    <cellStyle name="PSInt 2" xfId="195" xr:uid="{B1EEC058-0961-48CC-9CDA-E18EA87C0F9A}"/>
    <cellStyle name="PSSpacer" xfId="93" xr:uid="{00000000-0005-0000-0000-000076000000}"/>
    <cellStyle name="PSSpacer 2" xfId="196" xr:uid="{2033A17B-7BC6-4913-9E43-4E9D6F363F2E}"/>
    <cellStyle name="PStest" xfId="94" xr:uid="{00000000-0005-0000-0000-000077000000}"/>
    <cellStyle name="R00A" xfId="95" xr:uid="{00000000-0005-0000-0000-000078000000}"/>
    <cellStyle name="R00B" xfId="96" xr:uid="{00000000-0005-0000-0000-000079000000}"/>
    <cellStyle name="R00L" xfId="97" xr:uid="{00000000-0005-0000-0000-00007A000000}"/>
    <cellStyle name="R01A" xfId="98" xr:uid="{00000000-0005-0000-0000-00007B000000}"/>
    <cellStyle name="R01B" xfId="99" xr:uid="{00000000-0005-0000-0000-00007C000000}"/>
    <cellStyle name="R01H" xfId="100" xr:uid="{00000000-0005-0000-0000-00007D000000}"/>
    <cellStyle name="R01L" xfId="101" xr:uid="{00000000-0005-0000-0000-00007E000000}"/>
    <cellStyle name="R02A" xfId="102" xr:uid="{00000000-0005-0000-0000-00007F000000}"/>
    <cellStyle name="R02B" xfId="103" xr:uid="{00000000-0005-0000-0000-000080000000}"/>
    <cellStyle name="R02H" xfId="104" xr:uid="{00000000-0005-0000-0000-000081000000}"/>
    <cellStyle name="R02L" xfId="105" xr:uid="{00000000-0005-0000-0000-000082000000}"/>
    <cellStyle name="R03A" xfId="106" xr:uid="{00000000-0005-0000-0000-000083000000}"/>
    <cellStyle name="R03B" xfId="107" xr:uid="{00000000-0005-0000-0000-000084000000}"/>
    <cellStyle name="R03H" xfId="108" xr:uid="{00000000-0005-0000-0000-000085000000}"/>
    <cellStyle name="R03L" xfId="109" xr:uid="{00000000-0005-0000-0000-000086000000}"/>
    <cellStyle name="R04A" xfId="110" xr:uid="{00000000-0005-0000-0000-000087000000}"/>
    <cellStyle name="R04B" xfId="111" xr:uid="{00000000-0005-0000-0000-000088000000}"/>
    <cellStyle name="R04H" xfId="112" xr:uid="{00000000-0005-0000-0000-000089000000}"/>
    <cellStyle name="R04L" xfId="113" xr:uid="{00000000-0005-0000-0000-00008A000000}"/>
    <cellStyle name="R05A" xfId="114" xr:uid="{00000000-0005-0000-0000-00008B000000}"/>
    <cellStyle name="R05B" xfId="115" xr:uid="{00000000-0005-0000-0000-00008C000000}"/>
    <cellStyle name="R05H" xfId="116" xr:uid="{00000000-0005-0000-0000-00008D000000}"/>
    <cellStyle name="R05L" xfId="117" xr:uid="{00000000-0005-0000-0000-00008E000000}"/>
    <cellStyle name="R05L 2" xfId="197" xr:uid="{C8CE6E8E-171E-4E61-A460-E66B0CB4DA29}"/>
    <cellStyle name="R05L 3" xfId="170" xr:uid="{6FABDB39-4667-4C8F-B524-9BE6C8CA34CC}"/>
    <cellStyle name="R06A" xfId="118" xr:uid="{00000000-0005-0000-0000-00008F000000}"/>
    <cellStyle name="R06B" xfId="119" xr:uid="{00000000-0005-0000-0000-000090000000}"/>
    <cellStyle name="R06H" xfId="120" xr:uid="{00000000-0005-0000-0000-000091000000}"/>
    <cellStyle name="R06L" xfId="121" xr:uid="{00000000-0005-0000-0000-000092000000}"/>
    <cellStyle name="R07A" xfId="122" xr:uid="{00000000-0005-0000-0000-000093000000}"/>
    <cellStyle name="R07B" xfId="123" xr:uid="{00000000-0005-0000-0000-000094000000}"/>
    <cellStyle name="R07H" xfId="124" xr:uid="{00000000-0005-0000-0000-000095000000}"/>
    <cellStyle name="R07L" xfId="125" xr:uid="{00000000-0005-0000-0000-000096000000}"/>
    <cellStyle name="SAPBEXaggData" xfId="180" xr:uid="{21E09D7B-2174-456B-9729-B108F98E344D}"/>
    <cellStyle name="SAPBEXaggData 2" xfId="586" xr:uid="{4C2488A0-B29E-4C88-8ECC-1BFF7C90997B}"/>
    <cellStyle name="SAPBEXaggDataEmph" xfId="354" xr:uid="{27707926-51AE-41A7-BDAE-05B1C70BE31E}"/>
    <cellStyle name="SAPBEXaggDataEmph 2" xfId="591" xr:uid="{AE671060-5649-4618-82A5-2F546BB3FD3D}"/>
    <cellStyle name="SAPBEXaggItem" xfId="355" xr:uid="{4E53BB1E-C4CA-4F7C-BD80-13B251747417}"/>
    <cellStyle name="SAPBEXaggItem 2" xfId="592" xr:uid="{FEC93DA9-5279-43AA-9181-DACB86DBF256}"/>
    <cellStyle name="SAPBEXaggItemX" xfId="356" xr:uid="{7F694FFE-60F8-435E-A27B-B27094874E28}"/>
    <cellStyle name="SAPBEXaggItemX 2" xfId="593" xr:uid="{539DF2D9-2D33-45B9-ADDD-44FFCF8C1968}"/>
    <cellStyle name="SAPBEXaggItemX 2 2" xfId="629" xr:uid="{3E771B40-2AF8-4E68-9E2F-80901D7FC7BC}"/>
    <cellStyle name="SAPBEXchaText" xfId="357" xr:uid="{63F7FFB5-0A95-457A-880A-58CD04AF427A}"/>
    <cellStyle name="SAPBEXchaText 2" xfId="594" xr:uid="{D4FCCFB5-978A-487E-AFE4-2CEFC2CC481F}"/>
    <cellStyle name="SAPBEXexcBad7" xfId="358" xr:uid="{E7E0A222-7A53-4D1C-B375-A443F2579C59}"/>
    <cellStyle name="SAPBEXexcBad7 2" xfId="595" xr:uid="{8C1C6D90-533C-4C2F-A1F1-EAAE56687561}"/>
    <cellStyle name="SAPBEXexcBad8" xfId="359" xr:uid="{BB830379-B253-42BE-8A07-98BF6BCEC5DC}"/>
    <cellStyle name="SAPBEXexcBad8 2" xfId="596" xr:uid="{9135EC35-506E-4664-B547-84CCEA22C224}"/>
    <cellStyle name="SAPBEXexcBad9" xfId="360" xr:uid="{1604F905-7396-4D70-A338-4BC75C469AE1}"/>
    <cellStyle name="SAPBEXexcBad9 2" xfId="597" xr:uid="{E27B858F-424A-44A4-BC0F-71A478D6B2CF}"/>
    <cellStyle name="SAPBEXexcBad9 2 2" xfId="630" xr:uid="{6BFF8BF4-47F2-4C0F-8445-B32D546B2F3F}"/>
    <cellStyle name="SAPBEXexcCritical4" xfId="361" xr:uid="{49811437-0C1B-41B7-BCA6-97C0C9CDDE54}"/>
    <cellStyle name="SAPBEXexcCritical4 2" xfId="598" xr:uid="{96D0665A-1534-4216-B685-8EA92B46985B}"/>
    <cellStyle name="SAPBEXexcCritical5" xfId="362" xr:uid="{63C44956-5B23-453F-BB7B-E9E283B1DF45}"/>
    <cellStyle name="SAPBEXexcCritical5 2" xfId="599" xr:uid="{CFA6D34F-2F64-4EB1-A406-0279268F695D}"/>
    <cellStyle name="SAPBEXexcCritical6" xfId="363" xr:uid="{B1778784-7D36-4069-8F04-6F771C3C3BEA}"/>
    <cellStyle name="SAPBEXexcCritical6 2" xfId="600" xr:uid="{F60114E1-A0B1-49EA-9C41-C579B84A1ED9}"/>
    <cellStyle name="SAPBEXexcGood1" xfId="364" xr:uid="{D2C9B375-3A68-4731-B501-4F6E904446E8}"/>
    <cellStyle name="SAPBEXexcGood1 2" xfId="601" xr:uid="{E6956C90-65E6-48BA-8629-28A56D13271B}"/>
    <cellStyle name="SAPBEXexcGood2" xfId="365" xr:uid="{FCD2D11F-4248-4898-BD6A-7E65CD29CFA5}"/>
    <cellStyle name="SAPBEXexcGood2 2" xfId="602" xr:uid="{003C8808-7E06-4872-9ACB-13DCE6B01D5F}"/>
    <cellStyle name="SAPBEXexcGood3" xfId="366" xr:uid="{755AD795-C87B-4916-90C9-4077EBAC0384}"/>
    <cellStyle name="SAPBEXexcGood3 2" xfId="603" xr:uid="{B5C0637D-CAF5-4757-9989-48FA2800071F}"/>
    <cellStyle name="SAPBEXfilterDrill" xfId="367" xr:uid="{D1863F55-CA49-4E2C-A09D-34E714C423B3}"/>
    <cellStyle name="SAPBEXfilterDrill 2" xfId="604" xr:uid="{7AE16A94-90C8-45D4-BBAB-E307946B999F}"/>
    <cellStyle name="SAPBEXfilterDrill 2 2" xfId="631" xr:uid="{52279280-516E-4676-A3E3-9EE9859163F0}"/>
    <cellStyle name="SAPBEXfilterItem" xfId="368" xr:uid="{BD64AAC9-AD16-488B-946B-800571B5A13E}"/>
    <cellStyle name="SAPBEXfilterItem 2" xfId="605" xr:uid="{B7A65AA1-390F-402D-9638-450F53165809}"/>
    <cellStyle name="SAPBEXfilterItem 2 2" xfId="632" xr:uid="{53351DFB-58E1-421B-B654-7D5BF0CA55F5}"/>
    <cellStyle name="SAPBEXfilterText" xfId="369" xr:uid="{D0DC406F-D171-4FB8-AE17-876C68BE058A}"/>
    <cellStyle name="SAPBEXfilterText 2" xfId="606" xr:uid="{BA9810D8-A695-4270-819E-364C56DEB96E}"/>
    <cellStyle name="SAPBEXfilterText 2 2" xfId="633" xr:uid="{A1D1B724-47DC-4CEE-A773-CFE34E7AB961}"/>
    <cellStyle name="SAPBEXformats" xfId="370" xr:uid="{140CA5CE-5B19-4056-9F70-5543EDA11049}"/>
    <cellStyle name="SAPBEXformats 2" xfId="607" xr:uid="{1F1B3F68-C8F4-4076-8110-83869D1036FA}"/>
    <cellStyle name="SAPBEXheaderItem" xfId="371" xr:uid="{CDB6C4AD-A7E2-4597-8F35-85FA2FCDAE37}"/>
    <cellStyle name="SAPBEXheaderItem 2" xfId="608" xr:uid="{5E37B626-E211-47BE-A675-4899D26457DB}"/>
    <cellStyle name="SAPBEXheaderItem 2 2" xfId="634" xr:uid="{F95A9A4E-2C12-459C-870D-E619FB05CD3C}"/>
    <cellStyle name="SAPBEXheaderText" xfId="372" xr:uid="{5D46B9EB-5C48-474A-BA5C-7DFF6B39225A}"/>
    <cellStyle name="SAPBEXheaderText 2" xfId="609" xr:uid="{90E84592-A11F-460E-B5BB-4D96F36D6E79}"/>
    <cellStyle name="SAPBEXheaderText 2 2" xfId="635" xr:uid="{8AA8E854-EF76-468F-99A7-CCED0A34CDDF}"/>
    <cellStyle name="SAPBEXHLevel0" xfId="373" xr:uid="{02A57668-C648-46C1-B17E-28C7DD4512A0}"/>
    <cellStyle name="SAPBEXHLevel0 2" xfId="610" xr:uid="{BA38F016-4E3E-4AE1-9E0C-525F39911B7C}"/>
    <cellStyle name="SAPBEXHLevel0X" xfId="374" xr:uid="{026EE55F-6CEA-4393-82A5-F0AA230151B8}"/>
    <cellStyle name="SAPBEXHLevel0X 2" xfId="611" xr:uid="{B46DE30A-0342-41C2-AB19-6570C608E144}"/>
    <cellStyle name="SAPBEXHLevel0X 2 2" xfId="636" xr:uid="{B0BB3398-2E8B-4D6B-BB0F-AD79F94D440F}"/>
    <cellStyle name="SAPBEXHLevel1" xfId="375" xr:uid="{B841A0B5-D5CE-424D-AF78-23C4DAE44649}"/>
    <cellStyle name="SAPBEXHLevel1 2" xfId="612" xr:uid="{6B5239A6-7853-479E-9D52-32AEF65E4F55}"/>
    <cellStyle name="SAPBEXHLevel1X" xfId="376" xr:uid="{9FE6F16B-68B5-489B-9471-83EF63D414FC}"/>
    <cellStyle name="SAPBEXHLevel1X 2" xfId="613" xr:uid="{9D7E03CC-0F4D-47FC-B1C5-BE0F81BAD0E4}"/>
    <cellStyle name="SAPBEXHLevel1X 2 2" xfId="637" xr:uid="{F21D7467-534B-40F8-9117-EB046E5AD459}"/>
    <cellStyle name="SAPBEXHLevel2" xfId="377" xr:uid="{8370D745-CD53-4BCB-9F26-83642654D8EE}"/>
    <cellStyle name="SAPBEXHLevel2 2" xfId="614" xr:uid="{585C4BBB-206A-42F4-8F03-BE8EB5BD392A}"/>
    <cellStyle name="SAPBEXHLevel2X" xfId="378" xr:uid="{92AFDA84-AEDE-4CCD-9DB2-F2011227D8B6}"/>
    <cellStyle name="SAPBEXHLevel2X 2" xfId="615" xr:uid="{2042A004-581C-4BF1-BE96-E9FF3FBB5452}"/>
    <cellStyle name="SAPBEXHLevel2X 2 2" xfId="638" xr:uid="{62711685-EB2D-43C3-AAE3-4E2022F3AFE4}"/>
    <cellStyle name="SAPBEXHLevel3" xfId="379" xr:uid="{E26464F2-4F98-4489-A5F3-A83646421A79}"/>
    <cellStyle name="SAPBEXHLevel3 2" xfId="616" xr:uid="{D903A36B-CFF9-458D-A206-839374E8C8AF}"/>
    <cellStyle name="SAPBEXHLevel3X" xfId="380" xr:uid="{7B2CF134-B8AE-4BF5-AB64-61335D6738C3}"/>
    <cellStyle name="SAPBEXHLevel3X 2" xfId="617" xr:uid="{07B7B6EF-2422-4302-A716-5D48354485F3}"/>
    <cellStyle name="SAPBEXHLevel3X 2 2" xfId="639" xr:uid="{96DC60FF-475D-490E-81F5-E87F36D262B3}"/>
    <cellStyle name="SAPBEXinputData" xfId="381" xr:uid="{266CF7FB-4CFF-4F77-9705-A97D129166BD}"/>
    <cellStyle name="SAPBEXItemHeader" xfId="382" xr:uid="{52C758EE-A4A2-40C0-BD1E-0F7FBD663C00}"/>
    <cellStyle name="SAPBEXItemHeader 2" xfId="618" xr:uid="{44569AA5-15DD-4971-B256-C7E247307024}"/>
    <cellStyle name="SAPBEXItemHeader 2 2" xfId="640" xr:uid="{1CBCCEEE-27DD-4244-B7F1-637CD2A7FC85}"/>
    <cellStyle name="SAPBEXresData" xfId="383" xr:uid="{65E18836-6FD8-43FA-B6EC-B002E2E64033}"/>
    <cellStyle name="SAPBEXresData 2" xfId="619" xr:uid="{67BB3B0C-9793-4FEC-AC21-D251306C7624}"/>
    <cellStyle name="SAPBEXresData 2 2" xfId="641" xr:uid="{58E2FD3E-CED8-4333-87CA-F7422B804621}"/>
    <cellStyle name="SAPBEXresDataEmph" xfId="384" xr:uid="{2BA1A5F1-B25A-4031-996F-838AF210E12E}"/>
    <cellStyle name="SAPBEXresItem" xfId="385" xr:uid="{940C4289-4E5F-4273-B99B-10C8A1253EAE}"/>
    <cellStyle name="SAPBEXresItem 2" xfId="620" xr:uid="{059B0F4A-F44B-40B2-BE85-7CBD24EC951F}"/>
    <cellStyle name="SAPBEXresItem 2 2" xfId="642" xr:uid="{FFE70D1A-FFB6-478C-9041-AD25EA6AAA12}"/>
    <cellStyle name="SAPBEXresItemX" xfId="386" xr:uid="{511B5B02-1914-4EBA-922C-17392ED1BE88}"/>
    <cellStyle name="SAPBEXresItemX 2" xfId="621" xr:uid="{8053ECDB-0274-4A1D-8212-25B83EFE5223}"/>
    <cellStyle name="SAPBEXresItemX 2 2" xfId="643" xr:uid="{D6D38D58-9D51-4A6E-8BE4-A5EF434A4283}"/>
    <cellStyle name="SAPBEXstdData" xfId="178" xr:uid="{89634F38-49E2-42F6-980F-E8EB9F30B365}"/>
    <cellStyle name="SAPBEXstdData 2" xfId="584" xr:uid="{1898FD08-6A27-4AE0-930B-D7665D63BB6A}"/>
    <cellStyle name="SAPBEXstdDataEmph" xfId="388" xr:uid="{9C122845-F496-4305-86C4-8A3ED076724F}"/>
    <cellStyle name="SAPBEXstdDataEmph 2" xfId="622" xr:uid="{41B2D36B-6B42-417D-BF6D-B3A19FE72033}"/>
    <cellStyle name="SAPBEXstdItem" xfId="179" xr:uid="{9EDD308D-04E9-44D4-966F-599043930442}"/>
    <cellStyle name="SAPBEXstdItem 2" xfId="585" xr:uid="{89A7677A-5630-4A5F-8929-D8E25A1D61BF}"/>
    <cellStyle name="SAPBEXstdItemX" xfId="390" xr:uid="{9AD59E24-C316-4431-89B6-3058DABA6BE1}"/>
    <cellStyle name="SAPBEXstdItemX 2" xfId="623" xr:uid="{0B79E3CA-A4A4-4F77-95A2-DCF7C48E9471}"/>
    <cellStyle name="SAPBEXstdItemX 2 2" xfId="644" xr:uid="{D70F848E-3F43-44D5-A4AB-444A8FD8079D}"/>
    <cellStyle name="SAPBEXtitle" xfId="391" xr:uid="{5B9B1718-51C6-4099-AD2B-FB5E858F93A8}"/>
    <cellStyle name="SAPBEXtitle 2" xfId="624" xr:uid="{80DAAF64-7584-445F-AF70-B3776D13BDFE}"/>
    <cellStyle name="SAPBEXtitle 2 2" xfId="645" xr:uid="{66BF96B9-14DB-410A-A890-08736F1B777A}"/>
    <cellStyle name="SAPBEXunassignedItem" xfId="392" xr:uid="{854EDD9A-211D-46E3-80CE-953BD4705E0E}"/>
    <cellStyle name="SAPBEXundefined" xfId="393" xr:uid="{620441C7-536F-4F3D-AC4A-AB84D8CC6DEB}"/>
    <cellStyle name="SAPBEXundefined 2" xfId="625" xr:uid="{F06EA65C-E3E5-4266-910F-FA33A685ADCA}"/>
    <cellStyle name="Sheet Title" xfId="394" xr:uid="{E2ED7BA5-250F-4142-9327-1950705FED07}"/>
    <cellStyle name="Title" xfId="126" builtinId="15" customBuiltin="1"/>
    <cellStyle name="Title 2" xfId="209" xr:uid="{7F616E67-2869-4EFE-9F4D-28B3CDFEBC49}"/>
    <cellStyle name="Total" xfId="127" builtinId="25" customBuiltin="1"/>
    <cellStyle name="Total 2" xfId="225" xr:uid="{FEB3653D-D299-4590-8828-9A647F04A034}"/>
    <cellStyle name="Total 2 2" xfId="626" xr:uid="{35E3C1A4-A047-4679-B445-9CFEBD402085}"/>
    <cellStyle name="Total 2 2 2" xfId="646" xr:uid="{DD00BF5D-F882-4510-94E8-87CA28DF30EE}"/>
    <cellStyle name="Total 2 3" xfId="395" xr:uid="{EBCDA7E6-0685-44E9-B42C-F689ADC9D666}"/>
    <cellStyle name="Total 3" xfId="300" xr:uid="{4FB73C16-92F1-4FE1-96BA-61495F63ACF0}"/>
    <cellStyle name="Warning Text" xfId="128" builtinId="11" customBuiltin="1"/>
    <cellStyle name="Warning Text 2" xfId="222" xr:uid="{CC3796A4-2A1C-4CFA-AEBF-C06032AAA8CD}"/>
    <cellStyle name="Warning Text 2 2" xfId="396" xr:uid="{77148636-564C-4705-843D-91E10203A85B}"/>
    <cellStyle name="Warning Text 3" xfId="298" xr:uid="{E3C7C0F9-3206-44CE-9891-06B675A91C56}"/>
  </cellStyles>
  <dxfs count="2">
    <dxf>
      <fill>
        <patternFill>
          <bgColor rgb="FFFF9999"/>
        </patternFill>
      </fill>
    </dxf>
    <dxf>
      <fill>
        <patternFill>
          <bgColor rgb="FFFF9999"/>
        </patternFill>
      </fill>
    </dxf>
  </dxfs>
  <tableStyles count="1" defaultTableStyle="TableStyleMedium2" defaultPivotStyle="PivotStyleLight16">
    <tableStyle name="Invisible" pivot="0" table="0" count="0" xr9:uid="{A772DACA-7201-417E-8346-377E2A2C8E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network.com\Data\2002\TRANS\2001\SUPPORT-PACKAGES\DPLG-APRIL2001-TRANSCHEC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orking\Annual%20Update%20-%202013\2013%20Annual%20Update%20201304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ing\Annual%20Update%20-%202013\Data\Capital%20projection%20201304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enetwork.com\Data\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7.3398818350960335E-2</v>
          </cell>
        </row>
        <row r="29">
          <cell r="H29">
            <v>0.20421179118054886</v>
          </cell>
        </row>
        <row r="32">
          <cell r="H32">
            <v>0.24176082444075614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22657380.059999999</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-20999.920000000002</v>
          </cell>
          <cell r="AC133">
            <v>66350.159999999989</v>
          </cell>
          <cell r="AD133">
            <v>827519.35000000009</v>
          </cell>
          <cell r="AE133">
            <v>10000</v>
          </cell>
          <cell r="AF133">
            <v>10000</v>
          </cell>
          <cell r="AG133">
            <v>10000</v>
          </cell>
          <cell r="AH133">
            <v>30000</v>
          </cell>
          <cell r="AI133">
            <v>10000</v>
          </cell>
          <cell r="AJ133">
            <v>10000</v>
          </cell>
          <cell r="AK133">
            <v>10000</v>
          </cell>
          <cell r="AL133">
            <v>10000</v>
          </cell>
          <cell r="AM133">
            <v>10000</v>
          </cell>
        </row>
        <row r="134">
          <cell r="AB134">
            <v>-390.07000000000016</v>
          </cell>
          <cell r="AC134">
            <v>0</v>
          </cell>
          <cell r="AD134">
            <v>0</v>
          </cell>
          <cell r="AE134">
            <v>0</v>
          </cell>
          <cell r="AF134">
            <v>345596138.16000003</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-37897.029999998893</v>
          </cell>
          <cell r="AC137">
            <v>119152.57000000028</v>
          </cell>
          <cell r="AD137">
            <v>1511930.7099999997</v>
          </cell>
          <cell r="AE137">
            <v>0</v>
          </cell>
          <cell r="AF137">
            <v>5349832.6900000004</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3992288.5300000007</v>
          </cell>
          <cell r="AC140">
            <v>7625573.330000001</v>
          </cell>
          <cell r="AD140">
            <v>5693982.3799999999</v>
          </cell>
          <cell r="AE140">
            <v>10184079.280000003</v>
          </cell>
          <cell r="AF140">
            <v>16641004.163303988</v>
          </cell>
          <cell r="AG140">
            <v>37416529.201457046</v>
          </cell>
          <cell r="AH140">
            <v>7905111.2525474746</v>
          </cell>
          <cell r="AI140">
            <v>8893021.5248183459</v>
          </cell>
          <cell r="AJ140">
            <v>13926173.173849482</v>
          </cell>
          <cell r="AK140">
            <v>22098349.088597469</v>
          </cell>
          <cell r="AL140">
            <v>14469713.982168067</v>
          </cell>
          <cell r="AM140">
            <v>9599588.802168062</v>
          </cell>
        </row>
        <row r="141">
          <cell r="AB141">
            <v>3933001.5100000016</v>
          </cell>
          <cell r="AC141">
            <v>7811076.0600000015</v>
          </cell>
          <cell r="AD141">
            <v>8223729.129999999</v>
          </cell>
          <cell r="AE141">
            <v>10003782.590000004</v>
          </cell>
          <cell r="AF141">
            <v>369596975.013304</v>
          </cell>
          <cell r="AG141">
            <v>48683475.201457046</v>
          </cell>
          <cell r="AH141">
            <v>10085858.252547475</v>
          </cell>
          <cell r="AI141">
            <v>10366579.524818346</v>
          </cell>
          <cell r="AJ141">
            <v>15085660.173849482</v>
          </cell>
          <cell r="AK141">
            <v>23030100.088597469</v>
          </cell>
          <cell r="AL141">
            <v>14953113.982168067</v>
          </cell>
          <cell r="AM141">
            <v>9714924.802168062</v>
          </cell>
        </row>
      </sheetData>
      <sheetData sheetId="2">
        <row r="5">
          <cell r="C5">
            <v>3933001.5100000016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U368"/>
  <sheetViews>
    <sheetView tabSelected="1" view="pageBreakPreview" zoomScale="80" zoomScaleNormal="100" zoomScaleSheetLayoutView="80" workbookViewId="0"/>
  </sheetViews>
  <sheetFormatPr defaultColWidth="8.84375" defaultRowHeight="15.5"/>
  <cols>
    <col min="1" max="1" width="5.84375" style="503" bestFit="1" customWidth="1"/>
    <col min="2" max="2" width="44.4609375" style="503" customWidth="1"/>
    <col min="3" max="3" width="46.53515625" style="503" customWidth="1"/>
    <col min="4" max="4" width="23.53515625" style="503" bestFit="1" customWidth="1"/>
    <col min="5" max="5" width="10.3046875" style="503" customWidth="1"/>
    <col min="6" max="6" width="21.23046875" style="503" bestFit="1" customWidth="1"/>
    <col min="7" max="7" width="13" style="503" bestFit="1" customWidth="1"/>
    <col min="8" max="8" width="4.07421875" style="503" customWidth="1"/>
    <col min="9" max="9" width="18.07421875" style="503" customWidth="1"/>
    <col min="10" max="10" width="15.69140625" style="503" customWidth="1"/>
    <col min="11" max="11" width="16.07421875" style="503" customWidth="1"/>
    <col min="12" max="12" width="15.53515625" style="613" customWidth="1"/>
    <col min="13" max="13" width="10.84375" style="503" customWidth="1"/>
    <col min="14" max="14" width="10.4609375" style="503" customWidth="1"/>
    <col min="15" max="15" width="10.53515625" style="503" customWidth="1"/>
    <col min="16" max="16384" width="8.84375" style="503"/>
  </cols>
  <sheetData>
    <row r="1" spans="1:14" ht="16.5" customHeight="1">
      <c r="B1" s="504"/>
      <c r="C1" s="504"/>
      <c r="D1" s="505"/>
      <c r="E1" s="504"/>
      <c r="F1" s="504"/>
      <c r="G1" s="504"/>
      <c r="H1" s="504"/>
      <c r="I1" s="504"/>
      <c r="K1" s="3" t="s">
        <v>939</v>
      </c>
      <c r="L1" s="504"/>
      <c r="M1" s="504"/>
      <c r="N1" s="504"/>
    </row>
    <row r="2" spans="1:14" ht="16.5" customHeight="1">
      <c r="B2" s="504"/>
      <c r="C2" s="504"/>
      <c r="D2" s="505"/>
      <c r="E2" s="504"/>
      <c r="F2" s="504"/>
      <c r="G2" s="504"/>
      <c r="H2" s="504"/>
      <c r="I2" s="504"/>
      <c r="J2" s="504"/>
      <c r="K2" s="506" t="s">
        <v>0</v>
      </c>
      <c r="L2" s="504"/>
      <c r="M2" s="504"/>
      <c r="N2" s="504"/>
    </row>
    <row r="3" spans="1:14" ht="16.5" customHeight="1">
      <c r="B3" s="504"/>
      <c r="C3" s="504"/>
      <c r="D3" s="505"/>
      <c r="E3" s="504"/>
      <c r="F3" s="504"/>
      <c r="G3" s="504"/>
      <c r="H3" s="504"/>
      <c r="I3" s="504"/>
      <c r="J3" s="504"/>
      <c r="K3" s="504"/>
      <c r="L3" s="504"/>
      <c r="M3" s="504"/>
      <c r="N3" s="504"/>
    </row>
    <row r="4" spans="1:14">
      <c r="B4" s="504" t="s">
        <v>1</v>
      </c>
      <c r="C4" s="504"/>
      <c r="D4" s="505" t="s">
        <v>2</v>
      </c>
      <c r="E4" s="504"/>
      <c r="F4" s="504"/>
      <c r="G4" s="504"/>
      <c r="H4" s="507"/>
      <c r="I4" s="508"/>
      <c r="J4" s="507"/>
      <c r="K4" s="32" t="s">
        <v>1390</v>
      </c>
      <c r="L4" s="504"/>
      <c r="M4" s="504"/>
      <c r="N4" s="504"/>
    </row>
    <row r="5" spans="1:14">
      <c r="B5" s="504"/>
      <c r="C5" s="509"/>
      <c r="D5" s="509" t="s">
        <v>4</v>
      </c>
      <c r="E5" s="509"/>
      <c r="F5" s="509"/>
      <c r="G5" s="509"/>
      <c r="H5" s="504"/>
      <c r="I5" s="504"/>
      <c r="J5" s="504"/>
      <c r="K5" s="504"/>
      <c r="L5" s="504"/>
      <c r="M5" s="504"/>
      <c r="N5" s="504"/>
    </row>
    <row r="6" spans="1:14">
      <c r="B6" s="504"/>
      <c r="C6" s="504"/>
      <c r="D6" s="504"/>
      <c r="E6" s="504"/>
      <c r="F6" s="504"/>
      <c r="G6" s="504"/>
      <c r="H6" s="504"/>
      <c r="I6" s="504"/>
      <c r="J6" s="504"/>
      <c r="K6" s="504"/>
      <c r="L6" s="504"/>
      <c r="M6" s="504"/>
      <c r="N6" s="504"/>
    </row>
    <row r="7" spans="1:14">
      <c r="A7" s="510"/>
      <c r="B7" s="504"/>
      <c r="C7" s="504"/>
      <c r="D7" s="785" t="s">
        <v>964</v>
      </c>
      <c r="E7" s="504"/>
      <c r="F7" s="504"/>
      <c r="G7" s="504"/>
      <c r="H7" s="504"/>
      <c r="I7" s="504"/>
      <c r="J7" s="504"/>
      <c r="K7" s="504"/>
      <c r="L7" s="504"/>
      <c r="M7" s="504"/>
      <c r="N7" s="504"/>
    </row>
    <row r="8" spans="1:14">
      <c r="A8" s="510"/>
      <c r="B8" s="510" t="s">
        <v>18</v>
      </c>
      <c r="C8" s="510" t="s">
        <v>19</v>
      </c>
      <c r="D8" s="510" t="s">
        <v>20</v>
      </c>
      <c r="E8" s="509" t="s">
        <v>3</v>
      </c>
      <c r="F8" s="509"/>
      <c r="G8" s="512" t="s">
        <v>21</v>
      </c>
      <c r="H8" s="509"/>
      <c r="I8" s="513" t="s">
        <v>22</v>
      </c>
      <c r="J8" s="504"/>
      <c r="K8" s="504"/>
      <c r="L8" s="504"/>
      <c r="M8" s="504"/>
      <c r="N8" s="504"/>
    </row>
    <row r="9" spans="1:14">
      <c r="A9" s="510" t="s">
        <v>5</v>
      </c>
      <c r="B9" s="504"/>
      <c r="C9" s="504"/>
      <c r="D9" s="511"/>
      <c r="E9" s="504"/>
      <c r="F9" s="504"/>
      <c r="G9" s="504"/>
      <c r="H9" s="504"/>
      <c r="I9" s="510" t="s">
        <v>6</v>
      </c>
      <c r="J9" s="504"/>
      <c r="K9" s="504"/>
      <c r="L9" s="504"/>
      <c r="M9" s="504"/>
      <c r="N9" s="504"/>
    </row>
    <row r="10" spans="1:14" ht="16" thickBot="1">
      <c r="A10" s="514" t="s">
        <v>7</v>
      </c>
      <c r="B10" s="504"/>
      <c r="C10" s="504"/>
      <c r="D10" s="504"/>
      <c r="E10" s="504"/>
      <c r="F10" s="504"/>
      <c r="G10" s="510"/>
      <c r="H10" s="504"/>
      <c r="I10" s="514" t="s">
        <v>8</v>
      </c>
      <c r="J10" s="504"/>
      <c r="K10" s="506"/>
      <c r="L10" s="504"/>
      <c r="M10" s="504"/>
      <c r="N10" s="504"/>
    </row>
    <row r="11" spans="1:14">
      <c r="A11" s="510">
        <v>1</v>
      </c>
      <c r="B11" s="2" t="s">
        <v>1084</v>
      </c>
      <c r="C11" s="504"/>
      <c r="D11" s="509"/>
      <c r="E11" s="504"/>
      <c r="F11" s="504"/>
      <c r="G11" s="504"/>
      <c r="H11" s="504"/>
      <c r="I11" s="515">
        <f>I167</f>
        <v>81354387.096576184</v>
      </c>
      <c r="J11" s="516"/>
      <c r="K11" s="828"/>
      <c r="L11" s="504"/>
      <c r="M11" s="504"/>
      <c r="N11" s="504"/>
    </row>
    <row r="12" spans="1:14">
      <c r="A12" s="510"/>
      <c r="B12" s="504"/>
      <c r="C12" s="504"/>
      <c r="D12" s="504"/>
      <c r="E12" s="504"/>
      <c r="F12" s="504"/>
      <c r="G12" s="517"/>
      <c r="H12" s="504"/>
      <c r="I12" s="509"/>
      <c r="J12" s="516"/>
      <c r="K12" s="828"/>
      <c r="L12" s="504"/>
      <c r="M12" s="504"/>
      <c r="N12" s="504"/>
    </row>
    <row r="13" spans="1:14" ht="16" thickBot="1">
      <c r="A13" s="510" t="s">
        <v>3</v>
      </c>
      <c r="B13" s="504" t="s">
        <v>95</v>
      </c>
      <c r="C13" s="647" t="s">
        <v>1095</v>
      </c>
      <c r="D13" s="514" t="s">
        <v>9</v>
      </c>
      <c r="E13" s="509"/>
      <c r="F13" s="888" t="s">
        <v>10</v>
      </c>
      <c r="G13" s="519"/>
      <c r="H13" s="504"/>
      <c r="I13" s="509"/>
      <c r="J13" s="516"/>
      <c r="K13" s="828"/>
      <c r="L13" s="504"/>
      <c r="M13" s="504"/>
      <c r="N13" s="504"/>
    </row>
    <row r="14" spans="1:14">
      <c r="A14" s="510">
        <v>2</v>
      </c>
      <c r="B14" s="504" t="s">
        <v>421</v>
      </c>
      <c r="C14" s="647" t="s">
        <v>857</v>
      </c>
      <c r="D14" s="520">
        <f>I257</f>
        <v>0</v>
      </c>
      <c r="E14" s="509"/>
      <c r="F14" s="647" t="s">
        <v>12</v>
      </c>
      <c r="G14" s="521">
        <f>I196</f>
        <v>0.97009895452119421</v>
      </c>
      <c r="H14" s="504"/>
      <c r="I14" s="522">
        <f t="shared" ref="I14:I18" si="0">+G14*D14</f>
        <v>0</v>
      </c>
      <c r="J14" s="516"/>
      <c r="K14" s="828"/>
      <c r="L14" s="504"/>
      <c r="M14" s="504"/>
      <c r="N14" s="504"/>
    </row>
    <row r="15" spans="1:14">
      <c r="A15" s="510">
        <v>3</v>
      </c>
      <c r="B15" s="504" t="s">
        <v>11</v>
      </c>
      <c r="C15" s="647" t="s">
        <v>858</v>
      </c>
      <c r="D15" s="523">
        <f>I259</f>
        <v>163006.54639248719</v>
      </c>
      <c r="E15" s="509"/>
      <c r="F15" s="509" t="s">
        <v>12</v>
      </c>
      <c r="G15" s="521">
        <f>I196</f>
        <v>0.97009895452119421</v>
      </c>
      <c r="H15" s="509"/>
      <c r="I15" s="522">
        <f t="shared" si="0"/>
        <v>158132.48023546237</v>
      </c>
      <c r="J15" s="522"/>
      <c r="K15" s="828"/>
      <c r="L15" s="504"/>
      <c r="M15" s="504"/>
      <c r="N15" s="504"/>
    </row>
    <row r="16" spans="1:14">
      <c r="A16" s="510">
        <v>4</v>
      </c>
      <c r="B16" s="504" t="s">
        <v>456</v>
      </c>
      <c r="C16" s="647" t="s">
        <v>859</v>
      </c>
      <c r="D16" s="523">
        <f>I261</f>
        <v>784900</v>
      </c>
      <c r="E16" s="509"/>
      <c r="F16" s="647" t="s">
        <v>12</v>
      </c>
      <c r="G16" s="521">
        <f>I196</f>
        <v>0.97009895452119421</v>
      </c>
      <c r="H16" s="509"/>
      <c r="I16" s="522">
        <f t="shared" si="0"/>
        <v>761430.66940368537</v>
      </c>
      <c r="J16" s="516"/>
      <c r="K16" s="828"/>
      <c r="L16" s="504"/>
      <c r="M16" s="504"/>
      <c r="N16" s="504"/>
    </row>
    <row r="17" spans="1:14">
      <c r="A17" s="510">
        <v>5</v>
      </c>
      <c r="B17" s="2" t="s">
        <v>1089</v>
      </c>
      <c r="C17" s="647" t="s">
        <v>1044</v>
      </c>
      <c r="D17" s="523">
        <f>I265</f>
        <v>0</v>
      </c>
      <c r="E17" s="509"/>
      <c r="F17" s="647" t="s">
        <v>12</v>
      </c>
      <c r="G17" s="521">
        <f>I196</f>
        <v>0.97009895452119421</v>
      </c>
      <c r="H17" s="509"/>
      <c r="I17" s="522">
        <f t="shared" si="0"/>
        <v>0</v>
      </c>
      <c r="J17" s="522"/>
      <c r="K17" s="828"/>
      <c r="L17" s="504"/>
      <c r="M17" s="504"/>
      <c r="N17" s="504"/>
    </row>
    <row r="18" spans="1:14">
      <c r="A18" s="510">
        <v>6</v>
      </c>
      <c r="B18" s="2" t="s">
        <v>1090</v>
      </c>
      <c r="C18" s="647" t="s">
        <v>1045</v>
      </c>
      <c r="D18" s="523">
        <f>I267</f>
        <v>0</v>
      </c>
      <c r="E18" s="509"/>
      <c r="F18" s="647" t="s">
        <v>299</v>
      </c>
      <c r="G18" s="521">
        <v>1</v>
      </c>
      <c r="H18" s="509"/>
      <c r="I18" s="522">
        <f t="shared" si="0"/>
        <v>0</v>
      </c>
      <c r="J18" s="522"/>
      <c r="K18" s="828"/>
      <c r="L18" s="504"/>
      <c r="M18" s="504"/>
      <c r="N18" s="504"/>
    </row>
    <row r="19" spans="1:14">
      <c r="A19" s="510">
        <v>7</v>
      </c>
      <c r="B19" s="509" t="s">
        <v>444</v>
      </c>
      <c r="C19" s="647" t="s">
        <v>768</v>
      </c>
      <c r="D19" s="645">
        <f>'Attachment 11 - TEC'!O77</f>
        <v>327047.15865203779</v>
      </c>
      <c r="E19" s="509"/>
      <c r="F19" s="647" t="s">
        <v>299</v>
      </c>
      <c r="G19" s="521">
        <v>1</v>
      </c>
      <c r="H19" s="509"/>
      <c r="I19" s="884">
        <f>D19*G19</f>
        <v>327047.15865203779</v>
      </c>
      <c r="J19" s="516"/>
      <c r="K19" s="828"/>
      <c r="L19" s="509"/>
      <c r="N19" s="504"/>
    </row>
    <row r="20" spans="1:14">
      <c r="A20" s="510">
        <v>8</v>
      </c>
      <c r="B20" s="2" t="s">
        <v>1085</v>
      </c>
      <c r="C20" s="504"/>
      <c r="D20" s="882">
        <f>SUM(D14:D19)</f>
        <v>1274953.705044525</v>
      </c>
      <c r="E20" s="509"/>
      <c r="F20" s="509"/>
      <c r="G20" s="521"/>
      <c r="H20" s="509"/>
      <c r="I20" s="883">
        <f>SUM(I14:I19)</f>
        <v>1246610.3082911856</v>
      </c>
      <c r="J20" s="522"/>
      <c r="K20" s="828"/>
      <c r="L20" s="504"/>
      <c r="N20" s="504"/>
    </row>
    <row r="21" spans="1:14">
      <c r="A21" s="510"/>
      <c r="B21" s="504"/>
      <c r="C21" s="504"/>
      <c r="D21" s="525"/>
      <c r="E21" s="509"/>
      <c r="F21" s="509"/>
      <c r="G21" s="521"/>
      <c r="H21" s="509"/>
      <c r="I21" s="526"/>
      <c r="J21" s="504"/>
      <c r="K21" s="518"/>
      <c r="L21" s="3"/>
      <c r="N21" s="504"/>
    </row>
    <row r="22" spans="1:14">
      <c r="A22" s="510">
        <v>9</v>
      </c>
      <c r="B22" s="1007" t="s">
        <v>437</v>
      </c>
      <c r="C22" s="2" t="s">
        <v>1168</v>
      </c>
      <c r="D22" s="527"/>
      <c r="E22" s="509"/>
      <c r="F22" s="509"/>
      <c r="G22" s="521"/>
      <c r="H22" s="509"/>
      <c r="I22" s="528">
        <f>-'Attachment 13 - NITS True-Up'!G74</f>
        <v>9783304.9960441049</v>
      </c>
      <c r="J22" s="504"/>
      <c r="K22" s="515"/>
      <c r="L22" s="504"/>
      <c r="N22" s="504"/>
    </row>
    <row r="23" spans="1:14" ht="15.75" customHeight="1">
      <c r="A23" s="510">
        <v>10</v>
      </c>
      <c r="B23" s="504" t="s">
        <v>436</v>
      </c>
      <c r="C23" s="2" t="s">
        <v>1083</v>
      </c>
      <c r="D23" s="529"/>
      <c r="E23" s="509"/>
      <c r="F23" s="509"/>
      <c r="G23" s="509"/>
      <c r="H23" s="509"/>
      <c r="I23" s="881">
        <f>I11-I20+I22</f>
        <v>89891081.784329101</v>
      </c>
      <c r="J23" s="1066"/>
      <c r="K23" s="1066"/>
      <c r="L23" s="2"/>
      <c r="M23" s="1"/>
      <c r="N23" s="2"/>
    </row>
    <row r="24" spans="1:14" ht="17.25" customHeight="1">
      <c r="A24" s="510"/>
      <c r="B24" s="504"/>
      <c r="C24" s="504"/>
      <c r="D24" s="529"/>
      <c r="E24" s="509"/>
      <c r="F24" s="509"/>
      <c r="G24" s="509"/>
      <c r="H24" s="509"/>
      <c r="I24" s="530"/>
      <c r="J24" s="516"/>
      <c r="K24" s="528"/>
      <c r="L24" s="504"/>
      <c r="N24" s="504"/>
    </row>
    <row r="25" spans="1:14" ht="17.25" customHeight="1">
      <c r="A25" s="510"/>
      <c r="B25" s="2"/>
      <c r="C25" s="504"/>
      <c r="D25" s="529"/>
      <c r="E25" s="509"/>
      <c r="F25" s="509"/>
      <c r="G25" s="509"/>
      <c r="H25" s="509"/>
      <c r="I25" s="530"/>
      <c r="J25" s="522"/>
      <c r="K25" s="528"/>
      <c r="L25" s="504"/>
      <c r="N25" s="504"/>
    </row>
    <row r="26" spans="1:14">
      <c r="A26" s="510"/>
      <c r="B26" s="504"/>
      <c r="C26" s="504"/>
      <c r="D26" s="529"/>
      <c r="E26" s="509"/>
      <c r="F26" s="509"/>
      <c r="G26" s="509"/>
      <c r="H26" s="509"/>
      <c r="I26" s="530"/>
      <c r="J26" s="504"/>
      <c r="K26" s="518"/>
      <c r="L26" s="504"/>
      <c r="N26" s="504"/>
    </row>
    <row r="27" spans="1:14">
      <c r="A27" s="510"/>
      <c r="C27" s="509"/>
      <c r="I27" s="509"/>
      <c r="J27" s="504"/>
      <c r="K27" s="518"/>
      <c r="L27" s="504"/>
      <c r="N27" s="504"/>
    </row>
    <row r="28" spans="1:14">
      <c r="A28" s="510"/>
      <c r="B28" s="504"/>
      <c r="C28" s="504"/>
      <c r="D28" s="536"/>
      <c r="E28" s="535"/>
      <c r="F28" s="535"/>
      <c r="G28" s="540"/>
      <c r="H28" s="536"/>
      <c r="I28" s="541"/>
      <c r="J28" s="542"/>
      <c r="K28" s="504" t="s">
        <v>3</v>
      </c>
      <c r="L28" s="504"/>
      <c r="M28" s="504"/>
    </row>
    <row r="29" spans="1:14">
      <c r="A29" s="510"/>
      <c r="B29" s="504"/>
      <c r="C29" s="504"/>
      <c r="D29" s="537"/>
      <c r="E29" s="537"/>
      <c r="F29" s="539"/>
      <c r="G29" s="538"/>
      <c r="H29" s="537"/>
      <c r="I29" s="532"/>
      <c r="J29" s="504"/>
      <c r="K29" s="504" t="s">
        <v>3</v>
      </c>
      <c r="L29" s="504"/>
      <c r="M29" s="504"/>
    </row>
    <row r="30" spans="1:14" ht="16.5" customHeight="1">
      <c r="B30" s="504"/>
      <c r="C30" s="504"/>
      <c r="D30" s="505"/>
      <c r="E30" s="504"/>
      <c r="F30" s="504"/>
      <c r="G30" s="504"/>
      <c r="H30" s="504"/>
      <c r="I30" s="504"/>
      <c r="K30" s="506" t="str">
        <f>K1</f>
        <v>Attachment H -11A</v>
      </c>
      <c r="L30" s="504"/>
      <c r="M30" s="504"/>
    </row>
    <row r="31" spans="1:14" ht="16.5" customHeight="1">
      <c r="B31" s="504"/>
      <c r="C31" s="504"/>
      <c r="D31" s="505"/>
      <c r="E31" s="504"/>
      <c r="F31" s="504"/>
      <c r="G31" s="504"/>
      <c r="H31" s="504"/>
      <c r="I31" s="504"/>
      <c r="J31" s="504"/>
      <c r="K31" s="506" t="s">
        <v>17</v>
      </c>
      <c r="L31" s="504"/>
      <c r="M31" s="504"/>
    </row>
    <row r="32" spans="1:14" ht="16.5" customHeight="1">
      <c r="B32" s="504"/>
      <c r="C32" s="504"/>
      <c r="D32" s="505"/>
      <c r="E32" s="504"/>
      <c r="F32" s="504"/>
      <c r="G32" s="504"/>
      <c r="H32" s="504"/>
      <c r="I32" s="504"/>
      <c r="J32" s="504"/>
      <c r="K32" s="506"/>
      <c r="L32" s="504"/>
      <c r="M32" s="504"/>
    </row>
    <row r="33" spans="1:13">
      <c r="B33" s="504" t="s">
        <v>1</v>
      </c>
      <c r="C33" s="504"/>
      <c r="D33" s="505" t="s">
        <v>2</v>
      </c>
      <c r="E33" s="504"/>
      <c r="F33" s="504"/>
      <c r="G33" s="504"/>
      <c r="H33" s="504"/>
      <c r="J33" s="504"/>
      <c r="K33" s="506" t="str">
        <f>K4</f>
        <v>For the 12 months ended 12/31/2025</v>
      </c>
      <c r="L33" s="504"/>
      <c r="M33" s="504"/>
    </row>
    <row r="34" spans="1:13">
      <c r="B34" s="504"/>
      <c r="C34" s="509" t="s">
        <v>3</v>
      </c>
      <c r="D34" s="509" t="s">
        <v>4</v>
      </c>
      <c r="E34" s="509"/>
      <c r="F34" s="509"/>
      <c r="G34" s="509"/>
      <c r="H34" s="504"/>
      <c r="I34" s="504"/>
      <c r="J34" s="504"/>
      <c r="K34" s="504"/>
      <c r="L34" s="504"/>
      <c r="M34" s="504"/>
    </row>
    <row r="35" spans="1:13">
      <c r="B35" s="504"/>
      <c r="C35" s="509"/>
      <c r="D35" s="509"/>
      <c r="E35" s="509"/>
      <c r="F35" s="509"/>
      <c r="G35" s="509"/>
      <c r="H35" s="504"/>
      <c r="I35" s="504"/>
      <c r="J35" s="504"/>
      <c r="K35" s="504"/>
      <c r="L35" s="504"/>
      <c r="M35" s="504"/>
    </row>
    <row r="36" spans="1:13">
      <c r="B36" s="504"/>
      <c r="C36" s="504"/>
      <c r="D36" s="509" t="str">
        <f>D7</f>
        <v>MON POWER</v>
      </c>
      <c r="E36" s="509"/>
      <c r="F36" s="509"/>
      <c r="G36" s="509"/>
      <c r="H36" s="509"/>
      <c r="I36" s="509"/>
      <c r="J36" s="509"/>
      <c r="K36" s="509"/>
      <c r="L36" s="509"/>
      <c r="M36" s="509"/>
    </row>
    <row r="37" spans="1:13">
      <c r="B37" s="510" t="s">
        <v>18</v>
      </c>
      <c r="C37" s="510" t="s">
        <v>19</v>
      </c>
      <c r="D37" s="510" t="s">
        <v>20</v>
      </c>
      <c r="E37" s="509" t="s">
        <v>3</v>
      </c>
      <c r="F37" s="509"/>
      <c r="G37" s="512" t="s">
        <v>21</v>
      </c>
      <c r="H37" s="509"/>
      <c r="I37" s="513" t="s">
        <v>22</v>
      </c>
      <c r="J37" s="509"/>
      <c r="K37" s="513"/>
      <c r="L37" s="510"/>
      <c r="M37" s="509"/>
    </row>
    <row r="38" spans="1:13">
      <c r="B38" s="504"/>
      <c r="C38" s="543"/>
      <c r="D38" s="509"/>
      <c r="E38" s="509"/>
      <c r="F38" s="509"/>
      <c r="G38" s="510"/>
      <c r="H38" s="509"/>
      <c r="I38" s="544" t="s">
        <v>24</v>
      </c>
      <c r="J38" s="509"/>
      <c r="K38" s="545"/>
      <c r="L38" s="510"/>
      <c r="M38" s="510"/>
    </row>
    <row r="39" spans="1:13">
      <c r="A39" s="510" t="s">
        <v>5</v>
      </c>
      <c r="B39" s="504"/>
      <c r="C39" s="543" t="s">
        <v>280</v>
      </c>
      <c r="D39" s="544" t="s">
        <v>25</v>
      </c>
      <c r="E39" s="546"/>
      <c r="F39" s="544" t="s">
        <v>26</v>
      </c>
      <c r="H39" s="546"/>
      <c r="I39" s="510" t="s">
        <v>27</v>
      </c>
      <c r="J39" s="509"/>
      <c r="K39" s="547"/>
      <c r="L39" s="510"/>
      <c r="M39" s="510"/>
    </row>
    <row r="40" spans="1:13" ht="16" thickBot="1">
      <c r="A40" s="514" t="s">
        <v>7</v>
      </c>
      <c r="B40" s="2" t="s">
        <v>28</v>
      </c>
      <c r="C40" s="509"/>
      <c r="D40" s="509"/>
      <c r="E40" s="509"/>
      <c r="F40" s="509"/>
      <c r="G40" s="509"/>
      <c r="H40" s="509"/>
      <c r="I40" s="509"/>
      <c r="J40" s="509"/>
      <c r="K40" s="509"/>
      <c r="L40" s="509"/>
      <c r="M40" s="509"/>
    </row>
    <row r="41" spans="1:13">
      <c r="A41" s="510"/>
      <c r="B41" s="504" t="s">
        <v>29</v>
      </c>
      <c r="C41" s="509"/>
      <c r="D41" s="509"/>
      <c r="E41" s="509"/>
      <c r="F41" s="509"/>
      <c r="G41" s="509"/>
      <c r="H41" s="509"/>
      <c r="I41" s="509"/>
      <c r="J41" s="509"/>
      <c r="L41" s="509"/>
      <c r="M41" s="509"/>
    </row>
    <row r="42" spans="1:13">
      <c r="A42" s="510">
        <v>1</v>
      </c>
      <c r="B42" s="504" t="s">
        <v>30</v>
      </c>
      <c r="C42" s="647" t="s">
        <v>1096</v>
      </c>
      <c r="D42" s="523">
        <f>'Attachment 3 - Gross Plant'!E22</f>
        <v>3270505664.1847477</v>
      </c>
      <c r="E42" s="509"/>
      <c r="F42" s="509" t="s">
        <v>31</v>
      </c>
      <c r="G42" s="549" t="s">
        <v>3</v>
      </c>
      <c r="H42" s="509"/>
      <c r="I42" s="509" t="s">
        <v>3</v>
      </c>
      <c r="J42" s="509"/>
      <c r="K42" s="540"/>
      <c r="L42" s="503"/>
      <c r="M42" s="509"/>
    </row>
    <row r="43" spans="1:13">
      <c r="A43" s="510">
        <v>2</v>
      </c>
      <c r="B43" s="504" t="s">
        <v>32</v>
      </c>
      <c r="C43" s="647" t="s">
        <v>1097</v>
      </c>
      <c r="D43" s="523">
        <f>'Attachment 3 - Gross Plant'!G22</f>
        <v>811827030.8376348</v>
      </c>
      <c r="E43" s="509"/>
      <c r="F43" s="509" t="s">
        <v>12</v>
      </c>
      <c r="G43" s="549">
        <f>I196</f>
        <v>0.97009895452119421</v>
      </c>
      <c r="H43" s="509"/>
      <c r="I43" s="550">
        <f>+G43*D43</f>
        <v>787552553.86763477</v>
      </c>
      <c r="J43" s="509"/>
      <c r="K43" s="540"/>
      <c r="L43" s="503"/>
      <c r="M43" s="509"/>
    </row>
    <row r="44" spans="1:13">
      <c r="A44" s="510">
        <v>3</v>
      </c>
      <c r="B44" s="504" t="s">
        <v>33</v>
      </c>
      <c r="C44" s="647" t="s">
        <v>1098</v>
      </c>
      <c r="D44" s="523">
        <f>'Attachment 3 - Gross Plant'!H22</f>
        <v>2546795346.0097432</v>
      </c>
      <c r="E44" s="509"/>
      <c r="F44" s="509" t="s">
        <v>31</v>
      </c>
      <c r="G44" s="549" t="s">
        <v>3</v>
      </c>
      <c r="H44" s="509"/>
      <c r="I44" s="550" t="s">
        <v>3</v>
      </c>
      <c r="J44" s="509"/>
      <c r="K44" s="540"/>
      <c r="L44" s="503"/>
      <c r="M44" s="509"/>
    </row>
    <row r="45" spans="1:13">
      <c r="A45" s="510">
        <v>4</v>
      </c>
      <c r="B45" s="2" t="s">
        <v>34</v>
      </c>
      <c r="C45" s="647" t="s">
        <v>1100</v>
      </c>
      <c r="D45" s="523">
        <f>'Attachment 3 - Gross Plant'!I22+'Attachment 3 - Gross Plant'!J22</f>
        <v>242001130.76159018</v>
      </c>
      <c r="E45" s="509"/>
      <c r="F45" s="647" t="s">
        <v>35</v>
      </c>
      <c r="G45" s="836">
        <f>I213</f>
        <v>3.3378594941179174E-2</v>
      </c>
      <c r="H45" s="509"/>
      <c r="I45" s="523">
        <f>+G45*D45</f>
        <v>8077657.7189984536</v>
      </c>
      <c r="J45" s="509"/>
      <c r="K45" s="540"/>
      <c r="L45" s="503"/>
      <c r="M45" s="510"/>
    </row>
    <row r="46" spans="1:13" ht="16" thickBot="1">
      <c r="A46" s="510">
        <v>5</v>
      </c>
      <c r="B46" s="504" t="s">
        <v>36</v>
      </c>
      <c r="C46" s="647" t="s">
        <v>1099</v>
      </c>
      <c r="D46" s="551">
        <f>'Attachment 3 - Gross Plant'!K22</f>
        <v>0</v>
      </c>
      <c r="E46" s="509"/>
      <c r="F46" s="509" t="s">
        <v>37</v>
      </c>
      <c r="G46" s="549">
        <f>K218</f>
        <v>3.3378594941179174E-2</v>
      </c>
      <c r="H46" s="509"/>
      <c r="I46" s="552">
        <f>+G46*D46</f>
        <v>0</v>
      </c>
      <c r="J46" s="509"/>
      <c r="K46" s="540"/>
      <c r="L46" s="503"/>
      <c r="M46" s="510"/>
    </row>
    <row r="47" spans="1:13">
      <c r="A47" s="510">
        <v>6</v>
      </c>
      <c r="B47" s="504" t="s">
        <v>833</v>
      </c>
      <c r="C47" s="509"/>
      <c r="D47" s="550">
        <f>SUM(D42:D46)</f>
        <v>6871129171.7937155</v>
      </c>
      <c r="E47" s="509"/>
      <c r="F47" s="509" t="s">
        <v>38</v>
      </c>
      <c r="G47" s="880">
        <f>IF(I47&gt;0,I47/D47,0)</f>
        <v>0.11579322578488699</v>
      </c>
      <c r="H47" s="509"/>
      <c r="I47" s="550">
        <f>SUM(I42:I46)</f>
        <v>795630211.58663321</v>
      </c>
      <c r="J47" s="509"/>
      <c r="K47" s="554"/>
      <c r="L47" s="555"/>
      <c r="M47" s="509"/>
    </row>
    <row r="48" spans="1:13">
      <c r="B48" s="504"/>
      <c r="C48" s="509"/>
      <c r="D48" s="550"/>
      <c r="E48" s="509"/>
      <c r="F48" s="509"/>
      <c r="G48" s="553"/>
      <c r="H48" s="509"/>
      <c r="I48" s="550"/>
      <c r="J48" s="509"/>
      <c r="K48" s="554"/>
      <c r="L48" s="509"/>
      <c r="M48" s="509"/>
    </row>
    <row r="49" spans="1:13">
      <c r="B49" s="504" t="s">
        <v>39</v>
      </c>
      <c r="C49" s="509"/>
      <c r="D49" s="550"/>
      <c r="E49" s="509"/>
      <c r="F49" s="509"/>
      <c r="G49" s="509"/>
      <c r="H49" s="509"/>
      <c r="I49" s="550"/>
      <c r="J49" s="509"/>
      <c r="K49" s="540"/>
      <c r="L49" s="503"/>
      <c r="M49" s="509"/>
    </row>
    <row r="50" spans="1:13">
      <c r="A50" s="510">
        <v>7</v>
      </c>
      <c r="B50" s="504" t="str">
        <f>+B42</f>
        <v xml:space="preserve">  Production</v>
      </c>
      <c r="C50" s="647" t="s">
        <v>1101</v>
      </c>
      <c r="D50" s="523">
        <f>'Attachment 4 - Accum Depr'!E22</f>
        <v>1430319484.889894</v>
      </c>
      <c r="E50" s="509"/>
      <c r="F50" s="509" t="str">
        <f>+F42</f>
        <v>NA</v>
      </c>
      <c r="G50" s="549" t="str">
        <f>+G42</f>
        <v xml:space="preserve"> </v>
      </c>
      <c r="H50" s="509"/>
      <c r="I50" s="550" t="s">
        <v>3</v>
      </c>
      <c r="J50" s="509"/>
      <c r="K50" s="540"/>
      <c r="L50" s="503"/>
      <c r="M50" s="509"/>
    </row>
    <row r="51" spans="1:13">
      <c r="A51" s="510">
        <v>8</v>
      </c>
      <c r="B51" s="504" t="str">
        <f>+B43</f>
        <v xml:space="preserve">  Transmission</v>
      </c>
      <c r="C51" s="647" t="s">
        <v>1102</v>
      </c>
      <c r="D51" s="523">
        <f>'Attachment 4 - Accum Depr'!G22</f>
        <v>204023007.45883149</v>
      </c>
      <c r="E51" s="509"/>
      <c r="F51" s="509" t="str">
        <f>+F43</f>
        <v>TP</v>
      </c>
      <c r="G51" s="549">
        <f>I196</f>
        <v>0.97009895452119421</v>
      </c>
      <c r="H51" s="509"/>
      <c r="I51" s="550">
        <f>+G51*D51</f>
        <v>197922506.23408222</v>
      </c>
      <c r="J51" s="509"/>
      <c r="K51" s="540"/>
      <c r="L51" s="509"/>
      <c r="M51" s="509"/>
    </row>
    <row r="52" spans="1:13">
      <c r="A52" s="510">
        <v>9</v>
      </c>
      <c r="B52" s="504" t="str">
        <f>+B44</f>
        <v xml:space="preserve">  Distribution</v>
      </c>
      <c r="C52" s="647" t="s">
        <v>1103</v>
      </c>
      <c r="D52" s="523">
        <f>'Attachment 4 - Accum Depr'!H22</f>
        <v>778708476.93579102</v>
      </c>
      <c r="E52" s="509"/>
      <c r="F52" s="509" t="str">
        <f>+F44</f>
        <v>NA</v>
      </c>
      <c r="G52" s="549" t="str">
        <f>+G44</f>
        <v xml:space="preserve"> </v>
      </c>
      <c r="H52" s="509"/>
      <c r="I52" s="550" t="s">
        <v>3</v>
      </c>
      <c r="J52" s="509"/>
      <c r="K52" s="540"/>
      <c r="L52" s="509"/>
      <c r="M52" s="509"/>
    </row>
    <row r="53" spans="1:13">
      <c r="A53" s="510">
        <v>10</v>
      </c>
      <c r="B53" s="504" t="str">
        <f>+B45</f>
        <v xml:space="preserve">  General &amp; Intangible</v>
      </c>
      <c r="C53" s="647" t="s">
        <v>1104</v>
      </c>
      <c r="D53" s="523">
        <f>'Attachment 4 - Accum Depr'!I22+'Attachment 4 - Accum Depr'!J22</f>
        <v>121358260.89456972</v>
      </c>
      <c r="E53" s="509"/>
      <c r="F53" s="647" t="s">
        <v>35</v>
      </c>
      <c r="G53" s="836">
        <f>I213</f>
        <v>3.3378594941179174E-2</v>
      </c>
      <c r="H53" s="509"/>
      <c r="I53" s="523">
        <f>+G53*D53</f>
        <v>4050768.2331657875</v>
      </c>
      <c r="J53" s="509"/>
      <c r="K53" s="540"/>
      <c r="L53" s="503"/>
      <c r="M53" s="510"/>
    </row>
    <row r="54" spans="1:13" ht="16" thickBot="1">
      <c r="A54" s="510">
        <v>11</v>
      </c>
      <c r="B54" s="504" t="str">
        <f>+B46</f>
        <v xml:space="preserve">  Common</v>
      </c>
      <c r="C54" s="647" t="s">
        <v>1105</v>
      </c>
      <c r="D54" s="551">
        <f>'Attachment 4 - Accum Depr'!K22</f>
        <v>0</v>
      </c>
      <c r="E54" s="509"/>
      <c r="F54" s="509" t="str">
        <f>+F46</f>
        <v>CE</v>
      </c>
      <c r="G54" s="549">
        <f>K218</f>
        <v>3.3378594941179174E-2</v>
      </c>
      <c r="H54" s="509"/>
      <c r="I54" s="552">
        <f>+G54*D54</f>
        <v>0</v>
      </c>
      <c r="J54" s="509"/>
      <c r="K54" s="540"/>
      <c r="L54" s="509"/>
      <c r="M54" s="510"/>
    </row>
    <row r="55" spans="1:13">
      <c r="A55" s="510">
        <v>12</v>
      </c>
      <c r="B55" s="2" t="s">
        <v>945</v>
      </c>
      <c r="C55" s="509"/>
      <c r="D55" s="550">
        <f>SUM(D50:D54)</f>
        <v>2534409230.1790862</v>
      </c>
      <c r="E55" s="509"/>
      <c r="F55" s="509"/>
      <c r="G55" s="509"/>
      <c r="H55" s="509"/>
      <c r="I55" s="550">
        <f>SUM(I50:I54)</f>
        <v>201973274.46724802</v>
      </c>
      <c r="J55" s="509"/>
      <c r="K55" s="540"/>
      <c r="L55" s="556"/>
      <c r="M55" s="509"/>
    </row>
    <row r="56" spans="1:13">
      <c r="A56" s="510"/>
      <c r="C56" s="509" t="s">
        <v>3</v>
      </c>
      <c r="E56" s="509"/>
      <c r="F56" s="509"/>
      <c r="G56" s="553"/>
      <c r="H56" s="509"/>
      <c r="I56" s="532"/>
      <c r="J56" s="509"/>
      <c r="K56" s="554"/>
      <c r="L56" s="509"/>
      <c r="M56" s="509"/>
    </row>
    <row r="57" spans="1:13">
      <c r="A57" s="510"/>
      <c r="B57" s="504" t="s">
        <v>42</v>
      </c>
      <c r="C57" s="509"/>
      <c r="D57" s="509"/>
      <c r="E57" s="509"/>
      <c r="F57" s="509"/>
      <c r="G57" s="509"/>
      <c r="H57" s="509"/>
      <c r="I57" s="532"/>
      <c r="J57" s="509"/>
      <c r="K57" s="540"/>
      <c r="L57" s="509"/>
      <c r="M57" s="509"/>
    </row>
    <row r="58" spans="1:13">
      <c r="A58" s="510">
        <v>13</v>
      </c>
      <c r="B58" s="504" t="str">
        <f>+B50</f>
        <v xml:space="preserve">  Production</v>
      </c>
      <c r="C58" s="509" t="s">
        <v>834</v>
      </c>
      <c r="D58" s="550">
        <f>D42-D50</f>
        <v>1840186179.2948537</v>
      </c>
      <c r="E58" s="509"/>
      <c r="F58" s="509"/>
      <c r="G58" s="553"/>
      <c r="H58" s="509"/>
      <c r="I58" s="550" t="s">
        <v>3</v>
      </c>
      <c r="J58" s="509"/>
      <c r="K58" s="554"/>
      <c r="L58" s="509"/>
      <c r="M58" s="509"/>
    </row>
    <row r="59" spans="1:13">
      <c r="A59" s="510">
        <v>14</v>
      </c>
      <c r="B59" s="504" t="str">
        <f>+B51</f>
        <v xml:space="preserve">  Transmission</v>
      </c>
      <c r="C59" s="509" t="s">
        <v>835</v>
      </c>
      <c r="D59" s="550">
        <f>D43-D51</f>
        <v>607804023.37880325</v>
      </c>
      <c r="E59" s="509"/>
      <c r="F59" s="509"/>
      <c r="G59" s="549"/>
      <c r="H59" s="509"/>
      <c r="I59" s="550">
        <f>I43-I51</f>
        <v>589630047.63355255</v>
      </c>
      <c r="J59" s="509"/>
      <c r="K59" s="540"/>
      <c r="L59" s="509"/>
      <c r="M59" s="509"/>
    </row>
    <row r="60" spans="1:13">
      <c r="A60" s="510">
        <v>15</v>
      </c>
      <c r="B60" s="504" t="str">
        <f>+B52</f>
        <v xml:space="preserve">  Distribution</v>
      </c>
      <c r="C60" s="509" t="s">
        <v>836</v>
      </c>
      <c r="D60" s="550">
        <f>D44-D52</f>
        <v>1768086869.0739522</v>
      </c>
      <c r="E60" s="509"/>
      <c r="F60" s="509"/>
      <c r="G60" s="553"/>
      <c r="H60" s="509"/>
      <c r="I60" s="550" t="s">
        <v>3</v>
      </c>
      <c r="J60" s="509"/>
      <c r="K60" s="557"/>
      <c r="L60" s="509"/>
      <c r="M60" s="509"/>
    </row>
    <row r="61" spans="1:13">
      <c r="A61" s="510">
        <v>16</v>
      </c>
      <c r="B61" s="504" t="str">
        <f>+B53</f>
        <v xml:space="preserve">  General &amp; Intangible</v>
      </c>
      <c r="C61" s="509" t="s">
        <v>837</v>
      </c>
      <c r="D61" s="523">
        <f>D45-D53</f>
        <v>120642869.86702046</v>
      </c>
      <c r="E61" s="509"/>
      <c r="F61" s="509"/>
      <c r="G61" s="553"/>
      <c r="H61" s="509"/>
      <c r="I61" s="523">
        <f>I45-I53</f>
        <v>4026889.485832666</v>
      </c>
      <c r="J61" s="509"/>
      <c r="K61" s="553"/>
      <c r="L61" s="509"/>
      <c r="M61" s="510"/>
    </row>
    <row r="62" spans="1:13" ht="16" thickBot="1">
      <c r="A62" s="510">
        <v>17</v>
      </c>
      <c r="B62" s="504" t="str">
        <f>+B54</f>
        <v xml:space="preserve">  Common</v>
      </c>
      <c r="C62" s="509" t="s">
        <v>838</v>
      </c>
      <c r="D62" s="552">
        <f>D46-D54</f>
        <v>0</v>
      </c>
      <c r="E62" s="509"/>
      <c r="F62" s="509"/>
      <c r="G62" s="553"/>
      <c r="H62" s="509"/>
      <c r="I62" s="552">
        <f>I46-I54</f>
        <v>0</v>
      </c>
      <c r="J62" s="509"/>
      <c r="K62" s="553"/>
      <c r="L62" s="509"/>
      <c r="M62" s="510"/>
    </row>
    <row r="63" spans="1:13">
      <c r="A63" s="510">
        <v>18</v>
      </c>
      <c r="B63" s="504" t="s">
        <v>839</v>
      </c>
      <c r="C63" s="509"/>
      <c r="D63" s="550">
        <f>SUM(D58:D62)</f>
        <v>4336719941.6146297</v>
      </c>
      <c r="E63" s="509"/>
      <c r="F63" s="509"/>
      <c r="G63" s="553"/>
      <c r="H63" s="509"/>
      <c r="I63" s="550">
        <f>SUM(I58:I62)</f>
        <v>593656937.11938524</v>
      </c>
      <c r="J63" s="509"/>
      <c r="K63" s="509"/>
      <c r="L63" s="529"/>
      <c r="M63" s="509"/>
    </row>
    <row r="64" spans="1:13">
      <c r="A64" s="510"/>
      <c r="C64" s="509"/>
      <c r="D64" s="550"/>
      <c r="E64" s="509"/>
      <c r="H64" s="509"/>
      <c r="I64" s="550"/>
      <c r="J64" s="509"/>
      <c r="K64" s="553"/>
      <c r="L64" s="509"/>
      <c r="M64" s="509"/>
    </row>
    <row r="65" spans="1:21">
      <c r="A65" s="510"/>
      <c r="B65" s="504" t="s">
        <v>522</v>
      </c>
      <c r="C65" s="509"/>
      <c r="D65" s="550"/>
      <c r="E65" s="509"/>
      <c r="F65" s="509"/>
      <c r="G65" s="509"/>
      <c r="H65" s="509"/>
      <c r="I65" s="550"/>
      <c r="J65" s="509"/>
      <c r="K65" s="509"/>
      <c r="L65" s="503"/>
      <c r="M65" s="509"/>
    </row>
    <row r="66" spans="1:21">
      <c r="A66" s="510">
        <v>19</v>
      </c>
      <c r="B66" s="504" t="s">
        <v>43</v>
      </c>
      <c r="C66" s="647" t="s">
        <v>633</v>
      </c>
      <c r="D66" s="523">
        <f>'Attachment 5 - ADIT Summary'!E10</f>
        <v>0</v>
      </c>
      <c r="E66" s="509"/>
      <c r="F66" s="509" t="str">
        <f>+F50</f>
        <v>NA</v>
      </c>
      <c r="G66" s="558"/>
      <c r="H66" s="509"/>
      <c r="I66" s="550"/>
      <c r="J66" s="509"/>
      <c r="K66" s="553"/>
      <c r="L66" s="559"/>
      <c r="M66" s="510"/>
    </row>
    <row r="67" spans="1:21">
      <c r="A67" s="510">
        <v>20</v>
      </c>
      <c r="B67" s="504" t="s">
        <v>44</v>
      </c>
      <c r="C67" s="647" t="s">
        <v>818</v>
      </c>
      <c r="D67" s="523">
        <f>'Attachment 5 - ADIT Summary'!F10</f>
        <v>-122501241.3906236</v>
      </c>
      <c r="E67" s="509"/>
      <c r="F67" s="509" t="s">
        <v>299</v>
      </c>
      <c r="G67" s="549">
        <v>1</v>
      </c>
      <c r="H67" s="509"/>
      <c r="I67" s="550">
        <f t="shared" ref="I67:I74" si="1">D67*G67</f>
        <v>-122501241.3906236</v>
      </c>
      <c r="J67" s="509"/>
      <c r="K67" s="553"/>
      <c r="L67" s="559"/>
      <c r="M67" s="510"/>
    </row>
    <row r="68" spans="1:21">
      <c r="A68" s="510">
        <v>21</v>
      </c>
      <c r="B68" s="504" t="s">
        <v>45</v>
      </c>
      <c r="C68" s="647" t="s">
        <v>634</v>
      </c>
      <c r="D68" s="560">
        <f>'Attachment 5 - ADIT Summary'!G10</f>
        <v>-1948431.3070893665</v>
      </c>
      <c r="E68" s="509"/>
      <c r="F68" s="509" t="s">
        <v>299</v>
      </c>
      <c r="G68" s="549">
        <f>+G67</f>
        <v>1</v>
      </c>
      <c r="H68" s="509"/>
      <c r="I68" s="550">
        <f t="shared" si="1"/>
        <v>-1948431.3070893665</v>
      </c>
      <c r="J68" s="509"/>
      <c r="K68" s="553"/>
      <c r="L68" s="559"/>
      <c r="M68" s="510"/>
    </row>
    <row r="69" spans="1:21">
      <c r="A69" s="510">
        <v>22</v>
      </c>
      <c r="B69" s="504" t="s">
        <v>46</v>
      </c>
      <c r="C69" s="647" t="s">
        <v>635</v>
      </c>
      <c r="D69" s="560">
        <f>'Attachment 5 - ADIT Summary'!H10</f>
        <v>17734694.343020793</v>
      </c>
      <c r="E69" s="509"/>
      <c r="F69" s="509" t="s">
        <v>299</v>
      </c>
      <c r="G69" s="549">
        <f>+G68</f>
        <v>1</v>
      </c>
      <c r="H69" s="509"/>
      <c r="I69" s="550">
        <f t="shared" si="1"/>
        <v>17734694.343020793</v>
      </c>
      <c r="J69" s="509"/>
      <c r="K69" s="553"/>
      <c r="L69" s="559"/>
      <c r="M69" s="510"/>
    </row>
    <row r="70" spans="1:21">
      <c r="A70" s="510">
        <v>23</v>
      </c>
      <c r="B70" s="503" t="s">
        <v>47</v>
      </c>
      <c r="C70" s="647" t="s">
        <v>636</v>
      </c>
      <c r="D70" s="560">
        <f>'Attachment 5 - ADIT Summary'!I10</f>
        <v>0</v>
      </c>
      <c r="E70" s="509"/>
      <c r="F70" s="509" t="s">
        <v>299</v>
      </c>
      <c r="G70" s="549">
        <f>G69</f>
        <v>1</v>
      </c>
      <c r="H70" s="509"/>
      <c r="I70" s="561">
        <f t="shared" si="1"/>
        <v>0</v>
      </c>
      <c r="J70" s="509"/>
      <c r="K70" s="553"/>
      <c r="L70" s="559"/>
      <c r="M70" s="510"/>
    </row>
    <row r="71" spans="1:21">
      <c r="A71" s="510">
        <v>24</v>
      </c>
      <c r="B71" s="2" t="s">
        <v>1267</v>
      </c>
      <c r="C71" s="1" t="s">
        <v>1164</v>
      </c>
      <c r="D71" s="560">
        <f>'Attachment 14 - Other RB'!AF61</f>
        <v>-226158.0051677571</v>
      </c>
      <c r="E71" s="509"/>
      <c r="F71" s="509" t="s">
        <v>299</v>
      </c>
      <c r="G71" s="549">
        <f>G70</f>
        <v>1</v>
      </c>
      <c r="H71" s="509"/>
      <c r="I71" s="561">
        <f t="shared" si="1"/>
        <v>-226158.0051677571</v>
      </c>
      <c r="J71" s="509"/>
      <c r="K71" s="553"/>
      <c r="L71" s="559"/>
      <c r="M71" s="510"/>
    </row>
    <row r="72" spans="1:21">
      <c r="A72" s="510">
        <v>25</v>
      </c>
      <c r="B72" s="1041" t="s">
        <v>1186</v>
      </c>
      <c r="C72" s="1"/>
      <c r="D72" s="644"/>
      <c r="E72" s="509"/>
      <c r="F72" s="509"/>
      <c r="G72" s="549"/>
      <c r="H72" s="509"/>
      <c r="I72" s="561"/>
      <c r="J72" s="509"/>
      <c r="K72" s="553"/>
      <c r="L72" s="559"/>
      <c r="M72" s="510"/>
    </row>
    <row r="73" spans="1:21">
      <c r="A73" s="510">
        <v>26</v>
      </c>
      <c r="B73" s="503" t="s">
        <v>281</v>
      </c>
      <c r="C73" s="1" t="s">
        <v>1165</v>
      </c>
      <c r="D73" s="560">
        <f>'Attachment 17 - CWIP in RB'!AG14</f>
        <v>0</v>
      </c>
      <c r="E73" s="509"/>
      <c r="F73" s="509" t="s">
        <v>299</v>
      </c>
      <c r="G73" s="549">
        <f>G69</f>
        <v>1</v>
      </c>
      <c r="H73" s="509"/>
      <c r="I73" s="560">
        <f t="shared" si="1"/>
        <v>0</v>
      </c>
      <c r="J73" s="509"/>
      <c r="K73" s="553"/>
      <c r="L73" s="509"/>
      <c r="M73" s="510"/>
    </row>
    <row r="74" spans="1:21" ht="16" thickBot="1">
      <c r="A74" s="651">
        <v>27</v>
      </c>
      <c r="B74" s="1" t="s">
        <v>759</v>
      </c>
      <c r="C74" s="1" t="s">
        <v>1166</v>
      </c>
      <c r="D74" s="551">
        <f>'Attachment 19 - Reg Asset'!AA26</f>
        <v>0</v>
      </c>
      <c r="E74" s="509"/>
      <c r="F74" s="647" t="s">
        <v>299</v>
      </c>
      <c r="G74" s="549">
        <v>1</v>
      </c>
      <c r="H74" s="509"/>
      <c r="I74" s="551">
        <f t="shared" si="1"/>
        <v>0</v>
      </c>
      <c r="J74" s="509"/>
      <c r="K74" s="553"/>
      <c r="L74" s="1006"/>
      <c r="M74" s="1006"/>
      <c r="N74" s="1006"/>
      <c r="O74" s="1006"/>
      <c r="P74" s="1006"/>
      <c r="Q74" s="1006"/>
      <c r="R74" s="1006"/>
      <c r="S74" s="1006"/>
      <c r="T74" s="1006"/>
      <c r="U74" s="1006"/>
    </row>
    <row r="75" spans="1:21">
      <c r="A75" s="651">
        <v>28</v>
      </c>
      <c r="B75" s="2" t="s">
        <v>946</v>
      </c>
      <c r="C75" s="509"/>
      <c r="D75" s="523">
        <f>SUM(D66:D74)</f>
        <v>-106941136.35985993</v>
      </c>
      <c r="E75" s="562"/>
      <c r="F75" s="562"/>
      <c r="G75" s="562"/>
      <c r="H75" s="562"/>
      <c r="I75" s="550">
        <f>SUM(I66:I74)</f>
        <v>-106941136.35985993</v>
      </c>
      <c r="J75" s="509"/>
      <c r="K75" s="509"/>
      <c r="L75" s="556"/>
      <c r="M75" s="509"/>
      <c r="N75" s="560"/>
    </row>
    <row r="76" spans="1:21">
      <c r="A76" s="510"/>
      <c r="C76" s="509"/>
      <c r="D76" s="550"/>
      <c r="E76" s="509"/>
      <c r="F76" s="509"/>
      <c r="G76" s="553"/>
      <c r="H76" s="509"/>
      <c r="I76" s="550"/>
      <c r="J76" s="509"/>
      <c r="K76" s="553"/>
      <c r="L76" s="509"/>
      <c r="M76" s="509"/>
    </row>
    <row r="77" spans="1:21">
      <c r="A77" s="651">
        <v>29</v>
      </c>
      <c r="B77" s="2" t="s">
        <v>48</v>
      </c>
      <c r="C77" s="647" t="s">
        <v>1171</v>
      </c>
      <c r="D77" s="645">
        <f>'Attachment 14 - Other RB'!AF20</f>
        <v>0</v>
      </c>
      <c r="E77" s="509"/>
      <c r="F77" s="509" t="str">
        <f>+F51</f>
        <v>TP</v>
      </c>
      <c r="G77" s="549">
        <f>I196</f>
        <v>0.97009895452119421</v>
      </c>
      <c r="H77" s="509"/>
      <c r="I77" s="550">
        <f>+G77*D77</f>
        <v>0</v>
      </c>
      <c r="J77" s="509"/>
      <c r="K77" s="509"/>
      <c r="L77" s="509"/>
      <c r="M77" s="509"/>
    </row>
    <row r="78" spans="1:21">
      <c r="A78" s="651"/>
      <c r="B78" s="2"/>
      <c r="C78" s="647"/>
      <c r="D78" s="652"/>
      <c r="E78" s="509"/>
      <c r="F78" s="509"/>
      <c r="G78" s="509"/>
      <c r="H78" s="509"/>
      <c r="I78" s="550"/>
      <c r="J78" s="509"/>
      <c r="K78" s="509"/>
      <c r="L78" s="509"/>
      <c r="M78" s="509"/>
    </row>
    <row r="79" spans="1:21">
      <c r="A79" s="651">
        <v>30</v>
      </c>
      <c r="B79" s="2" t="s">
        <v>947</v>
      </c>
      <c r="C79" s="647" t="s">
        <v>3</v>
      </c>
      <c r="D79" s="652"/>
      <c r="E79" s="509"/>
      <c r="F79" s="509"/>
      <c r="G79" s="509"/>
      <c r="H79" s="509"/>
      <c r="I79" s="532"/>
      <c r="J79" s="509"/>
      <c r="K79" s="509"/>
      <c r="L79" s="509"/>
      <c r="M79" s="509"/>
    </row>
    <row r="80" spans="1:21" ht="31">
      <c r="A80" s="651">
        <v>31</v>
      </c>
      <c r="B80" s="2" t="s">
        <v>49</v>
      </c>
      <c r="C80" s="1054" t="s">
        <v>1321</v>
      </c>
      <c r="D80" s="655">
        <f>(I123-I122-(6816058.28)*I213)/8</f>
        <v>1783013.0604984683</v>
      </c>
      <c r="E80" s="509"/>
      <c r="F80" s="509" t="s">
        <v>299</v>
      </c>
      <c r="G80" s="549">
        <v>1</v>
      </c>
      <c r="H80" s="509"/>
      <c r="I80" s="550">
        <f>G80*D80</f>
        <v>1783013.0604984683</v>
      </c>
      <c r="J80" s="504"/>
      <c r="K80" s="553"/>
      <c r="L80" s="563"/>
      <c r="M80" s="510"/>
    </row>
    <row r="81" spans="1:13">
      <c r="A81" s="651">
        <v>32</v>
      </c>
      <c r="B81" s="2" t="s">
        <v>948</v>
      </c>
      <c r="C81" s="647" t="s">
        <v>1172</v>
      </c>
      <c r="D81" s="645">
        <f>'Attachment 14 - Other RB'!AF17</f>
        <v>0</v>
      </c>
      <c r="E81" s="509"/>
      <c r="F81" s="509" t="s">
        <v>50</v>
      </c>
      <c r="G81" s="549">
        <f>I205</f>
        <v>0.96404742576256197</v>
      </c>
      <c r="H81" s="509"/>
      <c r="I81" s="550">
        <f>+G81*D81</f>
        <v>0</v>
      </c>
      <c r="J81" s="509" t="s">
        <v>3</v>
      </c>
      <c r="K81" s="553"/>
      <c r="L81" s="563"/>
      <c r="M81" s="510"/>
    </row>
    <row r="82" spans="1:13" ht="16" thickBot="1">
      <c r="A82" s="651">
        <v>33</v>
      </c>
      <c r="B82" s="2" t="s">
        <v>51</v>
      </c>
      <c r="C82" s="647" t="s">
        <v>1262</v>
      </c>
      <c r="D82" s="646">
        <f>'Attachment 14 - Other RB'!AF14</f>
        <v>199946.35432678205</v>
      </c>
      <c r="E82" s="509"/>
      <c r="F82" s="509" t="s">
        <v>299</v>
      </c>
      <c r="G82" s="549">
        <v>1</v>
      </c>
      <c r="H82" s="509"/>
      <c r="I82" s="551">
        <f>+G82*D82</f>
        <v>199946.35432678205</v>
      </c>
      <c r="J82" s="509"/>
      <c r="K82" s="553"/>
      <c r="L82" s="563"/>
      <c r="M82" s="510"/>
    </row>
    <row r="83" spans="1:13">
      <c r="A83" s="651">
        <v>34</v>
      </c>
      <c r="B83" s="2" t="s">
        <v>949</v>
      </c>
      <c r="C83" s="2"/>
      <c r="D83" s="645">
        <f>SUM(D80:D82)</f>
        <v>1982959.4148252504</v>
      </c>
      <c r="E83" s="504"/>
      <c r="F83" s="504"/>
      <c r="G83" s="504"/>
      <c r="H83" s="504"/>
      <c r="I83" s="550">
        <f>SUM(I80:I82)</f>
        <v>1982959.4148252504</v>
      </c>
      <c r="J83" s="504"/>
      <c r="K83" s="504"/>
      <c r="L83" s="505"/>
      <c r="M83" s="509"/>
    </row>
    <row r="84" spans="1:13" ht="16" thickBot="1">
      <c r="A84" s="1"/>
      <c r="B84" s="1"/>
      <c r="C84" s="647"/>
      <c r="D84" s="646"/>
      <c r="E84" s="509"/>
      <c r="F84" s="509"/>
      <c r="G84" s="509"/>
      <c r="H84" s="509"/>
      <c r="I84" s="552"/>
      <c r="J84" s="509"/>
      <c r="K84" s="509"/>
      <c r="L84" s="509"/>
      <c r="M84" s="509"/>
    </row>
    <row r="85" spans="1:13" ht="16" thickBot="1">
      <c r="A85" s="651">
        <v>35</v>
      </c>
      <c r="B85" s="2" t="s">
        <v>950</v>
      </c>
      <c r="C85" s="647"/>
      <c r="D85" s="653">
        <f>+D83+D77+D75+D63</f>
        <v>4231761764.6695952</v>
      </c>
      <c r="E85" s="509"/>
      <c r="F85" s="509"/>
      <c r="G85" s="553"/>
      <c r="H85" s="509"/>
      <c r="I85" s="564">
        <f>+I83+I77+I75+I63</f>
        <v>488698760.17435056</v>
      </c>
      <c r="J85" s="509"/>
      <c r="K85" s="553"/>
      <c r="L85" s="509"/>
      <c r="M85" s="509"/>
    </row>
    <row r="86" spans="1:13" ht="16" thickTop="1">
      <c r="A86" s="510"/>
      <c r="B86" s="504"/>
      <c r="C86" s="509"/>
      <c r="D86" s="541"/>
      <c r="E86" s="509"/>
      <c r="F86" s="509"/>
      <c r="G86" s="553"/>
      <c r="H86" s="509"/>
      <c r="I86" s="509"/>
      <c r="J86" s="509"/>
      <c r="K86" s="553"/>
      <c r="L86" s="509"/>
      <c r="M86" s="509"/>
    </row>
    <row r="87" spans="1:13">
      <c r="A87" s="510"/>
      <c r="B87" s="504"/>
      <c r="C87" s="509"/>
      <c r="D87" s="541"/>
      <c r="E87" s="509"/>
      <c r="F87" s="509"/>
      <c r="G87" s="553"/>
      <c r="H87" s="509"/>
      <c r="I87" s="509"/>
      <c r="J87" s="509"/>
      <c r="K87" s="553"/>
      <c r="L87" s="509"/>
      <c r="M87" s="509"/>
    </row>
    <row r="88" spans="1:13">
      <c r="A88" s="510"/>
      <c r="B88" s="504"/>
      <c r="C88" s="509"/>
      <c r="D88" s="541"/>
      <c r="E88" s="509"/>
      <c r="F88" s="509"/>
      <c r="G88" s="553"/>
      <c r="H88" s="509"/>
      <c r="I88" s="509"/>
      <c r="J88" s="509"/>
      <c r="K88" s="553"/>
      <c r="L88" s="509"/>
      <c r="M88" s="509"/>
    </row>
    <row r="89" spans="1:13">
      <c r="A89" s="510"/>
      <c r="B89" s="504"/>
      <c r="C89" s="509"/>
      <c r="D89" s="509"/>
      <c r="E89" s="509"/>
      <c r="F89" s="509"/>
      <c r="G89" s="553"/>
      <c r="H89" s="509"/>
      <c r="I89" s="509"/>
      <c r="J89" s="509"/>
      <c r="K89" s="553"/>
      <c r="L89" s="509"/>
      <c r="M89" s="509"/>
    </row>
    <row r="90" spans="1:13">
      <c r="A90" s="510"/>
      <c r="B90" s="504"/>
      <c r="C90" s="509"/>
      <c r="D90" s="509"/>
      <c r="E90" s="509"/>
      <c r="F90" s="509"/>
      <c r="G90" s="553"/>
      <c r="H90" s="509"/>
      <c r="I90" s="509"/>
      <c r="J90" s="509"/>
      <c r="K90" s="553"/>
      <c r="L90" s="509"/>
      <c r="M90" s="509"/>
    </row>
    <row r="91" spans="1:13">
      <c r="A91" s="510"/>
      <c r="B91" s="504"/>
      <c r="C91" s="1055"/>
      <c r="D91" s="509"/>
      <c r="E91" s="509"/>
      <c r="F91" s="509"/>
      <c r="G91" s="553"/>
      <c r="H91" s="509"/>
      <c r="I91" s="509"/>
      <c r="J91" s="509"/>
      <c r="K91" s="553"/>
      <c r="L91" s="509"/>
      <c r="M91" s="509"/>
    </row>
    <row r="92" spans="1:13">
      <c r="A92" s="510"/>
      <c r="B92" s="504"/>
      <c r="C92" s="509"/>
      <c r="D92" s="509"/>
      <c r="E92" s="509"/>
      <c r="F92" s="509"/>
      <c r="G92" s="553"/>
      <c r="H92" s="509"/>
      <c r="I92" s="509"/>
      <c r="J92" s="509"/>
      <c r="K92" s="553"/>
      <c r="L92" s="509"/>
      <c r="M92" s="509"/>
    </row>
    <row r="93" spans="1:13">
      <c r="A93" s="510"/>
      <c r="B93" s="504"/>
      <c r="C93" s="509"/>
      <c r="D93" s="509"/>
      <c r="E93" s="509"/>
      <c r="F93" s="509"/>
      <c r="G93" s="553"/>
      <c r="H93" s="509"/>
      <c r="I93" s="509"/>
      <c r="J93" s="509"/>
      <c r="K93" s="553"/>
      <c r="L93" s="509"/>
      <c r="M93" s="509"/>
    </row>
    <row r="94" spans="1:13">
      <c r="A94" s="510"/>
      <c r="B94" s="504"/>
      <c r="C94" s="509"/>
      <c r="D94" s="509"/>
      <c r="E94" s="509"/>
      <c r="F94" s="509"/>
      <c r="G94" s="553"/>
      <c r="H94" s="509"/>
      <c r="I94" s="509"/>
      <c r="J94" s="509"/>
      <c r="K94" s="553"/>
      <c r="L94" s="509"/>
      <c r="M94" s="509"/>
    </row>
    <row r="95" spans="1:13">
      <c r="A95" s="510"/>
      <c r="B95" s="504"/>
      <c r="C95" s="509"/>
      <c r="D95" s="509"/>
      <c r="E95" s="509"/>
      <c r="F95" s="509"/>
      <c r="G95" s="553"/>
      <c r="H95" s="509"/>
      <c r="I95" s="509"/>
      <c r="J95" s="509"/>
      <c r="K95" s="553"/>
      <c r="L95" s="509"/>
      <c r="M95" s="509"/>
    </row>
    <row r="96" spans="1:13">
      <c r="A96" s="510"/>
      <c r="B96" s="504"/>
      <c r="C96" s="509"/>
      <c r="D96" s="509"/>
      <c r="E96" s="509"/>
      <c r="F96" s="509"/>
      <c r="G96" s="553"/>
      <c r="H96" s="509"/>
      <c r="I96" s="509"/>
      <c r="J96" s="509"/>
      <c r="K96" s="553"/>
      <c r="L96" s="509"/>
      <c r="M96" s="509"/>
    </row>
    <row r="97" spans="1:13">
      <c r="A97" s="510"/>
      <c r="B97" s="504"/>
      <c r="C97" s="509"/>
      <c r="D97" s="509"/>
      <c r="E97" s="509"/>
      <c r="F97" s="509"/>
      <c r="G97" s="553"/>
      <c r="H97" s="509"/>
      <c r="I97" s="509"/>
      <c r="J97" s="509"/>
      <c r="K97" s="553"/>
      <c r="L97" s="509"/>
      <c r="M97" s="509"/>
    </row>
    <row r="98" spans="1:13">
      <c r="A98" s="510"/>
      <c r="B98" s="504"/>
      <c r="C98" s="509"/>
      <c r="D98" s="509"/>
      <c r="E98" s="509"/>
      <c r="F98" s="509"/>
      <c r="G98" s="553"/>
      <c r="H98" s="509"/>
      <c r="I98" s="509"/>
      <c r="J98" s="509"/>
      <c r="K98" s="553"/>
      <c r="L98" s="509"/>
      <c r="M98" s="509"/>
    </row>
    <row r="99" spans="1:13">
      <c r="A99" s="510"/>
      <c r="B99" s="504"/>
      <c r="C99" s="509"/>
      <c r="D99" s="509"/>
      <c r="E99" s="509"/>
      <c r="F99" s="509"/>
      <c r="G99" s="553"/>
      <c r="H99" s="509"/>
      <c r="I99" s="509"/>
      <c r="J99" s="509"/>
      <c r="K99" s="553"/>
      <c r="L99" s="509"/>
      <c r="M99" s="509"/>
    </row>
    <row r="100" spans="1:13">
      <c r="A100" s="565"/>
      <c r="B100" s="504"/>
      <c r="C100" s="509"/>
      <c r="D100" s="509"/>
      <c r="E100" s="509"/>
      <c r="F100" s="509"/>
      <c r="G100" s="553"/>
      <c r="H100" s="509"/>
      <c r="I100" s="509"/>
      <c r="J100" s="509"/>
      <c r="K100" s="547"/>
      <c r="L100" s="503"/>
    </row>
    <row r="101" spans="1:13">
      <c r="A101" s="565"/>
      <c r="B101" s="504"/>
      <c r="C101" s="509"/>
      <c r="D101" s="509"/>
      <c r="E101" s="509"/>
      <c r="F101" s="509"/>
      <c r="G101" s="553"/>
      <c r="H101" s="509"/>
      <c r="I101" s="509"/>
      <c r="J101" s="509"/>
      <c r="K101" s="547"/>
      <c r="L101" s="503"/>
    </row>
    <row r="102" spans="1:13">
      <c r="B102" s="504"/>
      <c r="C102" s="504"/>
      <c r="D102" s="505"/>
      <c r="E102" s="504"/>
      <c r="F102" s="504"/>
      <c r="G102" s="504"/>
      <c r="H102" s="504"/>
      <c r="I102" s="510"/>
      <c r="J102" s="510"/>
      <c r="K102" s="506"/>
      <c r="L102" s="504"/>
      <c r="M102" s="504"/>
    </row>
    <row r="103" spans="1:13">
      <c r="B103" s="504"/>
      <c r="C103" s="504"/>
      <c r="D103" s="505"/>
      <c r="E103" s="504"/>
      <c r="F103" s="504"/>
      <c r="G103" s="504"/>
      <c r="H103" s="504"/>
      <c r="I103" s="506"/>
      <c r="J103" s="506"/>
      <c r="K103" s="506"/>
      <c r="L103" s="504"/>
      <c r="M103" s="504"/>
    </row>
    <row r="104" spans="1:13" ht="16.5" customHeight="1">
      <c r="B104" s="504"/>
      <c r="C104" s="504"/>
      <c r="D104" s="505"/>
      <c r="E104" s="504"/>
      <c r="F104" s="504"/>
      <c r="G104" s="504"/>
      <c r="H104" s="504"/>
      <c r="I104" s="504"/>
      <c r="K104" s="506" t="str">
        <f>K30</f>
        <v>Attachment H -11A</v>
      </c>
      <c r="L104" s="504"/>
      <c r="M104" s="504"/>
    </row>
    <row r="105" spans="1:13" ht="16.5" customHeight="1">
      <c r="B105" s="504"/>
      <c r="C105" s="504"/>
      <c r="D105" s="505"/>
      <c r="E105" s="504"/>
      <c r="F105" s="504"/>
      <c r="G105" s="504"/>
      <c r="H105" s="504"/>
      <c r="I105" s="504"/>
      <c r="J105" s="504"/>
      <c r="K105" s="506" t="s">
        <v>129</v>
      </c>
      <c r="L105" s="504"/>
      <c r="M105" s="504"/>
    </row>
    <row r="106" spans="1:13" ht="16.5" customHeight="1">
      <c r="B106" s="504"/>
      <c r="C106" s="504"/>
      <c r="D106" s="505"/>
      <c r="E106" s="504"/>
      <c r="F106" s="504"/>
      <c r="G106" s="504"/>
      <c r="H106" s="504"/>
      <c r="I106" s="504"/>
      <c r="J106" s="504"/>
      <c r="K106" s="506"/>
      <c r="L106" s="504"/>
      <c r="M106" s="504"/>
    </row>
    <row r="107" spans="1:13">
      <c r="B107" s="504" t="s">
        <v>1</v>
      </c>
      <c r="C107" s="504"/>
      <c r="D107" s="505" t="s">
        <v>2</v>
      </c>
      <c r="E107" s="504"/>
      <c r="F107" s="504"/>
      <c r="G107" s="504"/>
      <c r="H107" s="504"/>
      <c r="J107" s="504"/>
      <c r="K107" s="506" t="str">
        <f>K4</f>
        <v>For the 12 months ended 12/31/2025</v>
      </c>
      <c r="L107" s="504"/>
      <c r="M107" s="504"/>
    </row>
    <row r="108" spans="1:13">
      <c r="B108" s="504"/>
      <c r="C108" s="509" t="s">
        <v>3</v>
      </c>
      <c r="D108" s="509" t="s">
        <v>4</v>
      </c>
      <c r="E108" s="509"/>
      <c r="F108" s="509"/>
      <c r="G108" s="509"/>
      <c r="H108" s="504"/>
      <c r="I108" s="504"/>
      <c r="J108" s="504"/>
      <c r="K108" s="504"/>
      <c r="L108" s="504"/>
      <c r="M108" s="504"/>
    </row>
    <row r="109" spans="1:13">
      <c r="B109" s="504"/>
      <c r="C109" s="509"/>
      <c r="D109" s="509"/>
      <c r="E109" s="509"/>
      <c r="F109" s="509"/>
      <c r="G109" s="509"/>
      <c r="H109" s="504"/>
      <c r="I109" s="504"/>
      <c r="J109" s="504"/>
      <c r="K109" s="504"/>
      <c r="L109" s="504"/>
      <c r="M109" s="504"/>
    </row>
    <row r="110" spans="1:13">
      <c r="A110" s="510"/>
      <c r="D110" s="503" t="str">
        <f>D7</f>
        <v>MON POWER</v>
      </c>
      <c r="J110" s="509"/>
      <c r="K110" s="509"/>
      <c r="L110" s="509"/>
      <c r="M110" s="509"/>
    </row>
    <row r="111" spans="1:13">
      <c r="A111" s="510"/>
      <c r="B111" s="510" t="s">
        <v>18</v>
      </c>
      <c r="C111" s="510" t="s">
        <v>19</v>
      </c>
      <c r="D111" s="510" t="s">
        <v>20</v>
      </c>
      <c r="E111" s="509" t="s">
        <v>3</v>
      </c>
      <c r="F111" s="509"/>
      <c r="G111" s="512" t="s">
        <v>21</v>
      </c>
      <c r="H111" s="509"/>
      <c r="I111" s="513" t="s">
        <v>22</v>
      </c>
      <c r="J111" s="509"/>
      <c r="K111" s="509"/>
      <c r="L111" s="504"/>
      <c r="M111" s="509"/>
    </row>
    <row r="112" spans="1:13">
      <c r="A112" s="510" t="s">
        <v>5</v>
      </c>
      <c r="B112" s="504"/>
      <c r="C112" s="543"/>
      <c r="D112" s="509"/>
      <c r="E112" s="509"/>
      <c r="F112" s="509"/>
      <c r="G112" s="510"/>
      <c r="H112" s="509"/>
      <c r="I112" s="544" t="s">
        <v>24</v>
      </c>
      <c r="J112" s="509"/>
      <c r="K112" s="544"/>
      <c r="L112" s="510"/>
      <c r="M112" s="509"/>
    </row>
    <row r="113" spans="1:13" ht="16" thickBot="1">
      <c r="A113" s="514" t="s">
        <v>7</v>
      </c>
      <c r="B113" s="504"/>
      <c r="C113" s="543" t="s">
        <v>280</v>
      </c>
      <c r="D113" s="544" t="s">
        <v>25</v>
      </c>
      <c r="E113" s="546"/>
      <c r="F113" s="544" t="s">
        <v>26</v>
      </c>
      <c r="H113" s="546"/>
      <c r="I113" s="510" t="s">
        <v>27</v>
      </c>
      <c r="J113" s="509"/>
      <c r="K113" s="544"/>
      <c r="L113" s="544"/>
      <c r="M113" s="509"/>
    </row>
    <row r="114" spans="1:13">
      <c r="A114" s="510"/>
      <c r="B114" s="2" t="s">
        <v>881</v>
      </c>
      <c r="C114" s="509"/>
      <c r="D114" s="509"/>
      <c r="E114" s="509"/>
      <c r="F114" s="509"/>
      <c r="G114" s="509"/>
      <c r="H114" s="509"/>
      <c r="I114" s="509"/>
      <c r="J114" s="509"/>
      <c r="K114" s="509"/>
      <c r="L114" s="509"/>
      <c r="M114" s="509"/>
    </row>
    <row r="115" spans="1:13">
      <c r="A115" s="510">
        <v>1</v>
      </c>
      <c r="B115" s="2" t="s">
        <v>882</v>
      </c>
      <c r="C115" s="647" t="s">
        <v>1047</v>
      </c>
      <c r="D115" s="523">
        <f>'Attachment 20 - O&amp;M and A&amp;G'!Q32</f>
        <v>14913032.221217178</v>
      </c>
      <c r="E115" s="509"/>
      <c r="F115" s="647" t="s">
        <v>299</v>
      </c>
      <c r="G115" s="549">
        <v>1</v>
      </c>
      <c r="H115" s="509"/>
      <c r="I115" s="550">
        <f>+G115*D115</f>
        <v>14913032.221217178</v>
      </c>
      <c r="J115" s="566"/>
      <c r="K115" s="509"/>
      <c r="L115" s="509"/>
      <c r="M115" s="510"/>
    </row>
    <row r="116" spans="1:13">
      <c r="A116" s="510">
        <v>2</v>
      </c>
      <c r="B116" s="872" t="s">
        <v>866</v>
      </c>
      <c r="C116" s="647" t="s">
        <v>1106</v>
      </c>
      <c r="D116" s="524">
        <v>2034545.710000003</v>
      </c>
      <c r="E116" s="509"/>
      <c r="F116" s="509" t="s">
        <v>422</v>
      </c>
      <c r="G116" s="549">
        <v>1</v>
      </c>
      <c r="H116" s="509"/>
      <c r="I116" s="523">
        <f>G116*D116</f>
        <v>2034545.710000003</v>
      </c>
      <c r="J116" s="504"/>
      <c r="K116" s="509"/>
      <c r="L116" s="509"/>
      <c r="M116" s="505"/>
    </row>
    <row r="117" spans="1:13">
      <c r="A117" s="510">
        <v>3</v>
      </c>
      <c r="B117" s="2" t="s">
        <v>883</v>
      </c>
      <c r="C117" s="647" t="s">
        <v>1062</v>
      </c>
      <c r="D117" s="523">
        <f>'Attachment 20 - O&amp;M and A&amp;G'!W52</f>
        <v>1653559.1978201815</v>
      </c>
      <c r="E117" s="509"/>
      <c r="F117" s="647" t="s">
        <v>299</v>
      </c>
      <c r="G117" s="549">
        <v>1</v>
      </c>
      <c r="H117" s="509"/>
      <c r="I117" s="550">
        <f>+G117*D117</f>
        <v>1653559.1978201815</v>
      </c>
      <c r="J117" s="509"/>
      <c r="K117" s="509" t="s">
        <v>3</v>
      </c>
      <c r="L117" s="509"/>
      <c r="M117" s="510"/>
    </row>
    <row r="118" spans="1:13">
      <c r="A118" s="510">
        <v>4</v>
      </c>
      <c r="B118" s="872" t="s">
        <v>760</v>
      </c>
      <c r="C118" s="647" t="s">
        <v>1046</v>
      </c>
      <c r="D118" s="1009">
        <f>D116/'Attachment 20 - O&amp;M and A&amp;G'!I32</f>
        <v>1.3476704628440318E-2</v>
      </c>
      <c r="E118" s="509"/>
      <c r="F118" s="594"/>
      <c r="G118" s="1010"/>
      <c r="H118" s="594"/>
      <c r="I118" s="1011"/>
      <c r="J118" s="509"/>
      <c r="K118" s="509"/>
      <c r="L118" s="509"/>
      <c r="M118" s="510"/>
    </row>
    <row r="119" spans="1:13" ht="31">
      <c r="A119" s="510">
        <v>5</v>
      </c>
      <c r="B119" s="872" t="s">
        <v>761</v>
      </c>
      <c r="C119" s="1008" t="s">
        <v>1048</v>
      </c>
      <c r="D119" s="1079">
        <f>D118*I213*(('Attachment 20 - O&amp;M and A&amp;G'!I52)-('Attachment 20 - O&amp;M and A&amp;G'!K52))</f>
        <v>22520.277670946249</v>
      </c>
      <c r="E119" s="509"/>
      <c r="F119" s="647" t="s">
        <v>299</v>
      </c>
      <c r="G119" s="549">
        <v>1</v>
      </c>
      <c r="H119" s="509"/>
      <c r="I119" s="1079">
        <f>D119*G119</f>
        <v>22520.277670946249</v>
      </c>
      <c r="J119" s="509"/>
      <c r="K119" s="509"/>
      <c r="L119" s="509"/>
      <c r="M119" s="510"/>
    </row>
    <row r="120" spans="1:13">
      <c r="A120" s="651">
        <v>6</v>
      </c>
      <c r="B120" s="2" t="s">
        <v>1058</v>
      </c>
      <c r="C120" s="647" t="s">
        <v>627</v>
      </c>
      <c r="D120" s="645">
        <f>'Attachment 6 - PBOP'!E18</f>
        <v>-17910.498955072871</v>
      </c>
      <c r="E120" s="509"/>
      <c r="F120" s="567" t="s">
        <v>422</v>
      </c>
      <c r="G120" s="549">
        <v>1</v>
      </c>
      <c r="H120" s="509"/>
      <c r="I120" s="550">
        <f>D120*G120</f>
        <v>-17910.498955072871</v>
      </c>
      <c r="J120" s="509"/>
      <c r="K120" s="509"/>
      <c r="L120" s="503"/>
      <c r="M120" s="510"/>
    </row>
    <row r="121" spans="1:13" s="1" customFormat="1">
      <c r="A121" s="651">
        <v>7</v>
      </c>
      <c r="B121" s="2" t="s">
        <v>200</v>
      </c>
      <c r="C121" s="654" t="s">
        <v>1187</v>
      </c>
      <c r="D121" s="655"/>
      <c r="E121" s="647"/>
      <c r="F121" s="647" t="s">
        <v>37</v>
      </c>
      <c r="G121" s="836">
        <f>K218</f>
        <v>3.3378594941179174E-2</v>
      </c>
      <c r="H121" s="647"/>
      <c r="I121" s="657">
        <f t="shared" ref="I121" si="2">+G121*D121</f>
        <v>0</v>
      </c>
      <c r="J121" s="647"/>
      <c r="K121" s="647"/>
      <c r="L121" s="647"/>
      <c r="M121" s="651"/>
    </row>
    <row r="122" spans="1:13" ht="16" thickBot="1">
      <c r="A122" s="651">
        <v>8</v>
      </c>
      <c r="B122" s="2" t="s">
        <v>874</v>
      </c>
      <c r="C122" s="654" t="s">
        <v>876</v>
      </c>
      <c r="D122" s="645">
        <f>'Attachment 19 - Reg Asset'!M26</f>
        <v>0</v>
      </c>
      <c r="E122" s="509"/>
      <c r="F122" s="509" t="s">
        <v>422</v>
      </c>
      <c r="G122" s="549">
        <v>1</v>
      </c>
      <c r="H122" s="509"/>
      <c r="I122" s="523">
        <f>G122*D122</f>
        <v>0</v>
      </c>
      <c r="J122" s="509"/>
      <c r="K122" s="509"/>
      <c r="L122" s="509"/>
      <c r="M122" s="510"/>
    </row>
    <row r="123" spans="1:13">
      <c r="A123" s="651">
        <v>9</v>
      </c>
      <c r="B123" s="2" t="s">
        <v>1049</v>
      </c>
      <c r="C123" s="647"/>
      <c r="D123" s="1012">
        <f>D115+D117+D120+D121-D116-D119+D122</f>
        <v>14491614.932411337</v>
      </c>
      <c r="E123" s="509"/>
      <c r="F123" s="509"/>
      <c r="G123" s="509"/>
      <c r="H123" s="509"/>
      <c r="I123" s="1013">
        <f>I115+I117+I120+I121-I116-I119+I122</f>
        <v>14491614.932411337</v>
      </c>
      <c r="J123" s="509"/>
      <c r="K123" s="509"/>
      <c r="L123" s="556"/>
      <c r="M123" s="509"/>
    </row>
    <row r="124" spans="1:13">
      <c r="A124" s="651"/>
      <c r="B124" s="1"/>
      <c r="C124" s="647"/>
      <c r="D124" s="657"/>
      <c r="E124" s="509"/>
      <c r="F124" s="509"/>
      <c r="G124" s="509"/>
      <c r="H124" s="509"/>
      <c r="I124" s="550"/>
      <c r="J124" s="509"/>
      <c r="K124" s="509"/>
      <c r="L124" s="509"/>
      <c r="M124" s="509"/>
    </row>
    <row r="125" spans="1:13">
      <c r="A125" s="651"/>
      <c r="B125" s="2" t="s">
        <v>179</v>
      </c>
      <c r="C125" s="647"/>
      <c r="D125" s="657"/>
      <c r="E125" s="509"/>
      <c r="F125" s="509"/>
      <c r="G125" s="509"/>
      <c r="H125" s="509"/>
      <c r="I125" s="550"/>
      <c r="J125" s="509"/>
      <c r="K125" s="509"/>
      <c r="L125" s="509"/>
      <c r="M125" s="509"/>
    </row>
    <row r="126" spans="1:13">
      <c r="A126" s="651">
        <v>10</v>
      </c>
      <c r="B126" s="2" t="s">
        <v>32</v>
      </c>
      <c r="C126" s="647" t="s">
        <v>1188</v>
      </c>
      <c r="D126" s="655">
        <v>16396545.126073722</v>
      </c>
      <c r="E126" s="509"/>
      <c r="F126" s="509" t="s">
        <v>12</v>
      </c>
      <c r="G126" s="549">
        <f>I196</f>
        <v>0.97009895452119421</v>
      </c>
      <c r="H126" s="509"/>
      <c r="I126" s="550">
        <f>+G126*D126</f>
        <v>15906271.2845637</v>
      </c>
      <c r="J126" s="509"/>
      <c r="K126" s="553"/>
      <c r="L126" s="509"/>
      <c r="M126" s="510"/>
    </row>
    <row r="127" spans="1:13">
      <c r="A127" s="651">
        <v>11</v>
      </c>
      <c r="B127" s="654" t="s">
        <v>34</v>
      </c>
      <c r="C127" s="647" t="s">
        <v>1189</v>
      </c>
      <c r="D127" s="655">
        <v>18829378</v>
      </c>
      <c r="E127" s="509"/>
      <c r="F127" s="509" t="s">
        <v>35</v>
      </c>
      <c r="G127" s="549">
        <f>I213</f>
        <v>3.3378594941179174E-2</v>
      </c>
      <c r="H127" s="509"/>
      <c r="I127" s="550">
        <f>+G127*D127</f>
        <v>628498.18125635048</v>
      </c>
      <c r="J127" s="509"/>
      <c r="K127" s="553"/>
      <c r="L127" s="503"/>
      <c r="M127" s="510"/>
    </row>
    <row r="128" spans="1:13">
      <c r="A128" s="651">
        <v>12</v>
      </c>
      <c r="B128" s="654" t="s">
        <v>753</v>
      </c>
      <c r="C128" s="647" t="s">
        <v>1106</v>
      </c>
      <c r="D128" s="655">
        <v>249236.42403900009</v>
      </c>
      <c r="E128" s="509"/>
      <c r="F128" s="509" t="s">
        <v>299</v>
      </c>
      <c r="G128" s="549">
        <v>1</v>
      </c>
      <c r="H128" s="509"/>
      <c r="I128" s="550">
        <f>D128*G128</f>
        <v>249236.42403900009</v>
      </c>
      <c r="J128" s="509"/>
      <c r="K128" s="553"/>
      <c r="L128" s="503"/>
      <c r="M128" s="510"/>
    </row>
    <row r="129" spans="1:13" ht="16" thickBot="1">
      <c r="A129" s="651">
        <v>13</v>
      </c>
      <c r="B129" s="2" t="str">
        <f>+B121</f>
        <v>Common</v>
      </c>
      <c r="C129" s="647" t="s">
        <v>1190</v>
      </c>
      <c r="D129" s="656"/>
      <c r="E129" s="509"/>
      <c r="F129" s="509" t="s">
        <v>37</v>
      </c>
      <c r="G129" s="549">
        <f>K218</f>
        <v>3.3378594941179174E-2</v>
      </c>
      <c r="H129" s="509"/>
      <c r="I129" s="561">
        <f>+G129*D129</f>
        <v>0</v>
      </c>
      <c r="J129" s="509"/>
      <c r="K129" s="553"/>
      <c r="L129" s="509"/>
      <c r="M129" s="510"/>
    </row>
    <row r="130" spans="1:13">
      <c r="A130" s="651">
        <v>14</v>
      </c>
      <c r="B130" s="2" t="s">
        <v>1050</v>
      </c>
      <c r="C130" s="647"/>
      <c r="D130" s="985">
        <f>D126+D127+D129-D128</f>
        <v>34976686.702034719</v>
      </c>
      <c r="E130" s="509"/>
      <c r="F130" s="509"/>
      <c r="G130" s="509"/>
      <c r="H130" s="509"/>
      <c r="I130" s="986">
        <f>I126+I127+I129-I128</f>
        <v>16285533.041781049</v>
      </c>
      <c r="J130" s="509"/>
      <c r="K130" s="509"/>
      <c r="L130" s="509"/>
      <c r="M130" s="509"/>
    </row>
    <row r="131" spans="1:13">
      <c r="A131" s="651"/>
      <c r="B131" s="2"/>
      <c r="C131" s="647"/>
      <c r="D131" s="657"/>
      <c r="E131" s="509"/>
      <c r="F131" s="509"/>
      <c r="G131" s="509"/>
      <c r="H131" s="509"/>
      <c r="I131" s="550"/>
      <c r="J131" s="509"/>
      <c r="K131" s="509"/>
      <c r="L131" s="509"/>
      <c r="M131" s="509"/>
    </row>
    <row r="132" spans="1:13">
      <c r="A132" s="651" t="s">
        <v>3</v>
      </c>
      <c r="B132" s="2" t="s">
        <v>1107</v>
      </c>
      <c r="C132" s="1"/>
      <c r="D132" s="657"/>
      <c r="E132" s="509"/>
      <c r="F132" s="509"/>
      <c r="G132" s="509"/>
      <c r="H132" s="509"/>
      <c r="I132" s="550"/>
      <c r="J132" s="509"/>
      <c r="K132" s="509"/>
      <c r="L132" s="509"/>
      <c r="M132" s="509"/>
    </row>
    <row r="133" spans="1:13">
      <c r="A133" s="651"/>
      <c r="B133" s="2" t="s">
        <v>53</v>
      </c>
      <c r="C133" s="1"/>
      <c r="D133" s="657"/>
      <c r="E133" s="509"/>
      <c r="F133" s="509"/>
      <c r="H133" s="509"/>
      <c r="I133" s="550"/>
      <c r="J133" s="509"/>
      <c r="K133" s="553"/>
      <c r="L133" s="563"/>
      <c r="M133" s="510"/>
    </row>
    <row r="134" spans="1:13">
      <c r="A134" s="651">
        <v>15</v>
      </c>
      <c r="B134" s="2" t="s">
        <v>54</v>
      </c>
      <c r="C134" s="647" t="s">
        <v>1191</v>
      </c>
      <c r="D134" s="645">
        <f>'Attachment 7 - Taxes Other '!D12</f>
        <v>5215748.5199999996</v>
      </c>
      <c r="E134" s="509"/>
      <c r="F134" s="509" t="s">
        <v>35</v>
      </c>
      <c r="G134" s="521">
        <f>I213</f>
        <v>3.3378594941179174E-2</v>
      </c>
      <c r="H134" s="509"/>
      <c r="I134" s="550">
        <f>+G134*D134</f>
        <v>174094.35716413474</v>
      </c>
      <c r="J134" s="509"/>
      <c r="K134" s="553"/>
      <c r="L134" s="568"/>
      <c r="M134" s="510"/>
    </row>
    <row r="135" spans="1:13">
      <c r="A135" s="651">
        <v>16</v>
      </c>
      <c r="B135" s="2" t="s">
        <v>56</v>
      </c>
      <c r="C135" s="647" t="s">
        <v>1192</v>
      </c>
      <c r="D135" s="645">
        <f>'Attachment 7 - Taxes Other '!D17</f>
        <v>1800</v>
      </c>
      <c r="E135" s="509"/>
      <c r="F135" s="509" t="str">
        <f>+F134</f>
        <v>W/S</v>
      </c>
      <c r="G135" s="521">
        <f>I213</f>
        <v>3.3378594941179174E-2</v>
      </c>
      <c r="H135" s="509"/>
      <c r="I135" s="550">
        <f>+G135*D135</f>
        <v>60.081470894122511</v>
      </c>
      <c r="J135" s="509"/>
      <c r="K135" s="553"/>
      <c r="L135" s="568"/>
      <c r="M135" s="510"/>
    </row>
    <row r="136" spans="1:13">
      <c r="A136" s="651">
        <v>17</v>
      </c>
      <c r="B136" s="2" t="s">
        <v>57</v>
      </c>
      <c r="C136" s="647" t="s">
        <v>3</v>
      </c>
      <c r="D136" s="645"/>
      <c r="E136" s="509"/>
      <c r="F136" s="509"/>
      <c r="H136" s="509"/>
      <c r="I136" s="550"/>
      <c r="J136" s="509"/>
      <c r="K136" s="553"/>
      <c r="L136" s="568"/>
      <c r="M136" s="510"/>
    </row>
    <row r="137" spans="1:13">
      <c r="A137" s="651">
        <v>18</v>
      </c>
      <c r="B137" s="2" t="s">
        <v>58</v>
      </c>
      <c r="C137" s="647" t="s">
        <v>1193</v>
      </c>
      <c r="D137" s="645">
        <f>'Attachment 7 - Taxes Other '!D23</f>
        <v>25453692</v>
      </c>
      <c r="E137" s="509"/>
      <c r="F137" s="509" t="s">
        <v>52</v>
      </c>
      <c r="G137" s="521">
        <f>+G47</f>
        <v>0.11579322578488699</v>
      </c>
      <c r="H137" s="509"/>
      <c r="I137" s="550">
        <f>+G137*D137</f>
        <v>2947365.1048149718</v>
      </c>
      <c r="J137" s="509"/>
      <c r="K137" s="553"/>
      <c r="L137" s="568"/>
      <c r="M137" s="505"/>
    </row>
    <row r="138" spans="1:13">
      <c r="A138" s="651">
        <v>19</v>
      </c>
      <c r="B138" s="2" t="s">
        <v>873</v>
      </c>
      <c r="C138" s="647" t="s">
        <v>1194</v>
      </c>
      <c r="D138" s="645">
        <f>'Attachment 7 - Taxes Other '!D31</f>
        <v>22698321.399999999</v>
      </c>
      <c r="E138" s="509"/>
      <c r="F138" s="509" t="str">
        <f>+F66</f>
        <v>NA</v>
      </c>
      <c r="G138" s="569"/>
      <c r="H138" s="509"/>
      <c r="I138" s="550">
        <v>0</v>
      </c>
      <c r="J138" s="509"/>
      <c r="K138" s="553"/>
      <c r="L138" s="568"/>
      <c r="M138" s="510"/>
    </row>
    <row r="139" spans="1:13">
      <c r="A139" s="651">
        <v>20</v>
      </c>
      <c r="B139" s="2" t="s">
        <v>59</v>
      </c>
      <c r="C139" s="647" t="s">
        <v>1195</v>
      </c>
      <c r="D139" s="645">
        <f>'Attachment 7 - Taxes Other '!D38</f>
        <v>13059.96</v>
      </c>
      <c r="E139" s="509"/>
      <c r="F139" s="509" t="str">
        <f>+F137</f>
        <v>GP</v>
      </c>
      <c r="G139" s="521">
        <f>+G47</f>
        <v>0.11579322578488699</v>
      </c>
      <c r="H139" s="509"/>
      <c r="I139" s="550">
        <f>+G139*D139</f>
        <v>1512.2548970215926</v>
      </c>
      <c r="J139" s="509"/>
      <c r="K139" s="553"/>
      <c r="L139" s="568"/>
      <c r="M139" s="510"/>
    </row>
    <row r="140" spans="1:13" ht="16" thickBot="1">
      <c r="A140" s="651">
        <v>21</v>
      </c>
      <c r="B140" s="2" t="s">
        <v>60</v>
      </c>
      <c r="C140" s="647" t="s">
        <v>840</v>
      </c>
      <c r="D140" s="646">
        <f>'Attachment 7 - Taxes Other '!D40</f>
        <v>0</v>
      </c>
      <c r="E140" s="509"/>
      <c r="F140" s="509" t="s">
        <v>52</v>
      </c>
      <c r="G140" s="521">
        <f>+G47</f>
        <v>0.11579322578488699</v>
      </c>
      <c r="H140" s="509"/>
      <c r="I140" s="552">
        <f>+G140*D140</f>
        <v>0</v>
      </c>
      <c r="J140" s="509"/>
      <c r="K140" s="553"/>
      <c r="L140" s="568"/>
      <c r="M140" s="510"/>
    </row>
    <row r="141" spans="1:13">
      <c r="A141" s="651">
        <v>22</v>
      </c>
      <c r="B141" s="2" t="s">
        <v>1051</v>
      </c>
      <c r="C141" s="647"/>
      <c r="D141" s="645">
        <f>SUM(D134:D140)</f>
        <v>53382621.880000003</v>
      </c>
      <c r="E141" s="509"/>
      <c r="F141" s="509"/>
      <c r="G141" s="521"/>
      <c r="H141" s="509"/>
      <c r="I141" s="550">
        <f>SUM(I134:I140)</f>
        <v>3123031.7983470224</v>
      </c>
      <c r="J141" s="509"/>
      <c r="K141" s="509"/>
      <c r="L141" s="556"/>
      <c r="M141" s="509"/>
    </row>
    <row r="142" spans="1:13">
      <c r="A142" s="651"/>
      <c r="B142" s="2"/>
      <c r="C142" s="647"/>
      <c r="D142" s="647"/>
      <c r="E142" s="509"/>
      <c r="F142" s="509"/>
      <c r="G142" s="521"/>
      <c r="H142" s="509"/>
      <c r="I142" s="532"/>
      <c r="J142" s="509"/>
      <c r="K142" s="509"/>
      <c r="L142" s="556"/>
      <c r="M142" s="509"/>
    </row>
    <row r="143" spans="1:13">
      <c r="A143" s="651" t="s">
        <v>3</v>
      </c>
      <c r="B143" s="2" t="s">
        <v>61</v>
      </c>
      <c r="C143" s="647" t="s">
        <v>1108</v>
      </c>
      <c r="D143" s="658"/>
      <c r="E143" s="509"/>
      <c r="G143" s="570"/>
      <c r="H143" s="509"/>
      <c r="I143" s="532"/>
      <c r="J143" s="509"/>
      <c r="L143" s="509"/>
      <c r="M143" s="510"/>
    </row>
    <row r="144" spans="1:13">
      <c r="A144" s="651">
        <v>23</v>
      </c>
      <c r="B144" s="664" t="s">
        <v>62</v>
      </c>
      <c r="C144" s="647"/>
      <c r="D144" s="659">
        <f>IF(D297&gt;0,1-(((1-D298)*(1-D297))/(1-D298*D297*D299)),0)</f>
        <v>0.2580014665</v>
      </c>
      <c r="E144" s="546"/>
      <c r="G144" s="570"/>
      <c r="H144" s="509"/>
      <c r="I144" s="532"/>
      <c r="J144" s="509"/>
      <c r="L144" s="571"/>
      <c r="M144" s="510"/>
    </row>
    <row r="145" spans="1:13">
      <c r="A145" s="651">
        <v>24</v>
      </c>
      <c r="B145" s="1" t="s">
        <v>820</v>
      </c>
      <c r="C145" s="647"/>
      <c r="D145" s="659">
        <f>IF(I248&gt;0,(D144/(1-D144))*(1-I245/I248),0)</f>
        <v>0.24996683810827264</v>
      </c>
      <c r="E145" s="509"/>
      <c r="G145" s="570"/>
      <c r="H145" s="509"/>
      <c r="I145" s="532"/>
      <c r="J145" s="509"/>
      <c r="K145" s="571"/>
      <c r="L145" s="571"/>
      <c r="M145" s="510"/>
    </row>
    <row r="146" spans="1:13">
      <c r="A146" s="651"/>
      <c r="B146" s="2" t="s">
        <v>861</v>
      </c>
      <c r="C146" s="647"/>
      <c r="D146" s="647"/>
      <c r="E146" s="509"/>
      <c r="G146" s="570"/>
      <c r="H146" s="509"/>
      <c r="I146" s="532"/>
      <c r="J146" s="509"/>
      <c r="K146" s="571"/>
      <c r="L146" s="571"/>
      <c r="M146" s="510"/>
    </row>
    <row r="147" spans="1:13">
      <c r="A147" s="651"/>
      <c r="B147" s="2" t="s">
        <v>63</v>
      </c>
      <c r="C147" s="647"/>
      <c r="D147" s="647"/>
      <c r="E147" s="509"/>
      <c r="G147" s="570"/>
      <c r="H147" s="509"/>
      <c r="I147" s="532"/>
      <c r="J147" s="509"/>
      <c r="K147" s="571"/>
      <c r="L147" s="571"/>
      <c r="M147" s="510"/>
    </row>
    <row r="148" spans="1:13">
      <c r="A148" s="651">
        <v>25</v>
      </c>
      <c r="B148" s="664" t="s">
        <v>1052</v>
      </c>
      <c r="C148" s="647"/>
      <c r="D148" s="1078">
        <f>IF(D144&gt;0,1/(1-D144),0)</f>
        <v>1.3477115585161732</v>
      </c>
      <c r="E148" s="509"/>
      <c r="G148" s="570"/>
      <c r="H148" s="509"/>
      <c r="I148" s="550"/>
      <c r="J148" s="509"/>
      <c r="K148" s="571"/>
      <c r="L148" s="572"/>
      <c r="M148" s="510"/>
    </row>
    <row r="149" spans="1:13">
      <c r="A149" s="651">
        <v>26</v>
      </c>
      <c r="B149" s="2" t="s">
        <v>248</v>
      </c>
      <c r="C149" s="647"/>
      <c r="D149" s="655"/>
      <c r="E149" s="509"/>
      <c r="G149" s="570"/>
      <c r="H149" s="509"/>
      <c r="I149" s="550"/>
      <c r="J149" s="509"/>
      <c r="K149" s="571"/>
      <c r="L149" s="509"/>
      <c r="M149" s="510"/>
    </row>
    <row r="150" spans="1:13">
      <c r="A150" s="651">
        <v>27</v>
      </c>
      <c r="B150" s="2" t="s">
        <v>762</v>
      </c>
      <c r="C150" s="647" t="s">
        <v>941</v>
      </c>
      <c r="D150" s="655">
        <f>117844.5*D144</f>
        <v>30404.053818959248</v>
      </c>
      <c r="E150" s="509"/>
      <c r="G150" s="570"/>
      <c r="H150" s="509"/>
      <c r="I150" s="550"/>
      <c r="J150" s="509"/>
      <c r="K150" s="571"/>
      <c r="L150" s="509"/>
      <c r="M150" s="510"/>
    </row>
    <row r="151" spans="1:13">
      <c r="A151" s="651">
        <v>28</v>
      </c>
      <c r="B151" s="2" t="s">
        <v>763</v>
      </c>
      <c r="C151" s="647" t="s">
        <v>942</v>
      </c>
      <c r="D151" s="645">
        <f>'Attach 15 - Excess_Def ADIT'!H54</f>
        <v>-28849.593408145069</v>
      </c>
      <c r="E151" s="509"/>
      <c r="G151" s="570"/>
      <c r="H151" s="509"/>
      <c r="I151" s="550"/>
      <c r="J151" s="509"/>
      <c r="K151" s="1062"/>
      <c r="L151" s="509"/>
      <c r="M151" s="510"/>
    </row>
    <row r="152" spans="1:13">
      <c r="A152" s="651">
        <v>29</v>
      </c>
      <c r="B152" s="664" t="s">
        <v>1053</v>
      </c>
      <c r="C152" s="660"/>
      <c r="D152" s="645">
        <f>D145*D158</f>
        <v>82171162.028070018</v>
      </c>
      <c r="E152" s="509"/>
      <c r="F152" s="509" t="s">
        <v>31</v>
      </c>
      <c r="G152" s="521"/>
      <c r="H152" s="509"/>
      <c r="I152" s="550">
        <f>D145*I158</f>
        <v>9489415.3400761764</v>
      </c>
      <c r="J152" s="509"/>
      <c r="K152" s="1061"/>
      <c r="L152" s="509"/>
      <c r="M152" s="509"/>
    </row>
    <row r="153" spans="1:13">
      <c r="A153" s="651">
        <v>30</v>
      </c>
      <c r="B153" s="1" t="s">
        <v>1054</v>
      </c>
      <c r="C153" s="660"/>
      <c r="D153" s="644">
        <f>D148*D149</f>
        <v>0</v>
      </c>
      <c r="E153" s="573"/>
      <c r="F153" s="871" t="s">
        <v>52</v>
      </c>
      <c r="G153" s="574">
        <f>+G47</f>
        <v>0.11579322578488699</v>
      </c>
      <c r="H153" s="573"/>
      <c r="I153" s="561">
        <f>G153*D153</f>
        <v>0</v>
      </c>
      <c r="J153" s="509"/>
      <c r="K153" s="568"/>
      <c r="L153" s="509"/>
      <c r="M153" s="509"/>
    </row>
    <row r="154" spans="1:13">
      <c r="A154" s="651">
        <v>31</v>
      </c>
      <c r="B154" s="1" t="s">
        <v>1055</v>
      </c>
      <c r="C154" s="660"/>
      <c r="D154" s="644">
        <f>D148*D150</f>
        <v>40975.894757559174</v>
      </c>
      <c r="E154" s="573"/>
      <c r="F154" s="573" t="s">
        <v>299</v>
      </c>
      <c r="G154" s="574">
        <v>1</v>
      </c>
      <c r="H154" s="573"/>
      <c r="I154" s="561">
        <f>G154*D154</f>
        <v>40975.894757559174</v>
      </c>
      <c r="J154" s="509"/>
      <c r="K154" s="568"/>
      <c r="L154" s="509"/>
      <c r="M154" s="509"/>
    </row>
    <row r="155" spans="1:13" ht="16" thickBot="1">
      <c r="A155" s="651">
        <v>32</v>
      </c>
      <c r="B155" s="1" t="s">
        <v>1056</v>
      </c>
      <c r="C155" s="660"/>
      <c r="D155" s="646">
        <f>D148*D151</f>
        <v>-38880.93049464911</v>
      </c>
      <c r="E155" s="573"/>
      <c r="F155" s="573" t="s">
        <v>299</v>
      </c>
      <c r="G155" s="574">
        <f>G154</f>
        <v>1</v>
      </c>
      <c r="H155" s="573"/>
      <c r="I155" s="552">
        <f>D155*G155</f>
        <v>-38880.93049464911</v>
      </c>
      <c r="J155" s="509"/>
      <c r="K155" s="568"/>
      <c r="L155" s="509"/>
      <c r="M155" s="509"/>
    </row>
    <row r="156" spans="1:13">
      <c r="A156" s="651">
        <v>33</v>
      </c>
      <c r="B156" s="664" t="s">
        <v>64</v>
      </c>
      <c r="C156" s="1" t="s">
        <v>1057</v>
      </c>
      <c r="D156" s="687">
        <f>+D152+D153+D154+D155</f>
        <v>82173256.99233292</v>
      </c>
      <c r="E156" s="509"/>
      <c r="F156" s="509" t="s">
        <v>3</v>
      </c>
      <c r="G156" s="521" t="s">
        <v>3</v>
      </c>
      <c r="H156" s="509"/>
      <c r="I156" s="688">
        <f>+I152+I153+I154+I155</f>
        <v>9491510.3043390866</v>
      </c>
      <c r="J156" s="509"/>
      <c r="K156" s="509"/>
      <c r="L156" s="509"/>
      <c r="M156" s="509"/>
    </row>
    <row r="157" spans="1:13">
      <c r="A157" s="651" t="s">
        <v>3</v>
      </c>
      <c r="B157" s="1"/>
      <c r="C157" s="665"/>
      <c r="D157" s="657"/>
      <c r="E157" s="509"/>
      <c r="F157" s="509"/>
      <c r="G157" s="521"/>
      <c r="H157" s="509"/>
      <c r="I157" s="550"/>
      <c r="J157" s="509"/>
      <c r="K157" s="509"/>
      <c r="L157" s="509"/>
      <c r="M157" s="509"/>
    </row>
    <row r="158" spans="1:13" ht="31">
      <c r="A158" s="651">
        <v>34</v>
      </c>
      <c r="B158" s="2" t="s">
        <v>65</v>
      </c>
      <c r="C158" s="870" t="s">
        <v>1259</v>
      </c>
      <c r="D158" s="657">
        <f>+$I248*D85</f>
        <v>328728253.1152302</v>
      </c>
      <c r="E158" s="509"/>
      <c r="F158" s="509" t="s">
        <v>31</v>
      </c>
      <c r="G158" s="570"/>
      <c r="H158" s="509"/>
      <c r="I158" s="550">
        <f>+$I248*I85</f>
        <v>37962697.019697689</v>
      </c>
      <c r="J158" s="509"/>
      <c r="L158" s="509"/>
      <c r="M158" s="510"/>
    </row>
    <row r="159" spans="1:13">
      <c r="A159" s="651"/>
      <c r="B159" s="666"/>
      <c r="C159" s="1"/>
      <c r="D159" s="657"/>
      <c r="E159" s="509"/>
      <c r="F159" s="509"/>
      <c r="G159" s="570"/>
      <c r="H159" s="509"/>
      <c r="I159" s="550"/>
      <c r="J159" s="509"/>
      <c r="K159" s="553"/>
      <c r="L159" s="509"/>
      <c r="M159" s="510"/>
    </row>
    <row r="160" spans="1:13">
      <c r="A160" s="651"/>
      <c r="B160" s="2"/>
      <c r="C160" s="1"/>
      <c r="D160" s="661"/>
      <c r="E160" s="509"/>
      <c r="F160" s="509"/>
      <c r="G160" s="570"/>
      <c r="H160" s="509"/>
      <c r="I160" s="561"/>
      <c r="J160" s="509"/>
      <c r="K160" s="553"/>
      <c r="L160" s="509"/>
      <c r="M160" s="510"/>
    </row>
    <row r="161" spans="1:14" s="1" customFormat="1" ht="31">
      <c r="A161" s="651">
        <v>35</v>
      </c>
      <c r="B161" s="667" t="s">
        <v>435</v>
      </c>
      <c r="C161" s="664" t="s">
        <v>1258</v>
      </c>
      <c r="D161" s="662">
        <f>+D123+D130+D141+D156+D158</f>
        <v>513752433.62200916</v>
      </c>
      <c r="E161" s="647"/>
      <c r="F161" s="647"/>
      <c r="G161" s="647"/>
      <c r="H161" s="647"/>
      <c r="I161" s="662">
        <f>+I123+I130+I141+I156+I158</f>
        <v>81354387.096576184</v>
      </c>
      <c r="J161" s="2"/>
      <c r="K161" s="2"/>
      <c r="L161" s="2"/>
      <c r="M161" s="2"/>
    </row>
    <row r="162" spans="1:14" s="1" customFormat="1">
      <c r="A162" s="651"/>
      <c r="B162" s="664"/>
      <c r="C162" s="647"/>
      <c r="D162" s="647"/>
      <c r="E162" s="647"/>
      <c r="F162" s="647"/>
      <c r="G162" s="647"/>
      <c r="H162" s="647"/>
      <c r="I162" s="647"/>
      <c r="J162" s="2"/>
      <c r="K162" s="2"/>
      <c r="L162" s="2"/>
      <c r="M162" s="2"/>
    </row>
    <row r="163" spans="1:14">
      <c r="A163" s="510">
        <v>36</v>
      </c>
      <c r="B163" s="2" t="s">
        <v>750</v>
      </c>
      <c r="C163" s="2" t="s">
        <v>1109</v>
      </c>
      <c r="D163" s="527">
        <f>'Attach 2b - Incent ROE NITS'!AM31</f>
        <v>0</v>
      </c>
      <c r="E163" s="509"/>
      <c r="F163" s="647"/>
      <c r="G163" s="521"/>
      <c r="H163" s="509"/>
      <c r="I163" s="522">
        <f>D163</f>
        <v>0</v>
      </c>
      <c r="J163" s="504"/>
      <c r="K163" s="518"/>
      <c r="L163" s="504"/>
      <c r="N163" s="504"/>
    </row>
    <row r="164" spans="1:14">
      <c r="A164" s="510">
        <v>37</v>
      </c>
      <c r="B164" s="2" t="s">
        <v>751</v>
      </c>
      <c r="C164" s="2" t="s">
        <v>1110</v>
      </c>
      <c r="D164" s="527">
        <f>'Attachment 11 - TEC'!N78</f>
        <v>0</v>
      </c>
      <c r="E164" s="509"/>
      <c r="F164" s="647"/>
      <c r="G164" s="521"/>
      <c r="H164" s="509"/>
      <c r="I164" s="522">
        <f>D164</f>
        <v>0</v>
      </c>
      <c r="J164" s="504"/>
      <c r="K164" s="518"/>
      <c r="L164" s="504"/>
      <c r="N164" s="504"/>
    </row>
    <row r="165" spans="1:14" s="1" customFormat="1">
      <c r="A165" s="651"/>
      <c r="B165" s="664"/>
      <c r="C165" s="647"/>
      <c r="D165" s="647"/>
      <c r="E165" s="647"/>
      <c r="F165" s="647"/>
      <c r="G165" s="647"/>
      <c r="H165" s="647"/>
      <c r="I165" s="647"/>
      <c r="J165" s="2"/>
      <c r="K165" s="2"/>
      <c r="L165" s="2"/>
      <c r="M165" s="2"/>
    </row>
    <row r="166" spans="1:14" s="1" customFormat="1" ht="16" thickBot="1">
      <c r="A166" s="651"/>
      <c r="C166" s="647"/>
      <c r="J166" s="2"/>
      <c r="K166" s="2"/>
      <c r="L166" s="2"/>
      <c r="M166" s="2"/>
    </row>
    <row r="167" spans="1:14" s="782" customFormat="1" ht="16" thickBot="1">
      <c r="A167" s="651">
        <v>38</v>
      </c>
      <c r="B167" s="664" t="s">
        <v>549</v>
      </c>
      <c r="C167" s="664" t="s">
        <v>1059</v>
      </c>
      <c r="D167" s="663">
        <f>D161+D163+D164</f>
        <v>513752433.62200916</v>
      </c>
      <c r="E167" s="647"/>
      <c r="F167" s="647"/>
      <c r="G167" s="647"/>
      <c r="H167" s="647"/>
      <c r="I167" s="663">
        <f>I161+I163+I164</f>
        <v>81354387.096576184</v>
      </c>
      <c r="J167" s="781"/>
      <c r="K167" s="781"/>
      <c r="L167" s="781"/>
      <c r="M167" s="781"/>
    </row>
    <row r="168" spans="1:14" ht="16" thickTop="1">
      <c r="A168" s="651"/>
      <c r="B168" s="666"/>
      <c r="C168" s="647"/>
      <c r="D168" s="647"/>
      <c r="E168" s="509"/>
      <c r="F168" s="509"/>
      <c r="G168" s="509"/>
      <c r="H168" s="509"/>
      <c r="I168" s="509"/>
      <c r="J168" s="504"/>
      <c r="K168" s="504"/>
      <c r="L168" s="504"/>
      <c r="M168" s="504"/>
    </row>
    <row r="169" spans="1:14">
      <c r="A169" s="651"/>
      <c r="B169" s="664"/>
      <c r="C169" s="647"/>
      <c r="D169" s="647"/>
      <c r="E169" s="509"/>
      <c r="F169" s="509"/>
      <c r="G169" s="509"/>
      <c r="H169" s="509"/>
      <c r="I169" s="509"/>
      <c r="J169" s="504"/>
      <c r="K169" s="504"/>
      <c r="L169" s="504"/>
      <c r="M169" s="504"/>
    </row>
    <row r="170" spans="1:14">
      <c r="A170" s="651"/>
      <c r="B170" s="664"/>
      <c r="C170" s="647"/>
      <c r="D170" s="647"/>
      <c r="E170" s="509"/>
      <c r="F170" s="509"/>
      <c r="G170" s="509"/>
      <c r="H170" s="509"/>
      <c r="I170" s="509"/>
      <c r="J170" s="504"/>
      <c r="K170" s="504"/>
      <c r="L170" s="504"/>
      <c r="M170" s="504"/>
    </row>
    <row r="171" spans="1:14">
      <c r="A171" s="510"/>
      <c r="B171" s="559"/>
      <c r="C171" s="509"/>
      <c r="D171" s="509"/>
      <c r="E171" s="509"/>
      <c r="F171" s="509"/>
      <c r="G171" s="509"/>
      <c r="H171" s="509"/>
      <c r="I171" s="509"/>
      <c r="J171" s="504"/>
      <c r="K171" s="504"/>
      <c r="L171" s="504"/>
      <c r="M171" s="504"/>
    </row>
    <row r="172" spans="1:14">
      <c r="A172" s="510"/>
      <c r="B172" s="559"/>
      <c r="C172" s="509"/>
      <c r="D172" s="509"/>
      <c r="E172" s="509"/>
      <c r="F172" s="509"/>
      <c r="G172" s="509"/>
      <c r="H172" s="509"/>
      <c r="I172" s="509"/>
      <c r="J172" s="504"/>
      <c r="K172" s="504"/>
      <c r="L172" s="504"/>
      <c r="M172" s="504"/>
    </row>
    <row r="173" spans="1:14">
      <c r="A173" s="510"/>
      <c r="B173" s="559"/>
      <c r="C173" s="509"/>
      <c r="D173" s="509"/>
      <c r="E173" s="509"/>
      <c r="F173" s="509"/>
      <c r="G173" s="509"/>
      <c r="H173" s="509"/>
      <c r="I173" s="509"/>
      <c r="J173" s="504"/>
      <c r="K173" s="504"/>
      <c r="L173" s="504"/>
      <c r="M173" s="504"/>
    </row>
    <row r="174" spans="1:14">
      <c r="A174" s="510"/>
      <c r="B174" s="559"/>
      <c r="C174" s="509"/>
      <c r="D174" s="509"/>
      <c r="E174" s="509"/>
      <c r="F174" s="509"/>
      <c r="G174" s="509"/>
      <c r="H174" s="509"/>
      <c r="I174" s="509"/>
      <c r="J174" s="504"/>
      <c r="K174" s="504"/>
      <c r="L174" s="504"/>
      <c r="M174" s="504"/>
    </row>
    <row r="175" spans="1:14">
      <c r="A175" s="510"/>
      <c r="B175" s="559"/>
      <c r="C175" s="509"/>
      <c r="D175" s="509"/>
      <c r="E175" s="509"/>
      <c r="F175" s="509"/>
      <c r="G175" s="509"/>
      <c r="H175" s="509"/>
      <c r="I175" s="509"/>
      <c r="J175" s="504"/>
      <c r="K175" s="504"/>
      <c r="L175" s="504"/>
      <c r="M175" s="504"/>
    </row>
    <row r="176" spans="1:14">
      <c r="A176" s="510"/>
      <c r="B176" s="559"/>
      <c r="C176" s="509"/>
      <c r="D176" s="509"/>
      <c r="E176" s="509"/>
      <c r="F176" s="509"/>
      <c r="G176" s="509"/>
      <c r="H176" s="509"/>
      <c r="I176" s="509"/>
      <c r="J176" s="504"/>
      <c r="K176" s="504"/>
      <c r="L176" s="504"/>
      <c r="M176" s="504"/>
    </row>
    <row r="177" spans="1:13">
      <c r="A177" s="510"/>
      <c r="B177" s="559"/>
      <c r="C177" s="509"/>
      <c r="D177" s="509"/>
      <c r="E177" s="509"/>
      <c r="F177" s="509"/>
      <c r="G177" s="509"/>
      <c r="H177" s="509"/>
      <c r="I177" s="509"/>
      <c r="J177" s="504"/>
      <c r="K177" s="504"/>
      <c r="L177" s="504"/>
      <c r="M177" s="504"/>
    </row>
    <row r="178" spans="1:13">
      <c r="A178" s="565"/>
      <c r="B178" s="504"/>
      <c r="C178" s="509"/>
      <c r="D178" s="509"/>
      <c r="E178" s="509"/>
      <c r="F178" s="509"/>
      <c r="G178" s="553"/>
      <c r="H178" s="509"/>
      <c r="I178" s="509"/>
      <c r="J178" s="509"/>
      <c r="K178" s="547"/>
      <c r="L178" s="503"/>
    </row>
    <row r="179" spans="1:13">
      <c r="A179" s="565"/>
      <c r="B179" s="504"/>
      <c r="C179" s="509"/>
      <c r="D179" s="509"/>
      <c r="E179" s="509"/>
      <c r="F179" s="509"/>
      <c r="G179" s="553"/>
      <c r="H179" s="509"/>
      <c r="I179" s="509"/>
      <c r="J179" s="509"/>
      <c r="K179" s="547"/>
      <c r="L179" s="503"/>
    </row>
    <row r="180" spans="1:13">
      <c r="B180" s="504"/>
      <c r="C180" s="504"/>
      <c r="D180" s="505"/>
      <c r="E180" s="504"/>
      <c r="F180" s="504"/>
      <c r="G180" s="504"/>
      <c r="H180" s="504"/>
      <c r="I180" s="510"/>
      <c r="J180" s="510"/>
      <c r="K180" s="506"/>
      <c r="L180" s="504"/>
      <c r="M180" s="504"/>
    </row>
    <row r="181" spans="1:13">
      <c r="B181" s="504"/>
      <c r="C181" s="504"/>
      <c r="D181" s="505"/>
      <c r="E181" s="504"/>
      <c r="F181" s="504"/>
      <c r="G181" s="504"/>
      <c r="H181" s="504"/>
      <c r="I181" s="506"/>
      <c r="J181" s="506"/>
      <c r="K181" s="506"/>
      <c r="L181" s="504"/>
      <c r="M181" s="504"/>
    </row>
    <row r="182" spans="1:13" ht="16.5" customHeight="1">
      <c r="B182" s="504"/>
      <c r="C182" s="504"/>
      <c r="D182" s="505"/>
      <c r="E182" s="504"/>
      <c r="F182" s="504"/>
      <c r="G182" s="504"/>
      <c r="H182" s="504"/>
      <c r="I182" s="504"/>
      <c r="K182" s="506" t="str">
        <f>K104</f>
        <v>Attachment H -11A</v>
      </c>
      <c r="L182" s="504"/>
      <c r="M182" s="504"/>
    </row>
    <row r="183" spans="1:13" ht="16.5" customHeight="1">
      <c r="B183" s="504"/>
      <c r="C183" s="504"/>
      <c r="D183" s="505"/>
      <c r="E183" s="504"/>
      <c r="F183" s="504"/>
      <c r="G183" s="504"/>
      <c r="H183" s="504"/>
      <c r="I183" s="504"/>
      <c r="J183" s="504"/>
      <c r="K183" s="506" t="s">
        <v>130</v>
      </c>
      <c r="L183" s="504"/>
      <c r="M183" s="504"/>
    </row>
    <row r="184" spans="1:13" ht="16.5" customHeight="1">
      <c r="B184" s="504"/>
      <c r="C184" s="504"/>
      <c r="D184" s="505"/>
      <c r="E184" s="504"/>
      <c r="F184" s="504"/>
      <c r="G184" s="504"/>
      <c r="H184" s="504"/>
      <c r="I184" s="504"/>
      <c r="J184" s="504"/>
      <c r="K184" s="506"/>
      <c r="L184" s="504"/>
      <c r="M184" s="504"/>
    </row>
    <row r="185" spans="1:13">
      <c r="B185" s="504" t="s">
        <v>1</v>
      </c>
      <c r="C185" s="504"/>
      <c r="D185" s="505" t="s">
        <v>2</v>
      </c>
      <c r="E185" s="504"/>
      <c r="F185" s="504"/>
      <c r="G185" s="504"/>
      <c r="H185" s="504"/>
      <c r="I185" s="504"/>
      <c r="J185" s="504"/>
      <c r="K185" s="506" t="str">
        <f>K4</f>
        <v>For the 12 months ended 12/31/2025</v>
      </c>
      <c r="L185" s="504"/>
      <c r="M185" s="504"/>
    </row>
    <row r="186" spans="1:13">
      <c r="B186" s="504"/>
      <c r="C186" s="509" t="s">
        <v>3</v>
      </c>
      <c r="D186" s="509" t="s">
        <v>4</v>
      </c>
      <c r="E186" s="509"/>
      <c r="F186" s="509"/>
      <c r="G186" s="509"/>
      <c r="H186" s="504"/>
      <c r="I186" s="504"/>
      <c r="J186" s="504"/>
      <c r="K186" s="504"/>
      <c r="L186" s="504"/>
      <c r="M186" s="504"/>
    </row>
    <row r="187" spans="1:13" ht="9.75" customHeight="1">
      <c r="A187" s="510"/>
      <c r="J187" s="509"/>
      <c r="K187" s="509"/>
      <c r="L187" s="509"/>
      <c r="M187" s="509"/>
    </row>
    <row r="188" spans="1:13">
      <c r="A188" s="510"/>
      <c r="D188" s="503" t="str">
        <f>D7</f>
        <v>MON POWER</v>
      </c>
      <c r="J188" s="509"/>
      <c r="K188" s="509"/>
      <c r="L188" s="509"/>
      <c r="M188" s="509"/>
    </row>
    <row r="189" spans="1:13">
      <c r="A189" s="510"/>
      <c r="C189" s="548" t="s">
        <v>66</v>
      </c>
      <c r="E189" s="504"/>
      <c r="F189" s="504"/>
      <c r="G189" s="504"/>
      <c r="H189" s="504"/>
      <c r="I189" s="504"/>
      <c r="J189" s="509"/>
      <c r="K189" s="509"/>
      <c r="L189" s="504"/>
      <c r="M189" s="509"/>
    </row>
    <row r="190" spans="1:13">
      <c r="A190" s="510" t="s">
        <v>5</v>
      </c>
      <c r="B190" s="510" t="s">
        <v>18</v>
      </c>
      <c r="C190" s="510" t="s">
        <v>19</v>
      </c>
      <c r="D190" s="510" t="s">
        <v>20</v>
      </c>
      <c r="E190" s="513" t="s">
        <v>21</v>
      </c>
      <c r="F190" s="509"/>
      <c r="G190" s="513" t="s">
        <v>22</v>
      </c>
      <c r="H190" s="509"/>
      <c r="I190" s="513" t="s">
        <v>23</v>
      </c>
      <c r="J190" s="509"/>
      <c r="L190" s="504"/>
      <c r="M190" s="509"/>
    </row>
    <row r="191" spans="1:13" ht="16" thickBot="1">
      <c r="A191" s="514" t="s">
        <v>7</v>
      </c>
      <c r="B191" s="504" t="s">
        <v>67</v>
      </c>
      <c r="C191" s="504"/>
      <c r="D191" s="504"/>
      <c r="E191" s="504"/>
      <c r="F191" s="504"/>
      <c r="G191" s="504"/>
      <c r="J191" s="509"/>
      <c r="K191" s="509"/>
      <c r="L191" s="504"/>
      <c r="M191" s="509"/>
    </row>
    <row r="192" spans="1:13">
      <c r="A192" s="510">
        <v>1</v>
      </c>
      <c r="B192" s="504" t="s">
        <v>841</v>
      </c>
      <c r="C192" s="504"/>
      <c r="D192" s="509"/>
      <c r="E192" s="509"/>
      <c r="F192" s="509"/>
      <c r="G192" s="509"/>
      <c r="H192" s="509"/>
      <c r="I192" s="523">
        <f>D43</f>
        <v>811827030.8376348</v>
      </c>
      <c r="J192" s="509"/>
      <c r="K192" s="509"/>
      <c r="L192" s="504"/>
      <c r="M192" s="509"/>
    </row>
    <row r="193" spans="1:13">
      <c r="A193" s="510">
        <v>2</v>
      </c>
      <c r="B193" s="2" t="s">
        <v>1111</v>
      </c>
      <c r="I193" s="524"/>
      <c r="J193" s="509"/>
      <c r="K193" s="509"/>
      <c r="L193" s="509"/>
      <c r="M193" s="509"/>
    </row>
    <row r="194" spans="1:13" ht="16" thickBot="1">
      <c r="A194" s="510">
        <v>3</v>
      </c>
      <c r="B194" s="1014" t="s">
        <v>1112</v>
      </c>
      <c r="C194" s="575"/>
      <c r="D194" s="509"/>
      <c r="E194" s="509"/>
      <c r="F194" s="509"/>
      <c r="G194" s="563"/>
      <c r="H194" s="509"/>
      <c r="I194" s="576">
        <v>24274476.969999999</v>
      </c>
      <c r="J194" s="509"/>
      <c r="K194" s="509"/>
      <c r="L194" s="509"/>
      <c r="M194" s="509"/>
    </row>
    <row r="195" spans="1:13">
      <c r="A195" s="510">
        <v>4</v>
      </c>
      <c r="B195" s="504" t="s">
        <v>842</v>
      </c>
      <c r="C195" s="504"/>
      <c r="D195" s="509"/>
      <c r="E195" s="509"/>
      <c r="F195" s="509"/>
      <c r="G195" s="563"/>
      <c r="H195" s="509"/>
      <c r="I195" s="523">
        <f>I192-I193-I194</f>
        <v>787552553.86763477</v>
      </c>
      <c r="J195" s="509"/>
      <c r="K195" s="509"/>
      <c r="L195" s="504"/>
      <c r="M195" s="509"/>
    </row>
    <row r="196" spans="1:13">
      <c r="A196" s="510">
        <v>5</v>
      </c>
      <c r="B196" s="504" t="s">
        <v>843</v>
      </c>
      <c r="C196" s="511"/>
      <c r="D196" s="511"/>
      <c r="E196" s="511"/>
      <c r="F196" s="511"/>
      <c r="G196" s="513"/>
      <c r="H196" s="509" t="s">
        <v>68</v>
      </c>
      <c r="I196" s="577">
        <f>IF(I192&gt;0,I195/I192,0)</f>
        <v>0.97009895452119421</v>
      </c>
      <c r="J196" s="509"/>
      <c r="K196" s="509"/>
      <c r="L196" s="504"/>
      <c r="M196" s="509"/>
    </row>
    <row r="197" spans="1:13" ht="9.75" customHeight="1">
      <c r="A197" s="510"/>
      <c r="B197" s="504"/>
      <c r="C197" s="511"/>
      <c r="D197" s="511"/>
      <c r="E197" s="511"/>
      <c r="F197" s="511"/>
      <c r="G197" s="513"/>
      <c r="H197" s="509"/>
      <c r="I197" s="577"/>
      <c r="J197" s="509"/>
      <c r="K197" s="509"/>
      <c r="L197" s="504"/>
      <c r="M197" s="509"/>
    </row>
    <row r="198" spans="1:13">
      <c r="A198" s="510"/>
      <c r="B198" s="504" t="s">
        <v>69</v>
      </c>
      <c r="J198" s="509"/>
      <c r="K198" s="509"/>
      <c r="L198" s="504"/>
      <c r="M198" s="509"/>
    </row>
    <row r="199" spans="1:13" ht="9.75" customHeight="1">
      <c r="A199" s="510"/>
      <c r="J199" s="509"/>
      <c r="K199" s="509"/>
      <c r="L199" s="504"/>
      <c r="M199" s="509"/>
    </row>
    <row r="200" spans="1:13" ht="15.65" customHeight="1">
      <c r="A200" s="510">
        <v>6</v>
      </c>
      <c r="B200" s="1" t="s">
        <v>1113</v>
      </c>
      <c r="D200" s="504"/>
      <c r="E200" s="504"/>
      <c r="F200" s="504"/>
      <c r="G200" s="510"/>
      <c r="H200" s="504"/>
      <c r="I200" s="523">
        <f>'Attachment 20 - O&amp;M and A&amp;G'!I32</f>
        <v>150967596.75999996</v>
      </c>
      <c r="J200" s="647"/>
      <c r="K200" s="509"/>
      <c r="L200" s="509"/>
      <c r="M200" s="509"/>
    </row>
    <row r="201" spans="1:13" ht="16" thickBot="1">
      <c r="A201" s="510">
        <v>7</v>
      </c>
      <c r="B201" s="1014" t="s">
        <v>1114</v>
      </c>
      <c r="C201" s="575"/>
      <c r="D201" s="509"/>
      <c r="E201" s="509"/>
      <c r="F201" s="509"/>
      <c r="G201" s="509"/>
      <c r="H201" s="509"/>
      <c r="I201" s="551">
        <f>'Attachment 20 - O&amp;M and A&amp;G'!I8+'Attachment 20 - O&amp;M and A&amp;G'!I9+'Attachment 20 - O&amp;M and A&amp;G'!I10</f>
        <v>941743.88</v>
      </c>
      <c r="J201" s="509"/>
      <c r="K201" s="509"/>
      <c r="L201" s="509"/>
      <c r="M201" s="509"/>
    </row>
    <row r="202" spans="1:13">
      <c r="A202" s="510">
        <v>8</v>
      </c>
      <c r="B202" s="504" t="s">
        <v>844</v>
      </c>
      <c r="C202" s="511"/>
      <c r="D202" s="511"/>
      <c r="E202" s="511"/>
      <c r="F202" s="511"/>
      <c r="G202" s="513"/>
      <c r="H202" s="511"/>
      <c r="I202" s="523">
        <f>SUM(I200-I201)</f>
        <v>150025852.87999997</v>
      </c>
      <c r="L202" s="509"/>
      <c r="M202" s="509"/>
    </row>
    <row r="203" spans="1:13" ht="15.65" customHeight="1">
      <c r="A203" s="510">
        <v>9</v>
      </c>
      <c r="B203" s="504" t="s">
        <v>845</v>
      </c>
      <c r="C203" s="504"/>
      <c r="D203" s="673"/>
      <c r="E203" s="509"/>
      <c r="F203" s="509"/>
      <c r="G203" s="509"/>
      <c r="H203" s="509"/>
      <c r="I203" s="549">
        <f>IF(I200&gt;0,I202/I200,0)</f>
        <v>0.99376194693290953</v>
      </c>
      <c r="L203" s="509"/>
      <c r="M203" s="509"/>
    </row>
    <row r="204" spans="1:13" ht="15" customHeight="1">
      <c r="A204" s="510">
        <v>10</v>
      </c>
      <c r="B204" s="504" t="s">
        <v>846</v>
      </c>
      <c r="C204" s="504"/>
      <c r="D204" s="674"/>
      <c r="E204" s="509"/>
      <c r="F204" s="509"/>
      <c r="G204" s="509"/>
      <c r="H204" s="504" t="s">
        <v>12</v>
      </c>
      <c r="I204" s="549">
        <f>I196</f>
        <v>0.97009895452119421</v>
      </c>
      <c r="L204" s="509"/>
      <c r="M204" s="509"/>
    </row>
    <row r="205" spans="1:13">
      <c r="A205" s="510">
        <v>11</v>
      </c>
      <c r="B205" s="504" t="s">
        <v>847</v>
      </c>
      <c r="C205" s="504"/>
      <c r="D205" s="674"/>
      <c r="E205" s="504"/>
      <c r="F205" s="504"/>
      <c r="G205" s="504"/>
      <c r="H205" s="504" t="s">
        <v>70</v>
      </c>
      <c r="I205" s="521">
        <f>+I204*I203</f>
        <v>0.96404742576256197</v>
      </c>
      <c r="L205" s="509"/>
      <c r="M205" s="509"/>
    </row>
    <row r="206" spans="1:13" ht="9.75" customHeight="1">
      <c r="A206" s="510"/>
      <c r="C206" s="504"/>
      <c r="D206" s="674"/>
      <c r="E206" s="509"/>
      <c r="F206" s="509"/>
      <c r="G206" s="563"/>
      <c r="H206" s="509"/>
      <c r="L206" s="509"/>
      <c r="M206" s="509"/>
    </row>
    <row r="207" spans="1:13">
      <c r="A207" s="510" t="s">
        <v>3</v>
      </c>
      <c r="B207" s="504" t="s">
        <v>71</v>
      </c>
      <c r="C207" s="509"/>
      <c r="D207" s="509"/>
      <c r="E207" s="509"/>
      <c r="F207" s="509"/>
      <c r="G207" s="509"/>
      <c r="H207" s="509"/>
      <c r="I207" s="509"/>
      <c r="J207" s="509"/>
      <c r="K207" s="509"/>
      <c r="L207" s="509"/>
      <c r="M207" s="509"/>
    </row>
    <row r="208" spans="1:13" ht="16" thickBot="1">
      <c r="A208" s="510" t="s">
        <v>3</v>
      </c>
      <c r="B208" s="504"/>
      <c r="C208" s="578" t="s">
        <v>72</v>
      </c>
      <c r="D208" s="531" t="s">
        <v>73</v>
      </c>
      <c r="E208" s="531" t="s">
        <v>12</v>
      </c>
      <c r="F208" s="647" t="s">
        <v>1115</v>
      </c>
      <c r="G208" s="531" t="s">
        <v>74</v>
      </c>
      <c r="H208" s="509"/>
      <c r="I208" s="509"/>
      <c r="J208" s="509"/>
      <c r="K208" s="509"/>
      <c r="L208" s="509"/>
      <c r="M208" s="509"/>
    </row>
    <row r="209" spans="1:18">
      <c r="A209" s="510">
        <v>12</v>
      </c>
      <c r="B209" s="504" t="s">
        <v>30</v>
      </c>
      <c r="C209" s="509" t="s">
        <v>126</v>
      </c>
      <c r="D209" s="655">
        <v>35745983</v>
      </c>
      <c r="E209" s="579">
        <v>0</v>
      </c>
      <c r="F209" s="579"/>
      <c r="G209" s="550">
        <f>D209*E209</f>
        <v>0</v>
      </c>
      <c r="H209" s="509"/>
      <c r="I209" s="509"/>
      <c r="J209" s="509"/>
      <c r="K209" s="509"/>
      <c r="L209" s="509"/>
      <c r="M209" s="509"/>
    </row>
    <row r="210" spans="1:18">
      <c r="A210" s="510">
        <v>13</v>
      </c>
      <c r="B210" s="504" t="s">
        <v>32</v>
      </c>
      <c r="C210" s="509" t="s">
        <v>127</v>
      </c>
      <c r="D210" s="655">
        <v>2278174</v>
      </c>
      <c r="E210" s="579">
        <f>+I196</f>
        <v>0.97009895452119421</v>
      </c>
      <c r="F210" s="889"/>
      <c r="G210" s="550">
        <f>D210*E210</f>
        <v>2210054.2156173671</v>
      </c>
      <c r="H210" s="509"/>
      <c r="I210" s="1015" t="s">
        <v>1116</v>
      </c>
      <c r="J210" s="509"/>
      <c r="K210" s="509"/>
      <c r="L210" s="509"/>
      <c r="M210" s="509"/>
    </row>
    <row r="211" spans="1:18">
      <c r="A211" s="510">
        <v>14</v>
      </c>
      <c r="B211" s="504" t="s">
        <v>33</v>
      </c>
      <c r="C211" s="509" t="s">
        <v>128</v>
      </c>
      <c r="D211" s="655">
        <v>20213068</v>
      </c>
      <c r="E211" s="579">
        <v>0</v>
      </c>
      <c r="F211" s="579"/>
      <c r="G211" s="550">
        <f>D211*E211</f>
        <v>0</v>
      </c>
      <c r="H211" s="509"/>
      <c r="I211" s="563" t="s">
        <v>75</v>
      </c>
      <c r="J211" s="509"/>
      <c r="K211" s="509"/>
      <c r="L211" s="509"/>
      <c r="M211" s="509"/>
    </row>
    <row r="212" spans="1:18" ht="16" thickBot="1">
      <c r="A212" s="510">
        <v>15</v>
      </c>
      <c r="B212" s="504" t="s">
        <v>76</v>
      </c>
      <c r="C212" s="647" t="s">
        <v>629</v>
      </c>
      <c r="D212" s="1082">
        <f>7689442+285054</f>
        <v>7974496</v>
      </c>
      <c r="E212" s="579">
        <v>0</v>
      </c>
      <c r="F212" s="579"/>
      <c r="G212" s="552">
        <f>D212*E212</f>
        <v>0</v>
      </c>
      <c r="H212" s="509"/>
      <c r="I212" s="514" t="s">
        <v>77</v>
      </c>
      <c r="J212" s="509"/>
      <c r="K212" s="509"/>
      <c r="L212" s="509"/>
      <c r="M212" s="509"/>
    </row>
    <row r="213" spans="1:18">
      <c r="A213" s="510">
        <v>16</v>
      </c>
      <c r="B213" s="504" t="s">
        <v>848</v>
      </c>
      <c r="C213" s="509"/>
      <c r="D213" s="523">
        <f>SUM(D209:D212)</f>
        <v>66211721</v>
      </c>
      <c r="E213" s="509"/>
      <c r="F213" s="509"/>
      <c r="G213" s="550">
        <f>SUM(G209:G212)</f>
        <v>2210054.2156173671</v>
      </c>
      <c r="H213" s="510" t="s">
        <v>78</v>
      </c>
      <c r="I213" s="549">
        <f>IF(G213&gt;0,G213/D213,1)</f>
        <v>3.3378594941179174E-2</v>
      </c>
      <c r="J213" s="580" t="s">
        <v>132</v>
      </c>
      <c r="K213" s="509"/>
      <c r="L213" s="509"/>
      <c r="M213" s="509"/>
    </row>
    <row r="214" spans="1:18" ht="24" customHeight="1">
      <c r="A214" s="510"/>
      <c r="B214" s="504"/>
      <c r="C214" s="509"/>
      <c r="D214" s="509"/>
      <c r="E214" s="509"/>
      <c r="F214" s="509"/>
      <c r="G214" s="509"/>
      <c r="H214" s="509"/>
      <c r="I214" s="509"/>
      <c r="J214" s="509"/>
      <c r="K214" s="509"/>
      <c r="L214" s="509"/>
      <c r="M214" s="509"/>
    </row>
    <row r="215" spans="1:18">
      <c r="A215" s="510"/>
      <c r="B215" s="2" t="s">
        <v>1117</v>
      </c>
      <c r="C215" s="509"/>
      <c r="D215" s="509"/>
      <c r="E215" s="509"/>
      <c r="F215" s="509"/>
      <c r="G215" s="509"/>
      <c r="H215" s="509"/>
      <c r="I215" s="509"/>
      <c r="J215" s="509"/>
      <c r="K215" s="509"/>
      <c r="L215" s="509"/>
      <c r="M215" s="509"/>
    </row>
    <row r="216" spans="1:18">
      <c r="A216" s="510"/>
      <c r="B216" s="504"/>
      <c r="C216" s="509"/>
      <c r="D216" s="581" t="s">
        <v>73</v>
      </c>
      <c r="E216" s="509"/>
      <c r="F216" s="509"/>
      <c r="G216" s="563" t="s">
        <v>79</v>
      </c>
      <c r="H216" s="570" t="s">
        <v>3</v>
      </c>
      <c r="I216" s="553" t="str">
        <f>+I211</f>
        <v>W&amp;S Allocator</v>
      </c>
      <c r="L216" s="509"/>
      <c r="M216" s="509"/>
    </row>
    <row r="217" spans="1:18">
      <c r="A217" s="510">
        <v>17</v>
      </c>
      <c r="B217" s="504" t="s">
        <v>80</v>
      </c>
      <c r="C217" s="509" t="s">
        <v>81</v>
      </c>
      <c r="D217" s="582"/>
      <c r="E217" s="509"/>
      <c r="G217" s="510" t="s">
        <v>849</v>
      </c>
      <c r="H217" s="570"/>
      <c r="I217" s="510" t="s">
        <v>850</v>
      </c>
      <c r="J217" s="509"/>
      <c r="K217" s="510" t="s">
        <v>37</v>
      </c>
      <c r="L217" s="509"/>
      <c r="M217" s="509"/>
    </row>
    <row r="218" spans="1:18">
      <c r="A218" s="510">
        <v>18</v>
      </c>
      <c r="B218" s="504" t="s">
        <v>82</v>
      </c>
      <c r="C218" s="509" t="s">
        <v>83</v>
      </c>
      <c r="D218" s="582"/>
      <c r="E218" s="509"/>
      <c r="G218" s="521">
        <f>IF(D220&gt;0,D217/D220,1)</f>
        <v>1</v>
      </c>
      <c r="H218" s="563" t="s">
        <v>84</v>
      </c>
      <c r="I218" s="521">
        <f>I213</f>
        <v>3.3378594941179174E-2</v>
      </c>
      <c r="J218" s="570" t="s">
        <v>78</v>
      </c>
      <c r="K218" s="521">
        <f>G218*I218</f>
        <v>3.3378594941179174E-2</v>
      </c>
      <c r="L218" s="509"/>
      <c r="M218" s="583"/>
      <c r="N218" s="583"/>
      <c r="O218" s="584"/>
      <c r="P218" s="585"/>
      <c r="Q218" s="585"/>
      <c r="R218" s="585"/>
    </row>
    <row r="219" spans="1:18" ht="16" thickBot="1">
      <c r="A219" s="510">
        <v>19</v>
      </c>
      <c r="B219" s="575" t="s">
        <v>85</v>
      </c>
      <c r="C219" s="578" t="s">
        <v>86</v>
      </c>
      <c r="D219" s="586"/>
      <c r="E219" s="509"/>
      <c r="F219" s="509"/>
      <c r="G219" s="509" t="s">
        <v>3</v>
      </c>
      <c r="H219" s="509"/>
      <c r="I219" s="509"/>
      <c r="J219" s="509"/>
      <c r="K219" s="509"/>
      <c r="L219" s="509"/>
      <c r="M219" s="587"/>
      <c r="N219" s="587"/>
      <c r="O219" s="585"/>
      <c r="P219" s="585"/>
      <c r="Q219" s="585"/>
      <c r="R219" s="585"/>
    </row>
    <row r="220" spans="1:18">
      <c r="A220" s="510">
        <v>20</v>
      </c>
      <c r="B220" s="504" t="s">
        <v>851</v>
      </c>
      <c r="C220" s="509"/>
      <c r="D220" s="539">
        <f>SUM(D217:D219)</f>
        <v>0</v>
      </c>
      <c r="E220" s="509"/>
      <c r="F220" s="509"/>
      <c r="G220" s="509"/>
      <c r="H220" s="509"/>
      <c r="I220" s="509"/>
      <c r="J220" s="509"/>
      <c r="K220" s="509"/>
      <c r="L220" s="509"/>
      <c r="N220" s="588"/>
      <c r="O220" s="589"/>
      <c r="P220" s="590"/>
      <c r="Q220" s="588"/>
      <c r="R220" s="588"/>
    </row>
    <row r="221" spans="1:18">
      <c r="A221" s="510"/>
      <c r="B221" s="504"/>
      <c r="C221" s="509"/>
      <c r="D221" s="539"/>
      <c r="E221" s="509"/>
      <c r="F221" s="509"/>
      <c r="G221" s="509"/>
      <c r="H221" s="509"/>
      <c r="I221" s="509"/>
      <c r="J221" s="509"/>
      <c r="K221" s="509"/>
      <c r="L221" s="509"/>
      <c r="N221" s="588"/>
      <c r="O221" s="589"/>
      <c r="P221" s="590"/>
      <c r="Q221" s="588"/>
      <c r="R221" s="588"/>
    </row>
    <row r="222" spans="1:18">
      <c r="A222" s="510"/>
      <c r="B222" s="2" t="s">
        <v>771</v>
      </c>
      <c r="C222" s="509"/>
      <c r="E222" s="509"/>
      <c r="F222" s="509"/>
      <c r="G222" s="509"/>
      <c r="H222" s="509"/>
      <c r="I222" s="509"/>
      <c r="J222" s="509"/>
      <c r="K222" s="509"/>
      <c r="L222" s="509"/>
      <c r="M222" s="1108"/>
      <c r="N222" s="1108"/>
      <c r="O222" s="1108"/>
      <c r="P222" s="1108"/>
      <c r="Q222" s="1108"/>
      <c r="R222" s="1108"/>
    </row>
    <row r="223" spans="1:18">
      <c r="A223" s="510"/>
      <c r="B223" s="2"/>
      <c r="C223" s="509"/>
      <c r="E223" s="509"/>
      <c r="F223" s="509"/>
      <c r="G223" s="509"/>
      <c r="H223" s="509"/>
      <c r="I223" s="509"/>
      <c r="J223" s="509"/>
      <c r="K223" s="509"/>
      <c r="L223" s="509"/>
      <c r="M223" s="783"/>
      <c r="N223" s="783"/>
      <c r="O223" s="783"/>
      <c r="P223" s="783"/>
      <c r="Q223" s="783"/>
      <c r="R223" s="783"/>
    </row>
    <row r="224" spans="1:18">
      <c r="A224" s="510">
        <v>21</v>
      </c>
      <c r="B224" s="2" t="s">
        <v>792</v>
      </c>
      <c r="C224" s="509"/>
      <c r="E224" s="509"/>
      <c r="F224" s="509"/>
      <c r="G224" s="509"/>
      <c r="H224" s="509"/>
      <c r="I224" s="509"/>
      <c r="J224" s="509"/>
      <c r="K224" s="509"/>
      <c r="L224" s="509"/>
      <c r="M224" s="783"/>
      <c r="N224" s="783"/>
      <c r="O224" s="783"/>
      <c r="P224" s="783"/>
      <c r="Q224" s="783"/>
      <c r="R224" s="783"/>
    </row>
    <row r="225" spans="1:18">
      <c r="A225" s="510">
        <v>22</v>
      </c>
      <c r="B225" s="2" t="s">
        <v>152</v>
      </c>
      <c r="C225" s="2" t="s">
        <v>1060</v>
      </c>
      <c r="E225" s="509"/>
      <c r="F225" s="509"/>
      <c r="G225" s="509"/>
      <c r="H225" s="509"/>
      <c r="I225" s="509">
        <f>IF(I156=0, 0, I156/I59)</f>
        <v>1.6097399280163446E-2</v>
      </c>
      <c r="J225" s="509"/>
      <c r="K225" s="509"/>
      <c r="L225" s="509"/>
      <c r="M225" s="783"/>
      <c r="N225" s="783"/>
      <c r="O225" s="783"/>
      <c r="P225" s="783"/>
      <c r="Q225" s="783"/>
      <c r="R225" s="783"/>
    </row>
    <row r="226" spans="1:18">
      <c r="A226" s="510">
        <v>23</v>
      </c>
      <c r="B226" s="2" t="s">
        <v>156</v>
      </c>
      <c r="C226" s="2" t="s">
        <v>1061</v>
      </c>
      <c r="E226" s="509"/>
      <c r="F226" s="509"/>
      <c r="G226" s="509"/>
      <c r="H226" s="509"/>
      <c r="I226" s="509">
        <f>IF(I158=0, 0, I158/I59)</f>
        <v>6.4383925432665565E-2</v>
      </c>
      <c r="J226" s="509"/>
      <c r="K226" s="509"/>
      <c r="L226" s="509"/>
      <c r="M226" s="783"/>
      <c r="N226" s="783"/>
      <c r="O226" s="783"/>
      <c r="P226" s="783"/>
      <c r="Q226" s="783"/>
      <c r="R226" s="783"/>
    </row>
    <row r="227" spans="1:18">
      <c r="A227" s="510">
        <v>24</v>
      </c>
      <c r="B227" s="2" t="s">
        <v>832</v>
      </c>
      <c r="C227" s="2" t="s">
        <v>862</v>
      </c>
      <c r="E227" s="509"/>
      <c r="F227" s="509"/>
      <c r="G227" s="509"/>
      <c r="H227" s="509"/>
      <c r="I227" s="509">
        <f>SUM(I225:I226)</f>
        <v>8.0481324712829011E-2</v>
      </c>
      <c r="J227" s="509"/>
      <c r="K227" s="509"/>
      <c r="L227" s="509"/>
      <c r="M227" s="783"/>
      <c r="N227" s="783"/>
      <c r="O227" s="783"/>
      <c r="P227" s="783"/>
      <c r="Q227" s="783"/>
      <c r="R227" s="783"/>
    </row>
    <row r="228" spans="1:18">
      <c r="A228" s="510"/>
      <c r="B228" s="2"/>
      <c r="C228" s="504"/>
      <c r="E228" s="509"/>
      <c r="F228" s="509"/>
      <c r="G228" s="509"/>
      <c r="H228" s="509"/>
      <c r="I228" s="509"/>
      <c r="J228" s="509"/>
      <c r="K228" s="509"/>
      <c r="L228" s="509"/>
      <c r="M228" s="783"/>
      <c r="N228" s="783"/>
      <c r="O228" s="783"/>
      <c r="P228" s="783"/>
      <c r="Q228" s="783"/>
      <c r="R228" s="783"/>
    </row>
    <row r="229" spans="1:18">
      <c r="A229" s="510">
        <v>25</v>
      </c>
      <c r="B229" s="2" t="s">
        <v>855</v>
      </c>
      <c r="C229" s="504"/>
      <c r="E229" s="509"/>
      <c r="F229" s="509"/>
      <c r="G229" s="509"/>
      <c r="H229" s="509"/>
      <c r="I229" s="509"/>
      <c r="J229" s="509"/>
      <c r="K229" s="509"/>
      <c r="L229" s="509"/>
      <c r="M229" s="783"/>
      <c r="N229" s="783"/>
      <c r="O229" s="783"/>
      <c r="P229" s="783"/>
      <c r="Q229" s="783"/>
      <c r="R229" s="783"/>
    </row>
    <row r="230" spans="1:18">
      <c r="A230" s="510">
        <v>26</v>
      </c>
      <c r="B230" s="2" t="s">
        <v>152</v>
      </c>
      <c r="C230" s="2" t="s">
        <v>757</v>
      </c>
      <c r="E230" s="509"/>
      <c r="F230" s="509"/>
      <c r="G230" s="509"/>
      <c r="H230" s="509"/>
      <c r="I230" s="509">
        <f>'Attach 2a - Scaled ROE Adder'!I57/I59</f>
        <v>1.7637480262498586E-2</v>
      </c>
      <c r="J230" s="509"/>
      <c r="K230" s="509"/>
      <c r="L230" s="509"/>
      <c r="M230" s="783"/>
      <c r="N230" s="783"/>
      <c r="O230" s="783"/>
      <c r="P230" s="783"/>
      <c r="Q230" s="783"/>
      <c r="R230" s="783"/>
    </row>
    <row r="231" spans="1:18">
      <c r="A231" s="510">
        <v>27</v>
      </c>
      <c r="B231" s="2" t="s">
        <v>156</v>
      </c>
      <c r="C231" s="2" t="s">
        <v>758</v>
      </c>
      <c r="E231" s="509"/>
      <c r="F231" s="509"/>
      <c r="G231" s="504"/>
      <c r="H231" s="509"/>
      <c r="I231" s="504">
        <f>'Attach 2a - Scaled ROE Adder'!I40/I59</f>
        <v>6.8813116653421338E-2</v>
      </c>
      <c r="J231" s="509"/>
      <c r="K231" s="509"/>
      <c r="L231" s="509"/>
      <c r="M231" s="783"/>
      <c r="N231" s="783"/>
      <c r="O231" s="783"/>
      <c r="P231" s="783"/>
      <c r="Q231" s="783"/>
      <c r="R231" s="783"/>
    </row>
    <row r="232" spans="1:18">
      <c r="A232" s="510">
        <v>28</v>
      </c>
      <c r="B232" s="2" t="s">
        <v>856</v>
      </c>
      <c r="C232" s="2" t="s">
        <v>863</v>
      </c>
      <c r="E232" s="509"/>
      <c r="F232" s="509"/>
      <c r="G232" s="509"/>
      <c r="H232" s="509"/>
      <c r="I232" s="509">
        <f>SUM(I230:I231)</f>
        <v>8.6450596915919928E-2</v>
      </c>
      <c r="J232" s="509"/>
      <c r="K232" s="509"/>
      <c r="L232" s="509"/>
      <c r="M232" s="783"/>
      <c r="N232" s="783"/>
      <c r="O232" s="783"/>
      <c r="P232" s="783"/>
      <c r="Q232" s="783"/>
      <c r="R232" s="783"/>
    </row>
    <row r="233" spans="1:18">
      <c r="A233" s="510"/>
      <c r="B233" s="2"/>
      <c r="C233" s="504"/>
      <c r="E233" s="509"/>
      <c r="F233" s="509"/>
      <c r="G233" s="509"/>
      <c r="H233" s="509"/>
      <c r="I233" s="509"/>
      <c r="J233" s="509"/>
      <c r="K233" s="509"/>
      <c r="L233" s="509"/>
      <c r="M233" s="783"/>
      <c r="N233" s="783"/>
      <c r="O233" s="783"/>
      <c r="P233" s="783"/>
      <c r="Q233" s="783"/>
      <c r="R233" s="783"/>
    </row>
    <row r="234" spans="1:18">
      <c r="A234" s="510">
        <v>29</v>
      </c>
      <c r="B234" s="2" t="s">
        <v>748</v>
      </c>
      <c r="C234" s="2" t="s">
        <v>864</v>
      </c>
      <c r="E234" s="509"/>
      <c r="F234" s="509"/>
      <c r="G234" s="509"/>
      <c r="H234" s="509"/>
      <c r="I234" s="509">
        <f>I232-I227</f>
        <v>5.9692722030909168E-3</v>
      </c>
      <c r="J234" s="509"/>
      <c r="K234" s="509"/>
      <c r="L234" s="509"/>
      <c r="M234" s="783"/>
      <c r="N234" s="783"/>
      <c r="O234" s="783"/>
      <c r="P234" s="783"/>
      <c r="Q234" s="783"/>
      <c r="R234" s="783"/>
    </row>
    <row r="235" spans="1:18">
      <c r="A235" s="510"/>
      <c r="B235" s="2"/>
      <c r="C235" s="509"/>
      <c r="E235" s="509"/>
      <c r="F235" s="509"/>
      <c r="G235" s="509"/>
      <c r="H235" s="509"/>
      <c r="I235" s="509"/>
      <c r="J235" s="509"/>
      <c r="K235" s="509"/>
      <c r="L235" s="509"/>
      <c r="M235" s="783"/>
      <c r="N235" s="783"/>
      <c r="O235" s="783"/>
      <c r="P235" s="783"/>
      <c r="Q235" s="783"/>
      <c r="R235" s="783"/>
    </row>
    <row r="236" spans="1:18">
      <c r="A236" s="510"/>
      <c r="B236" s="2"/>
      <c r="C236" s="509"/>
      <c r="E236" s="509"/>
      <c r="F236" s="509"/>
      <c r="G236" s="509"/>
      <c r="H236" s="509"/>
      <c r="I236" s="509"/>
      <c r="J236" s="509"/>
      <c r="K236" s="509"/>
      <c r="L236" s="509"/>
      <c r="M236" s="783"/>
      <c r="N236" s="783"/>
      <c r="O236" s="783"/>
      <c r="P236" s="783"/>
      <c r="Q236" s="783"/>
      <c r="R236" s="783"/>
    </row>
    <row r="237" spans="1:18">
      <c r="A237" s="651" t="s">
        <v>3</v>
      </c>
      <c r="B237" s="504"/>
      <c r="C237" s="509"/>
      <c r="E237" s="509"/>
      <c r="F237" s="509"/>
      <c r="G237" s="509"/>
      <c r="H237" s="509"/>
      <c r="I237" s="509"/>
      <c r="J237" s="509"/>
      <c r="K237" s="509"/>
      <c r="L237" s="509"/>
      <c r="M237" s="783"/>
      <c r="N237" s="783"/>
      <c r="O237" s="783"/>
      <c r="P237" s="783"/>
      <c r="Q237" s="783"/>
      <c r="R237" s="783"/>
    </row>
    <row r="238" spans="1:18" ht="16" thickBot="1">
      <c r="A238" s="510"/>
      <c r="B238" s="504" t="s">
        <v>87</v>
      </c>
      <c r="C238" s="509"/>
      <c r="D238" s="509"/>
      <c r="E238" s="509"/>
      <c r="F238" s="509"/>
      <c r="G238" s="509"/>
      <c r="H238" s="509"/>
      <c r="I238" s="531" t="s">
        <v>73</v>
      </c>
      <c r="J238" s="509"/>
      <c r="K238" s="509"/>
      <c r="L238" s="509"/>
      <c r="M238" s="588"/>
      <c r="N238" s="588"/>
      <c r="O238" s="589"/>
      <c r="P238" s="590"/>
      <c r="Q238" s="588"/>
      <c r="R238" s="588"/>
    </row>
    <row r="239" spans="1:18">
      <c r="A239" s="510"/>
      <c r="B239" s="504"/>
      <c r="C239" s="509"/>
      <c r="D239" s="509"/>
      <c r="E239" s="509"/>
      <c r="F239" s="509"/>
      <c r="G239" s="509"/>
      <c r="H239" s="509"/>
      <c r="I239" s="523"/>
      <c r="J239" s="509"/>
      <c r="K239" s="509"/>
      <c r="L239" s="509"/>
      <c r="M239" s="589"/>
      <c r="N239" s="589"/>
      <c r="O239" s="589"/>
      <c r="P239" s="590"/>
      <c r="Q239" s="588"/>
      <c r="R239" s="588"/>
    </row>
    <row r="240" spans="1:18">
      <c r="A240" s="510">
        <v>30</v>
      </c>
      <c r="B240" s="509" t="s">
        <v>133</v>
      </c>
      <c r="D240" s="509"/>
      <c r="E240" s="509"/>
      <c r="F240" s="509"/>
      <c r="G240" s="509"/>
      <c r="H240" s="509"/>
      <c r="I240" s="523">
        <v>0</v>
      </c>
      <c r="J240" s="509"/>
      <c r="K240" s="509"/>
      <c r="L240" s="509"/>
      <c r="M240" s="589"/>
      <c r="N240" s="588"/>
      <c r="O240" s="591"/>
      <c r="P240" s="591"/>
      <c r="Q240" s="588"/>
      <c r="R240" s="588"/>
    </row>
    <row r="241" spans="1:18">
      <c r="A241" s="510"/>
      <c r="B241" s="504"/>
      <c r="C241" s="509"/>
      <c r="D241" s="509"/>
      <c r="E241" s="509"/>
      <c r="F241" s="509"/>
      <c r="G241" s="509"/>
      <c r="H241" s="509"/>
      <c r="I241" s="550"/>
      <c r="J241" s="509"/>
      <c r="K241" s="509"/>
      <c r="L241" s="509"/>
      <c r="M241" s="589"/>
      <c r="N241" s="588"/>
      <c r="O241" s="588"/>
      <c r="P241" s="588"/>
      <c r="Q241" s="588"/>
      <c r="R241" s="588"/>
    </row>
    <row r="242" spans="1:18">
      <c r="A242" s="510"/>
      <c r="B242" s="504"/>
      <c r="C242" s="509"/>
      <c r="D242" s="504"/>
      <c r="E242" s="504"/>
      <c r="F242" s="504"/>
      <c r="G242" s="504"/>
      <c r="H242" s="504"/>
      <c r="I242" s="560"/>
      <c r="J242" s="509"/>
      <c r="K242" s="509"/>
      <c r="L242" s="509"/>
      <c r="M242" s="589"/>
      <c r="N242" s="588"/>
      <c r="O242" s="589"/>
      <c r="P242" s="590"/>
      <c r="Q242" s="588"/>
      <c r="R242" s="588"/>
    </row>
    <row r="243" spans="1:18">
      <c r="A243" s="510"/>
      <c r="B243" s="504"/>
      <c r="C243" s="509"/>
      <c r="D243" s="509"/>
      <c r="E243" s="563"/>
      <c r="F243" s="509"/>
      <c r="G243" s="563" t="s">
        <v>89</v>
      </c>
      <c r="H243" s="509"/>
      <c r="I243" s="509"/>
      <c r="J243" s="509"/>
      <c r="K243" s="509"/>
      <c r="L243" s="509"/>
      <c r="M243" s="589"/>
      <c r="N243" s="588"/>
      <c r="O243" s="589"/>
      <c r="P243" s="590"/>
      <c r="Q243" s="588"/>
      <c r="R243" s="588"/>
    </row>
    <row r="244" spans="1:18" ht="16" thickBot="1">
      <c r="A244" s="510"/>
      <c r="B244" s="504"/>
      <c r="C244" s="509"/>
      <c r="D244" s="514" t="s">
        <v>73</v>
      </c>
      <c r="E244" s="514" t="s">
        <v>90</v>
      </c>
      <c r="F244" s="509"/>
      <c r="G244" s="1031" t="s">
        <v>1167</v>
      </c>
      <c r="H244" s="509"/>
      <c r="I244" s="514" t="s">
        <v>92</v>
      </c>
      <c r="J244" s="509"/>
      <c r="K244" s="509"/>
      <c r="L244" s="509"/>
      <c r="M244" s="509"/>
      <c r="N244" s="590"/>
    </row>
    <row r="245" spans="1:18">
      <c r="A245" s="510">
        <v>31</v>
      </c>
      <c r="B245" s="2" t="s">
        <v>1265</v>
      </c>
      <c r="D245" s="523">
        <f>'Attachment 8 - Cap Structure'!M23</f>
        <v>1649999999.9999952</v>
      </c>
      <c r="E245" s="1049">
        <f>IF($D$248&gt;0,D245/$D$248,0)</f>
        <v>0.46560449027114065</v>
      </c>
      <c r="F245" s="592"/>
      <c r="G245" s="592">
        <f>'Attachment 10 - Debt Cost'!W25</f>
        <v>4.6899999999999997E-2</v>
      </c>
      <c r="I245" s="592">
        <f>G245*E245</f>
        <v>2.1836850593716494E-2</v>
      </c>
      <c r="J245" s="580" t="s">
        <v>93</v>
      </c>
      <c r="L245" s="503"/>
      <c r="M245" s="509"/>
    </row>
    <row r="246" spans="1:18">
      <c r="A246" s="510">
        <v>32</v>
      </c>
      <c r="B246" s="2" t="s">
        <v>1118</v>
      </c>
      <c r="D246" s="523">
        <f>'Attachment 8 - Cap Structure'!G23</f>
        <v>0</v>
      </c>
      <c r="E246" s="1049">
        <f>IF($D$248&gt;0,D246/$D$248,0)</f>
        <v>0</v>
      </c>
      <c r="F246" s="592"/>
      <c r="G246" s="592">
        <f>IF(D246&gt;0,I240/D246,0)</f>
        <v>0</v>
      </c>
      <c r="I246" s="592">
        <f>G246*E246</f>
        <v>0</v>
      </c>
      <c r="J246" s="509"/>
      <c r="L246" s="509"/>
      <c r="M246" s="509"/>
    </row>
    <row r="247" spans="1:18" ht="16" thickBot="1">
      <c r="A247" s="510">
        <v>33</v>
      </c>
      <c r="B247" s="2" t="s">
        <v>1119</v>
      </c>
      <c r="D247" s="552">
        <f>'Attachment 8 - Cap Structure'!L23</f>
        <v>1893780256.5845842</v>
      </c>
      <c r="E247" s="1049">
        <f>IF($D$248&gt;0,D247/$D$248,0)</f>
        <v>0.5343955097288593</v>
      </c>
      <c r="F247" s="592"/>
      <c r="G247" s="1016">
        <v>0.1045</v>
      </c>
      <c r="I247" s="593">
        <f>G247*E247</f>
        <v>5.5844330766665791E-2</v>
      </c>
      <c r="J247" s="509"/>
      <c r="L247" s="509"/>
      <c r="M247" s="509"/>
    </row>
    <row r="248" spans="1:18">
      <c r="A248" s="510">
        <v>34</v>
      </c>
      <c r="B248" s="2" t="s">
        <v>865</v>
      </c>
      <c r="D248" s="523">
        <f>SUM(D245:D247)</f>
        <v>3543780256.5845795</v>
      </c>
      <c r="E248" s="509" t="s">
        <v>3</v>
      </c>
      <c r="F248" s="509"/>
      <c r="G248" s="594"/>
      <c r="H248" s="509"/>
      <c r="I248" s="592">
        <f>SUM(I245:I247)</f>
        <v>7.7681181360382281E-2</v>
      </c>
      <c r="J248" s="580" t="s">
        <v>94</v>
      </c>
      <c r="L248" s="509"/>
      <c r="M248" s="509"/>
    </row>
    <row r="249" spans="1:18" ht="9.75" customHeight="1">
      <c r="A249" s="510"/>
      <c r="K249" s="509"/>
      <c r="L249" s="509"/>
      <c r="M249" s="509"/>
    </row>
    <row r="250" spans="1:18" ht="11.25" customHeight="1">
      <c r="A250" s="510"/>
      <c r="K250" s="509"/>
      <c r="L250" s="509"/>
      <c r="M250" s="509"/>
    </row>
    <row r="251" spans="1:18">
      <c r="A251" s="510"/>
      <c r="B251" s="2" t="s">
        <v>1120</v>
      </c>
      <c r="C251" s="504"/>
      <c r="D251" s="504"/>
      <c r="E251" s="504"/>
      <c r="F251" s="504"/>
      <c r="G251" s="504"/>
      <c r="H251" s="504"/>
      <c r="I251" s="504"/>
      <c r="J251" s="504"/>
      <c r="K251" s="504"/>
      <c r="L251" s="563"/>
      <c r="M251" s="509"/>
    </row>
    <row r="252" spans="1:18">
      <c r="A252" s="510"/>
      <c r="B252" s="504" t="s">
        <v>96</v>
      </c>
      <c r="C252" s="504"/>
      <c r="D252" s="2" t="s">
        <v>1196</v>
      </c>
      <c r="E252" s="2" t="s">
        <v>91</v>
      </c>
      <c r="F252" s="504"/>
      <c r="G252" s="504" t="s">
        <v>3</v>
      </c>
      <c r="I252" s="595"/>
      <c r="J252" s="595"/>
      <c r="L252" s="503"/>
      <c r="M252" s="509"/>
    </row>
    <row r="253" spans="1:18">
      <c r="A253" s="510">
        <v>35</v>
      </c>
      <c r="B253" s="503" t="s">
        <v>249</v>
      </c>
      <c r="C253" s="504"/>
      <c r="D253" s="504"/>
      <c r="F253" s="504"/>
      <c r="I253" s="596"/>
      <c r="J253" s="597"/>
      <c r="L253" s="509"/>
      <c r="M253" s="509"/>
    </row>
    <row r="254" spans="1:18" ht="16" thickBot="1">
      <c r="A254" s="510">
        <v>36</v>
      </c>
      <c r="B254" s="866" t="s">
        <v>919</v>
      </c>
      <c r="C254" s="575"/>
      <c r="E254" s="504"/>
      <c r="F254" s="504"/>
      <c r="G254" s="504"/>
      <c r="H254" s="504"/>
      <c r="I254" s="598"/>
      <c r="J254" s="599"/>
      <c r="L254" s="509"/>
      <c r="M254" s="509"/>
    </row>
    <row r="255" spans="1:18">
      <c r="A255" s="510">
        <v>37</v>
      </c>
      <c r="B255" s="503" t="s">
        <v>97</v>
      </c>
      <c r="C255" s="504"/>
      <c r="E255" s="504"/>
      <c r="F255" s="504"/>
      <c r="G255" s="504"/>
      <c r="H255" s="504"/>
      <c r="I255" s="600">
        <f>+I253-I254</f>
        <v>0</v>
      </c>
      <c r="J255" s="597"/>
      <c r="L255" s="503"/>
      <c r="M255" s="509"/>
    </row>
    <row r="256" spans="1:18">
      <c r="A256" s="510"/>
      <c r="B256" s="503" t="s">
        <v>3</v>
      </c>
      <c r="C256" s="504"/>
      <c r="E256" s="504"/>
      <c r="F256" s="504"/>
      <c r="G256" s="534"/>
      <c r="H256" s="504"/>
      <c r="I256" s="600"/>
      <c r="J256" s="595"/>
      <c r="K256" s="601"/>
      <c r="L256" s="563"/>
      <c r="M256" s="509"/>
    </row>
    <row r="257" spans="1:13" ht="15.65" customHeight="1">
      <c r="A257" s="510">
        <v>38</v>
      </c>
      <c r="B257" s="1" t="s">
        <v>1121</v>
      </c>
      <c r="C257" s="504"/>
      <c r="D257" s="1" t="s">
        <v>1197</v>
      </c>
      <c r="F257" s="504"/>
      <c r="G257" s="534"/>
      <c r="H257" s="504"/>
      <c r="I257" s="602"/>
      <c r="J257" s="675"/>
      <c r="K257" s="675"/>
      <c r="L257" s="568"/>
      <c r="M257" s="509"/>
    </row>
    <row r="258" spans="1:13">
      <c r="A258" s="510"/>
      <c r="C258" s="504"/>
      <c r="F258" s="504"/>
      <c r="G258" s="534"/>
      <c r="H258" s="504"/>
      <c r="I258" s="600"/>
      <c r="J258" s="675"/>
      <c r="K258" s="675"/>
      <c r="L258" s="568"/>
      <c r="M258" s="509"/>
    </row>
    <row r="259" spans="1:13">
      <c r="A259" s="510">
        <v>39</v>
      </c>
      <c r="B259" s="2" t="s">
        <v>1122</v>
      </c>
      <c r="C259" s="504"/>
      <c r="D259" s="1" t="s">
        <v>1198</v>
      </c>
      <c r="F259" s="504"/>
      <c r="G259" s="533"/>
      <c r="H259" s="504"/>
      <c r="I259" s="602">
        <v>163006.54639248719</v>
      </c>
      <c r="J259" s="675"/>
      <c r="K259" s="675"/>
      <c r="L259" s="568"/>
      <c r="M259" s="509"/>
    </row>
    <row r="260" spans="1:13" ht="15.75" customHeight="1">
      <c r="A260" s="510"/>
      <c r="C260" s="504"/>
      <c r="D260" s="504"/>
      <c r="F260" s="504"/>
      <c r="G260" s="504"/>
      <c r="H260" s="504"/>
      <c r="I260" s="600"/>
      <c r="J260" s="675"/>
      <c r="K260" s="675"/>
      <c r="L260" s="568"/>
      <c r="M260" s="509"/>
    </row>
    <row r="261" spans="1:13">
      <c r="A261" s="510">
        <v>40</v>
      </c>
      <c r="B261" s="2" t="s">
        <v>1123</v>
      </c>
      <c r="C261" s="504"/>
      <c r="D261" s="2" t="s">
        <v>1199</v>
      </c>
      <c r="F261" s="504"/>
      <c r="G261" s="504"/>
      <c r="H261" s="504"/>
      <c r="I261" s="984">
        <f>I262+I263</f>
        <v>784900</v>
      </c>
      <c r="J261" s="675"/>
      <c r="K261" s="675"/>
      <c r="L261" s="568"/>
      <c r="M261" s="504"/>
    </row>
    <row r="262" spans="1:13">
      <c r="A262" s="651" t="s">
        <v>1063</v>
      </c>
      <c r="B262" s="2" t="s">
        <v>1036</v>
      </c>
      <c r="C262" s="504"/>
      <c r="D262" s="504"/>
      <c r="F262" s="504"/>
      <c r="G262" s="504"/>
      <c r="H262" s="504"/>
      <c r="I262" s="603">
        <v>784900</v>
      </c>
      <c r="J262" s="675"/>
      <c r="K262" s="675"/>
      <c r="L262" s="568"/>
      <c r="M262" s="504"/>
    </row>
    <row r="263" spans="1:13">
      <c r="A263" s="651" t="s">
        <v>1064</v>
      </c>
      <c r="B263" s="2" t="s">
        <v>1035</v>
      </c>
      <c r="C263" s="504"/>
      <c r="D263" s="504"/>
      <c r="F263" s="504"/>
      <c r="G263" s="504"/>
      <c r="H263" s="504"/>
      <c r="I263" s="603"/>
      <c r="J263" s="675"/>
      <c r="K263" s="675"/>
      <c r="L263" s="568"/>
      <c r="M263" s="504"/>
    </row>
    <row r="264" spans="1:13">
      <c r="B264" s="504"/>
      <c r="C264" s="504"/>
      <c r="D264" s="509"/>
      <c r="E264" s="509"/>
      <c r="F264" s="509"/>
      <c r="G264" s="509"/>
      <c r="H264" s="509"/>
      <c r="J264" s="675"/>
      <c r="K264" s="675"/>
      <c r="L264" s="563"/>
      <c r="M264" s="504"/>
    </row>
    <row r="265" spans="1:13">
      <c r="A265" s="510">
        <v>41</v>
      </c>
      <c r="B265" s="2" t="s">
        <v>1032</v>
      </c>
      <c r="C265" s="504"/>
      <c r="D265" s="504"/>
      <c r="E265" s="504"/>
      <c r="F265" s="504"/>
      <c r="G265" s="504"/>
      <c r="H265" s="504"/>
      <c r="I265" s="977"/>
      <c r="J265" s="675"/>
      <c r="K265" s="675"/>
      <c r="L265" s="563"/>
      <c r="M265" s="504"/>
    </row>
    <row r="266" spans="1:13">
      <c r="A266" s="510"/>
      <c r="C266" s="510"/>
      <c r="D266" s="509"/>
      <c r="E266" s="509"/>
      <c r="F266" s="509"/>
      <c r="G266" s="509"/>
      <c r="H266" s="504"/>
      <c r="I266" s="605"/>
      <c r="J266" s="675"/>
      <c r="K266" s="675"/>
      <c r="L266" s="510"/>
      <c r="M266" s="504"/>
    </row>
    <row r="267" spans="1:13">
      <c r="A267" s="510">
        <v>42</v>
      </c>
      <c r="B267" s="2" t="s">
        <v>1031</v>
      </c>
      <c r="C267" s="510"/>
      <c r="D267" s="509"/>
      <c r="E267" s="509"/>
      <c r="F267" s="509"/>
      <c r="G267" s="509"/>
      <c r="H267" s="504"/>
      <c r="I267" s="984">
        <f>SUM(I268:I271)</f>
        <v>0</v>
      </c>
      <c r="J267" s="675"/>
      <c r="K267" s="675"/>
      <c r="L267" s="510"/>
      <c r="M267" s="504"/>
    </row>
    <row r="268" spans="1:13">
      <c r="A268" s="1038" t="s">
        <v>1177</v>
      </c>
      <c r="B268" s="1039" t="s">
        <v>1178</v>
      </c>
      <c r="C268" s="510"/>
      <c r="D268" s="1030"/>
      <c r="E268" s="509"/>
      <c r="F268" s="509" t="s">
        <v>1185</v>
      </c>
      <c r="G268" s="521">
        <f>I213</f>
        <v>3.3378594941179174E-2</v>
      </c>
      <c r="H268" s="504"/>
      <c r="I268" s="550">
        <f>D268*G268</f>
        <v>0</v>
      </c>
      <c r="J268" s="604"/>
      <c r="K268" s="605"/>
      <c r="L268" s="510"/>
      <c r="M268" s="504"/>
    </row>
    <row r="269" spans="1:13">
      <c r="A269" s="1038" t="s">
        <v>1179</v>
      </c>
      <c r="B269" s="1039" t="s">
        <v>1180</v>
      </c>
      <c r="C269" s="510"/>
      <c r="D269" s="1030"/>
      <c r="E269" s="509"/>
      <c r="F269" s="509" t="s">
        <v>52</v>
      </c>
      <c r="G269" s="1040">
        <f>+G47</f>
        <v>0.11579322578488699</v>
      </c>
      <c r="H269" s="504"/>
      <c r="I269" s="561">
        <f t="shared" ref="I269:I271" si="3">D269*G269</f>
        <v>0</v>
      </c>
      <c r="J269" s="604"/>
      <c r="K269" s="605"/>
      <c r="L269" s="510"/>
      <c r="M269" s="504"/>
    </row>
    <row r="270" spans="1:13">
      <c r="A270" s="1038" t="s">
        <v>1181</v>
      </c>
      <c r="B270" s="1039" t="s">
        <v>1182</v>
      </c>
      <c r="C270" s="510"/>
      <c r="D270" s="1030"/>
      <c r="E270" s="509"/>
      <c r="F270" s="509" t="s">
        <v>12</v>
      </c>
      <c r="G270" s="549">
        <f>I196</f>
        <v>0.97009895452119421</v>
      </c>
      <c r="H270" s="504"/>
      <c r="I270" s="550">
        <f t="shared" si="3"/>
        <v>0</v>
      </c>
      <c r="J270" s="604"/>
      <c r="K270" s="605"/>
      <c r="L270" s="510"/>
      <c r="M270" s="504"/>
    </row>
    <row r="271" spans="1:13">
      <c r="A271" s="1038" t="s">
        <v>1183</v>
      </c>
      <c r="B271" s="1039" t="s">
        <v>1184</v>
      </c>
      <c r="C271" s="509"/>
      <c r="D271" s="1030"/>
      <c r="E271" s="509"/>
      <c r="F271" s="509" t="s">
        <v>299</v>
      </c>
      <c r="G271" s="549">
        <v>1</v>
      </c>
      <c r="H271" s="509"/>
      <c r="I271" s="550">
        <f t="shared" si="3"/>
        <v>0</v>
      </c>
      <c r="J271" s="509"/>
      <c r="K271" s="547"/>
      <c r="L271" s="503"/>
    </row>
    <row r="272" spans="1:13">
      <c r="A272" s="565"/>
      <c r="B272" s="504"/>
      <c r="C272" s="509"/>
      <c r="D272" s="509"/>
      <c r="E272" s="509"/>
      <c r="F272" s="509"/>
      <c r="G272" s="553"/>
      <c r="H272" s="509"/>
      <c r="I272" s="509"/>
      <c r="J272" s="509"/>
      <c r="K272" s="547"/>
      <c r="L272" s="503"/>
    </row>
    <row r="273" spans="1:13">
      <c r="B273" s="504"/>
      <c r="C273" s="504"/>
      <c r="D273" s="505"/>
      <c r="E273" s="504"/>
      <c r="F273" s="504"/>
      <c r="G273" s="504"/>
      <c r="H273" s="504"/>
      <c r="I273" s="510"/>
      <c r="J273" s="510"/>
      <c r="K273" s="506"/>
      <c r="L273" s="504"/>
      <c r="M273" s="504"/>
    </row>
    <row r="274" spans="1:13">
      <c r="B274" s="504"/>
      <c r="C274" s="504"/>
      <c r="D274" s="505"/>
      <c r="E274" s="504"/>
      <c r="F274" s="504"/>
      <c r="G274" s="504"/>
      <c r="H274" s="504"/>
      <c r="I274" s="506"/>
      <c r="J274" s="506"/>
      <c r="K274" s="506"/>
      <c r="L274" s="504"/>
      <c r="M274" s="504"/>
    </row>
    <row r="275" spans="1:13" ht="16.5" customHeight="1">
      <c r="B275" s="504"/>
      <c r="C275" s="504"/>
      <c r="D275" s="505"/>
      <c r="E275" s="504"/>
      <c r="F275" s="504"/>
      <c r="G275" s="504"/>
      <c r="H275" s="504"/>
      <c r="I275" s="504"/>
      <c r="K275" s="506" t="str">
        <f>K182</f>
        <v>Attachment H -11A</v>
      </c>
      <c r="L275" s="504"/>
      <c r="M275" s="504"/>
    </row>
    <row r="276" spans="1:13" ht="16.5" customHeight="1">
      <c r="B276" s="504"/>
      <c r="C276" s="504"/>
      <c r="D276" s="505"/>
      <c r="E276" s="504"/>
      <c r="F276" s="504"/>
      <c r="G276" s="504"/>
      <c r="H276" s="504"/>
      <c r="I276" s="504"/>
      <c r="J276" s="504"/>
      <c r="K276" s="506" t="s">
        <v>98</v>
      </c>
      <c r="L276" s="504"/>
      <c r="M276" s="504"/>
    </row>
    <row r="277" spans="1:13" ht="16.5" customHeight="1">
      <c r="B277" s="504"/>
      <c r="C277" s="504"/>
      <c r="D277" s="505"/>
      <c r="E277" s="504"/>
      <c r="F277" s="504"/>
      <c r="G277" s="504"/>
      <c r="H277" s="504"/>
      <c r="I277" s="504"/>
      <c r="J277" s="504"/>
      <c r="K277" s="506"/>
      <c r="L277" s="504"/>
      <c r="M277" s="504"/>
    </row>
    <row r="278" spans="1:13">
      <c r="B278" s="504" t="s">
        <v>1</v>
      </c>
      <c r="C278" s="504"/>
      <c r="D278" s="505" t="s">
        <v>2</v>
      </c>
      <c r="E278" s="504"/>
      <c r="F278" s="504"/>
      <c r="G278" s="504"/>
      <c r="H278" s="504"/>
      <c r="J278" s="504"/>
      <c r="K278" s="506" t="str">
        <f>K4</f>
        <v>For the 12 months ended 12/31/2025</v>
      </c>
      <c r="L278" s="504"/>
      <c r="M278" s="504"/>
    </row>
    <row r="279" spans="1:13">
      <c r="B279" s="504"/>
      <c r="C279" s="509" t="s">
        <v>3</v>
      </c>
      <c r="D279" s="509" t="s">
        <v>4</v>
      </c>
      <c r="E279" s="509"/>
      <c r="F279" s="509"/>
      <c r="G279" s="509"/>
      <c r="H279" s="504"/>
      <c r="I279" s="504"/>
      <c r="J279" s="504"/>
      <c r="K279" s="504"/>
      <c r="L279" s="504"/>
      <c r="M279" s="504"/>
    </row>
    <row r="280" spans="1:13">
      <c r="A280" s="510"/>
      <c r="C280" s="510"/>
      <c r="D280" s="509"/>
      <c r="E280" s="509"/>
      <c r="F280" s="509"/>
      <c r="G280" s="509"/>
      <c r="H280" s="504"/>
      <c r="I280" s="606"/>
      <c r="J280" s="595"/>
      <c r="K280" s="604"/>
      <c r="L280" s="510"/>
      <c r="M280" s="504"/>
    </row>
    <row r="281" spans="1:13">
      <c r="A281" s="510"/>
      <c r="C281" s="510"/>
      <c r="D281" s="509" t="str">
        <f>D7</f>
        <v>MON POWER</v>
      </c>
      <c r="E281" s="509"/>
      <c r="F281" s="509"/>
      <c r="G281" s="509"/>
      <c r="H281" s="504"/>
      <c r="I281" s="606"/>
      <c r="J281" s="595"/>
      <c r="K281" s="604"/>
      <c r="L281" s="510"/>
      <c r="M281" s="504"/>
    </row>
    <row r="282" spans="1:13">
      <c r="A282" s="510"/>
      <c r="C282" s="510"/>
      <c r="D282" s="509"/>
      <c r="E282" s="509"/>
      <c r="F282" s="509"/>
      <c r="G282" s="509"/>
      <c r="H282" s="504"/>
      <c r="I282" s="606"/>
      <c r="J282" s="595"/>
      <c r="K282" s="604"/>
      <c r="L282" s="510"/>
      <c r="M282" s="504"/>
    </row>
    <row r="283" spans="1:13">
      <c r="A283" s="510"/>
      <c r="B283" s="504" t="s">
        <v>852</v>
      </c>
      <c r="C283" s="510"/>
      <c r="D283" s="509"/>
      <c r="E283" s="509"/>
      <c r="F283" s="509"/>
      <c r="G283" s="509"/>
      <c r="H283" s="504"/>
      <c r="I283" s="509"/>
      <c r="J283" s="504"/>
      <c r="K283" s="509"/>
      <c r="L283" s="510"/>
      <c r="M283" s="504"/>
    </row>
    <row r="284" spans="1:13">
      <c r="A284" s="510"/>
      <c r="B284" s="607" t="s">
        <v>853</v>
      </c>
      <c r="C284" s="510"/>
      <c r="D284" s="509"/>
      <c r="E284" s="509"/>
      <c r="F284" s="509"/>
      <c r="G284" s="509"/>
      <c r="H284" s="504"/>
      <c r="I284" s="509"/>
      <c r="J284" s="504"/>
      <c r="K284" s="509"/>
      <c r="L284" s="510"/>
      <c r="M284" s="504"/>
    </row>
    <row r="285" spans="1:13">
      <c r="A285" s="510" t="s">
        <v>99</v>
      </c>
      <c r="B285" s="504"/>
      <c r="C285" s="504"/>
      <c r="D285" s="509"/>
      <c r="E285" s="509"/>
      <c r="F285" s="509"/>
      <c r="G285" s="509"/>
      <c r="H285" s="504"/>
      <c r="I285" s="509"/>
      <c r="J285" s="504"/>
      <c r="K285" s="509"/>
      <c r="L285" s="510"/>
      <c r="M285" s="504"/>
    </row>
    <row r="286" spans="1:13" ht="16" thickBot="1">
      <c r="A286" s="514" t="s">
        <v>100</v>
      </c>
      <c r="B286" s="504"/>
      <c r="C286" s="504"/>
      <c r="D286" s="509"/>
      <c r="E286" s="509"/>
      <c r="F286" s="509"/>
      <c r="G286" s="509"/>
      <c r="H286" s="504"/>
      <c r="I286" s="509"/>
      <c r="J286" s="504"/>
      <c r="K286" s="509"/>
      <c r="L286" s="510"/>
      <c r="M286" s="504"/>
    </row>
    <row r="287" spans="1:13" ht="35.5" customHeight="1">
      <c r="A287" s="492" t="s">
        <v>101</v>
      </c>
      <c r="B287" s="1102" t="s">
        <v>877</v>
      </c>
      <c r="C287" s="1103"/>
      <c r="D287" s="1103"/>
      <c r="E287" s="1103"/>
      <c r="F287" s="1103"/>
      <c r="G287" s="1103"/>
      <c r="H287" s="1103"/>
      <c r="I287" s="1103"/>
      <c r="J287" s="1103"/>
      <c r="K287" s="1103"/>
      <c r="L287" s="503"/>
    </row>
    <row r="288" spans="1:13" ht="16.5" customHeight="1">
      <c r="A288" s="608" t="s">
        <v>102</v>
      </c>
      <c r="B288" s="1109" t="s">
        <v>521</v>
      </c>
      <c r="C288" s="1109"/>
      <c r="D288" s="1109"/>
      <c r="E288" s="1109"/>
      <c r="F288" s="1109"/>
      <c r="G288" s="1109"/>
      <c r="H288" s="1109"/>
      <c r="I288" s="1109"/>
      <c r="J288" s="1109"/>
      <c r="K288" s="1109"/>
      <c r="L288" s="510"/>
      <c r="M288" s="504"/>
    </row>
    <row r="289" spans="1:13" ht="19.5" customHeight="1">
      <c r="A289" s="608" t="s">
        <v>103</v>
      </c>
      <c r="B289" s="1099" t="s">
        <v>1086</v>
      </c>
      <c r="C289" s="1100"/>
      <c r="D289" s="1100"/>
      <c r="E289" s="1100"/>
      <c r="F289" s="1100"/>
      <c r="G289" s="1100"/>
      <c r="H289" s="1100"/>
      <c r="I289" s="1100"/>
      <c r="J289" s="1100"/>
      <c r="K289" s="1100"/>
      <c r="L289" s="568"/>
      <c r="M289" s="504"/>
    </row>
    <row r="290" spans="1:13" ht="59.25" customHeight="1">
      <c r="A290" s="1017" t="s">
        <v>104</v>
      </c>
      <c r="B290" s="1104" t="s">
        <v>1268</v>
      </c>
      <c r="C290" s="1110"/>
      <c r="D290" s="1110"/>
      <c r="E290" s="1110"/>
      <c r="F290" s="1110"/>
      <c r="G290" s="1110"/>
      <c r="H290" s="1110"/>
      <c r="I290" s="1110"/>
      <c r="J290" s="1110"/>
      <c r="K290" s="1110"/>
      <c r="L290" s="563"/>
      <c r="M290" s="504"/>
    </row>
    <row r="291" spans="1:13" ht="48" customHeight="1">
      <c r="A291" s="1017" t="s">
        <v>105</v>
      </c>
      <c r="B291" s="1104" t="s">
        <v>1173</v>
      </c>
      <c r="C291" s="1110"/>
      <c r="D291" s="1110"/>
      <c r="E291" s="1110"/>
      <c r="F291" s="1110"/>
      <c r="G291" s="1110"/>
      <c r="H291" s="1110"/>
      <c r="I291" s="1110"/>
      <c r="J291" s="1110"/>
      <c r="K291" s="1110"/>
      <c r="L291" s="505"/>
      <c r="M291" s="504"/>
    </row>
    <row r="292" spans="1:13" ht="53.15" customHeight="1">
      <c r="A292" s="608" t="s">
        <v>106</v>
      </c>
      <c r="B292" s="1099" t="s">
        <v>1094</v>
      </c>
      <c r="C292" s="1099"/>
      <c r="D292" s="1099"/>
      <c r="E292" s="1099"/>
      <c r="F292" s="1099"/>
      <c r="G292" s="1099"/>
      <c r="H292" s="1099"/>
      <c r="I292" s="1099"/>
      <c r="J292" s="1099"/>
      <c r="K292" s="1099"/>
      <c r="L292" s="510"/>
      <c r="M292" s="504"/>
    </row>
    <row r="293" spans="1:13">
      <c r="A293" s="608" t="s">
        <v>107</v>
      </c>
      <c r="B293" s="1100" t="s">
        <v>108</v>
      </c>
      <c r="C293" s="1100"/>
      <c r="D293" s="1100"/>
      <c r="E293" s="1100"/>
      <c r="F293" s="1100"/>
      <c r="G293" s="1100"/>
      <c r="H293" s="1100"/>
      <c r="I293" s="1100"/>
      <c r="J293" s="1100"/>
      <c r="K293" s="1100"/>
      <c r="L293" s="510"/>
      <c r="M293" s="504"/>
    </row>
    <row r="294" spans="1:13" ht="36.65" customHeight="1">
      <c r="A294" s="608" t="s">
        <v>109</v>
      </c>
      <c r="B294" s="1099" t="s">
        <v>1260</v>
      </c>
      <c r="C294" s="1099"/>
      <c r="D294" s="1099"/>
      <c r="E294" s="1099"/>
      <c r="F294" s="1099"/>
      <c r="G294" s="1099"/>
      <c r="H294" s="1099"/>
      <c r="I294" s="1099"/>
      <c r="J294" s="1099"/>
      <c r="K294" s="1099"/>
      <c r="L294" s="510"/>
      <c r="M294" s="504"/>
    </row>
    <row r="295" spans="1:13" ht="32.25" customHeight="1">
      <c r="A295" s="1018" t="s">
        <v>110</v>
      </c>
      <c r="B295" s="1099" t="s">
        <v>936</v>
      </c>
      <c r="C295" s="1099"/>
      <c r="D295" s="1099"/>
      <c r="E295" s="1099"/>
      <c r="F295" s="1099"/>
      <c r="G295" s="1099"/>
      <c r="H295" s="1099"/>
      <c r="I295" s="1099"/>
      <c r="J295" s="1099"/>
      <c r="K295" s="1099"/>
      <c r="L295" s="510"/>
      <c r="M295" s="504"/>
    </row>
    <row r="296" spans="1:13" ht="78" customHeight="1">
      <c r="A296" s="1018" t="s">
        <v>111</v>
      </c>
      <c r="B296" s="1099" t="s">
        <v>1159</v>
      </c>
      <c r="C296" s="1099"/>
      <c r="D296" s="1099"/>
      <c r="E296" s="1099"/>
      <c r="F296" s="1099"/>
      <c r="G296" s="1099"/>
      <c r="H296" s="1099"/>
      <c r="I296" s="1099"/>
      <c r="J296" s="1099"/>
      <c r="K296" s="1099"/>
      <c r="L296" s="510"/>
      <c r="M296" s="504"/>
    </row>
    <row r="297" spans="1:13">
      <c r="A297" s="608" t="s">
        <v>3</v>
      </c>
      <c r="B297" s="609" t="s">
        <v>134</v>
      </c>
      <c r="C297" s="610" t="s">
        <v>113</v>
      </c>
      <c r="D297" s="611">
        <f>'Attachment 18 - Tax Rates'!D6</f>
        <v>0.21</v>
      </c>
      <c r="E297" s="1100"/>
      <c r="F297" s="1100"/>
      <c r="G297" s="1100"/>
      <c r="H297" s="1100"/>
      <c r="I297" s="1100"/>
      <c r="J297" s="1100"/>
      <c r="K297" s="1100"/>
      <c r="L297" s="510"/>
      <c r="M297" s="504"/>
    </row>
    <row r="298" spans="1:13">
      <c r="A298" s="608"/>
      <c r="B298" s="610"/>
      <c r="C298" s="610" t="s">
        <v>114</v>
      </c>
      <c r="D298" s="611">
        <f>'Attachment 18 - Tax Rates'!G16</f>
        <v>6.0761350000000006E-2</v>
      </c>
      <c r="E298" s="1100" t="s">
        <v>250</v>
      </c>
      <c r="F298" s="1100"/>
      <c r="G298" s="1100"/>
      <c r="H298" s="1100"/>
      <c r="I298" s="1100"/>
      <c r="J298" s="1100"/>
      <c r="K298" s="1100"/>
      <c r="L298" s="510"/>
      <c r="M298" s="504"/>
    </row>
    <row r="299" spans="1:13">
      <c r="A299" s="608"/>
      <c r="B299" s="610"/>
      <c r="C299" s="610" t="s">
        <v>115</v>
      </c>
      <c r="D299" s="612"/>
      <c r="E299" s="1100" t="s">
        <v>251</v>
      </c>
      <c r="F299" s="1100"/>
      <c r="G299" s="1100"/>
      <c r="H299" s="1100"/>
      <c r="I299" s="1100"/>
      <c r="J299" s="1100"/>
      <c r="K299" s="1100"/>
      <c r="L299" s="510"/>
      <c r="M299" s="504"/>
    </row>
    <row r="300" spans="1:13" ht="36.75" customHeight="1">
      <c r="A300" s="1018" t="s">
        <v>112</v>
      </c>
      <c r="B300" s="1100" t="s">
        <v>572</v>
      </c>
      <c r="C300" s="1100"/>
      <c r="D300" s="1100"/>
      <c r="E300" s="1100"/>
      <c r="F300" s="1100"/>
      <c r="G300" s="1100"/>
      <c r="H300" s="1100"/>
      <c r="I300" s="1100"/>
      <c r="J300" s="1100"/>
      <c r="K300" s="1100"/>
      <c r="L300" s="510"/>
      <c r="M300" s="504"/>
    </row>
    <row r="301" spans="1:13" ht="32.25" customHeight="1">
      <c r="A301" s="1018" t="s">
        <v>116</v>
      </c>
      <c r="B301" s="1100" t="s">
        <v>570</v>
      </c>
      <c r="C301" s="1100"/>
      <c r="D301" s="1100"/>
      <c r="E301" s="1100"/>
      <c r="F301" s="1100"/>
      <c r="G301" s="1100"/>
      <c r="H301" s="1100"/>
      <c r="I301" s="1100"/>
      <c r="J301" s="1100"/>
      <c r="K301" s="1100"/>
      <c r="L301" s="510"/>
      <c r="M301" s="504"/>
    </row>
    <row r="302" spans="1:13" ht="48" customHeight="1">
      <c r="A302" s="1018" t="s">
        <v>117</v>
      </c>
      <c r="B302" s="1100" t="s">
        <v>256</v>
      </c>
      <c r="C302" s="1100"/>
      <c r="D302" s="1100"/>
      <c r="E302" s="1100"/>
      <c r="F302" s="1100"/>
      <c r="G302" s="1100"/>
      <c r="H302" s="1100"/>
      <c r="I302" s="1100"/>
      <c r="J302" s="1100"/>
      <c r="K302" s="1100"/>
      <c r="L302" s="510"/>
      <c r="M302" s="504"/>
    </row>
    <row r="303" spans="1:13">
      <c r="A303" s="1018" t="s">
        <v>118</v>
      </c>
      <c r="B303" s="1100" t="s">
        <v>120</v>
      </c>
      <c r="C303" s="1100"/>
      <c r="D303" s="1100"/>
      <c r="E303" s="1100"/>
      <c r="F303" s="1100"/>
      <c r="G303" s="1100"/>
      <c r="H303" s="1100"/>
      <c r="I303" s="1100"/>
      <c r="J303" s="1100"/>
      <c r="K303" s="1100"/>
      <c r="L303" s="510"/>
      <c r="M303" s="504"/>
    </row>
    <row r="304" spans="1:13" ht="32.25" customHeight="1">
      <c r="A304" s="1018" t="s">
        <v>119</v>
      </c>
      <c r="B304" s="1099" t="s">
        <v>1263</v>
      </c>
      <c r="C304" s="1100"/>
      <c r="D304" s="1100"/>
      <c r="E304" s="1100"/>
      <c r="F304" s="1100"/>
      <c r="G304" s="1100"/>
      <c r="H304" s="1100"/>
      <c r="I304" s="1100"/>
      <c r="J304" s="1100"/>
      <c r="K304" s="1100"/>
      <c r="L304" s="505"/>
      <c r="M304" s="504"/>
    </row>
    <row r="305" spans="1:13" ht="23.25" customHeight="1">
      <c r="A305" s="1018" t="s">
        <v>121</v>
      </c>
      <c r="B305" s="1099" t="s">
        <v>1160</v>
      </c>
      <c r="C305" s="1100"/>
      <c r="D305" s="1100"/>
      <c r="E305" s="1100"/>
      <c r="F305" s="1100"/>
      <c r="G305" s="1100"/>
      <c r="H305" s="1100"/>
      <c r="I305" s="1100"/>
      <c r="J305" s="1100"/>
      <c r="K305" s="1100"/>
      <c r="L305" s="510"/>
      <c r="M305" s="504"/>
    </row>
    <row r="306" spans="1:13">
      <c r="A306" s="1018" t="s">
        <v>1124</v>
      </c>
      <c r="B306" s="1100" t="s">
        <v>122</v>
      </c>
      <c r="C306" s="1100"/>
      <c r="D306" s="1100"/>
      <c r="E306" s="1100"/>
      <c r="F306" s="1100"/>
      <c r="G306" s="1100"/>
      <c r="H306" s="1100"/>
      <c r="I306" s="1100"/>
      <c r="J306" s="1100"/>
      <c r="K306" s="1100"/>
      <c r="L306" s="510"/>
      <c r="M306" s="504"/>
    </row>
    <row r="307" spans="1:13" ht="20.25" customHeight="1">
      <c r="A307" s="1018" t="s">
        <v>1125</v>
      </c>
      <c r="B307" s="1100" t="s">
        <v>262</v>
      </c>
      <c r="C307" s="1100"/>
      <c r="D307" s="1100"/>
      <c r="E307" s="1100"/>
      <c r="F307" s="1100"/>
      <c r="G307" s="1100"/>
      <c r="H307" s="1100"/>
      <c r="I307" s="1100"/>
      <c r="J307" s="1100"/>
      <c r="K307" s="1100"/>
      <c r="L307" s="510"/>
      <c r="M307" s="504"/>
    </row>
    <row r="308" spans="1:13" ht="24.75" customHeight="1">
      <c r="A308" s="1018" t="s">
        <v>1126</v>
      </c>
      <c r="B308" s="1099" t="s">
        <v>1087</v>
      </c>
      <c r="C308" s="1099"/>
      <c r="D308" s="1099"/>
      <c r="E308" s="1099"/>
      <c r="F308" s="1099"/>
      <c r="G308" s="1099"/>
      <c r="H308" s="1099"/>
      <c r="I308" s="1099"/>
      <c r="J308" s="1099"/>
      <c r="K308" s="1099"/>
      <c r="L308" s="504"/>
      <c r="M308" s="504"/>
    </row>
    <row r="309" spans="1:13" ht="15.75" customHeight="1">
      <c r="A309" s="1018" t="s">
        <v>1127</v>
      </c>
      <c r="B309" s="1099" t="s">
        <v>1200</v>
      </c>
      <c r="C309" s="1100"/>
      <c r="D309" s="1100"/>
      <c r="E309" s="1100"/>
      <c r="F309" s="1100"/>
      <c r="G309" s="1100"/>
      <c r="H309" s="1100"/>
      <c r="I309" s="1100"/>
      <c r="J309" s="1100"/>
      <c r="K309" s="1100"/>
      <c r="L309" s="504"/>
      <c r="M309" s="504"/>
    </row>
    <row r="310" spans="1:13" ht="33" customHeight="1">
      <c r="A310" s="1018" t="s">
        <v>1128</v>
      </c>
      <c r="B310" s="1099" t="s">
        <v>1091</v>
      </c>
      <c r="C310" s="1100"/>
      <c r="D310" s="1100"/>
      <c r="E310" s="1100"/>
      <c r="F310" s="1100"/>
      <c r="G310" s="1100"/>
      <c r="H310" s="1100"/>
      <c r="I310" s="1100"/>
      <c r="J310" s="1100"/>
      <c r="K310" s="1100"/>
      <c r="L310" s="699"/>
    </row>
    <row r="311" spans="1:13" ht="15.75" customHeight="1">
      <c r="A311" s="1018" t="s">
        <v>1129</v>
      </c>
      <c r="B311" s="1099" t="s">
        <v>1093</v>
      </c>
      <c r="C311" s="1100"/>
      <c r="D311" s="1100"/>
      <c r="E311" s="1100"/>
      <c r="F311" s="1100"/>
      <c r="G311" s="1100"/>
      <c r="H311" s="1100"/>
      <c r="I311" s="1100"/>
      <c r="J311" s="1100"/>
      <c r="K311" s="1100"/>
    </row>
    <row r="312" spans="1:13" ht="19.5" customHeight="1">
      <c r="A312" s="1018" t="s">
        <v>123</v>
      </c>
      <c r="B312" s="1101" t="s">
        <v>480</v>
      </c>
      <c r="C312" s="1101"/>
      <c r="D312" s="1101"/>
      <c r="E312" s="1101"/>
      <c r="F312" s="1101"/>
      <c r="G312" s="1101"/>
      <c r="H312" s="1101"/>
      <c r="I312" s="1101"/>
      <c r="J312" s="1101"/>
      <c r="K312" s="1101"/>
    </row>
    <row r="313" spans="1:13">
      <c r="A313" s="1018" t="s">
        <v>1130</v>
      </c>
      <c r="B313" s="1102" t="s">
        <v>937</v>
      </c>
      <c r="C313" s="1103"/>
      <c r="D313" s="1103"/>
      <c r="E313" s="1103"/>
      <c r="F313" s="1103"/>
      <c r="G313" s="1103"/>
      <c r="H313" s="1103"/>
      <c r="I313" s="1103"/>
      <c r="J313" s="1103"/>
      <c r="K313" s="1103"/>
    </row>
    <row r="314" spans="1:13" s="869" customFormat="1" ht="14.5" customHeight="1">
      <c r="A314" s="1018" t="s">
        <v>1131</v>
      </c>
      <c r="B314" s="1105" t="s">
        <v>917</v>
      </c>
      <c r="C314" s="1106"/>
      <c r="D314" s="1106"/>
      <c r="E314" s="1106"/>
      <c r="F314" s="1106"/>
      <c r="G314" s="1106"/>
      <c r="H314" s="1106"/>
      <c r="I314" s="1106"/>
      <c r="J314" s="1106"/>
      <c r="K314" s="1106"/>
      <c r="L314" s="868"/>
    </row>
    <row r="315" spans="1:13">
      <c r="A315" s="1018" t="s">
        <v>1132</v>
      </c>
      <c r="B315" s="2" t="s">
        <v>963</v>
      </c>
      <c r="C315" s="504"/>
      <c r="D315" s="505"/>
      <c r="E315" s="504"/>
      <c r="F315" s="504"/>
      <c r="G315" s="504"/>
      <c r="H315" s="504"/>
      <c r="I315" s="504"/>
    </row>
    <row r="316" spans="1:13" ht="33.75" customHeight="1">
      <c r="A316" s="1019" t="s">
        <v>1133</v>
      </c>
      <c r="B316" s="1104" t="s">
        <v>1201</v>
      </c>
      <c r="C316" s="1104"/>
      <c r="D316" s="1104"/>
      <c r="E316" s="1104"/>
      <c r="F316" s="1104"/>
      <c r="G316" s="1104"/>
      <c r="H316" s="1104"/>
      <c r="I316" s="1104"/>
      <c r="J316" s="1104"/>
      <c r="K316" s="1104"/>
    </row>
    <row r="317" spans="1:13" ht="26.25" customHeight="1">
      <c r="A317" s="17" t="s">
        <v>1092</v>
      </c>
      <c r="B317" s="1099" t="s">
        <v>1299</v>
      </c>
      <c r="C317" s="1100"/>
      <c r="D317" s="1100"/>
      <c r="E317" s="1100"/>
      <c r="F317" s="1100"/>
      <c r="G317" s="1100"/>
      <c r="H317" s="1100"/>
      <c r="I317" s="1100"/>
      <c r="J317" s="1100"/>
      <c r="K317" s="1100"/>
    </row>
    <row r="318" spans="1:13">
      <c r="A318" s="510"/>
      <c r="C318" s="615"/>
      <c r="D318" s="1046" t="s">
        <v>1300</v>
      </c>
      <c r="E318" s="1048">
        <f>IFERROR(SUM(D246+D247)/D248,0)</f>
        <v>0.5343955097288593</v>
      </c>
      <c r="F318" s="1102" t="str">
        <f>IF(E318&lt;=0.56,"Equity Cap Not Triggered", "Equity Cap Triggered")</f>
        <v>Equity Cap Not Triggered</v>
      </c>
      <c r="G318" s="1102"/>
      <c r="H318" s="504"/>
      <c r="I318" s="504"/>
    </row>
    <row r="319" spans="1:13">
      <c r="A319" s="510"/>
      <c r="C319" s="504"/>
      <c r="D319" s="511"/>
      <c r="E319" s="504"/>
      <c r="F319" s="504"/>
      <c r="G319" s="504"/>
      <c r="H319" s="504"/>
      <c r="I319" s="504"/>
    </row>
    <row r="320" spans="1:13">
      <c r="A320" s="510"/>
      <c r="B320" s="1107"/>
      <c r="C320" s="1107"/>
      <c r="D320" s="1107"/>
      <c r="E320" s="1107"/>
      <c r="F320" s="1107"/>
      <c r="G320" s="1107"/>
      <c r="H320" s="1107"/>
      <c r="I320" s="1107"/>
      <c r="J320" s="1107"/>
      <c r="K320" s="1107"/>
    </row>
    <row r="321" spans="1:11">
      <c r="A321" s="510"/>
      <c r="B321" s="1107"/>
      <c r="C321" s="1107"/>
      <c r="D321" s="1107"/>
      <c r="E321" s="1107"/>
      <c r="F321" s="1107"/>
      <c r="G321" s="1107"/>
      <c r="H321" s="1107"/>
      <c r="I321" s="1107"/>
      <c r="J321" s="1107"/>
      <c r="K321" s="1107"/>
    </row>
    <row r="322" spans="1:11">
      <c r="A322" s="510"/>
      <c r="B322" s="1107"/>
      <c r="C322" s="1107"/>
      <c r="D322" s="1107"/>
      <c r="E322" s="1107"/>
      <c r="F322" s="1107"/>
      <c r="G322" s="1107"/>
      <c r="H322" s="1107"/>
      <c r="I322" s="1107"/>
      <c r="J322" s="1107"/>
      <c r="K322" s="1107"/>
    </row>
    <row r="323" spans="1:11">
      <c r="A323" s="510"/>
      <c r="B323" s="1107"/>
      <c r="C323" s="1107"/>
      <c r="D323" s="1107"/>
      <c r="E323" s="1107"/>
      <c r="F323" s="1107"/>
      <c r="G323" s="1107"/>
      <c r="H323" s="1107"/>
      <c r="I323" s="1107"/>
      <c r="J323" s="1107"/>
      <c r="K323" s="1107"/>
    </row>
    <row r="324" spans="1:11">
      <c r="A324" s="510"/>
      <c r="C324" s="504"/>
      <c r="D324" s="511"/>
      <c r="E324" s="504"/>
      <c r="F324" s="504"/>
      <c r="G324" s="504"/>
      <c r="H324" s="504"/>
      <c r="I324" s="504"/>
    </row>
    <row r="325" spans="1:11">
      <c r="A325" s="510"/>
      <c r="B325" s="1107"/>
      <c r="C325" s="1107"/>
      <c r="D325" s="1107"/>
      <c r="E325" s="1107"/>
      <c r="F325" s="1107"/>
      <c r="G325" s="1107"/>
      <c r="H325" s="1107"/>
      <c r="I325" s="1107"/>
      <c r="J325" s="1107"/>
      <c r="K325" s="1107"/>
    </row>
    <row r="326" spans="1:11">
      <c r="A326" s="510"/>
      <c r="B326" s="1107"/>
      <c r="C326" s="1107"/>
      <c r="D326" s="1107"/>
      <c r="E326" s="1107"/>
      <c r="F326" s="1107"/>
      <c r="G326" s="1107"/>
      <c r="H326" s="1107"/>
      <c r="I326" s="1107"/>
      <c r="J326" s="1107"/>
      <c r="K326" s="1107"/>
    </row>
    <row r="327" spans="1:11">
      <c r="A327" s="510"/>
      <c r="B327" s="1107"/>
      <c r="C327" s="1107"/>
      <c r="D327" s="1107"/>
      <c r="E327" s="1107"/>
      <c r="F327" s="1107"/>
      <c r="G327" s="1107"/>
      <c r="H327" s="1107"/>
      <c r="I327" s="1107"/>
      <c r="J327" s="1107"/>
      <c r="K327" s="1107"/>
    </row>
    <row r="328" spans="1:11">
      <c r="A328" s="510"/>
      <c r="C328" s="504"/>
      <c r="D328" s="511"/>
      <c r="E328" s="504"/>
      <c r="F328" s="504"/>
      <c r="G328" s="504"/>
      <c r="H328" s="504"/>
      <c r="I328" s="504"/>
    </row>
    <row r="329" spans="1:11">
      <c r="A329" s="510"/>
      <c r="C329" s="504"/>
      <c r="D329" s="511"/>
      <c r="E329" s="504"/>
      <c r="F329" s="504"/>
      <c r="G329" s="504"/>
      <c r="H329" s="504"/>
      <c r="I329" s="504"/>
    </row>
    <row r="330" spans="1:11">
      <c r="A330" s="510"/>
      <c r="C330" s="504"/>
      <c r="D330" s="511"/>
      <c r="E330" s="504"/>
      <c r="F330" s="504"/>
      <c r="G330" s="504"/>
      <c r="H330" s="504"/>
      <c r="I330" s="510"/>
    </row>
    <row r="331" spans="1:11">
      <c r="A331" s="510"/>
      <c r="C331" s="504"/>
      <c r="D331" s="504"/>
      <c r="E331" s="504"/>
      <c r="F331" s="504"/>
      <c r="G331" s="510"/>
      <c r="H331" s="504"/>
      <c r="I331" s="510"/>
    </row>
    <row r="332" spans="1:11">
      <c r="A332" s="510"/>
      <c r="C332" s="504"/>
      <c r="D332" s="509"/>
      <c r="E332" s="504"/>
      <c r="F332" s="504"/>
      <c r="G332" s="504"/>
      <c r="H332" s="504"/>
      <c r="I332" s="515"/>
    </row>
    <row r="333" spans="1:11">
      <c r="C333" s="510"/>
      <c r="D333" s="510"/>
      <c r="E333" s="509"/>
      <c r="F333" s="509"/>
      <c r="G333" s="512"/>
      <c r="H333" s="509"/>
      <c r="I333" s="513"/>
    </row>
    <row r="334" spans="1:11">
      <c r="C334" s="581"/>
      <c r="D334" s="509"/>
      <c r="E334" s="509"/>
      <c r="F334" s="509"/>
      <c r="G334" s="510"/>
      <c r="H334" s="509"/>
      <c r="I334" s="544"/>
    </row>
    <row r="335" spans="1:11">
      <c r="A335" s="510"/>
      <c r="B335" s="504"/>
      <c r="C335" s="543"/>
      <c r="D335" s="544"/>
      <c r="E335" s="546"/>
      <c r="F335" s="544"/>
      <c r="H335" s="546"/>
      <c r="I335" s="510"/>
    </row>
    <row r="336" spans="1:11">
      <c r="A336" s="510"/>
      <c r="B336" s="548"/>
      <c r="C336" s="509"/>
      <c r="D336" s="509"/>
      <c r="E336" s="509"/>
      <c r="F336" s="509"/>
      <c r="G336" s="509"/>
      <c r="H336" s="509"/>
      <c r="I336" s="509"/>
    </row>
    <row r="337" spans="1:9">
      <c r="A337" s="510"/>
      <c r="B337" s="504"/>
      <c r="C337" s="509"/>
      <c r="D337" s="509"/>
      <c r="E337" s="509"/>
      <c r="F337" s="509"/>
      <c r="G337" s="509"/>
      <c r="H337" s="509"/>
      <c r="I337" s="509"/>
    </row>
    <row r="338" spans="1:9">
      <c r="A338" s="510"/>
      <c r="B338" s="504"/>
      <c r="C338" s="509"/>
      <c r="D338" s="509"/>
      <c r="E338" s="509"/>
      <c r="F338" s="509"/>
      <c r="G338" s="509"/>
      <c r="H338" s="509"/>
      <c r="I338" s="509"/>
    </row>
    <row r="339" spans="1:9">
      <c r="A339" s="510"/>
      <c r="B339" s="559"/>
      <c r="D339" s="509"/>
      <c r="E339" s="509"/>
      <c r="F339" s="509"/>
      <c r="G339" s="570"/>
      <c r="H339" s="509"/>
      <c r="I339" s="509"/>
    </row>
    <row r="340" spans="1:9">
      <c r="A340" s="510"/>
      <c r="B340" s="504"/>
      <c r="D340" s="509"/>
      <c r="E340" s="509"/>
      <c r="F340" s="509"/>
      <c r="G340" s="570"/>
      <c r="H340" s="509"/>
      <c r="I340" s="509"/>
    </row>
    <row r="341" spans="1:9">
      <c r="A341" s="510"/>
      <c r="B341" s="504"/>
      <c r="C341" s="509"/>
      <c r="D341" s="509"/>
      <c r="E341" s="509"/>
      <c r="F341" s="509"/>
      <c r="G341" s="509"/>
      <c r="H341" s="509"/>
      <c r="I341" s="509"/>
    </row>
    <row r="342" spans="1:9">
      <c r="A342" s="510"/>
      <c r="B342" s="504"/>
      <c r="C342" s="509"/>
      <c r="D342" s="509"/>
      <c r="E342" s="509"/>
      <c r="F342" s="509"/>
      <c r="G342" s="509"/>
      <c r="H342" s="509"/>
      <c r="I342" s="509"/>
    </row>
    <row r="343" spans="1:9">
      <c r="A343" s="510"/>
      <c r="B343" s="504"/>
      <c r="C343" s="504"/>
      <c r="D343" s="509"/>
      <c r="E343" s="509"/>
      <c r="F343" s="509"/>
      <c r="G343" s="509"/>
      <c r="H343" s="504"/>
      <c r="I343" s="509"/>
    </row>
    <row r="344" spans="1:9">
      <c r="A344" s="510"/>
      <c r="B344" s="504"/>
      <c r="C344" s="504"/>
      <c r="D344" s="509"/>
      <c r="E344" s="509"/>
      <c r="F344" s="509"/>
      <c r="G344" s="509"/>
      <c r="H344" s="504"/>
      <c r="I344" s="509"/>
    </row>
    <row r="345" spans="1:9">
      <c r="A345" s="510"/>
      <c r="B345" s="504"/>
      <c r="C345" s="504"/>
      <c r="D345" s="504"/>
      <c r="E345" s="504"/>
      <c r="F345" s="504"/>
      <c r="G345" s="504"/>
      <c r="H345" s="504"/>
      <c r="I345" s="504"/>
    </row>
    <row r="346" spans="1:9">
      <c r="A346" s="510"/>
      <c r="B346" s="504"/>
      <c r="C346" s="504"/>
      <c r="D346" s="504"/>
      <c r="E346" s="504"/>
      <c r="F346" s="504"/>
      <c r="G346" s="504"/>
      <c r="H346" s="504"/>
      <c r="I346" s="504"/>
    </row>
    <row r="347" spans="1:9">
      <c r="A347" s="510"/>
      <c r="B347" s="504"/>
      <c r="C347" s="504"/>
      <c r="D347" s="504"/>
      <c r="E347" s="504"/>
      <c r="F347" s="504"/>
      <c r="G347" s="504"/>
      <c r="H347" s="504"/>
      <c r="I347" s="504"/>
    </row>
    <row r="348" spans="1:9">
      <c r="A348" s="510"/>
      <c r="B348" s="616"/>
      <c r="C348" s="504"/>
      <c r="D348" s="504"/>
      <c r="E348" s="504"/>
      <c r="F348" s="504"/>
      <c r="G348" s="504"/>
      <c r="H348" s="504"/>
      <c r="I348" s="504"/>
    </row>
    <row r="349" spans="1:9">
      <c r="A349" s="510"/>
      <c r="B349" s="616"/>
      <c r="C349" s="504"/>
      <c r="D349" s="504"/>
      <c r="E349" s="504"/>
      <c r="F349" s="504"/>
      <c r="G349" s="504"/>
      <c r="H349" s="504"/>
      <c r="I349" s="504"/>
    </row>
    <row r="350" spans="1:9">
      <c r="A350" s="510"/>
      <c r="B350" s="616"/>
      <c r="C350" s="504"/>
      <c r="D350" s="504"/>
      <c r="E350" s="504"/>
      <c r="F350" s="504"/>
      <c r="G350" s="504"/>
      <c r="H350" s="504"/>
      <c r="I350" s="504"/>
    </row>
    <row r="351" spans="1:9">
      <c r="A351" s="510"/>
      <c r="B351" s="616"/>
      <c r="C351" s="504"/>
      <c r="D351" s="504"/>
      <c r="E351" s="504"/>
      <c r="F351" s="504"/>
      <c r="G351" s="504"/>
      <c r="H351" s="504"/>
      <c r="I351" s="504"/>
    </row>
    <row r="352" spans="1:9">
      <c r="A352" s="510"/>
      <c r="B352" s="616"/>
      <c r="C352" s="504"/>
      <c r="D352" s="504"/>
      <c r="E352" s="504"/>
      <c r="F352" s="504"/>
      <c r="G352" s="504"/>
      <c r="H352" s="504"/>
      <c r="I352" s="504"/>
    </row>
    <row r="353" spans="1:12">
      <c r="A353" s="510"/>
      <c r="B353" s="616"/>
      <c r="C353" s="504"/>
      <c r="D353" s="504"/>
      <c r="E353" s="504"/>
      <c r="F353" s="504"/>
      <c r="G353" s="504"/>
      <c r="H353" s="504"/>
      <c r="I353" s="504"/>
    </row>
    <row r="354" spans="1:12">
      <c r="A354" s="510"/>
      <c r="B354" s="616"/>
      <c r="C354" s="504"/>
      <c r="D354" s="504"/>
      <c r="E354" s="504"/>
      <c r="F354" s="504"/>
      <c r="G354" s="504"/>
      <c r="H354" s="504"/>
      <c r="I354" s="504"/>
    </row>
    <row r="355" spans="1:12">
      <c r="A355" s="510"/>
      <c r="B355" s="504"/>
      <c r="C355" s="504"/>
      <c r="D355" s="504"/>
      <c r="E355" s="504"/>
      <c r="F355" s="504"/>
      <c r="G355" s="504"/>
      <c r="H355" s="504"/>
      <c r="I355" s="504"/>
    </row>
    <row r="356" spans="1:12">
      <c r="A356" s="510"/>
      <c r="B356" s="504"/>
      <c r="C356" s="504"/>
      <c r="D356" s="504"/>
      <c r="E356" s="504"/>
      <c r="F356" s="504"/>
      <c r="G356" s="504"/>
      <c r="H356" s="504"/>
      <c r="I356" s="504"/>
    </row>
    <row r="357" spans="1:12">
      <c r="A357" s="614"/>
      <c r="B357" s="505"/>
    </row>
    <row r="358" spans="1:12">
      <c r="B358" s="505"/>
    </row>
    <row r="359" spans="1:12">
      <c r="B359" s="505"/>
    </row>
    <row r="360" spans="1:12">
      <c r="B360" s="505"/>
    </row>
    <row r="361" spans="1:12">
      <c r="B361" s="505"/>
    </row>
    <row r="362" spans="1:12">
      <c r="B362" s="505"/>
    </row>
    <row r="363" spans="1:12">
      <c r="B363" s="505"/>
    </row>
    <row r="364" spans="1:12">
      <c r="B364" s="505"/>
    </row>
    <row r="366" spans="1:12">
      <c r="A366" s="504"/>
      <c r="B366" s="509"/>
      <c r="C366" s="509"/>
      <c r="D366" s="509"/>
      <c r="E366" s="509"/>
      <c r="F366" s="553"/>
      <c r="G366" s="509"/>
      <c r="H366" s="509"/>
      <c r="I366" s="509"/>
      <c r="K366" s="547"/>
      <c r="L366" s="503"/>
    </row>
    <row r="367" spans="1:12">
      <c r="A367" s="504"/>
      <c r="B367" s="509"/>
      <c r="C367" s="509"/>
      <c r="D367" s="509"/>
      <c r="E367" s="509"/>
      <c r="F367" s="553"/>
      <c r="G367" s="509"/>
      <c r="H367" s="509"/>
      <c r="I367" s="509"/>
      <c r="K367" s="547"/>
      <c r="L367" s="503"/>
    </row>
    <row r="368" spans="1:12">
      <c r="A368" s="504"/>
      <c r="B368" s="509"/>
      <c r="C368" s="509"/>
      <c r="D368" s="509"/>
      <c r="E368" s="509"/>
      <c r="F368" s="553"/>
      <c r="G368" s="509"/>
      <c r="H368" s="509"/>
      <c r="I368" s="509"/>
      <c r="J368" s="553"/>
      <c r="K368" s="553"/>
      <c r="L368" s="503"/>
    </row>
  </sheetData>
  <customSheetViews>
    <customSheetView guid="{E1861F40-EBD5-44AE-868B-FDE0ED504D72}" scale="75" showPageBreaks="1" printArea="1" view="pageBreakPreview" topLeftCell="A307">
      <selection activeCell="D146" sqref="D146"/>
      <rowBreaks count="4" manualBreakCount="4">
        <brk id="55" max="10" man="1"/>
        <brk id="129" max="16383" man="1"/>
        <brk id="206" max="16383" man="1"/>
        <brk id="285" max="16383" man="1"/>
      </rowBreaks>
      <pageMargins left="0.75" right="0.75" top="1" bottom="1" header="0.5" footer="0.5"/>
      <pageSetup scale="44" fitToHeight="5" orientation="portrait" r:id="rId1"/>
      <headerFooter alignWithMargins="0"/>
    </customSheetView>
  </customSheetViews>
  <mergeCells count="39">
    <mergeCell ref="M222:R222"/>
    <mergeCell ref="E298:K298"/>
    <mergeCell ref="B289:K289"/>
    <mergeCell ref="B288:K288"/>
    <mergeCell ref="B292:K292"/>
    <mergeCell ref="B287:K287"/>
    <mergeCell ref="E297:K297"/>
    <mergeCell ref="B294:K294"/>
    <mergeCell ref="B295:K295"/>
    <mergeCell ref="B296:K296"/>
    <mergeCell ref="B290:K290"/>
    <mergeCell ref="B293:K293"/>
    <mergeCell ref="B291:K291"/>
    <mergeCell ref="B316:K316"/>
    <mergeCell ref="B314:K314"/>
    <mergeCell ref="B327:K327"/>
    <mergeCell ref="B326:K326"/>
    <mergeCell ref="B325:K325"/>
    <mergeCell ref="B323:K323"/>
    <mergeCell ref="B322:K322"/>
    <mergeCell ref="B317:K317"/>
    <mergeCell ref="B321:K321"/>
    <mergeCell ref="B320:K320"/>
    <mergeCell ref="F318:G318"/>
    <mergeCell ref="B310:K310"/>
    <mergeCell ref="B312:K312"/>
    <mergeCell ref="B313:K313"/>
    <mergeCell ref="E299:K299"/>
    <mergeCell ref="B309:K309"/>
    <mergeCell ref="B308:K308"/>
    <mergeCell ref="B307:K307"/>
    <mergeCell ref="B306:K306"/>
    <mergeCell ref="B305:K305"/>
    <mergeCell ref="B301:K301"/>
    <mergeCell ref="B304:K304"/>
    <mergeCell ref="B303:K303"/>
    <mergeCell ref="B302:K302"/>
    <mergeCell ref="B300:K300"/>
    <mergeCell ref="B311:K311"/>
  </mergeCells>
  <phoneticPr fontId="0" type="noConversion"/>
  <conditionalFormatting sqref="E245:E247">
    <cfRule type="expression" dxfId="1" priority="2">
      <formula>$E$318&gt;0.56</formula>
    </cfRule>
  </conditionalFormatting>
  <conditionalFormatting sqref="F318:G318">
    <cfRule type="expression" dxfId="0" priority="1">
      <formula>$E$318&gt;0.56</formula>
    </cfRule>
  </conditionalFormatting>
  <printOptions horizontalCentered="1"/>
  <pageMargins left="0.7" right="0.7" top="0.75" bottom="0.75" header="0.3" footer="0.3"/>
  <pageSetup scale="24" fitToWidth="0" fitToHeight="0" orientation="portrait" r:id="rId2"/>
  <headerFooter alignWithMargins="0"/>
  <rowBreaks count="4" manualBreakCount="4">
    <brk id="29" max="10" man="1"/>
    <brk id="103" max="10" man="1"/>
    <brk id="181" max="10" man="1"/>
    <brk id="274" max="10" man="1"/>
  </rowBreaks>
  <ignoredErrors>
    <ignoredError sqref="I261 I267" unlockedFormula="1"/>
    <ignoredError sqref="C111" numberStoredAsText="1"/>
    <ignoredError sqref="D85 D123"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80" zoomScaleNormal="110" zoomScaleSheetLayoutView="80" workbookViewId="0"/>
  </sheetViews>
  <sheetFormatPr defaultColWidth="7.07421875" defaultRowHeight="12.5"/>
  <cols>
    <col min="1" max="1" width="47.84375" style="5" customWidth="1"/>
    <col min="2" max="2" width="7.07421875" style="5" customWidth="1"/>
    <col min="3" max="3" width="2.53515625" style="5" customWidth="1"/>
    <col min="4" max="4" width="15.84375" style="5" customWidth="1"/>
    <col min="5" max="8" width="7.07421875" style="5" customWidth="1"/>
    <col min="9" max="9" width="13.4609375" style="5" customWidth="1"/>
    <col min="10" max="10" width="47.84375" style="5" customWidth="1"/>
    <col min="11" max="16384" width="7.07421875" style="5"/>
  </cols>
  <sheetData>
    <row r="1" spans="2:10" ht="16.5" customHeight="1">
      <c r="G1" s="2"/>
      <c r="H1" s="1"/>
      <c r="J1" s="3" t="str">
        <f>'Attachment H-11A '!K1&amp;""&amp;", Attachment 1"</f>
        <v>Attachment H -11A, Attachment 1</v>
      </c>
    </row>
    <row r="2" spans="2:10" ht="16.5" customHeight="1">
      <c r="G2" s="2"/>
      <c r="H2" s="2"/>
      <c r="J2" s="3" t="s">
        <v>168</v>
      </c>
    </row>
    <row r="3" spans="2:10" ht="16.5" customHeight="1">
      <c r="G3" s="1"/>
      <c r="H3" s="2"/>
      <c r="J3" s="3" t="str">
        <f>'Attachment H-11A '!K4</f>
        <v>For the 12 months ended 12/31/2025</v>
      </c>
    </row>
    <row r="4" spans="2:10" ht="15.5">
      <c r="G4" s="1"/>
      <c r="H4" s="2"/>
      <c r="I4" s="3"/>
    </row>
    <row r="5" spans="2:10" ht="15.5">
      <c r="G5" s="1"/>
      <c r="H5" s="2"/>
      <c r="I5" s="3"/>
    </row>
    <row r="6" spans="2:10" ht="15.75" customHeight="1">
      <c r="B6" s="1113" t="s">
        <v>169</v>
      </c>
      <c r="C6" s="1113"/>
      <c r="D6" s="1113"/>
      <c r="E6" s="1113"/>
      <c r="F6" s="1113"/>
      <c r="G6" s="1113"/>
      <c r="H6" s="1113"/>
      <c r="I6" s="1113"/>
    </row>
    <row r="7" spans="2:10" ht="15.5">
      <c r="B7" s="4"/>
      <c r="C7" s="4"/>
      <c r="D7" s="7"/>
      <c r="E7" s="7"/>
      <c r="F7" s="6"/>
      <c r="G7" s="6" t="s">
        <v>3</v>
      </c>
      <c r="H7" s="6"/>
      <c r="I7" s="6"/>
    </row>
    <row r="8" spans="2:10" ht="15.5">
      <c r="B8" s="4"/>
      <c r="C8" s="4">
        <v>1</v>
      </c>
      <c r="D8" s="9">
        <f>'Attachment H-11A '!I201</f>
        <v>941743.88</v>
      </c>
      <c r="E8" s="4" t="s">
        <v>884</v>
      </c>
      <c r="F8" s="4"/>
      <c r="G8" s="8"/>
      <c r="H8" s="8"/>
      <c r="I8" s="8"/>
    </row>
    <row r="9" spans="2:10" ht="15.5">
      <c r="B9" s="4"/>
      <c r="C9" s="4">
        <v>2</v>
      </c>
      <c r="D9" s="100">
        <v>0</v>
      </c>
      <c r="E9" s="10" t="s">
        <v>135</v>
      </c>
      <c r="F9" s="8"/>
      <c r="G9" s="8"/>
      <c r="H9" s="8"/>
      <c r="I9" s="8"/>
    </row>
    <row r="10" spans="2:10" ht="15.5">
      <c r="B10" s="4"/>
      <c r="C10" s="4">
        <v>3</v>
      </c>
      <c r="D10" s="11">
        <f>D8-D9</f>
        <v>941743.88</v>
      </c>
      <c r="E10" s="8" t="s">
        <v>136</v>
      </c>
      <c r="F10" s="4"/>
      <c r="G10" s="8"/>
      <c r="H10" s="8"/>
      <c r="I10" s="8"/>
    </row>
    <row r="11" spans="2:10" ht="7.5" customHeight="1">
      <c r="B11" s="4"/>
      <c r="C11" s="4"/>
      <c r="D11" s="4"/>
      <c r="E11" s="8"/>
      <c r="F11" s="8"/>
      <c r="G11" s="8"/>
      <c r="H11" s="8"/>
      <c r="I11" s="8"/>
    </row>
    <row r="12" spans="2:10" ht="15.5">
      <c r="B12" s="4"/>
      <c r="C12" s="4">
        <v>4</v>
      </c>
      <c r="D12" s="99">
        <v>49626838.443669572</v>
      </c>
      <c r="E12" s="8" t="s">
        <v>811</v>
      </c>
      <c r="F12" s="8"/>
      <c r="G12" s="8"/>
      <c r="H12" s="8"/>
      <c r="I12" s="8"/>
    </row>
    <row r="13" spans="2:10" ht="15.5">
      <c r="B13" s="8"/>
      <c r="C13" s="4">
        <v>5</v>
      </c>
      <c r="D13" s="12">
        <f>D10/D12</f>
        <v>1.8976503632584907E-2</v>
      </c>
      <c r="E13" s="8" t="s">
        <v>177</v>
      </c>
      <c r="F13" s="8"/>
      <c r="G13" s="8"/>
      <c r="H13" s="8"/>
      <c r="I13" s="8"/>
    </row>
    <row r="14" spans="2:10" ht="15.5">
      <c r="B14" s="8"/>
      <c r="C14" s="8"/>
      <c r="D14" s="8"/>
      <c r="E14" s="8"/>
      <c r="F14" s="8"/>
      <c r="G14" s="8"/>
      <c r="H14" s="8"/>
      <c r="I14" s="8"/>
    </row>
    <row r="15" spans="2:10" ht="15.5">
      <c r="B15" s="15" t="s">
        <v>137</v>
      </c>
      <c r="D15" s="8"/>
      <c r="E15" s="8"/>
      <c r="F15" s="8"/>
      <c r="G15" s="8"/>
      <c r="H15" s="8"/>
      <c r="I15" s="8"/>
    </row>
    <row r="16" spans="2:10" ht="69.75" customHeight="1">
      <c r="B16" s="1029" t="s">
        <v>101</v>
      </c>
      <c r="C16" s="1111" t="s">
        <v>940</v>
      </c>
      <c r="D16" s="1112"/>
      <c r="E16" s="1112"/>
      <c r="F16" s="1112"/>
      <c r="G16" s="1112"/>
      <c r="H16" s="1112"/>
      <c r="I16" s="1112"/>
    </row>
    <row r="17" spans="2:9" ht="12" customHeight="1">
      <c r="B17" s="31"/>
      <c r="C17" s="13"/>
      <c r="D17" s="14"/>
      <c r="E17" s="14"/>
      <c r="F17" s="14"/>
      <c r="G17" s="14"/>
      <c r="H17" s="14"/>
      <c r="I17" s="14"/>
    </row>
    <row r="18" spans="2:9" ht="49.5" customHeight="1">
      <c r="B18" s="1029" t="s">
        <v>102</v>
      </c>
      <c r="C18" s="1111" t="s">
        <v>931</v>
      </c>
      <c r="D18" s="1111"/>
      <c r="E18" s="1111"/>
      <c r="F18" s="1111"/>
      <c r="G18" s="1111"/>
      <c r="H18" s="1111"/>
      <c r="I18" s="1111"/>
    </row>
  </sheetData>
  <customSheetViews>
    <customSheetView guid="{E1861F40-EBD5-44AE-868B-FDE0ED504D72}" showPageBreaks="1" printArea="1" view="pageBreakPreview">
      <selection activeCell="H4" sqref="H4"/>
      <pageMargins left="0.75" right="0.75" top="1" bottom="1" header="0.5" footer="0.5"/>
      <printOptions horizontalCentered="1"/>
      <pageSetup scale="76" orientation="portrait" r:id="rId1"/>
      <headerFooter alignWithMargins="0"/>
    </customSheetView>
  </customSheetViews>
  <mergeCells count="3">
    <mergeCell ref="C16:I16"/>
    <mergeCell ref="C18:I18"/>
    <mergeCell ref="B6:I6"/>
  </mergeCells>
  <phoneticPr fontId="57" type="noConversion"/>
  <printOptions horizontalCentered="1"/>
  <pageMargins left="0.7" right="0.7" top="0.75" bottom="0.75" header="0.3" footer="0.3"/>
  <pageSetup scale="45" fitToWidth="0"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68"/>
  <sheetViews>
    <sheetView view="pageBreakPreview" zoomScale="80" zoomScaleNormal="70" zoomScaleSheetLayoutView="80" workbookViewId="0">
      <selection activeCell="A3" sqref="A3"/>
    </sheetView>
  </sheetViews>
  <sheetFormatPr defaultRowHeight="12.5"/>
  <cols>
    <col min="1" max="1" width="7.07421875" style="115" customWidth="1"/>
    <col min="2" max="2" width="2.3046875" style="115" customWidth="1"/>
    <col min="3" max="3" width="6.3046875" style="115" customWidth="1"/>
    <col min="4" max="4" width="33.4609375" style="115" customWidth="1"/>
    <col min="5" max="5" width="18" style="115" customWidth="1"/>
    <col min="6" max="6" width="27.69140625" style="115" customWidth="1"/>
    <col min="7" max="7" width="34.84375" style="115" customWidth="1"/>
    <col min="8" max="8" width="3" style="115" customWidth="1"/>
    <col min="9" max="9" width="23.4609375" style="115" customWidth="1"/>
    <col min="10" max="10" width="7.84375" style="115" customWidth="1"/>
    <col min="11" max="11" width="23.07421875" style="115" customWidth="1"/>
    <col min="12" max="12" width="1.69140625" style="115" customWidth="1"/>
    <col min="13" max="256" width="8.84375" style="115"/>
    <col min="257" max="257" width="7.07421875" style="115" customWidth="1"/>
    <col min="258" max="258" width="2.3046875" style="115" customWidth="1"/>
    <col min="259" max="259" width="6.3046875" style="115" customWidth="1"/>
    <col min="260" max="260" width="33.4609375" style="115" customWidth="1"/>
    <col min="261" max="261" width="18" style="115" customWidth="1"/>
    <col min="262" max="262" width="27.69140625" style="115" customWidth="1"/>
    <col min="263" max="263" width="28.84375" style="115" bestFit="1" customWidth="1"/>
    <col min="264" max="264" width="3" style="115" customWidth="1"/>
    <col min="265" max="265" width="23.4609375" style="115" customWidth="1"/>
    <col min="266" max="266" width="8.84375" style="115"/>
    <col min="267" max="267" width="17.84375" style="115" bestFit="1" customWidth="1"/>
    <col min="268" max="512" width="8.84375" style="115"/>
    <col min="513" max="513" width="7.07421875" style="115" customWidth="1"/>
    <col min="514" max="514" width="2.3046875" style="115" customWidth="1"/>
    <col min="515" max="515" width="6.3046875" style="115" customWidth="1"/>
    <col min="516" max="516" width="33.4609375" style="115" customWidth="1"/>
    <col min="517" max="517" width="18" style="115" customWidth="1"/>
    <col min="518" max="518" width="27.69140625" style="115" customWidth="1"/>
    <col min="519" max="519" width="28.84375" style="115" bestFit="1" customWidth="1"/>
    <col min="520" max="520" width="3" style="115" customWidth="1"/>
    <col min="521" max="521" width="23.4609375" style="115" customWidth="1"/>
    <col min="522" max="522" width="8.84375" style="115"/>
    <col min="523" max="523" width="17.84375" style="115" bestFit="1" customWidth="1"/>
    <col min="524" max="768" width="8.84375" style="115"/>
    <col min="769" max="769" width="7.07421875" style="115" customWidth="1"/>
    <col min="770" max="770" width="2.3046875" style="115" customWidth="1"/>
    <col min="771" max="771" width="6.3046875" style="115" customWidth="1"/>
    <col min="772" max="772" width="33.4609375" style="115" customWidth="1"/>
    <col min="773" max="773" width="18" style="115" customWidth="1"/>
    <col min="774" max="774" width="27.69140625" style="115" customWidth="1"/>
    <col min="775" max="775" width="28.84375" style="115" bestFit="1" customWidth="1"/>
    <col min="776" max="776" width="3" style="115" customWidth="1"/>
    <col min="777" max="777" width="23.4609375" style="115" customWidth="1"/>
    <col min="778" max="778" width="8.84375" style="115"/>
    <col min="779" max="779" width="17.84375" style="115" bestFit="1" customWidth="1"/>
    <col min="780" max="1024" width="8.84375" style="115"/>
    <col min="1025" max="1025" width="7.07421875" style="115" customWidth="1"/>
    <col min="1026" max="1026" width="2.3046875" style="115" customWidth="1"/>
    <col min="1027" max="1027" width="6.3046875" style="115" customWidth="1"/>
    <col min="1028" max="1028" width="33.4609375" style="115" customWidth="1"/>
    <col min="1029" max="1029" width="18" style="115" customWidth="1"/>
    <col min="1030" max="1030" width="27.69140625" style="115" customWidth="1"/>
    <col min="1031" max="1031" width="28.84375" style="115" bestFit="1" customWidth="1"/>
    <col min="1032" max="1032" width="3" style="115" customWidth="1"/>
    <col min="1033" max="1033" width="23.4609375" style="115" customWidth="1"/>
    <col min="1034" max="1034" width="8.84375" style="115"/>
    <col min="1035" max="1035" width="17.84375" style="115" bestFit="1" customWidth="1"/>
    <col min="1036" max="1280" width="8.84375" style="115"/>
    <col min="1281" max="1281" width="7.07421875" style="115" customWidth="1"/>
    <col min="1282" max="1282" width="2.3046875" style="115" customWidth="1"/>
    <col min="1283" max="1283" width="6.3046875" style="115" customWidth="1"/>
    <col min="1284" max="1284" width="33.4609375" style="115" customWidth="1"/>
    <col min="1285" max="1285" width="18" style="115" customWidth="1"/>
    <col min="1286" max="1286" width="27.69140625" style="115" customWidth="1"/>
    <col min="1287" max="1287" width="28.84375" style="115" bestFit="1" customWidth="1"/>
    <col min="1288" max="1288" width="3" style="115" customWidth="1"/>
    <col min="1289" max="1289" width="23.4609375" style="115" customWidth="1"/>
    <col min="1290" max="1290" width="8.84375" style="115"/>
    <col min="1291" max="1291" width="17.84375" style="115" bestFit="1" customWidth="1"/>
    <col min="1292" max="1536" width="8.84375" style="115"/>
    <col min="1537" max="1537" width="7.07421875" style="115" customWidth="1"/>
    <col min="1538" max="1538" width="2.3046875" style="115" customWidth="1"/>
    <col min="1539" max="1539" width="6.3046875" style="115" customWidth="1"/>
    <col min="1540" max="1540" width="33.4609375" style="115" customWidth="1"/>
    <col min="1541" max="1541" width="18" style="115" customWidth="1"/>
    <col min="1542" max="1542" width="27.69140625" style="115" customWidth="1"/>
    <col min="1543" max="1543" width="28.84375" style="115" bestFit="1" customWidth="1"/>
    <col min="1544" max="1544" width="3" style="115" customWidth="1"/>
    <col min="1545" max="1545" width="23.4609375" style="115" customWidth="1"/>
    <col min="1546" max="1546" width="8.84375" style="115"/>
    <col min="1547" max="1547" width="17.84375" style="115" bestFit="1" customWidth="1"/>
    <col min="1548" max="1792" width="8.84375" style="115"/>
    <col min="1793" max="1793" width="7.07421875" style="115" customWidth="1"/>
    <col min="1794" max="1794" width="2.3046875" style="115" customWidth="1"/>
    <col min="1795" max="1795" width="6.3046875" style="115" customWidth="1"/>
    <col min="1796" max="1796" width="33.4609375" style="115" customWidth="1"/>
    <col min="1797" max="1797" width="18" style="115" customWidth="1"/>
    <col min="1798" max="1798" width="27.69140625" style="115" customWidth="1"/>
    <col min="1799" max="1799" width="28.84375" style="115" bestFit="1" customWidth="1"/>
    <col min="1800" max="1800" width="3" style="115" customWidth="1"/>
    <col min="1801" max="1801" width="23.4609375" style="115" customWidth="1"/>
    <col min="1802" max="1802" width="8.84375" style="115"/>
    <col min="1803" max="1803" width="17.84375" style="115" bestFit="1" customWidth="1"/>
    <col min="1804" max="2048" width="8.84375" style="115"/>
    <col min="2049" max="2049" width="7.07421875" style="115" customWidth="1"/>
    <col min="2050" max="2050" width="2.3046875" style="115" customWidth="1"/>
    <col min="2051" max="2051" width="6.3046875" style="115" customWidth="1"/>
    <col min="2052" max="2052" width="33.4609375" style="115" customWidth="1"/>
    <col min="2053" max="2053" width="18" style="115" customWidth="1"/>
    <col min="2054" max="2054" width="27.69140625" style="115" customWidth="1"/>
    <col min="2055" max="2055" width="28.84375" style="115" bestFit="1" customWidth="1"/>
    <col min="2056" max="2056" width="3" style="115" customWidth="1"/>
    <col min="2057" max="2057" width="23.4609375" style="115" customWidth="1"/>
    <col min="2058" max="2058" width="8.84375" style="115"/>
    <col min="2059" max="2059" width="17.84375" style="115" bestFit="1" customWidth="1"/>
    <col min="2060" max="2304" width="8.84375" style="115"/>
    <col min="2305" max="2305" width="7.07421875" style="115" customWidth="1"/>
    <col min="2306" max="2306" width="2.3046875" style="115" customWidth="1"/>
    <col min="2307" max="2307" width="6.3046875" style="115" customWidth="1"/>
    <col min="2308" max="2308" width="33.4609375" style="115" customWidth="1"/>
    <col min="2309" max="2309" width="18" style="115" customWidth="1"/>
    <col min="2310" max="2310" width="27.69140625" style="115" customWidth="1"/>
    <col min="2311" max="2311" width="28.84375" style="115" bestFit="1" customWidth="1"/>
    <col min="2312" max="2312" width="3" style="115" customWidth="1"/>
    <col min="2313" max="2313" width="23.4609375" style="115" customWidth="1"/>
    <col min="2314" max="2314" width="8.84375" style="115"/>
    <col min="2315" max="2315" width="17.84375" style="115" bestFit="1" customWidth="1"/>
    <col min="2316" max="2560" width="8.84375" style="115"/>
    <col min="2561" max="2561" width="7.07421875" style="115" customWidth="1"/>
    <col min="2562" max="2562" width="2.3046875" style="115" customWidth="1"/>
    <col min="2563" max="2563" width="6.3046875" style="115" customWidth="1"/>
    <col min="2564" max="2564" width="33.4609375" style="115" customWidth="1"/>
    <col min="2565" max="2565" width="18" style="115" customWidth="1"/>
    <col min="2566" max="2566" width="27.69140625" style="115" customWidth="1"/>
    <col min="2567" max="2567" width="28.84375" style="115" bestFit="1" customWidth="1"/>
    <col min="2568" max="2568" width="3" style="115" customWidth="1"/>
    <col min="2569" max="2569" width="23.4609375" style="115" customWidth="1"/>
    <col min="2570" max="2570" width="8.84375" style="115"/>
    <col min="2571" max="2571" width="17.84375" style="115" bestFit="1" customWidth="1"/>
    <col min="2572" max="2816" width="8.84375" style="115"/>
    <col min="2817" max="2817" width="7.07421875" style="115" customWidth="1"/>
    <col min="2818" max="2818" width="2.3046875" style="115" customWidth="1"/>
    <col min="2819" max="2819" width="6.3046875" style="115" customWidth="1"/>
    <col min="2820" max="2820" width="33.4609375" style="115" customWidth="1"/>
    <col min="2821" max="2821" width="18" style="115" customWidth="1"/>
    <col min="2822" max="2822" width="27.69140625" style="115" customWidth="1"/>
    <col min="2823" max="2823" width="28.84375" style="115" bestFit="1" customWidth="1"/>
    <col min="2824" max="2824" width="3" style="115" customWidth="1"/>
    <col min="2825" max="2825" width="23.4609375" style="115" customWidth="1"/>
    <col min="2826" max="2826" width="8.84375" style="115"/>
    <col min="2827" max="2827" width="17.84375" style="115" bestFit="1" customWidth="1"/>
    <col min="2828" max="3072" width="8.84375" style="115"/>
    <col min="3073" max="3073" width="7.07421875" style="115" customWidth="1"/>
    <col min="3074" max="3074" width="2.3046875" style="115" customWidth="1"/>
    <col min="3075" max="3075" width="6.3046875" style="115" customWidth="1"/>
    <col min="3076" max="3076" width="33.4609375" style="115" customWidth="1"/>
    <col min="3077" max="3077" width="18" style="115" customWidth="1"/>
    <col min="3078" max="3078" width="27.69140625" style="115" customWidth="1"/>
    <col min="3079" max="3079" width="28.84375" style="115" bestFit="1" customWidth="1"/>
    <col min="3080" max="3080" width="3" style="115" customWidth="1"/>
    <col min="3081" max="3081" width="23.4609375" style="115" customWidth="1"/>
    <col min="3082" max="3082" width="8.84375" style="115"/>
    <col min="3083" max="3083" width="17.84375" style="115" bestFit="1" customWidth="1"/>
    <col min="3084" max="3328" width="8.84375" style="115"/>
    <col min="3329" max="3329" width="7.07421875" style="115" customWidth="1"/>
    <col min="3330" max="3330" width="2.3046875" style="115" customWidth="1"/>
    <col min="3331" max="3331" width="6.3046875" style="115" customWidth="1"/>
    <col min="3332" max="3332" width="33.4609375" style="115" customWidth="1"/>
    <col min="3333" max="3333" width="18" style="115" customWidth="1"/>
    <col min="3334" max="3334" width="27.69140625" style="115" customWidth="1"/>
    <col min="3335" max="3335" width="28.84375" style="115" bestFit="1" customWidth="1"/>
    <col min="3336" max="3336" width="3" style="115" customWidth="1"/>
    <col min="3337" max="3337" width="23.4609375" style="115" customWidth="1"/>
    <col min="3338" max="3338" width="8.84375" style="115"/>
    <col min="3339" max="3339" width="17.84375" style="115" bestFit="1" customWidth="1"/>
    <col min="3340" max="3584" width="8.84375" style="115"/>
    <col min="3585" max="3585" width="7.07421875" style="115" customWidth="1"/>
    <col min="3586" max="3586" width="2.3046875" style="115" customWidth="1"/>
    <col min="3587" max="3587" width="6.3046875" style="115" customWidth="1"/>
    <col min="3588" max="3588" width="33.4609375" style="115" customWidth="1"/>
    <col min="3589" max="3589" width="18" style="115" customWidth="1"/>
    <col min="3590" max="3590" width="27.69140625" style="115" customWidth="1"/>
    <col min="3591" max="3591" width="28.84375" style="115" bestFit="1" customWidth="1"/>
    <col min="3592" max="3592" width="3" style="115" customWidth="1"/>
    <col min="3593" max="3593" width="23.4609375" style="115" customWidth="1"/>
    <col min="3594" max="3594" width="8.84375" style="115"/>
    <col min="3595" max="3595" width="17.84375" style="115" bestFit="1" customWidth="1"/>
    <col min="3596" max="3840" width="8.84375" style="115"/>
    <col min="3841" max="3841" width="7.07421875" style="115" customWidth="1"/>
    <col min="3842" max="3842" width="2.3046875" style="115" customWidth="1"/>
    <col min="3843" max="3843" width="6.3046875" style="115" customWidth="1"/>
    <col min="3844" max="3844" width="33.4609375" style="115" customWidth="1"/>
    <col min="3845" max="3845" width="18" style="115" customWidth="1"/>
    <col min="3846" max="3846" width="27.69140625" style="115" customWidth="1"/>
    <col min="3847" max="3847" width="28.84375" style="115" bestFit="1" customWidth="1"/>
    <col min="3848" max="3848" width="3" style="115" customWidth="1"/>
    <col min="3849" max="3849" width="23.4609375" style="115" customWidth="1"/>
    <col min="3850" max="3850" width="8.84375" style="115"/>
    <col min="3851" max="3851" width="17.84375" style="115" bestFit="1" customWidth="1"/>
    <col min="3852" max="4096" width="8.84375" style="115"/>
    <col min="4097" max="4097" width="7.07421875" style="115" customWidth="1"/>
    <col min="4098" max="4098" width="2.3046875" style="115" customWidth="1"/>
    <col min="4099" max="4099" width="6.3046875" style="115" customWidth="1"/>
    <col min="4100" max="4100" width="33.4609375" style="115" customWidth="1"/>
    <col min="4101" max="4101" width="18" style="115" customWidth="1"/>
    <col min="4102" max="4102" width="27.69140625" style="115" customWidth="1"/>
    <col min="4103" max="4103" width="28.84375" style="115" bestFit="1" customWidth="1"/>
    <col min="4104" max="4104" width="3" style="115" customWidth="1"/>
    <col min="4105" max="4105" width="23.4609375" style="115" customWidth="1"/>
    <col min="4106" max="4106" width="8.84375" style="115"/>
    <col min="4107" max="4107" width="17.84375" style="115" bestFit="1" customWidth="1"/>
    <col min="4108" max="4352" width="8.84375" style="115"/>
    <col min="4353" max="4353" width="7.07421875" style="115" customWidth="1"/>
    <col min="4354" max="4354" width="2.3046875" style="115" customWidth="1"/>
    <col min="4355" max="4355" width="6.3046875" style="115" customWidth="1"/>
    <col min="4356" max="4356" width="33.4609375" style="115" customWidth="1"/>
    <col min="4357" max="4357" width="18" style="115" customWidth="1"/>
    <col min="4358" max="4358" width="27.69140625" style="115" customWidth="1"/>
    <col min="4359" max="4359" width="28.84375" style="115" bestFit="1" customWidth="1"/>
    <col min="4360" max="4360" width="3" style="115" customWidth="1"/>
    <col min="4361" max="4361" width="23.4609375" style="115" customWidth="1"/>
    <col min="4362" max="4362" width="8.84375" style="115"/>
    <col min="4363" max="4363" width="17.84375" style="115" bestFit="1" customWidth="1"/>
    <col min="4364" max="4608" width="8.84375" style="115"/>
    <col min="4609" max="4609" width="7.07421875" style="115" customWidth="1"/>
    <col min="4610" max="4610" width="2.3046875" style="115" customWidth="1"/>
    <col min="4611" max="4611" width="6.3046875" style="115" customWidth="1"/>
    <col min="4612" max="4612" width="33.4609375" style="115" customWidth="1"/>
    <col min="4613" max="4613" width="18" style="115" customWidth="1"/>
    <col min="4614" max="4614" width="27.69140625" style="115" customWidth="1"/>
    <col min="4615" max="4615" width="28.84375" style="115" bestFit="1" customWidth="1"/>
    <col min="4616" max="4616" width="3" style="115" customWidth="1"/>
    <col min="4617" max="4617" width="23.4609375" style="115" customWidth="1"/>
    <col min="4618" max="4618" width="8.84375" style="115"/>
    <col min="4619" max="4619" width="17.84375" style="115" bestFit="1" customWidth="1"/>
    <col min="4620" max="4864" width="8.84375" style="115"/>
    <col min="4865" max="4865" width="7.07421875" style="115" customWidth="1"/>
    <col min="4866" max="4866" width="2.3046875" style="115" customWidth="1"/>
    <col min="4867" max="4867" width="6.3046875" style="115" customWidth="1"/>
    <col min="4868" max="4868" width="33.4609375" style="115" customWidth="1"/>
    <col min="4869" max="4869" width="18" style="115" customWidth="1"/>
    <col min="4870" max="4870" width="27.69140625" style="115" customWidth="1"/>
    <col min="4871" max="4871" width="28.84375" style="115" bestFit="1" customWidth="1"/>
    <col min="4872" max="4872" width="3" style="115" customWidth="1"/>
    <col min="4873" max="4873" width="23.4609375" style="115" customWidth="1"/>
    <col min="4874" max="4874" width="8.84375" style="115"/>
    <col min="4875" max="4875" width="17.84375" style="115" bestFit="1" customWidth="1"/>
    <col min="4876" max="5120" width="8.84375" style="115"/>
    <col min="5121" max="5121" width="7.07421875" style="115" customWidth="1"/>
    <col min="5122" max="5122" width="2.3046875" style="115" customWidth="1"/>
    <col min="5123" max="5123" width="6.3046875" style="115" customWidth="1"/>
    <col min="5124" max="5124" width="33.4609375" style="115" customWidth="1"/>
    <col min="5125" max="5125" width="18" style="115" customWidth="1"/>
    <col min="5126" max="5126" width="27.69140625" style="115" customWidth="1"/>
    <col min="5127" max="5127" width="28.84375" style="115" bestFit="1" customWidth="1"/>
    <col min="5128" max="5128" width="3" style="115" customWidth="1"/>
    <col min="5129" max="5129" width="23.4609375" style="115" customWidth="1"/>
    <col min="5130" max="5130" width="8.84375" style="115"/>
    <col min="5131" max="5131" width="17.84375" style="115" bestFit="1" customWidth="1"/>
    <col min="5132" max="5376" width="8.84375" style="115"/>
    <col min="5377" max="5377" width="7.07421875" style="115" customWidth="1"/>
    <col min="5378" max="5378" width="2.3046875" style="115" customWidth="1"/>
    <col min="5379" max="5379" width="6.3046875" style="115" customWidth="1"/>
    <col min="5380" max="5380" width="33.4609375" style="115" customWidth="1"/>
    <col min="5381" max="5381" width="18" style="115" customWidth="1"/>
    <col min="5382" max="5382" width="27.69140625" style="115" customWidth="1"/>
    <col min="5383" max="5383" width="28.84375" style="115" bestFit="1" customWidth="1"/>
    <col min="5384" max="5384" width="3" style="115" customWidth="1"/>
    <col min="5385" max="5385" width="23.4609375" style="115" customWidth="1"/>
    <col min="5386" max="5386" width="8.84375" style="115"/>
    <col min="5387" max="5387" width="17.84375" style="115" bestFit="1" customWidth="1"/>
    <col min="5388" max="5632" width="8.84375" style="115"/>
    <col min="5633" max="5633" width="7.07421875" style="115" customWidth="1"/>
    <col min="5634" max="5634" width="2.3046875" style="115" customWidth="1"/>
    <col min="5635" max="5635" width="6.3046875" style="115" customWidth="1"/>
    <col min="5636" max="5636" width="33.4609375" style="115" customWidth="1"/>
    <col min="5637" max="5637" width="18" style="115" customWidth="1"/>
    <col min="5638" max="5638" width="27.69140625" style="115" customWidth="1"/>
    <col min="5639" max="5639" width="28.84375" style="115" bestFit="1" customWidth="1"/>
    <col min="5640" max="5640" width="3" style="115" customWidth="1"/>
    <col min="5641" max="5641" width="23.4609375" style="115" customWidth="1"/>
    <col min="5642" max="5642" width="8.84375" style="115"/>
    <col min="5643" max="5643" width="17.84375" style="115" bestFit="1" customWidth="1"/>
    <col min="5644" max="5888" width="8.84375" style="115"/>
    <col min="5889" max="5889" width="7.07421875" style="115" customWidth="1"/>
    <col min="5890" max="5890" width="2.3046875" style="115" customWidth="1"/>
    <col min="5891" max="5891" width="6.3046875" style="115" customWidth="1"/>
    <col min="5892" max="5892" width="33.4609375" style="115" customWidth="1"/>
    <col min="5893" max="5893" width="18" style="115" customWidth="1"/>
    <col min="5894" max="5894" width="27.69140625" style="115" customWidth="1"/>
    <col min="5895" max="5895" width="28.84375" style="115" bestFit="1" customWidth="1"/>
    <col min="5896" max="5896" width="3" style="115" customWidth="1"/>
    <col min="5897" max="5897" width="23.4609375" style="115" customWidth="1"/>
    <col min="5898" max="5898" width="8.84375" style="115"/>
    <col min="5899" max="5899" width="17.84375" style="115" bestFit="1" customWidth="1"/>
    <col min="5900" max="6144" width="8.84375" style="115"/>
    <col min="6145" max="6145" width="7.07421875" style="115" customWidth="1"/>
    <col min="6146" max="6146" width="2.3046875" style="115" customWidth="1"/>
    <col min="6147" max="6147" width="6.3046875" style="115" customWidth="1"/>
    <col min="6148" max="6148" width="33.4609375" style="115" customWidth="1"/>
    <col min="6149" max="6149" width="18" style="115" customWidth="1"/>
    <col min="6150" max="6150" width="27.69140625" style="115" customWidth="1"/>
    <col min="6151" max="6151" width="28.84375" style="115" bestFit="1" customWidth="1"/>
    <col min="6152" max="6152" width="3" style="115" customWidth="1"/>
    <col min="6153" max="6153" width="23.4609375" style="115" customWidth="1"/>
    <col min="6154" max="6154" width="8.84375" style="115"/>
    <col min="6155" max="6155" width="17.84375" style="115" bestFit="1" customWidth="1"/>
    <col min="6156" max="6400" width="8.84375" style="115"/>
    <col min="6401" max="6401" width="7.07421875" style="115" customWidth="1"/>
    <col min="6402" max="6402" width="2.3046875" style="115" customWidth="1"/>
    <col min="6403" max="6403" width="6.3046875" style="115" customWidth="1"/>
    <col min="6404" max="6404" width="33.4609375" style="115" customWidth="1"/>
    <col min="6405" max="6405" width="18" style="115" customWidth="1"/>
    <col min="6406" max="6406" width="27.69140625" style="115" customWidth="1"/>
    <col min="6407" max="6407" width="28.84375" style="115" bestFit="1" customWidth="1"/>
    <col min="6408" max="6408" width="3" style="115" customWidth="1"/>
    <col min="6409" max="6409" width="23.4609375" style="115" customWidth="1"/>
    <col min="6410" max="6410" width="8.84375" style="115"/>
    <col min="6411" max="6411" width="17.84375" style="115" bestFit="1" customWidth="1"/>
    <col min="6412" max="6656" width="8.84375" style="115"/>
    <col min="6657" max="6657" width="7.07421875" style="115" customWidth="1"/>
    <col min="6658" max="6658" width="2.3046875" style="115" customWidth="1"/>
    <col min="6659" max="6659" width="6.3046875" style="115" customWidth="1"/>
    <col min="6660" max="6660" width="33.4609375" style="115" customWidth="1"/>
    <col min="6661" max="6661" width="18" style="115" customWidth="1"/>
    <col min="6662" max="6662" width="27.69140625" style="115" customWidth="1"/>
    <col min="6663" max="6663" width="28.84375" style="115" bestFit="1" customWidth="1"/>
    <col min="6664" max="6664" width="3" style="115" customWidth="1"/>
    <col min="6665" max="6665" width="23.4609375" style="115" customWidth="1"/>
    <col min="6666" max="6666" width="8.84375" style="115"/>
    <col min="6667" max="6667" width="17.84375" style="115" bestFit="1" customWidth="1"/>
    <col min="6668" max="6912" width="8.84375" style="115"/>
    <col min="6913" max="6913" width="7.07421875" style="115" customWidth="1"/>
    <col min="6914" max="6914" width="2.3046875" style="115" customWidth="1"/>
    <col min="6915" max="6915" width="6.3046875" style="115" customWidth="1"/>
    <col min="6916" max="6916" width="33.4609375" style="115" customWidth="1"/>
    <col min="6917" max="6917" width="18" style="115" customWidth="1"/>
    <col min="6918" max="6918" width="27.69140625" style="115" customWidth="1"/>
    <col min="6919" max="6919" width="28.84375" style="115" bestFit="1" customWidth="1"/>
    <col min="6920" max="6920" width="3" style="115" customWidth="1"/>
    <col min="6921" max="6921" width="23.4609375" style="115" customWidth="1"/>
    <col min="6922" max="6922" width="8.84375" style="115"/>
    <col min="6923" max="6923" width="17.84375" style="115" bestFit="1" customWidth="1"/>
    <col min="6924" max="7168" width="8.84375" style="115"/>
    <col min="7169" max="7169" width="7.07421875" style="115" customWidth="1"/>
    <col min="7170" max="7170" width="2.3046875" style="115" customWidth="1"/>
    <col min="7171" max="7171" width="6.3046875" style="115" customWidth="1"/>
    <col min="7172" max="7172" width="33.4609375" style="115" customWidth="1"/>
    <col min="7173" max="7173" width="18" style="115" customWidth="1"/>
    <col min="7174" max="7174" width="27.69140625" style="115" customWidth="1"/>
    <col min="7175" max="7175" width="28.84375" style="115" bestFit="1" customWidth="1"/>
    <col min="7176" max="7176" width="3" style="115" customWidth="1"/>
    <col min="7177" max="7177" width="23.4609375" style="115" customWidth="1"/>
    <col min="7178" max="7178" width="8.84375" style="115"/>
    <col min="7179" max="7179" width="17.84375" style="115" bestFit="1" customWidth="1"/>
    <col min="7180" max="7424" width="8.84375" style="115"/>
    <col min="7425" max="7425" width="7.07421875" style="115" customWidth="1"/>
    <col min="7426" max="7426" width="2.3046875" style="115" customWidth="1"/>
    <col min="7427" max="7427" width="6.3046875" style="115" customWidth="1"/>
    <col min="7428" max="7428" width="33.4609375" style="115" customWidth="1"/>
    <col min="7429" max="7429" width="18" style="115" customWidth="1"/>
    <col min="7430" max="7430" width="27.69140625" style="115" customWidth="1"/>
    <col min="7431" max="7431" width="28.84375" style="115" bestFit="1" customWidth="1"/>
    <col min="7432" max="7432" width="3" style="115" customWidth="1"/>
    <col min="7433" max="7433" width="23.4609375" style="115" customWidth="1"/>
    <col min="7434" max="7434" width="8.84375" style="115"/>
    <col min="7435" max="7435" width="17.84375" style="115" bestFit="1" customWidth="1"/>
    <col min="7436" max="7680" width="8.84375" style="115"/>
    <col min="7681" max="7681" width="7.07421875" style="115" customWidth="1"/>
    <col min="7682" max="7682" width="2.3046875" style="115" customWidth="1"/>
    <col min="7683" max="7683" width="6.3046875" style="115" customWidth="1"/>
    <col min="7684" max="7684" width="33.4609375" style="115" customWidth="1"/>
    <col min="7685" max="7685" width="18" style="115" customWidth="1"/>
    <col min="7686" max="7686" width="27.69140625" style="115" customWidth="1"/>
    <col min="7687" max="7687" width="28.84375" style="115" bestFit="1" customWidth="1"/>
    <col min="7688" max="7688" width="3" style="115" customWidth="1"/>
    <col min="7689" max="7689" width="23.4609375" style="115" customWidth="1"/>
    <col min="7690" max="7690" width="8.84375" style="115"/>
    <col min="7691" max="7691" width="17.84375" style="115" bestFit="1" customWidth="1"/>
    <col min="7692" max="7936" width="8.84375" style="115"/>
    <col min="7937" max="7937" width="7.07421875" style="115" customWidth="1"/>
    <col min="7938" max="7938" width="2.3046875" style="115" customWidth="1"/>
    <col min="7939" max="7939" width="6.3046875" style="115" customWidth="1"/>
    <col min="7940" max="7940" width="33.4609375" style="115" customWidth="1"/>
    <col min="7941" max="7941" width="18" style="115" customWidth="1"/>
    <col min="7942" max="7942" width="27.69140625" style="115" customWidth="1"/>
    <col min="7943" max="7943" width="28.84375" style="115" bestFit="1" customWidth="1"/>
    <col min="7944" max="7944" width="3" style="115" customWidth="1"/>
    <col min="7945" max="7945" width="23.4609375" style="115" customWidth="1"/>
    <col min="7946" max="7946" width="8.84375" style="115"/>
    <col min="7947" max="7947" width="17.84375" style="115" bestFit="1" customWidth="1"/>
    <col min="7948" max="8192" width="8.84375" style="115"/>
    <col min="8193" max="8193" width="7.07421875" style="115" customWidth="1"/>
    <col min="8194" max="8194" width="2.3046875" style="115" customWidth="1"/>
    <col min="8195" max="8195" width="6.3046875" style="115" customWidth="1"/>
    <col min="8196" max="8196" width="33.4609375" style="115" customWidth="1"/>
    <col min="8197" max="8197" width="18" style="115" customWidth="1"/>
    <col min="8198" max="8198" width="27.69140625" style="115" customWidth="1"/>
    <col min="8199" max="8199" width="28.84375" style="115" bestFit="1" customWidth="1"/>
    <col min="8200" max="8200" width="3" style="115" customWidth="1"/>
    <col min="8201" max="8201" width="23.4609375" style="115" customWidth="1"/>
    <col min="8202" max="8202" width="8.84375" style="115"/>
    <col min="8203" max="8203" width="17.84375" style="115" bestFit="1" customWidth="1"/>
    <col min="8204" max="8448" width="8.84375" style="115"/>
    <col min="8449" max="8449" width="7.07421875" style="115" customWidth="1"/>
    <col min="8450" max="8450" width="2.3046875" style="115" customWidth="1"/>
    <col min="8451" max="8451" width="6.3046875" style="115" customWidth="1"/>
    <col min="8452" max="8452" width="33.4609375" style="115" customWidth="1"/>
    <col min="8453" max="8453" width="18" style="115" customWidth="1"/>
    <col min="8454" max="8454" width="27.69140625" style="115" customWidth="1"/>
    <col min="8455" max="8455" width="28.84375" style="115" bestFit="1" customWidth="1"/>
    <col min="8456" max="8456" width="3" style="115" customWidth="1"/>
    <col min="8457" max="8457" width="23.4609375" style="115" customWidth="1"/>
    <col min="8458" max="8458" width="8.84375" style="115"/>
    <col min="8459" max="8459" width="17.84375" style="115" bestFit="1" customWidth="1"/>
    <col min="8460" max="8704" width="8.84375" style="115"/>
    <col min="8705" max="8705" width="7.07421875" style="115" customWidth="1"/>
    <col min="8706" max="8706" width="2.3046875" style="115" customWidth="1"/>
    <col min="8707" max="8707" width="6.3046875" style="115" customWidth="1"/>
    <col min="8708" max="8708" width="33.4609375" style="115" customWidth="1"/>
    <col min="8709" max="8709" width="18" style="115" customWidth="1"/>
    <col min="8710" max="8710" width="27.69140625" style="115" customWidth="1"/>
    <col min="8711" max="8711" width="28.84375" style="115" bestFit="1" customWidth="1"/>
    <col min="8712" max="8712" width="3" style="115" customWidth="1"/>
    <col min="8713" max="8713" width="23.4609375" style="115" customWidth="1"/>
    <col min="8714" max="8714" width="8.84375" style="115"/>
    <col min="8715" max="8715" width="17.84375" style="115" bestFit="1" customWidth="1"/>
    <col min="8716" max="8960" width="8.84375" style="115"/>
    <col min="8961" max="8961" width="7.07421875" style="115" customWidth="1"/>
    <col min="8962" max="8962" width="2.3046875" style="115" customWidth="1"/>
    <col min="8963" max="8963" width="6.3046875" style="115" customWidth="1"/>
    <col min="8964" max="8964" width="33.4609375" style="115" customWidth="1"/>
    <col min="8965" max="8965" width="18" style="115" customWidth="1"/>
    <col min="8966" max="8966" width="27.69140625" style="115" customWidth="1"/>
    <col min="8967" max="8967" width="28.84375" style="115" bestFit="1" customWidth="1"/>
    <col min="8968" max="8968" width="3" style="115" customWidth="1"/>
    <col min="8969" max="8969" width="23.4609375" style="115" customWidth="1"/>
    <col min="8970" max="8970" width="8.84375" style="115"/>
    <col min="8971" max="8971" width="17.84375" style="115" bestFit="1" customWidth="1"/>
    <col min="8972" max="9216" width="8.84375" style="115"/>
    <col min="9217" max="9217" width="7.07421875" style="115" customWidth="1"/>
    <col min="9218" max="9218" width="2.3046875" style="115" customWidth="1"/>
    <col min="9219" max="9219" width="6.3046875" style="115" customWidth="1"/>
    <col min="9220" max="9220" width="33.4609375" style="115" customWidth="1"/>
    <col min="9221" max="9221" width="18" style="115" customWidth="1"/>
    <col min="9222" max="9222" width="27.69140625" style="115" customWidth="1"/>
    <col min="9223" max="9223" width="28.84375" style="115" bestFit="1" customWidth="1"/>
    <col min="9224" max="9224" width="3" style="115" customWidth="1"/>
    <col min="9225" max="9225" width="23.4609375" style="115" customWidth="1"/>
    <col min="9226" max="9226" width="8.84375" style="115"/>
    <col min="9227" max="9227" width="17.84375" style="115" bestFit="1" customWidth="1"/>
    <col min="9228" max="9472" width="8.84375" style="115"/>
    <col min="9473" max="9473" width="7.07421875" style="115" customWidth="1"/>
    <col min="9474" max="9474" width="2.3046875" style="115" customWidth="1"/>
    <col min="9475" max="9475" width="6.3046875" style="115" customWidth="1"/>
    <col min="9476" max="9476" width="33.4609375" style="115" customWidth="1"/>
    <col min="9477" max="9477" width="18" style="115" customWidth="1"/>
    <col min="9478" max="9478" width="27.69140625" style="115" customWidth="1"/>
    <col min="9479" max="9479" width="28.84375" style="115" bestFit="1" customWidth="1"/>
    <col min="9480" max="9480" width="3" style="115" customWidth="1"/>
    <col min="9481" max="9481" width="23.4609375" style="115" customWidth="1"/>
    <col min="9482" max="9482" width="8.84375" style="115"/>
    <col min="9483" max="9483" width="17.84375" style="115" bestFit="1" customWidth="1"/>
    <col min="9484" max="9728" width="8.84375" style="115"/>
    <col min="9729" max="9729" width="7.07421875" style="115" customWidth="1"/>
    <col min="9730" max="9730" width="2.3046875" style="115" customWidth="1"/>
    <col min="9731" max="9731" width="6.3046875" style="115" customWidth="1"/>
    <col min="9732" max="9732" width="33.4609375" style="115" customWidth="1"/>
    <col min="9733" max="9733" width="18" style="115" customWidth="1"/>
    <col min="9734" max="9734" width="27.69140625" style="115" customWidth="1"/>
    <col min="9735" max="9735" width="28.84375" style="115" bestFit="1" customWidth="1"/>
    <col min="9736" max="9736" width="3" style="115" customWidth="1"/>
    <col min="9737" max="9737" width="23.4609375" style="115" customWidth="1"/>
    <col min="9738" max="9738" width="8.84375" style="115"/>
    <col min="9739" max="9739" width="17.84375" style="115" bestFit="1" customWidth="1"/>
    <col min="9740" max="9984" width="8.84375" style="115"/>
    <col min="9985" max="9985" width="7.07421875" style="115" customWidth="1"/>
    <col min="9986" max="9986" width="2.3046875" style="115" customWidth="1"/>
    <col min="9987" max="9987" width="6.3046875" style="115" customWidth="1"/>
    <col min="9988" max="9988" width="33.4609375" style="115" customWidth="1"/>
    <col min="9989" max="9989" width="18" style="115" customWidth="1"/>
    <col min="9990" max="9990" width="27.69140625" style="115" customWidth="1"/>
    <col min="9991" max="9991" width="28.84375" style="115" bestFit="1" customWidth="1"/>
    <col min="9992" max="9992" width="3" style="115" customWidth="1"/>
    <col min="9993" max="9993" width="23.4609375" style="115" customWidth="1"/>
    <col min="9994" max="9994" width="8.84375" style="115"/>
    <col min="9995" max="9995" width="17.84375" style="115" bestFit="1" customWidth="1"/>
    <col min="9996" max="10240" width="8.84375" style="115"/>
    <col min="10241" max="10241" width="7.07421875" style="115" customWidth="1"/>
    <col min="10242" max="10242" width="2.3046875" style="115" customWidth="1"/>
    <col min="10243" max="10243" width="6.3046875" style="115" customWidth="1"/>
    <col min="10244" max="10244" width="33.4609375" style="115" customWidth="1"/>
    <col min="10245" max="10245" width="18" style="115" customWidth="1"/>
    <col min="10246" max="10246" width="27.69140625" style="115" customWidth="1"/>
    <col min="10247" max="10247" width="28.84375" style="115" bestFit="1" customWidth="1"/>
    <col min="10248" max="10248" width="3" style="115" customWidth="1"/>
    <col min="10249" max="10249" width="23.4609375" style="115" customWidth="1"/>
    <col min="10250" max="10250" width="8.84375" style="115"/>
    <col min="10251" max="10251" width="17.84375" style="115" bestFit="1" customWidth="1"/>
    <col min="10252" max="10496" width="8.84375" style="115"/>
    <col min="10497" max="10497" width="7.07421875" style="115" customWidth="1"/>
    <col min="10498" max="10498" width="2.3046875" style="115" customWidth="1"/>
    <col min="10499" max="10499" width="6.3046875" style="115" customWidth="1"/>
    <col min="10500" max="10500" width="33.4609375" style="115" customWidth="1"/>
    <col min="10501" max="10501" width="18" style="115" customWidth="1"/>
    <col min="10502" max="10502" width="27.69140625" style="115" customWidth="1"/>
    <col min="10503" max="10503" width="28.84375" style="115" bestFit="1" customWidth="1"/>
    <col min="10504" max="10504" width="3" style="115" customWidth="1"/>
    <col min="10505" max="10505" width="23.4609375" style="115" customWidth="1"/>
    <col min="10506" max="10506" width="8.84375" style="115"/>
    <col min="10507" max="10507" width="17.84375" style="115" bestFit="1" customWidth="1"/>
    <col min="10508" max="10752" width="8.84375" style="115"/>
    <col min="10753" max="10753" width="7.07421875" style="115" customWidth="1"/>
    <col min="10754" max="10754" width="2.3046875" style="115" customWidth="1"/>
    <col min="10755" max="10755" width="6.3046875" style="115" customWidth="1"/>
    <col min="10756" max="10756" width="33.4609375" style="115" customWidth="1"/>
    <col min="10757" max="10757" width="18" style="115" customWidth="1"/>
    <col min="10758" max="10758" width="27.69140625" style="115" customWidth="1"/>
    <col min="10759" max="10759" width="28.84375" style="115" bestFit="1" customWidth="1"/>
    <col min="10760" max="10760" width="3" style="115" customWidth="1"/>
    <col min="10761" max="10761" width="23.4609375" style="115" customWidth="1"/>
    <col min="10762" max="10762" width="8.84375" style="115"/>
    <col min="10763" max="10763" width="17.84375" style="115" bestFit="1" customWidth="1"/>
    <col min="10764" max="11008" width="8.84375" style="115"/>
    <col min="11009" max="11009" width="7.07421875" style="115" customWidth="1"/>
    <col min="11010" max="11010" width="2.3046875" style="115" customWidth="1"/>
    <col min="11011" max="11011" width="6.3046875" style="115" customWidth="1"/>
    <col min="11012" max="11012" width="33.4609375" style="115" customWidth="1"/>
    <col min="11013" max="11013" width="18" style="115" customWidth="1"/>
    <col min="11014" max="11014" width="27.69140625" style="115" customWidth="1"/>
    <col min="11015" max="11015" width="28.84375" style="115" bestFit="1" customWidth="1"/>
    <col min="11016" max="11016" width="3" style="115" customWidth="1"/>
    <col min="11017" max="11017" width="23.4609375" style="115" customWidth="1"/>
    <col min="11018" max="11018" width="8.84375" style="115"/>
    <col min="11019" max="11019" width="17.84375" style="115" bestFit="1" customWidth="1"/>
    <col min="11020" max="11264" width="8.84375" style="115"/>
    <col min="11265" max="11265" width="7.07421875" style="115" customWidth="1"/>
    <col min="11266" max="11266" width="2.3046875" style="115" customWidth="1"/>
    <col min="11267" max="11267" width="6.3046875" style="115" customWidth="1"/>
    <col min="11268" max="11268" width="33.4609375" style="115" customWidth="1"/>
    <col min="11269" max="11269" width="18" style="115" customWidth="1"/>
    <col min="11270" max="11270" width="27.69140625" style="115" customWidth="1"/>
    <col min="11271" max="11271" width="28.84375" style="115" bestFit="1" customWidth="1"/>
    <col min="11272" max="11272" width="3" style="115" customWidth="1"/>
    <col min="11273" max="11273" width="23.4609375" style="115" customWidth="1"/>
    <col min="11274" max="11274" width="8.84375" style="115"/>
    <col min="11275" max="11275" width="17.84375" style="115" bestFit="1" customWidth="1"/>
    <col min="11276" max="11520" width="8.84375" style="115"/>
    <col min="11521" max="11521" width="7.07421875" style="115" customWidth="1"/>
    <col min="11522" max="11522" width="2.3046875" style="115" customWidth="1"/>
    <col min="11523" max="11523" width="6.3046875" style="115" customWidth="1"/>
    <col min="11524" max="11524" width="33.4609375" style="115" customWidth="1"/>
    <col min="11525" max="11525" width="18" style="115" customWidth="1"/>
    <col min="11526" max="11526" width="27.69140625" style="115" customWidth="1"/>
    <col min="11527" max="11527" width="28.84375" style="115" bestFit="1" customWidth="1"/>
    <col min="11528" max="11528" width="3" style="115" customWidth="1"/>
    <col min="11529" max="11529" width="23.4609375" style="115" customWidth="1"/>
    <col min="11530" max="11530" width="8.84375" style="115"/>
    <col min="11531" max="11531" width="17.84375" style="115" bestFit="1" customWidth="1"/>
    <col min="11532" max="11776" width="8.84375" style="115"/>
    <col min="11777" max="11777" width="7.07421875" style="115" customWidth="1"/>
    <col min="11778" max="11778" width="2.3046875" style="115" customWidth="1"/>
    <col min="11779" max="11779" width="6.3046875" style="115" customWidth="1"/>
    <col min="11780" max="11780" width="33.4609375" style="115" customWidth="1"/>
    <col min="11781" max="11781" width="18" style="115" customWidth="1"/>
    <col min="11782" max="11782" width="27.69140625" style="115" customWidth="1"/>
    <col min="11783" max="11783" width="28.84375" style="115" bestFit="1" customWidth="1"/>
    <col min="11784" max="11784" width="3" style="115" customWidth="1"/>
    <col min="11785" max="11785" width="23.4609375" style="115" customWidth="1"/>
    <col min="11786" max="11786" width="8.84375" style="115"/>
    <col min="11787" max="11787" width="17.84375" style="115" bestFit="1" customWidth="1"/>
    <col min="11788" max="12032" width="8.84375" style="115"/>
    <col min="12033" max="12033" width="7.07421875" style="115" customWidth="1"/>
    <col min="12034" max="12034" width="2.3046875" style="115" customWidth="1"/>
    <col min="12035" max="12035" width="6.3046875" style="115" customWidth="1"/>
    <col min="12036" max="12036" width="33.4609375" style="115" customWidth="1"/>
    <col min="12037" max="12037" width="18" style="115" customWidth="1"/>
    <col min="12038" max="12038" width="27.69140625" style="115" customWidth="1"/>
    <col min="12039" max="12039" width="28.84375" style="115" bestFit="1" customWidth="1"/>
    <col min="12040" max="12040" width="3" style="115" customWidth="1"/>
    <col min="12041" max="12041" width="23.4609375" style="115" customWidth="1"/>
    <col min="12042" max="12042" width="8.84375" style="115"/>
    <col min="12043" max="12043" width="17.84375" style="115" bestFit="1" customWidth="1"/>
    <col min="12044" max="12288" width="8.84375" style="115"/>
    <col min="12289" max="12289" width="7.07421875" style="115" customWidth="1"/>
    <col min="12290" max="12290" width="2.3046875" style="115" customWidth="1"/>
    <col min="12291" max="12291" width="6.3046875" style="115" customWidth="1"/>
    <col min="12292" max="12292" width="33.4609375" style="115" customWidth="1"/>
    <col min="12293" max="12293" width="18" style="115" customWidth="1"/>
    <col min="12294" max="12294" width="27.69140625" style="115" customWidth="1"/>
    <col min="12295" max="12295" width="28.84375" style="115" bestFit="1" customWidth="1"/>
    <col min="12296" max="12296" width="3" style="115" customWidth="1"/>
    <col min="12297" max="12297" width="23.4609375" style="115" customWidth="1"/>
    <col min="12298" max="12298" width="8.84375" style="115"/>
    <col min="12299" max="12299" width="17.84375" style="115" bestFit="1" customWidth="1"/>
    <col min="12300" max="12544" width="8.84375" style="115"/>
    <col min="12545" max="12545" width="7.07421875" style="115" customWidth="1"/>
    <col min="12546" max="12546" width="2.3046875" style="115" customWidth="1"/>
    <col min="12547" max="12547" width="6.3046875" style="115" customWidth="1"/>
    <col min="12548" max="12548" width="33.4609375" style="115" customWidth="1"/>
    <col min="12549" max="12549" width="18" style="115" customWidth="1"/>
    <col min="12550" max="12550" width="27.69140625" style="115" customWidth="1"/>
    <col min="12551" max="12551" width="28.84375" style="115" bestFit="1" customWidth="1"/>
    <col min="12552" max="12552" width="3" style="115" customWidth="1"/>
    <col min="12553" max="12553" width="23.4609375" style="115" customWidth="1"/>
    <col min="12554" max="12554" width="8.84375" style="115"/>
    <col min="12555" max="12555" width="17.84375" style="115" bestFit="1" customWidth="1"/>
    <col min="12556" max="12800" width="8.84375" style="115"/>
    <col min="12801" max="12801" width="7.07421875" style="115" customWidth="1"/>
    <col min="12802" max="12802" width="2.3046875" style="115" customWidth="1"/>
    <col min="12803" max="12803" width="6.3046875" style="115" customWidth="1"/>
    <col min="12804" max="12804" width="33.4609375" style="115" customWidth="1"/>
    <col min="12805" max="12805" width="18" style="115" customWidth="1"/>
    <col min="12806" max="12806" width="27.69140625" style="115" customWidth="1"/>
    <col min="12807" max="12807" width="28.84375" style="115" bestFit="1" customWidth="1"/>
    <col min="12808" max="12808" width="3" style="115" customWidth="1"/>
    <col min="12809" max="12809" width="23.4609375" style="115" customWidth="1"/>
    <col min="12810" max="12810" width="8.84375" style="115"/>
    <col min="12811" max="12811" width="17.84375" style="115" bestFit="1" customWidth="1"/>
    <col min="12812" max="13056" width="8.84375" style="115"/>
    <col min="13057" max="13057" width="7.07421875" style="115" customWidth="1"/>
    <col min="13058" max="13058" width="2.3046875" style="115" customWidth="1"/>
    <col min="13059" max="13059" width="6.3046875" style="115" customWidth="1"/>
    <col min="13060" max="13060" width="33.4609375" style="115" customWidth="1"/>
    <col min="13061" max="13061" width="18" style="115" customWidth="1"/>
    <col min="13062" max="13062" width="27.69140625" style="115" customWidth="1"/>
    <col min="13063" max="13063" width="28.84375" style="115" bestFit="1" customWidth="1"/>
    <col min="13064" max="13064" width="3" style="115" customWidth="1"/>
    <col min="13065" max="13065" width="23.4609375" style="115" customWidth="1"/>
    <col min="13066" max="13066" width="8.84375" style="115"/>
    <col min="13067" max="13067" width="17.84375" style="115" bestFit="1" customWidth="1"/>
    <col min="13068" max="13312" width="8.84375" style="115"/>
    <col min="13313" max="13313" width="7.07421875" style="115" customWidth="1"/>
    <col min="13314" max="13314" width="2.3046875" style="115" customWidth="1"/>
    <col min="13315" max="13315" width="6.3046875" style="115" customWidth="1"/>
    <col min="13316" max="13316" width="33.4609375" style="115" customWidth="1"/>
    <col min="13317" max="13317" width="18" style="115" customWidth="1"/>
    <col min="13318" max="13318" width="27.69140625" style="115" customWidth="1"/>
    <col min="13319" max="13319" width="28.84375" style="115" bestFit="1" customWidth="1"/>
    <col min="13320" max="13320" width="3" style="115" customWidth="1"/>
    <col min="13321" max="13321" width="23.4609375" style="115" customWidth="1"/>
    <col min="13322" max="13322" width="8.84375" style="115"/>
    <col min="13323" max="13323" width="17.84375" style="115" bestFit="1" customWidth="1"/>
    <col min="13324" max="13568" width="8.84375" style="115"/>
    <col min="13569" max="13569" width="7.07421875" style="115" customWidth="1"/>
    <col min="13570" max="13570" width="2.3046875" style="115" customWidth="1"/>
    <col min="13571" max="13571" width="6.3046875" style="115" customWidth="1"/>
    <col min="13572" max="13572" width="33.4609375" style="115" customWidth="1"/>
    <col min="13573" max="13573" width="18" style="115" customWidth="1"/>
    <col min="13574" max="13574" width="27.69140625" style="115" customWidth="1"/>
    <col min="13575" max="13575" width="28.84375" style="115" bestFit="1" customWidth="1"/>
    <col min="13576" max="13576" width="3" style="115" customWidth="1"/>
    <col min="13577" max="13577" width="23.4609375" style="115" customWidth="1"/>
    <col min="13578" max="13578" width="8.84375" style="115"/>
    <col min="13579" max="13579" width="17.84375" style="115" bestFit="1" customWidth="1"/>
    <col min="13580" max="13824" width="8.84375" style="115"/>
    <col min="13825" max="13825" width="7.07421875" style="115" customWidth="1"/>
    <col min="13826" max="13826" width="2.3046875" style="115" customWidth="1"/>
    <col min="13827" max="13827" width="6.3046875" style="115" customWidth="1"/>
    <col min="13828" max="13828" width="33.4609375" style="115" customWidth="1"/>
    <col min="13829" max="13829" width="18" style="115" customWidth="1"/>
    <col min="13830" max="13830" width="27.69140625" style="115" customWidth="1"/>
    <col min="13831" max="13831" width="28.84375" style="115" bestFit="1" customWidth="1"/>
    <col min="13832" max="13832" width="3" style="115" customWidth="1"/>
    <col min="13833" max="13833" width="23.4609375" style="115" customWidth="1"/>
    <col min="13834" max="13834" width="8.84375" style="115"/>
    <col min="13835" max="13835" width="17.84375" style="115" bestFit="1" customWidth="1"/>
    <col min="13836" max="14080" width="8.84375" style="115"/>
    <col min="14081" max="14081" width="7.07421875" style="115" customWidth="1"/>
    <col min="14082" max="14082" width="2.3046875" style="115" customWidth="1"/>
    <col min="14083" max="14083" width="6.3046875" style="115" customWidth="1"/>
    <col min="14084" max="14084" width="33.4609375" style="115" customWidth="1"/>
    <col min="14085" max="14085" width="18" style="115" customWidth="1"/>
    <col min="14086" max="14086" width="27.69140625" style="115" customWidth="1"/>
    <col min="14087" max="14087" width="28.84375" style="115" bestFit="1" customWidth="1"/>
    <col min="14088" max="14088" width="3" style="115" customWidth="1"/>
    <col min="14089" max="14089" width="23.4609375" style="115" customWidth="1"/>
    <col min="14090" max="14090" width="8.84375" style="115"/>
    <col min="14091" max="14091" width="17.84375" style="115" bestFit="1" customWidth="1"/>
    <col min="14092" max="14336" width="8.84375" style="115"/>
    <col min="14337" max="14337" width="7.07421875" style="115" customWidth="1"/>
    <col min="14338" max="14338" width="2.3046875" style="115" customWidth="1"/>
    <col min="14339" max="14339" width="6.3046875" style="115" customWidth="1"/>
    <col min="14340" max="14340" width="33.4609375" style="115" customWidth="1"/>
    <col min="14341" max="14341" width="18" style="115" customWidth="1"/>
    <col min="14342" max="14342" width="27.69140625" style="115" customWidth="1"/>
    <col min="14343" max="14343" width="28.84375" style="115" bestFit="1" customWidth="1"/>
    <col min="14344" max="14344" width="3" style="115" customWidth="1"/>
    <col min="14345" max="14345" width="23.4609375" style="115" customWidth="1"/>
    <col min="14346" max="14346" width="8.84375" style="115"/>
    <col min="14347" max="14347" width="17.84375" style="115" bestFit="1" customWidth="1"/>
    <col min="14348" max="14592" width="8.84375" style="115"/>
    <col min="14593" max="14593" width="7.07421875" style="115" customWidth="1"/>
    <col min="14594" max="14594" width="2.3046875" style="115" customWidth="1"/>
    <col min="14595" max="14595" width="6.3046875" style="115" customWidth="1"/>
    <col min="14596" max="14596" width="33.4609375" style="115" customWidth="1"/>
    <col min="14597" max="14597" width="18" style="115" customWidth="1"/>
    <col min="14598" max="14598" width="27.69140625" style="115" customWidth="1"/>
    <col min="14599" max="14599" width="28.84375" style="115" bestFit="1" customWidth="1"/>
    <col min="14600" max="14600" width="3" style="115" customWidth="1"/>
    <col min="14601" max="14601" width="23.4609375" style="115" customWidth="1"/>
    <col min="14602" max="14602" width="8.84375" style="115"/>
    <col min="14603" max="14603" width="17.84375" style="115" bestFit="1" customWidth="1"/>
    <col min="14604" max="14848" width="8.84375" style="115"/>
    <col min="14849" max="14849" width="7.07421875" style="115" customWidth="1"/>
    <col min="14850" max="14850" width="2.3046875" style="115" customWidth="1"/>
    <col min="14851" max="14851" width="6.3046875" style="115" customWidth="1"/>
    <col min="14852" max="14852" width="33.4609375" style="115" customWidth="1"/>
    <col min="14853" max="14853" width="18" style="115" customWidth="1"/>
    <col min="14854" max="14854" width="27.69140625" style="115" customWidth="1"/>
    <col min="14855" max="14855" width="28.84375" style="115" bestFit="1" customWidth="1"/>
    <col min="14856" max="14856" width="3" style="115" customWidth="1"/>
    <col min="14857" max="14857" width="23.4609375" style="115" customWidth="1"/>
    <col min="14858" max="14858" width="8.84375" style="115"/>
    <col min="14859" max="14859" width="17.84375" style="115" bestFit="1" customWidth="1"/>
    <col min="14860" max="15104" width="8.84375" style="115"/>
    <col min="15105" max="15105" width="7.07421875" style="115" customWidth="1"/>
    <col min="15106" max="15106" width="2.3046875" style="115" customWidth="1"/>
    <col min="15107" max="15107" width="6.3046875" style="115" customWidth="1"/>
    <col min="15108" max="15108" width="33.4609375" style="115" customWidth="1"/>
    <col min="15109" max="15109" width="18" style="115" customWidth="1"/>
    <col min="15110" max="15110" width="27.69140625" style="115" customWidth="1"/>
    <col min="15111" max="15111" width="28.84375" style="115" bestFit="1" customWidth="1"/>
    <col min="15112" max="15112" width="3" style="115" customWidth="1"/>
    <col min="15113" max="15113" width="23.4609375" style="115" customWidth="1"/>
    <col min="15114" max="15114" width="8.84375" style="115"/>
    <col min="15115" max="15115" width="17.84375" style="115" bestFit="1" customWidth="1"/>
    <col min="15116" max="15360" width="8.84375" style="115"/>
    <col min="15361" max="15361" width="7.07421875" style="115" customWidth="1"/>
    <col min="15362" max="15362" width="2.3046875" style="115" customWidth="1"/>
    <col min="15363" max="15363" width="6.3046875" style="115" customWidth="1"/>
    <col min="15364" max="15364" width="33.4609375" style="115" customWidth="1"/>
    <col min="15365" max="15365" width="18" style="115" customWidth="1"/>
    <col min="15366" max="15366" width="27.69140625" style="115" customWidth="1"/>
    <col min="15367" max="15367" width="28.84375" style="115" bestFit="1" customWidth="1"/>
    <col min="15368" max="15368" width="3" style="115" customWidth="1"/>
    <col min="15369" max="15369" width="23.4609375" style="115" customWidth="1"/>
    <col min="15370" max="15370" width="8.84375" style="115"/>
    <col min="15371" max="15371" width="17.84375" style="115" bestFit="1" customWidth="1"/>
    <col min="15372" max="15616" width="8.84375" style="115"/>
    <col min="15617" max="15617" width="7.07421875" style="115" customWidth="1"/>
    <col min="15618" max="15618" width="2.3046875" style="115" customWidth="1"/>
    <col min="15619" max="15619" width="6.3046875" style="115" customWidth="1"/>
    <col min="15620" max="15620" width="33.4609375" style="115" customWidth="1"/>
    <col min="15621" max="15621" width="18" style="115" customWidth="1"/>
    <col min="15622" max="15622" width="27.69140625" style="115" customWidth="1"/>
    <col min="15623" max="15623" width="28.84375" style="115" bestFit="1" customWidth="1"/>
    <col min="15624" max="15624" width="3" style="115" customWidth="1"/>
    <col min="15625" max="15625" width="23.4609375" style="115" customWidth="1"/>
    <col min="15626" max="15626" width="8.84375" style="115"/>
    <col min="15627" max="15627" width="17.84375" style="115" bestFit="1" customWidth="1"/>
    <col min="15628" max="15872" width="8.84375" style="115"/>
    <col min="15873" max="15873" width="7.07421875" style="115" customWidth="1"/>
    <col min="15874" max="15874" width="2.3046875" style="115" customWidth="1"/>
    <col min="15875" max="15875" width="6.3046875" style="115" customWidth="1"/>
    <col min="15876" max="15876" width="33.4609375" style="115" customWidth="1"/>
    <col min="15877" max="15877" width="18" style="115" customWidth="1"/>
    <col min="15878" max="15878" width="27.69140625" style="115" customWidth="1"/>
    <col min="15879" max="15879" width="28.84375" style="115" bestFit="1" customWidth="1"/>
    <col min="15880" max="15880" width="3" style="115" customWidth="1"/>
    <col min="15881" max="15881" width="23.4609375" style="115" customWidth="1"/>
    <col min="15882" max="15882" width="8.84375" style="115"/>
    <col min="15883" max="15883" width="17.84375" style="115" bestFit="1" customWidth="1"/>
    <col min="15884" max="16128" width="8.84375" style="115"/>
    <col min="16129" max="16129" width="7.07421875" style="115" customWidth="1"/>
    <col min="16130" max="16130" width="2.3046875" style="115" customWidth="1"/>
    <col min="16131" max="16131" width="6.3046875" style="115" customWidth="1"/>
    <col min="16132" max="16132" width="33.4609375" style="115" customWidth="1"/>
    <col min="16133" max="16133" width="18" style="115" customWidth="1"/>
    <col min="16134" max="16134" width="27.69140625" style="115" customWidth="1"/>
    <col min="16135" max="16135" width="28.84375" style="115" bestFit="1" customWidth="1"/>
    <col min="16136" max="16136" width="3" style="115" customWidth="1"/>
    <col min="16137" max="16137" width="23.4609375" style="115" customWidth="1"/>
    <col min="16138" max="16138" width="8.84375" style="115"/>
    <col min="16139" max="16139" width="17.84375" style="115" bestFit="1" customWidth="1"/>
    <col min="16140" max="16384" width="8.84375" style="115"/>
  </cols>
  <sheetData>
    <row r="1" spans="1:12" ht="18">
      <c r="A1" s="1114"/>
      <c r="B1" s="1115"/>
      <c r="C1" s="1115"/>
      <c r="D1" s="1115"/>
      <c r="E1" s="1115"/>
      <c r="F1" s="1115"/>
      <c r="G1" s="1115"/>
      <c r="H1" s="1115"/>
      <c r="I1" s="1115"/>
      <c r="J1" s="1118" t="str">
        <f>'Attachment H-11A '!K1&amp;""&amp;", Attachment 2"</f>
        <v>Attachment H -11A, Attachment 2</v>
      </c>
      <c r="K1" s="1118"/>
    </row>
    <row r="2" spans="1:12" ht="18">
      <c r="A2" s="1116" t="s">
        <v>789</v>
      </c>
      <c r="B2" s="1116"/>
      <c r="C2" s="1116"/>
      <c r="D2" s="1116"/>
      <c r="E2" s="1116"/>
      <c r="F2" s="1116"/>
      <c r="G2" s="1116"/>
      <c r="H2" s="1116"/>
      <c r="I2" s="1116"/>
      <c r="J2" s="1118" t="s">
        <v>880</v>
      </c>
      <c r="K2" s="1118"/>
    </row>
    <row r="3" spans="1:12" ht="18">
      <c r="A3" s="174"/>
      <c r="B3" s="174"/>
      <c r="C3" s="174"/>
      <c r="D3" s="174"/>
      <c r="E3" s="174"/>
      <c r="F3" s="174"/>
      <c r="G3" s="174"/>
      <c r="H3" s="174"/>
      <c r="I3" s="174"/>
      <c r="J3" s="1119" t="str">
        <f>'Attachment H-11A '!K4</f>
        <v>For the 12 months ended 12/31/2025</v>
      </c>
      <c r="K3" s="1119"/>
      <c r="L3" s="2"/>
    </row>
    <row r="4" spans="1:12" s="117" customFormat="1" ht="15.5">
      <c r="A4" s="118"/>
      <c r="B4" s="118"/>
    </row>
    <row r="5" spans="1:12" s="117" customFormat="1" ht="15.5">
      <c r="A5" s="121" t="s">
        <v>278</v>
      </c>
      <c r="B5" s="122"/>
      <c r="C5" s="122"/>
      <c r="D5" s="122"/>
      <c r="E5" s="122"/>
      <c r="F5" s="122"/>
      <c r="G5" s="122"/>
      <c r="H5" s="122"/>
      <c r="I5" s="122"/>
    </row>
    <row r="6" spans="1:12" s="117" customFormat="1" ht="15.5">
      <c r="A6" s="123"/>
      <c r="G6" s="124" t="s">
        <v>951</v>
      </c>
    </row>
    <row r="7" spans="1:12" s="117" customFormat="1" ht="15.5">
      <c r="I7" s="125"/>
    </row>
    <row r="8" spans="1:12" s="117" customFormat="1" ht="15.5">
      <c r="A8" s="118">
        <v>1</v>
      </c>
      <c r="C8" s="126" t="s">
        <v>481</v>
      </c>
      <c r="D8" s="126"/>
      <c r="F8" s="126"/>
      <c r="G8" s="127" t="s">
        <v>885</v>
      </c>
      <c r="H8" s="126"/>
      <c r="I8" s="899">
        <f>'Attachment H-11A '!I85</f>
        <v>488698760.17435056</v>
      </c>
    </row>
    <row r="9" spans="1:12" s="117" customFormat="1" ht="15.5">
      <c r="G9" s="126"/>
      <c r="I9" s="125"/>
    </row>
    <row r="10" spans="1:12" s="117" customFormat="1" ht="15.5">
      <c r="A10" s="118"/>
      <c r="B10" s="126"/>
      <c r="C10" s="126"/>
      <c r="D10" s="126"/>
      <c r="F10" s="119"/>
      <c r="G10" s="126"/>
      <c r="H10" s="119"/>
      <c r="I10" s="119"/>
    </row>
    <row r="11" spans="1:12" s="117" customFormat="1" ht="15.5">
      <c r="A11" s="118">
        <f>A8+1</f>
        <v>2</v>
      </c>
      <c r="B11" s="126"/>
      <c r="C11" s="126" t="s">
        <v>482</v>
      </c>
      <c r="D11" s="128"/>
      <c r="F11" s="117" t="s">
        <v>483</v>
      </c>
      <c r="G11" s="127" t="s">
        <v>886</v>
      </c>
      <c r="H11" s="119"/>
      <c r="I11" s="119">
        <f>'Attachment H-11A '!I240</f>
        <v>0</v>
      </c>
    </row>
    <row r="12" spans="1:12" s="117" customFormat="1" ht="15.5">
      <c r="A12" s="118"/>
      <c r="B12" s="126"/>
      <c r="C12" s="126"/>
      <c r="D12" s="126"/>
      <c r="G12" s="127"/>
      <c r="H12" s="119"/>
      <c r="I12" s="119"/>
    </row>
    <row r="13" spans="1:12" s="117" customFormat="1" ht="15.5">
      <c r="A13" s="118"/>
      <c r="B13" s="126"/>
      <c r="C13" s="126" t="s">
        <v>88</v>
      </c>
      <c r="D13" s="129"/>
      <c r="G13" s="127"/>
      <c r="H13" s="119"/>
      <c r="I13" s="119"/>
    </row>
    <row r="14" spans="1:12" s="117" customFormat="1" ht="15.5">
      <c r="A14" s="118">
        <f>A11+1</f>
        <v>3</v>
      </c>
      <c r="B14" s="126"/>
      <c r="C14" s="126"/>
      <c r="D14" s="126" t="s">
        <v>484</v>
      </c>
      <c r="E14" s="119"/>
      <c r="F14" s="119"/>
      <c r="G14" s="127" t="s">
        <v>505</v>
      </c>
      <c r="H14" s="119"/>
      <c r="I14" s="119">
        <f>'Attachment 8 - Cap Structure'!E23</f>
        <v>1947228916.8496387</v>
      </c>
    </row>
    <row r="15" spans="1:12" s="117" customFormat="1" ht="15.5">
      <c r="A15" s="118">
        <f>A14+1</f>
        <v>4</v>
      </c>
      <c r="B15" s="126"/>
      <c r="C15" s="126"/>
      <c r="D15" s="126" t="s">
        <v>283</v>
      </c>
      <c r="E15" s="119"/>
      <c r="F15" s="119"/>
      <c r="G15" s="127" t="s">
        <v>932</v>
      </c>
      <c r="H15" s="119"/>
      <c r="I15" s="119">
        <f>'Attachment 8 - Cap Structure'!G23</f>
        <v>0</v>
      </c>
    </row>
    <row r="16" spans="1:12" s="117" customFormat="1" ht="15.5">
      <c r="A16" s="118">
        <f>A15+1</f>
        <v>5</v>
      </c>
      <c r="B16" s="126"/>
      <c r="C16" s="126"/>
      <c r="D16" s="126" t="s">
        <v>284</v>
      </c>
      <c r="E16" s="119"/>
      <c r="F16" s="119"/>
      <c r="G16" s="127" t="s">
        <v>506</v>
      </c>
      <c r="H16" s="119"/>
      <c r="I16" s="119">
        <f>'Attachment 8 - Cap Structure'!J23</f>
        <v>-116116.45463639637</v>
      </c>
    </row>
    <row r="17" spans="1:11" s="117" customFormat="1" ht="15.5">
      <c r="A17" s="118">
        <f>+A16+1</f>
        <v>6</v>
      </c>
      <c r="B17" s="126"/>
      <c r="C17" s="126"/>
      <c r="D17" s="126" t="s">
        <v>933</v>
      </c>
      <c r="E17" s="130"/>
      <c r="F17" s="130"/>
      <c r="G17" s="131" t="s">
        <v>934</v>
      </c>
      <c r="H17" s="130"/>
      <c r="I17" s="130">
        <f>'Attachment 8 - Cap Structure'!H23+'Attachment 8 - Cap Structure'!K23+'Attachment 8 - Cap Structure'!F23+'Attachment 8 - Cap Structure'!I23</f>
        <v>53564776.719690651</v>
      </c>
    </row>
    <row r="18" spans="1:11" s="117" customFormat="1" ht="15.5">
      <c r="A18" s="118">
        <f>A17+1</f>
        <v>7</v>
      </c>
      <c r="B18" s="126"/>
      <c r="C18" s="126"/>
      <c r="D18" s="126" t="s">
        <v>88</v>
      </c>
      <c r="E18" s="119"/>
      <c r="F18" s="119"/>
      <c r="G18" s="127" t="s">
        <v>935</v>
      </c>
      <c r="H18" s="119"/>
      <c r="I18" s="119">
        <f>'Attachment 8 - Cap Structure'!L23</f>
        <v>1893780256.5845842</v>
      </c>
    </row>
    <row r="19" spans="1:11" s="117" customFormat="1" ht="15.5">
      <c r="A19" s="118"/>
      <c r="B19" s="126"/>
      <c r="C19" s="126"/>
      <c r="D19" s="126"/>
      <c r="E19" s="119"/>
      <c r="F19" s="119"/>
      <c r="G19" s="127"/>
      <c r="H19" s="119"/>
      <c r="I19" s="119"/>
    </row>
    <row r="20" spans="1:11" s="117" customFormat="1" ht="15.5">
      <c r="A20" s="118"/>
      <c r="B20" s="126"/>
      <c r="C20" s="126"/>
      <c r="D20" s="126"/>
      <c r="E20" s="119"/>
      <c r="F20" s="119"/>
      <c r="G20" s="127"/>
      <c r="H20" s="119"/>
      <c r="I20" s="119"/>
    </row>
    <row r="21" spans="1:11" s="117" customFormat="1" ht="15.5">
      <c r="A21" s="118"/>
      <c r="B21" s="126"/>
      <c r="C21" s="126" t="s">
        <v>485</v>
      </c>
      <c r="D21" s="129"/>
      <c r="G21" s="127"/>
      <c r="I21" s="119"/>
    </row>
    <row r="22" spans="1:11" s="117" customFormat="1" ht="15.5">
      <c r="A22" s="118">
        <f>+A18+1</f>
        <v>8</v>
      </c>
      <c r="B22" s="126"/>
      <c r="C22" s="126"/>
      <c r="D22" s="126" t="s">
        <v>229</v>
      </c>
      <c r="G22" s="127" t="s">
        <v>887</v>
      </c>
      <c r="I22" s="119">
        <f>'Attachment H-11A '!D245</f>
        <v>1649999999.9999952</v>
      </c>
    </row>
    <row r="23" spans="1:11" s="117" customFormat="1" ht="15.5">
      <c r="A23" s="118">
        <f>A22+1</f>
        <v>9</v>
      </c>
      <c r="B23" s="126"/>
      <c r="C23" s="126"/>
      <c r="D23" s="126" t="s">
        <v>227</v>
      </c>
      <c r="G23" s="127" t="s">
        <v>888</v>
      </c>
      <c r="I23" s="119">
        <f>'Attachment H-11A '!D246</f>
        <v>0</v>
      </c>
    </row>
    <row r="24" spans="1:11" s="117" customFormat="1" ht="15.5">
      <c r="A24" s="118">
        <f t="shared" ref="A24:A25" si="0">A23+1</f>
        <v>10</v>
      </c>
      <c r="B24" s="126"/>
      <c r="C24" s="126"/>
      <c r="D24" s="126" t="s">
        <v>88</v>
      </c>
      <c r="G24" s="131" t="s">
        <v>889</v>
      </c>
      <c r="I24" s="119">
        <f>'Attachment H-11A '!D247</f>
        <v>1893780256.5845842</v>
      </c>
    </row>
    <row r="25" spans="1:11" s="117" customFormat="1" ht="15.5">
      <c r="A25" s="118">
        <f t="shared" si="0"/>
        <v>11</v>
      </c>
      <c r="B25" s="126"/>
      <c r="C25" s="126"/>
      <c r="D25" s="126" t="s">
        <v>952</v>
      </c>
      <c r="E25" s="132"/>
      <c r="F25" s="133"/>
      <c r="G25" s="127" t="s">
        <v>890</v>
      </c>
      <c r="H25" s="134"/>
      <c r="I25" s="134">
        <f>'Attachment H-11A '!D248</f>
        <v>3543780256.5845795</v>
      </c>
    </row>
    <row r="26" spans="1:11" s="117" customFormat="1" ht="15.5">
      <c r="A26" s="118"/>
      <c r="B26" s="126"/>
      <c r="C26" s="126"/>
      <c r="D26" s="126"/>
      <c r="G26" s="126"/>
      <c r="H26" s="119"/>
      <c r="I26" s="135"/>
    </row>
    <row r="27" spans="1:11" s="117" customFormat="1" ht="15.5">
      <c r="A27" s="118">
        <f>A25+1</f>
        <v>12</v>
      </c>
      <c r="B27" s="126"/>
      <c r="C27" s="126"/>
      <c r="D27" s="126" t="s">
        <v>486</v>
      </c>
      <c r="F27" s="126" t="s">
        <v>955</v>
      </c>
      <c r="G27" s="127" t="s">
        <v>891</v>
      </c>
      <c r="H27" s="119"/>
      <c r="I27" s="136">
        <f>'Attachment H-11A '!E245</f>
        <v>0.46560449027114065</v>
      </c>
    </row>
    <row r="28" spans="1:11" s="117" customFormat="1" ht="15.5">
      <c r="A28" s="118">
        <f>A27+1</f>
        <v>13</v>
      </c>
      <c r="B28" s="126"/>
      <c r="C28" s="126"/>
      <c r="D28" s="126" t="s">
        <v>487</v>
      </c>
      <c r="F28" s="126" t="s">
        <v>227</v>
      </c>
      <c r="G28" s="127" t="s">
        <v>892</v>
      </c>
      <c r="H28" s="119"/>
      <c r="I28" s="136">
        <f>'Attachment H-11A '!E246</f>
        <v>0</v>
      </c>
    </row>
    <row r="29" spans="1:11" s="117" customFormat="1" ht="15.5">
      <c r="A29" s="118">
        <f>A28+1</f>
        <v>14</v>
      </c>
      <c r="B29" s="126"/>
      <c r="C29" s="126"/>
      <c r="D29" s="126" t="s">
        <v>488</v>
      </c>
      <c r="F29" s="126" t="s">
        <v>88</v>
      </c>
      <c r="G29" s="127" t="s">
        <v>893</v>
      </c>
      <c r="H29" s="119"/>
      <c r="I29" s="136">
        <f>'Attachment H-11A '!E247</f>
        <v>0.5343955097288593</v>
      </c>
    </row>
    <row r="30" spans="1:11" s="117" customFormat="1" ht="15.5">
      <c r="A30" s="118"/>
      <c r="B30" s="126"/>
      <c r="C30" s="126"/>
      <c r="D30" s="126"/>
      <c r="F30" s="127"/>
      <c r="G30" s="126"/>
      <c r="H30" s="119"/>
      <c r="I30" s="135"/>
    </row>
    <row r="31" spans="1:11" s="117" customFormat="1" ht="15.5">
      <c r="A31" s="118">
        <f>A29+1</f>
        <v>15</v>
      </c>
      <c r="B31" s="126"/>
      <c r="C31" s="126"/>
      <c r="D31" s="126" t="s">
        <v>361</v>
      </c>
      <c r="F31" s="127" t="s">
        <v>955</v>
      </c>
      <c r="G31" s="127" t="s">
        <v>894</v>
      </c>
      <c r="H31" s="119"/>
      <c r="I31" s="137">
        <f>'Attachment H-11A '!G245</f>
        <v>4.6899999999999997E-2</v>
      </c>
      <c r="K31" s="137"/>
    </row>
    <row r="32" spans="1:11" s="117" customFormat="1" ht="15.5">
      <c r="A32" s="118">
        <f>A31+1</f>
        <v>16</v>
      </c>
      <c r="B32" s="126"/>
      <c r="C32" s="126"/>
      <c r="D32" s="126" t="s">
        <v>489</v>
      </c>
      <c r="F32" s="127" t="s">
        <v>227</v>
      </c>
      <c r="G32" s="127" t="s">
        <v>895</v>
      </c>
      <c r="H32" s="119"/>
      <c r="I32" s="137">
        <f>'Attachment H-11A '!G246</f>
        <v>0</v>
      </c>
    </row>
    <row r="33" spans="1:11" s="117" customFormat="1" ht="15.5">
      <c r="A33" s="118">
        <f>A32+1</f>
        <v>17</v>
      </c>
      <c r="B33" s="126"/>
      <c r="C33" s="126"/>
      <c r="D33" s="126" t="s">
        <v>490</v>
      </c>
      <c r="F33" s="127" t="s">
        <v>88</v>
      </c>
      <c r="G33" s="127" t="s">
        <v>896</v>
      </c>
      <c r="H33" s="119"/>
      <c r="I33" s="876">
        <f>'Attachment H-11A '!G247</f>
        <v>0.1045</v>
      </c>
      <c r="K33" s="137"/>
    </row>
    <row r="34" spans="1:11" s="117" customFormat="1" ht="15.5">
      <c r="A34" s="118"/>
      <c r="B34" s="126"/>
      <c r="C34" s="126"/>
      <c r="D34" s="126"/>
      <c r="F34" s="127"/>
      <c r="G34" s="126"/>
      <c r="H34" s="119"/>
    </row>
    <row r="35" spans="1:11" s="117" customFormat="1" ht="15.5">
      <c r="A35" s="118">
        <f>A33+1</f>
        <v>18</v>
      </c>
      <c r="B35" s="126"/>
      <c r="C35" s="126"/>
      <c r="D35" s="126" t="s">
        <v>491</v>
      </c>
      <c r="F35" s="126" t="s">
        <v>956</v>
      </c>
      <c r="G35" s="126" t="s">
        <v>301</v>
      </c>
      <c r="H35" s="138"/>
      <c r="I35" s="137">
        <f>I31*I27</f>
        <v>2.1836850593716494E-2</v>
      </c>
    </row>
    <row r="36" spans="1:11" s="117" customFormat="1" ht="15.5">
      <c r="A36" s="118">
        <f>A35+1</f>
        <v>19</v>
      </c>
      <c r="B36" s="126"/>
      <c r="C36" s="126"/>
      <c r="D36" s="126" t="s">
        <v>492</v>
      </c>
      <c r="F36" s="126" t="s">
        <v>227</v>
      </c>
      <c r="G36" s="126" t="s">
        <v>302</v>
      </c>
      <c r="H36" s="139"/>
      <c r="I36" s="137">
        <f>I32*I28</f>
        <v>0</v>
      </c>
    </row>
    <row r="37" spans="1:11" s="117" customFormat="1" ht="15.5">
      <c r="A37" s="118">
        <f>A36+1</f>
        <v>20</v>
      </c>
      <c r="B37" s="126"/>
      <c r="C37" s="126"/>
      <c r="D37" s="140" t="s">
        <v>493</v>
      </c>
      <c r="E37" s="141"/>
      <c r="F37" s="140" t="s">
        <v>88</v>
      </c>
      <c r="G37" s="140" t="s">
        <v>303</v>
      </c>
      <c r="H37" s="142"/>
      <c r="I37" s="143">
        <f>I33*I29</f>
        <v>5.5844330766665791E-2</v>
      </c>
    </row>
    <row r="38" spans="1:11" s="117" customFormat="1" ht="15.5">
      <c r="A38" s="118">
        <f>A37+1</f>
        <v>21</v>
      </c>
      <c r="B38" s="126"/>
      <c r="C38" s="126" t="s">
        <v>954</v>
      </c>
      <c r="D38" s="126"/>
      <c r="E38" s="144"/>
      <c r="F38" s="144"/>
      <c r="G38" s="126" t="str">
        <f>"(Sum Lines "&amp;A35&amp;" to "&amp;A37&amp;")"</f>
        <v>(Sum Lines 18 to 20)</v>
      </c>
      <c r="H38" s="145"/>
      <c r="I38" s="146">
        <f>SUM(I35:I37)</f>
        <v>7.7681181360382281E-2</v>
      </c>
    </row>
    <row r="39" spans="1:11" s="117" customFormat="1" ht="15.5">
      <c r="A39" s="124"/>
      <c r="B39" s="126"/>
      <c r="C39" s="126"/>
      <c r="D39" s="126"/>
      <c r="E39" s="144"/>
      <c r="F39" s="144"/>
      <c r="G39" s="129"/>
      <c r="H39" s="145"/>
      <c r="I39" s="146"/>
    </row>
    <row r="40" spans="1:11" s="117" customFormat="1" ht="16" thickBot="1">
      <c r="A40" s="118">
        <f>A38+1</f>
        <v>22</v>
      </c>
      <c r="B40" s="126"/>
      <c r="C40" s="126" t="s">
        <v>494</v>
      </c>
      <c r="D40" s="126"/>
      <c r="E40" s="147"/>
      <c r="F40" s="148"/>
      <c r="G40" s="149" t="str">
        <f>"(Line "&amp;A8&amp;" * Line "&amp;A38&amp;")"</f>
        <v>(Line 1 * Line 21)</v>
      </c>
      <c r="H40" s="150"/>
      <c r="I40" s="151">
        <f>+I38*I8</f>
        <v>37962697.019697689</v>
      </c>
    </row>
    <row r="41" spans="1:11" s="117" customFormat="1" ht="16" thickTop="1">
      <c r="A41" s="118"/>
      <c r="B41" s="118"/>
      <c r="C41" s="118"/>
      <c r="F41" s="118"/>
      <c r="G41" s="119"/>
      <c r="H41" s="119"/>
      <c r="I41" s="137"/>
    </row>
    <row r="42" spans="1:11" s="117" customFormat="1" ht="15.5">
      <c r="A42" s="152" t="s">
        <v>285</v>
      </c>
      <c r="B42" s="152"/>
      <c r="C42" s="153"/>
      <c r="D42" s="154"/>
      <c r="E42" s="122"/>
      <c r="F42" s="155"/>
      <c r="G42" s="122"/>
      <c r="H42" s="122"/>
      <c r="I42" s="156"/>
    </row>
    <row r="43" spans="1:11" s="117" customFormat="1" ht="15.5">
      <c r="A43" s="126"/>
      <c r="B43" s="126"/>
      <c r="C43" s="118"/>
      <c r="D43" s="144"/>
      <c r="F43" s="135"/>
      <c r="I43" s="157"/>
      <c r="K43" s="119"/>
    </row>
    <row r="44" spans="1:11" s="117" customFormat="1" ht="15.5">
      <c r="A44" s="118" t="s">
        <v>3</v>
      </c>
      <c r="B44" s="118"/>
      <c r="C44" s="158" t="s">
        <v>279</v>
      </c>
      <c r="F44" s="135"/>
      <c r="G44" s="119"/>
      <c r="H44" s="159"/>
    </row>
    <row r="45" spans="1:11" s="117" customFormat="1" ht="15.5">
      <c r="A45" s="118">
        <f>+A40+1</f>
        <v>23</v>
      </c>
      <c r="B45" s="118"/>
      <c r="C45" s="118"/>
      <c r="D45" s="203" t="s">
        <v>62</v>
      </c>
      <c r="F45" s="118"/>
      <c r="G45" s="127" t="s">
        <v>1134</v>
      </c>
      <c r="H45" s="160"/>
      <c r="I45" s="161">
        <f>'Attachment H-11A '!D144</f>
        <v>0.2580014665</v>
      </c>
    </row>
    <row r="46" spans="1:11" s="117" customFormat="1" ht="15.5">
      <c r="A46" s="118">
        <f>+A45+1</f>
        <v>24</v>
      </c>
      <c r="B46" s="118"/>
      <c r="C46" s="118"/>
      <c r="D46" s="80" t="s">
        <v>820</v>
      </c>
      <c r="E46" s="162"/>
      <c r="F46" s="118"/>
      <c r="G46" s="127" t="s">
        <v>291</v>
      </c>
      <c r="H46" s="160"/>
      <c r="I46" s="177">
        <f>(I45/(1-I45)*(1-I35/I38))</f>
        <v>0.24996683810827264</v>
      </c>
    </row>
    <row r="47" spans="1:11" s="117" customFormat="1" ht="15.5">
      <c r="A47" s="118"/>
      <c r="B47" s="118"/>
      <c r="C47" s="118"/>
      <c r="D47" s="204"/>
      <c r="E47" s="160"/>
      <c r="F47" s="118"/>
      <c r="G47" s="127"/>
      <c r="H47" s="160"/>
      <c r="I47" s="163"/>
    </row>
    <row r="48" spans="1:11" s="117" customFormat="1" ht="15.5">
      <c r="A48" s="118"/>
      <c r="B48" s="118"/>
      <c r="C48" s="118"/>
      <c r="D48" s="204"/>
      <c r="E48" s="164"/>
      <c r="F48" s="118"/>
      <c r="G48" s="127"/>
      <c r="H48" s="160"/>
      <c r="I48" s="161"/>
    </row>
    <row r="49" spans="1:11" s="117" customFormat="1" ht="31">
      <c r="A49" s="118">
        <v>25</v>
      </c>
      <c r="B49" s="118"/>
      <c r="C49" s="118"/>
      <c r="D49" s="203" t="s">
        <v>821</v>
      </c>
      <c r="E49" s="162"/>
      <c r="F49" s="118"/>
      <c r="G49" s="1020" t="s">
        <v>1135</v>
      </c>
      <c r="H49" s="160"/>
      <c r="I49" s="94">
        <f>'Attachment H-11A '!D148</f>
        <v>1.3477115585161732</v>
      </c>
      <c r="K49" s="165"/>
    </row>
    <row r="50" spans="1:11" s="117" customFormat="1" ht="15.5">
      <c r="A50" s="118">
        <v>26</v>
      </c>
      <c r="B50" s="118"/>
      <c r="C50" s="118"/>
      <c r="D50" s="204" t="s">
        <v>248</v>
      </c>
      <c r="F50" s="166"/>
      <c r="G50" s="127" t="s">
        <v>1136</v>
      </c>
      <c r="H50" s="159"/>
      <c r="I50" s="175">
        <f>'Attachment H-11A '!D149</f>
        <v>0</v>
      </c>
    </row>
    <row r="51" spans="1:11" s="117" customFormat="1" ht="15.5">
      <c r="A51" s="118">
        <v>27</v>
      </c>
      <c r="B51" s="118"/>
      <c r="C51" s="118"/>
      <c r="D51" s="204" t="s">
        <v>282</v>
      </c>
      <c r="F51" s="166"/>
      <c r="G51" s="127" t="s">
        <v>1137</v>
      </c>
      <c r="H51" s="159"/>
      <c r="I51" s="175">
        <f>'Attachment H-11A '!D150</f>
        <v>30404.053818959248</v>
      </c>
    </row>
    <row r="52" spans="1:11" s="117" customFormat="1" ht="15.5">
      <c r="A52" s="118">
        <v>28</v>
      </c>
      <c r="B52" s="118"/>
      <c r="C52" s="118"/>
      <c r="D52" s="204" t="s">
        <v>289</v>
      </c>
      <c r="F52" s="166"/>
      <c r="G52" s="127" t="s">
        <v>1138</v>
      </c>
      <c r="H52" s="159"/>
      <c r="I52" s="175">
        <f>'Attachment H-11A '!D151</f>
        <v>-28849.593408145069</v>
      </c>
    </row>
    <row r="53" spans="1:11" s="117" customFormat="1" ht="15.5">
      <c r="A53" s="118">
        <v>29</v>
      </c>
      <c r="B53" s="118"/>
      <c r="C53" s="118"/>
      <c r="D53" s="203" t="s">
        <v>286</v>
      </c>
      <c r="F53" s="166"/>
      <c r="G53" s="164" t="s">
        <v>305</v>
      </c>
      <c r="H53" s="159"/>
      <c r="I53" s="175">
        <f>I46*I40</f>
        <v>9489415.3400761764</v>
      </c>
    </row>
    <row r="54" spans="1:11" s="117" customFormat="1" ht="15.5">
      <c r="A54" s="118">
        <v>30</v>
      </c>
      <c r="B54" s="118"/>
      <c r="C54" s="118"/>
      <c r="D54" s="80" t="s">
        <v>287</v>
      </c>
      <c r="F54" s="166"/>
      <c r="G54" s="127" t="s">
        <v>1139</v>
      </c>
      <c r="H54" s="159"/>
      <c r="I54" s="175">
        <f>'Attachment H-11A '!I153</f>
        <v>0</v>
      </c>
    </row>
    <row r="55" spans="1:11" s="117" customFormat="1" ht="15.5">
      <c r="A55" s="118">
        <v>31</v>
      </c>
      <c r="B55" s="118"/>
      <c r="C55" s="118"/>
      <c r="D55" s="80" t="s">
        <v>288</v>
      </c>
      <c r="F55" s="166"/>
      <c r="G55" s="127" t="s">
        <v>1140</v>
      </c>
      <c r="H55" s="159"/>
      <c r="I55" s="175">
        <f>'Attachment H-11A '!I154</f>
        <v>40975.894757559174</v>
      </c>
    </row>
    <row r="56" spans="1:11" s="117" customFormat="1" ht="16" thickBot="1">
      <c r="A56" s="118">
        <v>32</v>
      </c>
      <c r="B56" s="118"/>
      <c r="C56" s="118"/>
      <c r="D56" s="80" t="s">
        <v>290</v>
      </c>
      <c r="F56" s="166"/>
      <c r="G56" s="127" t="s">
        <v>1141</v>
      </c>
      <c r="H56" s="159"/>
      <c r="I56" s="176">
        <f>'Attachment H-11A '!D155</f>
        <v>-38880.93049464911</v>
      </c>
    </row>
    <row r="57" spans="1:11" s="117" customFormat="1" ht="15.5">
      <c r="A57" s="118">
        <v>33</v>
      </c>
      <c r="B57" s="118"/>
      <c r="C57" s="118"/>
      <c r="D57" s="203" t="s">
        <v>64</v>
      </c>
      <c r="F57" s="166"/>
      <c r="G57" s="164" t="s">
        <v>304</v>
      </c>
      <c r="H57" s="159"/>
      <c r="I57" s="202">
        <f>SUM(I53:I56)</f>
        <v>9491510.3043390866</v>
      </c>
    </row>
    <row r="58" spans="1:11" s="117" customFormat="1" ht="15.5">
      <c r="A58" s="118"/>
      <c r="B58" s="118"/>
      <c r="C58" s="118"/>
      <c r="F58" s="166"/>
      <c r="G58" s="164"/>
      <c r="H58" s="159"/>
      <c r="I58" s="167"/>
    </row>
    <row r="59" spans="1:11" s="117" customFormat="1" ht="15.5">
      <c r="A59" s="152" t="s">
        <v>790</v>
      </c>
      <c r="B59" s="152"/>
      <c r="C59" s="153"/>
      <c r="D59" s="154"/>
      <c r="E59" s="122"/>
      <c r="F59" s="155"/>
      <c r="G59" s="122"/>
      <c r="H59" s="122"/>
      <c r="I59" s="156"/>
    </row>
    <row r="60" spans="1:11" s="117" customFormat="1" ht="15.5">
      <c r="A60" s="197"/>
      <c r="B60" s="197"/>
      <c r="C60" s="198"/>
      <c r="D60" s="199"/>
      <c r="F60" s="200"/>
      <c r="I60" s="201"/>
    </row>
    <row r="61" spans="1:11" s="117" customFormat="1" ht="15.5">
      <c r="A61" s="118">
        <v>34</v>
      </c>
      <c r="B61" s="118"/>
      <c r="C61" s="118"/>
      <c r="D61" s="117" t="s">
        <v>791</v>
      </c>
      <c r="F61" s="166"/>
      <c r="G61" s="164" t="s">
        <v>306</v>
      </c>
      <c r="H61" s="159"/>
      <c r="I61" s="175">
        <f>I40+I57</f>
        <v>47454207.324036777</v>
      </c>
    </row>
    <row r="62" spans="1:11" s="117" customFormat="1" ht="15.5">
      <c r="A62" s="118"/>
      <c r="B62" s="118"/>
      <c r="C62" s="118"/>
      <c r="F62" s="166"/>
      <c r="G62" s="164"/>
      <c r="H62" s="159"/>
      <c r="I62" s="175"/>
    </row>
    <row r="63" spans="1:11" s="117" customFormat="1" ht="15.5">
      <c r="A63" s="118">
        <v>35</v>
      </c>
      <c r="B63" s="118"/>
      <c r="C63" s="118"/>
      <c r="D63" s="117" t="s">
        <v>827</v>
      </c>
      <c r="F63" s="166"/>
      <c r="G63" s="164" t="s">
        <v>1142</v>
      </c>
      <c r="H63" s="159"/>
      <c r="I63" s="175">
        <f>'Attachment H-11A '!I158</f>
        <v>37962697.019697689</v>
      </c>
    </row>
    <row r="64" spans="1:11" s="117" customFormat="1" ht="15.5">
      <c r="A64" s="118">
        <v>36</v>
      </c>
      <c r="B64" s="118"/>
      <c r="C64" s="118"/>
      <c r="D64" s="117" t="s">
        <v>828</v>
      </c>
      <c r="F64" s="166"/>
      <c r="G64" s="164" t="s">
        <v>1143</v>
      </c>
      <c r="H64" s="159"/>
      <c r="I64" s="175">
        <f>'Attachment H-11A '!I156</f>
        <v>9491510.3043390866</v>
      </c>
    </row>
    <row r="65" spans="1:11" s="117" customFormat="1" ht="15.5">
      <c r="A65" s="118"/>
      <c r="B65" s="118"/>
      <c r="C65" s="118"/>
      <c r="F65" s="166"/>
      <c r="G65" s="164"/>
      <c r="H65" s="159"/>
      <c r="I65" s="175"/>
    </row>
    <row r="66" spans="1:11" s="117" customFormat="1" ht="15.5">
      <c r="A66" s="118" t="s">
        <v>206</v>
      </c>
      <c r="B66" s="118"/>
      <c r="C66" s="118"/>
      <c r="F66" s="166"/>
      <c r="G66" s="164"/>
      <c r="H66" s="159"/>
      <c r="I66" s="168"/>
    </row>
    <row r="67" spans="1:11" s="117" customFormat="1" ht="22.4" customHeight="1">
      <c r="A67" s="118"/>
      <c r="B67" s="1117" t="s">
        <v>897</v>
      </c>
      <c r="C67" s="1117"/>
      <c r="D67" s="1117"/>
      <c r="E67" s="1117"/>
      <c r="F67" s="1117"/>
      <c r="G67" s="1117"/>
      <c r="H67" s="1117"/>
      <c r="I67" s="1117"/>
      <c r="J67" s="1117"/>
      <c r="K67" s="1117"/>
    </row>
    <row r="68" spans="1:11" s="117" customFormat="1" ht="15.5">
      <c r="A68" s="118"/>
      <c r="B68" s="118"/>
      <c r="C68" s="118"/>
      <c r="D68" s="126"/>
      <c r="F68" s="118"/>
      <c r="G68" s="119"/>
      <c r="H68" s="169"/>
      <c r="I68" s="170"/>
    </row>
  </sheetData>
  <mergeCells count="6">
    <mergeCell ref="A1:I1"/>
    <mergeCell ref="A2:I2"/>
    <mergeCell ref="B67:K67"/>
    <mergeCell ref="J2:K2"/>
    <mergeCell ref="J1:K1"/>
    <mergeCell ref="J3:K3"/>
  </mergeCells>
  <printOptions horizontalCentered="1"/>
  <pageMargins left="0.5" right="0.33" top="0.5" bottom="0.5" header="0.5" footer="0.5"/>
  <pageSetup scale="43" orientation="portrait" r:id="rId1"/>
  <headerFooter alignWithMargins="0"/>
  <ignoredErrors>
    <ignoredError sqref="I8"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B18E6-003C-4755-8E72-04C2D224B9A1}">
  <sheetPr codeName="Sheet10"/>
  <dimension ref="A1:L72"/>
  <sheetViews>
    <sheetView view="pageBreakPreview" zoomScale="60" zoomScaleNormal="70" workbookViewId="0">
      <selection sqref="A1:I1"/>
    </sheetView>
  </sheetViews>
  <sheetFormatPr defaultRowHeight="12.5"/>
  <cols>
    <col min="1" max="1" width="7.07421875" style="115" customWidth="1"/>
    <col min="2" max="2" width="2.3046875" style="115" customWidth="1"/>
    <col min="3" max="3" width="6.3046875" style="115" customWidth="1"/>
    <col min="4" max="4" width="33.4609375" style="115" customWidth="1"/>
    <col min="5" max="5" width="18" style="115" customWidth="1"/>
    <col min="6" max="6" width="27.69140625" style="115" customWidth="1"/>
    <col min="7" max="7" width="54.3046875" style="115" customWidth="1"/>
    <col min="8" max="8" width="0.53515625" style="115" customWidth="1"/>
    <col min="9" max="9" width="23.4609375" style="115" customWidth="1"/>
    <col min="10" max="10" width="7.84375" style="115" customWidth="1"/>
    <col min="11" max="11" width="17.84375" style="115" bestFit="1" customWidth="1"/>
    <col min="12" max="12" width="6.07421875" style="115" customWidth="1"/>
    <col min="13" max="256" width="8.84375" style="115"/>
    <col min="257" max="257" width="7.07421875" style="115" customWidth="1"/>
    <col min="258" max="258" width="2.3046875" style="115" customWidth="1"/>
    <col min="259" max="259" width="6.3046875" style="115" customWidth="1"/>
    <col min="260" max="260" width="33.4609375" style="115" customWidth="1"/>
    <col min="261" max="261" width="18" style="115" customWidth="1"/>
    <col min="262" max="262" width="27.69140625" style="115" customWidth="1"/>
    <col min="263" max="263" width="28.84375" style="115" bestFit="1" customWidth="1"/>
    <col min="264" max="264" width="3" style="115" customWidth="1"/>
    <col min="265" max="265" width="23.4609375" style="115" customWidth="1"/>
    <col min="266" max="266" width="8.84375" style="115"/>
    <col min="267" max="267" width="17.84375" style="115" bestFit="1" customWidth="1"/>
    <col min="268" max="512" width="8.84375" style="115"/>
    <col min="513" max="513" width="7.07421875" style="115" customWidth="1"/>
    <col min="514" max="514" width="2.3046875" style="115" customWidth="1"/>
    <col min="515" max="515" width="6.3046875" style="115" customWidth="1"/>
    <col min="516" max="516" width="33.4609375" style="115" customWidth="1"/>
    <col min="517" max="517" width="18" style="115" customWidth="1"/>
    <col min="518" max="518" width="27.69140625" style="115" customWidth="1"/>
    <col min="519" max="519" width="28.84375" style="115" bestFit="1" customWidth="1"/>
    <col min="520" max="520" width="3" style="115" customWidth="1"/>
    <col min="521" max="521" width="23.4609375" style="115" customWidth="1"/>
    <col min="522" max="522" width="8.84375" style="115"/>
    <col min="523" max="523" width="17.84375" style="115" bestFit="1" customWidth="1"/>
    <col min="524" max="768" width="8.84375" style="115"/>
    <col min="769" max="769" width="7.07421875" style="115" customWidth="1"/>
    <col min="770" max="770" width="2.3046875" style="115" customWidth="1"/>
    <col min="771" max="771" width="6.3046875" style="115" customWidth="1"/>
    <col min="772" max="772" width="33.4609375" style="115" customWidth="1"/>
    <col min="773" max="773" width="18" style="115" customWidth="1"/>
    <col min="774" max="774" width="27.69140625" style="115" customWidth="1"/>
    <col min="775" max="775" width="28.84375" style="115" bestFit="1" customWidth="1"/>
    <col min="776" max="776" width="3" style="115" customWidth="1"/>
    <col min="777" max="777" width="23.4609375" style="115" customWidth="1"/>
    <col min="778" max="778" width="8.84375" style="115"/>
    <col min="779" max="779" width="17.84375" style="115" bestFit="1" customWidth="1"/>
    <col min="780" max="1024" width="8.84375" style="115"/>
    <col min="1025" max="1025" width="7.07421875" style="115" customWidth="1"/>
    <col min="1026" max="1026" width="2.3046875" style="115" customWidth="1"/>
    <col min="1027" max="1027" width="6.3046875" style="115" customWidth="1"/>
    <col min="1028" max="1028" width="33.4609375" style="115" customWidth="1"/>
    <col min="1029" max="1029" width="18" style="115" customWidth="1"/>
    <col min="1030" max="1030" width="27.69140625" style="115" customWidth="1"/>
    <col min="1031" max="1031" width="28.84375" style="115" bestFit="1" customWidth="1"/>
    <col min="1032" max="1032" width="3" style="115" customWidth="1"/>
    <col min="1033" max="1033" width="23.4609375" style="115" customWidth="1"/>
    <col min="1034" max="1034" width="8.84375" style="115"/>
    <col min="1035" max="1035" width="17.84375" style="115" bestFit="1" customWidth="1"/>
    <col min="1036" max="1280" width="8.84375" style="115"/>
    <col min="1281" max="1281" width="7.07421875" style="115" customWidth="1"/>
    <col min="1282" max="1282" width="2.3046875" style="115" customWidth="1"/>
    <col min="1283" max="1283" width="6.3046875" style="115" customWidth="1"/>
    <col min="1284" max="1284" width="33.4609375" style="115" customWidth="1"/>
    <col min="1285" max="1285" width="18" style="115" customWidth="1"/>
    <col min="1286" max="1286" width="27.69140625" style="115" customWidth="1"/>
    <col min="1287" max="1287" width="28.84375" style="115" bestFit="1" customWidth="1"/>
    <col min="1288" max="1288" width="3" style="115" customWidth="1"/>
    <col min="1289" max="1289" width="23.4609375" style="115" customWidth="1"/>
    <col min="1290" max="1290" width="8.84375" style="115"/>
    <col min="1291" max="1291" width="17.84375" style="115" bestFit="1" customWidth="1"/>
    <col min="1292" max="1536" width="8.84375" style="115"/>
    <col min="1537" max="1537" width="7.07421875" style="115" customWidth="1"/>
    <col min="1538" max="1538" width="2.3046875" style="115" customWidth="1"/>
    <col min="1539" max="1539" width="6.3046875" style="115" customWidth="1"/>
    <col min="1540" max="1540" width="33.4609375" style="115" customWidth="1"/>
    <col min="1541" max="1541" width="18" style="115" customWidth="1"/>
    <col min="1542" max="1542" width="27.69140625" style="115" customWidth="1"/>
    <col min="1543" max="1543" width="28.84375" style="115" bestFit="1" customWidth="1"/>
    <col min="1544" max="1544" width="3" style="115" customWidth="1"/>
    <col min="1545" max="1545" width="23.4609375" style="115" customWidth="1"/>
    <col min="1546" max="1546" width="8.84375" style="115"/>
    <col min="1547" max="1547" width="17.84375" style="115" bestFit="1" customWidth="1"/>
    <col min="1548" max="1792" width="8.84375" style="115"/>
    <col min="1793" max="1793" width="7.07421875" style="115" customWidth="1"/>
    <col min="1794" max="1794" width="2.3046875" style="115" customWidth="1"/>
    <col min="1795" max="1795" width="6.3046875" style="115" customWidth="1"/>
    <col min="1796" max="1796" width="33.4609375" style="115" customWidth="1"/>
    <col min="1797" max="1797" width="18" style="115" customWidth="1"/>
    <col min="1798" max="1798" width="27.69140625" style="115" customWidth="1"/>
    <col min="1799" max="1799" width="28.84375" style="115" bestFit="1" customWidth="1"/>
    <col min="1800" max="1800" width="3" style="115" customWidth="1"/>
    <col min="1801" max="1801" width="23.4609375" style="115" customWidth="1"/>
    <col min="1802" max="1802" width="8.84375" style="115"/>
    <col min="1803" max="1803" width="17.84375" style="115" bestFit="1" customWidth="1"/>
    <col min="1804" max="2048" width="8.84375" style="115"/>
    <col min="2049" max="2049" width="7.07421875" style="115" customWidth="1"/>
    <col min="2050" max="2050" width="2.3046875" style="115" customWidth="1"/>
    <col min="2051" max="2051" width="6.3046875" style="115" customWidth="1"/>
    <col min="2052" max="2052" width="33.4609375" style="115" customWidth="1"/>
    <col min="2053" max="2053" width="18" style="115" customWidth="1"/>
    <col min="2054" max="2054" width="27.69140625" style="115" customWidth="1"/>
    <col min="2055" max="2055" width="28.84375" style="115" bestFit="1" customWidth="1"/>
    <col min="2056" max="2056" width="3" style="115" customWidth="1"/>
    <col min="2057" max="2057" width="23.4609375" style="115" customWidth="1"/>
    <col min="2058" max="2058" width="8.84375" style="115"/>
    <col min="2059" max="2059" width="17.84375" style="115" bestFit="1" customWidth="1"/>
    <col min="2060" max="2304" width="8.84375" style="115"/>
    <col min="2305" max="2305" width="7.07421875" style="115" customWidth="1"/>
    <col min="2306" max="2306" width="2.3046875" style="115" customWidth="1"/>
    <col min="2307" max="2307" width="6.3046875" style="115" customWidth="1"/>
    <col min="2308" max="2308" width="33.4609375" style="115" customWidth="1"/>
    <col min="2309" max="2309" width="18" style="115" customWidth="1"/>
    <col min="2310" max="2310" width="27.69140625" style="115" customWidth="1"/>
    <col min="2311" max="2311" width="28.84375" style="115" bestFit="1" customWidth="1"/>
    <col min="2312" max="2312" width="3" style="115" customWidth="1"/>
    <col min="2313" max="2313" width="23.4609375" style="115" customWidth="1"/>
    <col min="2314" max="2314" width="8.84375" style="115"/>
    <col min="2315" max="2315" width="17.84375" style="115" bestFit="1" customWidth="1"/>
    <col min="2316" max="2560" width="8.84375" style="115"/>
    <col min="2561" max="2561" width="7.07421875" style="115" customWidth="1"/>
    <col min="2562" max="2562" width="2.3046875" style="115" customWidth="1"/>
    <col min="2563" max="2563" width="6.3046875" style="115" customWidth="1"/>
    <col min="2564" max="2564" width="33.4609375" style="115" customWidth="1"/>
    <col min="2565" max="2565" width="18" style="115" customWidth="1"/>
    <col min="2566" max="2566" width="27.69140625" style="115" customWidth="1"/>
    <col min="2567" max="2567" width="28.84375" style="115" bestFit="1" customWidth="1"/>
    <col min="2568" max="2568" width="3" style="115" customWidth="1"/>
    <col min="2569" max="2569" width="23.4609375" style="115" customWidth="1"/>
    <col min="2570" max="2570" width="8.84375" style="115"/>
    <col min="2571" max="2571" width="17.84375" style="115" bestFit="1" customWidth="1"/>
    <col min="2572" max="2816" width="8.84375" style="115"/>
    <col min="2817" max="2817" width="7.07421875" style="115" customWidth="1"/>
    <col min="2818" max="2818" width="2.3046875" style="115" customWidth="1"/>
    <col min="2819" max="2819" width="6.3046875" style="115" customWidth="1"/>
    <col min="2820" max="2820" width="33.4609375" style="115" customWidth="1"/>
    <col min="2821" max="2821" width="18" style="115" customWidth="1"/>
    <col min="2822" max="2822" width="27.69140625" style="115" customWidth="1"/>
    <col min="2823" max="2823" width="28.84375" style="115" bestFit="1" customWidth="1"/>
    <col min="2824" max="2824" width="3" style="115" customWidth="1"/>
    <col min="2825" max="2825" width="23.4609375" style="115" customWidth="1"/>
    <col min="2826" max="2826" width="8.84375" style="115"/>
    <col min="2827" max="2827" width="17.84375" style="115" bestFit="1" customWidth="1"/>
    <col min="2828" max="3072" width="8.84375" style="115"/>
    <col min="3073" max="3073" width="7.07421875" style="115" customWidth="1"/>
    <col min="3074" max="3074" width="2.3046875" style="115" customWidth="1"/>
    <col min="3075" max="3075" width="6.3046875" style="115" customWidth="1"/>
    <col min="3076" max="3076" width="33.4609375" style="115" customWidth="1"/>
    <col min="3077" max="3077" width="18" style="115" customWidth="1"/>
    <col min="3078" max="3078" width="27.69140625" style="115" customWidth="1"/>
    <col min="3079" max="3079" width="28.84375" style="115" bestFit="1" customWidth="1"/>
    <col min="3080" max="3080" width="3" style="115" customWidth="1"/>
    <col min="3081" max="3081" width="23.4609375" style="115" customWidth="1"/>
    <col min="3082" max="3082" width="8.84375" style="115"/>
    <col min="3083" max="3083" width="17.84375" style="115" bestFit="1" customWidth="1"/>
    <col min="3084" max="3328" width="8.84375" style="115"/>
    <col min="3329" max="3329" width="7.07421875" style="115" customWidth="1"/>
    <col min="3330" max="3330" width="2.3046875" style="115" customWidth="1"/>
    <col min="3331" max="3331" width="6.3046875" style="115" customWidth="1"/>
    <col min="3332" max="3332" width="33.4609375" style="115" customWidth="1"/>
    <col min="3333" max="3333" width="18" style="115" customWidth="1"/>
    <col min="3334" max="3334" width="27.69140625" style="115" customWidth="1"/>
    <col min="3335" max="3335" width="28.84375" style="115" bestFit="1" customWidth="1"/>
    <col min="3336" max="3336" width="3" style="115" customWidth="1"/>
    <col min="3337" max="3337" width="23.4609375" style="115" customWidth="1"/>
    <col min="3338" max="3338" width="8.84375" style="115"/>
    <col min="3339" max="3339" width="17.84375" style="115" bestFit="1" customWidth="1"/>
    <col min="3340" max="3584" width="8.84375" style="115"/>
    <col min="3585" max="3585" width="7.07421875" style="115" customWidth="1"/>
    <col min="3586" max="3586" width="2.3046875" style="115" customWidth="1"/>
    <col min="3587" max="3587" width="6.3046875" style="115" customWidth="1"/>
    <col min="3588" max="3588" width="33.4609375" style="115" customWidth="1"/>
    <col min="3589" max="3589" width="18" style="115" customWidth="1"/>
    <col min="3590" max="3590" width="27.69140625" style="115" customWidth="1"/>
    <col min="3591" max="3591" width="28.84375" style="115" bestFit="1" customWidth="1"/>
    <col min="3592" max="3592" width="3" style="115" customWidth="1"/>
    <col min="3593" max="3593" width="23.4609375" style="115" customWidth="1"/>
    <col min="3594" max="3594" width="8.84375" style="115"/>
    <col min="3595" max="3595" width="17.84375" style="115" bestFit="1" customWidth="1"/>
    <col min="3596" max="3840" width="8.84375" style="115"/>
    <col min="3841" max="3841" width="7.07421875" style="115" customWidth="1"/>
    <col min="3842" max="3842" width="2.3046875" style="115" customWidth="1"/>
    <col min="3843" max="3843" width="6.3046875" style="115" customWidth="1"/>
    <col min="3844" max="3844" width="33.4609375" style="115" customWidth="1"/>
    <col min="3845" max="3845" width="18" style="115" customWidth="1"/>
    <col min="3846" max="3846" width="27.69140625" style="115" customWidth="1"/>
    <col min="3847" max="3847" width="28.84375" style="115" bestFit="1" customWidth="1"/>
    <col min="3848" max="3848" width="3" style="115" customWidth="1"/>
    <col min="3849" max="3849" width="23.4609375" style="115" customWidth="1"/>
    <col min="3850" max="3850" width="8.84375" style="115"/>
    <col min="3851" max="3851" width="17.84375" style="115" bestFit="1" customWidth="1"/>
    <col min="3852" max="4096" width="8.84375" style="115"/>
    <col min="4097" max="4097" width="7.07421875" style="115" customWidth="1"/>
    <col min="4098" max="4098" width="2.3046875" style="115" customWidth="1"/>
    <col min="4099" max="4099" width="6.3046875" style="115" customWidth="1"/>
    <col min="4100" max="4100" width="33.4609375" style="115" customWidth="1"/>
    <col min="4101" max="4101" width="18" style="115" customWidth="1"/>
    <col min="4102" max="4102" width="27.69140625" style="115" customWidth="1"/>
    <col min="4103" max="4103" width="28.84375" style="115" bestFit="1" customWidth="1"/>
    <col min="4104" max="4104" width="3" style="115" customWidth="1"/>
    <col min="4105" max="4105" width="23.4609375" style="115" customWidth="1"/>
    <col min="4106" max="4106" width="8.84375" style="115"/>
    <col min="4107" max="4107" width="17.84375" style="115" bestFit="1" customWidth="1"/>
    <col min="4108" max="4352" width="8.84375" style="115"/>
    <col min="4353" max="4353" width="7.07421875" style="115" customWidth="1"/>
    <col min="4354" max="4354" width="2.3046875" style="115" customWidth="1"/>
    <col min="4355" max="4355" width="6.3046875" style="115" customWidth="1"/>
    <col min="4356" max="4356" width="33.4609375" style="115" customWidth="1"/>
    <col min="4357" max="4357" width="18" style="115" customWidth="1"/>
    <col min="4358" max="4358" width="27.69140625" style="115" customWidth="1"/>
    <col min="4359" max="4359" width="28.84375" style="115" bestFit="1" customWidth="1"/>
    <col min="4360" max="4360" width="3" style="115" customWidth="1"/>
    <col min="4361" max="4361" width="23.4609375" style="115" customWidth="1"/>
    <col min="4362" max="4362" width="8.84375" style="115"/>
    <col min="4363" max="4363" width="17.84375" style="115" bestFit="1" customWidth="1"/>
    <col min="4364" max="4608" width="8.84375" style="115"/>
    <col min="4609" max="4609" width="7.07421875" style="115" customWidth="1"/>
    <col min="4610" max="4610" width="2.3046875" style="115" customWidth="1"/>
    <col min="4611" max="4611" width="6.3046875" style="115" customWidth="1"/>
    <col min="4612" max="4612" width="33.4609375" style="115" customWidth="1"/>
    <col min="4613" max="4613" width="18" style="115" customWidth="1"/>
    <col min="4614" max="4614" width="27.69140625" style="115" customWidth="1"/>
    <col min="4615" max="4615" width="28.84375" style="115" bestFit="1" customWidth="1"/>
    <col min="4616" max="4616" width="3" style="115" customWidth="1"/>
    <col min="4617" max="4617" width="23.4609375" style="115" customWidth="1"/>
    <col min="4618" max="4618" width="8.84375" style="115"/>
    <col min="4619" max="4619" width="17.84375" style="115" bestFit="1" customWidth="1"/>
    <col min="4620" max="4864" width="8.84375" style="115"/>
    <col min="4865" max="4865" width="7.07421875" style="115" customWidth="1"/>
    <col min="4866" max="4866" width="2.3046875" style="115" customWidth="1"/>
    <col min="4867" max="4867" width="6.3046875" style="115" customWidth="1"/>
    <col min="4868" max="4868" width="33.4609375" style="115" customWidth="1"/>
    <col min="4869" max="4869" width="18" style="115" customWidth="1"/>
    <col min="4870" max="4870" width="27.69140625" style="115" customWidth="1"/>
    <col min="4871" max="4871" width="28.84375" style="115" bestFit="1" customWidth="1"/>
    <col min="4872" max="4872" width="3" style="115" customWidth="1"/>
    <col min="4873" max="4873" width="23.4609375" style="115" customWidth="1"/>
    <col min="4874" max="4874" width="8.84375" style="115"/>
    <col min="4875" max="4875" width="17.84375" style="115" bestFit="1" customWidth="1"/>
    <col min="4876" max="5120" width="8.84375" style="115"/>
    <col min="5121" max="5121" width="7.07421875" style="115" customWidth="1"/>
    <col min="5122" max="5122" width="2.3046875" style="115" customWidth="1"/>
    <col min="5123" max="5123" width="6.3046875" style="115" customWidth="1"/>
    <col min="5124" max="5124" width="33.4609375" style="115" customWidth="1"/>
    <col min="5125" max="5125" width="18" style="115" customWidth="1"/>
    <col min="5126" max="5126" width="27.69140625" style="115" customWidth="1"/>
    <col min="5127" max="5127" width="28.84375" style="115" bestFit="1" customWidth="1"/>
    <col min="5128" max="5128" width="3" style="115" customWidth="1"/>
    <col min="5129" max="5129" width="23.4609375" style="115" customWidth="1"/>
    <col min="5130" max="5130" width="8.84375" style="115"/>
    <col min="5131" max="5131" width="17.84375" style="115" bestFit="1" customWidth="1"/>
    <col min="5132" max="5376" width="8.84375" style="115"/>
    <col min="5377" max="5377" width="7.07421875" style="115" customWidth="1"/>
    <col min="5378" max="5378" width="2.3046875" style="115" customWidth="1"/>
    <col min="5379" max="5379" width="6.3046875" style="115" customWidth="1"/>
    <col min="5380" max="5380" width="33.4609375" style="115" customWidth="1"/>
    <col min="5381" max="5381" width="18" style="115" customWidth="1"/>
    <col min="5382" max="5382" width="27.69140625" style="115" customWidth="1"/>
    <col min="5383" max="5383" width="28.84375" style="115" bestFit="1" customWidth="1"/>
    <col min="5384" max="5384" width="3" style="115" customWidth="1"/>
    <col min="5385" max="5385" width="23.4609375" style="115" customWidth="1"/>
    <col min="5386" max="5386" width="8.84375" style="115"/>
    <col min="5387" max="5387" width="17.84375" style="115" bestFit="1" customWidth="1"/>
    <col min="5388" max="5632" width="8.84375" style="115"/>
    <col min="5633" max="5633" width="7.07421875" style="115" customWidth="1"/>
    <col min="5634" max="5634" width="2.3046875" style="115" customWidth="1"/>
    <col min="5635" max="5635" width="6.3046875" style="115" customWidth="1"/>
    <col min="5636" max="5636" width="33.4609375" style="115" customWidth="1"/>
    <col min="5637" max="5637" width="18" style="115" customWidth="1"/>
    <col min="5638" max="5638" width="27.69140625" style="115" customWidth="1"/>
    <col min="5639" max="5639" width="28.84375" style="115" bestFit="1" customWidth="1"/>
    <col min="5640" max="5640" width="3" style="115" customWidth="1"/>
    <col min="5641" max="5641" width="23.4609375" style="115" customWidth="1"/>
    <col min="5642" max="5642" width="8.84375" style="115"/>
    <col min="5643" max="5643" width="17.84375" style="115" bestFit="1" customWidth="1"/>
    <col min="5644" max="5888" width="8.84375" style="115"/>
    <col min="5889" max="5889" width="7.07421875" style="115" customWidth="1"/>
    <col min="5890" max="5890" width="2.3046875" style="115" customWidth="1"/>
    <col min="5891" max="5891" width="6.3046875" style="115" customWidth="1"/>
    <col min="5892" max="5892" width="33.4609375" style="115" customWidth="1"/>
    <col min="5893" max="5893" width="18" style="115" customWidth="1"/>
    <col min="5894" max="5894" width="27.69140625" style="115" customWidth="1"/>
    <col min="5895" max="5895" width="28.84375" style="115" bestFit="1" customWidth="1"/>
    <col min="5896" max="5896" width="3" style="115" customWidth="1"/>
    <col min="5897" max="5897" width="23.4609375" style="115" customWidth="1"/>
    <col min="5898" max="5898" width="8.84375" style="115"/>
    <col min="5899" max="5899" width="17.84375" style="115" bestFit="1" customWidth="1"/>
    <col min="5900" max="6144" width="8.84375" style="115"/>
    <col min="6145" max="6145" width="7.07421875" style="115" customWidth="1"/>
    <col min="6146" max="6146" width="2.3046875" style="115" customWidth="1"/>
    <col min="6147" max="6147" width="6.3046875" style="115" customWidth="1"/>
    <col min="6148" max="6148" width="33.4609375" style="115" customWidth="1"/>
    <col min="6149" max="6149" width="18" style="115" customWidth="1"/>
    <col min="6150" max="6150" width="27.69140625" style="115" customWidth="1"/>
    <col min="6151" max="6151" width="28.84375" style="115" bestFit="1" customWidth="1"/>
    <col min="6152" max="6152" width="3" style="115" customWidth="1"/>
    <col min="6153" max="6153" width="23.4609375" style="115" customWidth="1"/>
    <col min="6154" max="6154" width="8.84375" style="115"/>
    <col min="6155" max="6155" width="17.84375" style="115" bestFit="1" customWidth="1"/>
    <col min="6156" max="6400" width="8.84375" style="115"/>
    <col min="6401" max="6401" width="7.07421875" style="115" customWidth="1"/>
    <col min="6402" max="6402" width="2.3046875" style="115" customWidth="1"/>
    <col min="6403" max="6403" width="6.3046875" style="115" customWidth="1"/>
    <col min="6404" max="6404" width="33.4609375" style="115" customWidth="1"/>
    <col min="6405" max="6405" width="18" style="115" customWidth="1"/>
    <col min="6406" max="6406" width="27.69140625" style="115" customWidth="1"/>
    <col min="6407" max="6407" width="28.84375" style="115" bestFit="1" customWidth="1"/>
    <col min="6408" max="6408" width="3" style="115" customWidth="1"/>
    <col min="6409" max="6409" width="23.4609375" style="115" customWidth="1"/>
    <col min="6410" max="6410" width="8.84375" style="115"/>
    <col min="6411" max="6411" width="17.84375" style="115" bestFit="1" customWidth="1"/>
    <col min="6412" max="6656" width="8.84375" style="115"/>
    <col min="6657" max="6657" width="7.07421875" style="115" customWidth="1"/>
    <col min="6658" max="6658" width="2.3046875" style="115" customWidth="1"/>
    <col min="6659" max="6659" width="6.3046875" style="115" customWidth="1"/>
    <col min="6660" max="6660" width="33.4609375" style="115" customWidth="1"/>
    <col min="6661" max="6661" width="18" style="115" customWidth="1"/>
    <col min="6662" max="6662" width="27.69140625" style="115" customWidth="1"/>
    <col min="6663" max="6663" width="28.84375" style="115" bestFit="1" customWidth="1"/>
    <col min="6664" max="6664" width="3" style="115" customWidth="1"/>
    <col min="6665" max="6665" width="23.4609375" style="115" customWidth="1"/>
    <col min="6666" max="6666" width="8.84375" style="115"/>
    <col min="6667" max="6667" width="17.84375" style="115" bestFit="1" customWidth="1"/>
    <col min="6668" max="6912" width="8.84375" style="115"/>
    <col min="6913" max="6913" width="7.07421875" style="115" customWidth="1"/>
    <col min="6914" max="6914" width="2.3046875" style="115" customWidth="1"/>
    <col min="6915" max="6915" width="6.3046875" style="115" customWidth="1"/>
    <col min="6916" max="6916" width="33.4609375" style="115" customWidth="1"/>
    <col min="6917" max="6917" width="18" style="115" customWidth="1"/>
    <col min="6918" max="6918" width="27.69140625" style="115" customWidth="1"/>
    <col min="6919" max="6919" width="28.84375" style="115" bestFit="1" customWidth="1"/>
    <col min="6920" max="6920" width="3" style="115" customWidth="1"/>
    <col min="6921" max="6921" width="23.4609375" style="115" customWidth="1"/>
    <col min="6922" max="6922" width="8.84375" style="115"/>
    <col min="6923" max="6923" width="17.84375" style="115" bestFit="1" customWidth="1"/>
    <col min="6924" max="7168" width="8.84375" style="115"/>
    <col min="7169" max="7169" width="7.07421875" style="115" customWidth="1"/>
    <col min="7170" max="7170" width="2.3046875" style="115" customWidth="1"/>
    <col min="7171" max="7171" width="6.3046875" style="115" customWidth="1"/>
    <col min="7172" max="7172" width="33.4609375" style="115" customWidth="1"/>
    <col min="7173" max="7173" width="18" style="115" customWidth="1"/>
    <col min="7174" max="7174" width="27.69140625" style="115" customWidth="1"/>
    <col min="7175" max="7175" width="28.84375" style="115" bestFit="1" customWidth="1"/>
    <col min="7176" max="7176" width="3" style="115" customWidth="1"/>
    <col min="7177" max="7177" width="23.4609375" style="115" customWidth="1"/>
    <col min="7178" max="7178" width="8.84375" style="115"/>
    <col min="7179" max="7179" width="17.84375" style="115" bestFit="1" customWidth="1"/>
    <col min="7180" max="7424" width="8.84375" style="115"/>
    <col min="7425" max="7425" width="7.07421875" style="115" customWidth="1"/>
    <col min="7426" max="7426" width="2.3046875" style="115" customWidth="1"/>
    <col min="7427" max="7427" width="6.3046875" style="115" customWidth="1"/>
    <col min="7428" max="7428" width="33.4609375" style="115" customWidth="1"/>
    <col min="7429" max="7429" width="18" style="115" customWidth="1"/>
    <col min="7430" max="7430" width="27.69140625" style="115" customWidth="1"/>
    <col min="7431" max="7431" width="28.84375" style="115" bestFit="1" customWidth="1"/>
    <col min="7432" max="7432" width="3" style="115" customWidth="1"/>
    <col min="7433" max="7433" width="23.4609375" style="115" customWidth="1"/>
    <col min="7434" max="7434" width="8.84375" style="115"/>
    <col min="7435" max="7435" width="17.84375" style="115" bestFit="1" customWidth="1"/>
    <col min="7436" max="7680" width="8.84375" style="115"/>
    <col min="7681" max="7681" width="7.07421875" style="115" customWidth="1"/>
    <col min="7682" max="7682" width="2.3046875" style="115" customWidth="1"/>
    <col min="7683" max="7683" width="6.3046875" style="115" customWidth="1"/>
    <col min="7684" max="7684" width="33.4609375" style="115" customWidth="1"/>
    <col min="7685" max="7685" width="18" style="115" customWidth="1"/>
    <col min="7686" max="7686" width="27.69140625" style="115" customWidth="1"/>
    <col min="7687" max="7687" width="28.84375" style="115" bestFit="1" customWidth="1"/>
    <col min="7688" max="7688" width="3" style="115" customWidth="1"/>
    <col min="7689" max="7689" width="23.4609375" style="115" customWidth="1"/>
    <col min="7690" max="7690" width="8.84375" style="115"/>
    <col min="7691" max="7691" width="17.84375" style="115" bestFit="1" customWidth="1"/>
    <col min="7692" max="7936" width="8.84375" style="115"/>
    <col min="7937" max="7937" width="7.07421875" style="115" customWidth="1"/>
    <col min="7938" max="7938" width="2.3046875" style="115" customWidth="1"/>
    <col min="7939" max="7939" width="6.3046875" style="115" customWidth="1"/>
    <col min="7940" max="7940" width="33.4609375" style="115" customWidth="1"/>
    <col min="7941" max="7941" width="18" style="115" customWidth="1"/>
    <col min="7942" max="7942" width="27.69140625" style="115" customWidth="1"/>
    <col min="7943" max="7943" width="28.84375" style="115" bestFit="1" customWidth="1"/>
    <col min="7944" max="7944" width="3" style="115" customWidth="1"/>
    <col min="7945" max="7945" width="23.4609375" style="115" customWidth="1"/>
    <col min="7946" max="7946" width="8.84375" style="115"/>
    <col min="7947" max="7947" width="17.84375" style="115" bestFit="1" customWidth="1"/>
    <col min="7948" max="8192" width="8.84375" style="115"/>
    <col min="8193" max="8193" width="7.07421875" style="115" customWidth="1"/>
    <col min="8194" max="8194" width="2.3046875" style="115" customWidth="1"/>
    <col min="8195" max="8195" width="6.3046875" style="115" customWidth="1"/>
    <col min="8196" max="8196" width="33.4609375" style="115" customWidth="1"/>
    <col min="8197" max="8197" width="18" style="115" customWidth="1"/>
    <col min="8198" max="8198" width="27.69140625" style="115" customWidth="1"/>
    <col min="8199" max="8199" width="28.84375" style="115" bestFit="1" customWidth="1"/>
    <col min="8200" max="8200" width="3" style="115" customWidth="1"/>
    <col min="8201" max="8201" width="23.4609375" style="115" customWidth="1"/>
    <col min="8202" max="8202" width="8.84375" style="115"/>
    <col min="8203" max="8203" width="17.84375" style="115" bestFit="1" customWidth="1"/>
    <col min="8204" max="8448" width="8.84375" style="115"/>
    <col min="8449" max="8449" width="7.07421875" style="115" customWidth="1"/>
    <col min="8450" max="8450" width="2.3046875" style="115" customWidth="1"/>
    <col min="8451" max="8451" width="6.3046875" style="115" customWidth="1"/>
    <col min="8452" max="8452" width="33.4609375" style="115" customWidth="1"/>
    <col min="8453" max="8453" width="18" style="115" customWidth="1"/>
    <col min="8454" max="8454" width="27.69140625" style="115" customWidth="1"/>
    <col min="8455" max="8455" width="28.84375" style="115" bestFit="1" customWidth="1"/>
    <col min="8456" max="8456" width="3" style="115" customWidth="1"/>
    <col min="8457" max="8457" width="23.4609375" style="115" customWidth="1"/>
    <col min="8458" max="8458" width="8.84375" style="115"/>
    <col min="8459" max="8459" width="17.84375" style="115" bestFit="1" customWidth="1"/>
    <col min="8460" max="8704" width="8.84375" style="115"/>
    <col min="8705" max="8705" width="7.07421875" style="115" customWidth="1"/>
    <col min="8706" max="8706" width="2.3046875" style="115" customWidth="1"/>
    <col min="8707" max="8707" width="6.3046875" style="115" customWidth="1"/>
    <col min="8708" max="8708" width="33.4609375" style="115" customWidth="1"/>
    <col min="8709" max="8709" width="18" style="115" customWidth="1"/>
    <col min="8710" max="8710" width="27.69140625" style="115" customWidth="1"/>
    <col min="8711" max="8711" width="28.84375" style="115" bestFit="1" customWidth="1"/>
    <col min="8712" max="8712" width="3" style="115" customWidth="1"/>
    <col min="8713" max="8713" width="23.4609375" style="115" customWidth="1"/>
    <col min="8714" max="8714" width="8.84375" style="115"/>
    <col min="8715" max="8715" width="17.84375" style="115" bestFit="1" customWidth="1"/>
    <col min="8716" max="8960" width="8.84375" style="115"/>
    <col min="8961" max="8961" width="7.07421875" style="115" customWidth="1"/>
    <col min="8962" max="8962" width="2.3046875" style="115" customWidth="1"/>
    <col min="8963" max="8963" width="6.3046875" style="115" customWidth="1"/>
    <col min="8964" max="8964" width="33.4609375" style="115" customWidth="1"/>
    <col min="8965" max="8965" width="18" style="115" customWidth="1"/>
    <col min="8966" max="8966" width="27.69140625" style="115" customWidth="1"/>
    <col min="8967" max="8967" width="28.84375" style="115" bestFit="1" customWidth="1"/>
    <col min="8968" max="8968" width="3" style="115" customWidth="1"/>
    <col min="8969" max="8969" width="23.4609375" style="115" customWidth="1"/>
    <col min="8970" max="8970" width="8.84375" style="115"/>
    <col min="8971" max="8971" width="17.84375" style="115" bestFit="1" customWidth="1"/>
    <col min="8972" max="9216" width="8.84375" style="115"/>
    <col min="9217" max="9217" width="7.07421875" style="115" customWidth="1"/>
    <col min="9218" max="9218" width="2.3046875" style="115" customWidth="1"/>
    <col min="9219" max="9219" width="6.3046875" style="115" customWidth="1"/>
    <col min="9220" max="9220" width="33.4609375" style="115" customWidth="1"/>
    <col min="9221" max="9221" width="18" style="115" customWidth="1"/>
    <col min="9222" max="9222" width="27.69140625" style="115" customWidth="1"/>
    <col min="9223" max="9223" width="28.84375" style="115" bestFit="1" customWidth="1"/>
    <col min="9224" max="9224" width="3" style="115" customWidth="1"/>
    <col min="9225" max="9225" width="23.4609375" style="115" customWidth="1"/>
    <col min="9226" max="9226" width="8.84375" style="115"/>
    <col min="9227" max="9227" width="17.84375" style="115" bestFit="1" customWidth="1"/>
    <col min="9228" max="9472" width="8.84375" style="115"/>
    <col min="9473" max="9473" width="7.07421875" style="115" customWidth="1"/>
    <col min="9474" max="9474" width="2.3046875" style="115" customWidth="1"/>
    <col min="9475" max="9475" width="6.3046875" style="115" customWidth="1"/>
    <col min="9476" max="9476" width="33.4609375" style="115" customWidth="1"/>
    <col min="9477" max="9477" width="18" style="115" customWidth="1"/>
    <col min="9478" max="9478" width="27.69140625" style="115" customWidth="1"/>
    <col min="9479" max="9479" width="28.84375" style="115" bestFit="1" customWidth="1"/>
    <col min="9480" max="9480" width="3" style="115" customWidth="1"/>
    <col min="9481" max="9481" width="23.4609375" style="115" customWidth="1"/>
    <col min="9482" max="9482" width="8.84375" style="115"/>
    <col min="9483" max="9483" width="17.84375" style="115" bestFit="1" customWidth="1"/>
    <col min="9484" max="9728" width="8.84375" style="115"/>
    <col min="9729" max="9729" width="7.07421875" style="115" customWidth="1"/>
    <col min="9730" max="9730" width="2.3046875" style="115" customWidth="1"/>
    <col min="9731" max="9731" width="6.3046875" style="115" customWidth="1"/>
    <col min="9732" max="9732" width="33.4609375" style="115" customWidth="1"/>
    <col min="9733" max="9733" width="18" style="115" customWidth="1"/>
    <col min="9734" max="9734" width="27.69140625" style="115" customWidth="1"/>
    <col min="9735" max="9735" width="28.84375" style="115" bestFit="1" customWidth="1"/>
    <col min="9736" max="9736" width="3" style="115" customWidth="1"/>
    <col min="9737" max="9737" width="23.4609375" style="115" customWidth="1"/>
    <col min="9738" max="9738" width="8.84375" style="115"/>
    <col min="9739" max="9739" width="17.84375" style="115" bestFit="1" customWidth="1"/>
    <col min="9740" max="9984" width="8.84375" style="115"/>
    <col min="9985" max="9985" width="7.07421875" style="115" customWidth="1"/>
    <col min="9986" max="9986" width="2.3046875" style="115" customWidth="1"/>
    <col min="9987" max="9987" width="6.3046875" style="115" customWidth="1"/>
    <col min="9988" max="9988" width="33.4609375" style="115" customWidth="1"/>
    <col min="9989" max="9989" width="18" style="115" customWidth="1"/>
    <col min="9990" max="9990" width="27.69140625" style="115" customWidth="1"/>
    <col min="9991" max="9991" width="28.84375" style="115" bestFit="1" customWidth="1"/>
    <col min="9992" max="9992" width="3" style="115" customWidth="1"/>
    <col min="9993" max="9993" width="23.4609375" style="115" customWidth="1"/>
    <col min="9994" max="9994" width="8.84375" style="115"/>
    <col min="9995" max="9995" width="17.84375" style="115" bestFit="1" customWidth="1"/>
    <col min="9996" max="10240" width="8.84375" style="115"/>
    <col min="10241" max="10241" width="7.07421875" style="115" customWidth="1"/>
    <col min="10242" max="10242" width="2.3046875" style="115" customWidth="1"/>
    <col min="10243" max="10243" width="6.3046875" style="115" customWidth="1"/>
    <col min="10244" max="10244" width="33.4609375" style="115" customWidth="1"/>
    <col min="10245" max="10245" width="18" style="115" customWidth="1"/>
    <col min="10246" max="10246" width="27.69140625" style="115" customWidth="1"/>
    <col min="10247" max="10247" width="28.84375" style="115" bestFit="1" customWidth="1"/>
    <col min="10248" max="10248" width="3" style="115" customWidth="1"/>
    <col min="10249" max="10249" width="23.4609375" style="115" customWidth="1"/>
    <col min="10250" max="10250" width="8.84375" style="115"/>
    <col min="10251" max="10251" width="17.84375" style="115" bestFit="1" customWidth="1"/>
    <col min="10252" max="10496" width="8.84375" style="115"/>
    <col min="10497" max="10497" width="7.07421875" style="115" customWidth="1"/>
    <col min="10498" max="10498" width="2.3046875" style="115" customWidth="1"/>
    <col min="10499" max="10499" width="6.3046875" style="115" customWidth="1"/>
    <col min="10500" max="10500" width="33.4609375" style="115" customWidth="1"/>
    <col min="10501" max="10501" width="18" style="115" customWidth="1"/>
    <col min="10502" max="10502" width="27.69140625" style="115" customWidth="1"/>
    <col min="10503" max="10503" width="28.84375" style="115" bestFit="1" customWidth="1"/>
    <col min="10504" max="10504" width="3" style="115" customWidth="1"/>
    <col min="10505" max="10505" width="23.4609375" style="115" customWidth="1"/>
    <col min="10506" max="10506" width="8.84375" style="115"/>
    <col min="10507" max="10507" width="17.84375" style="115" bestFit="1" customWidth="1"/>
    <col min="10508" max="10752" width="8.84375" style="115"/>
    <col min="10753" max="10753" width="7.07421875" style="115" customWidth="1"/>
    <col min="10754" max="10754" width="2.3046875" style="115" customWidth="1"/>
    <col min="10755" max="10755" width="6.3046875" style="115" customWidth="1"/>
    <col min="10756" max="10756" width="33.4609375" style="115" customWidth="1"/>
    <col min="10757" max="10757" width="18" style="115" customWidth="1"/>
    <col min="10758" max="10758" width="27.69140625" style="115" customWidth="1"/>
    <col min="10759" max="10759" width="28.84375" style="115" bestFit="1" customWidth="1"/>
    <col min="10760" max="10760" width="3" style="115" customWidth="1"/>
    <col min="10761" max="10761" width="23.4609375" style="115" customWidth="1"/>
    <col min="10762" max="10762" width="8.84375" style="115"/>
    <col min="10763" max="10763" width="17.84375" style="115" bestFit="1" customWidth="1"/>
    <col min="10764" max="11008" width="8.84375" style="115"/>
    <col min="11009" max="11009" width="7.07421875" style="115" customWidth="1"/>
    <col min="11010" max="11010" width="2.3046875" style="115" customWidth="1"/>
    <col min="11011" max="11011" width="6.3046875" style="115" customWidth="1"/>
    <col min="11012" max="11012" width="33.4609375" style="115" customWidth="1"/>
    <col min="11013" max="11013" width="18" style="115" customWidth="1"/>
    <col min="11014" max="11014" width="27.69140625" style="115" customWidth="1"/>
    <col min="11015" max="11015" width="28.84375" style="115" bestFit="1" customWidth="1"/>
    <col min="11016" max="11016" width="3" style="115" customWidth="1"/>
    <col min="11017" max="11017" width="23.4609375" style="115" customWidth="1"/>
    <col min="11018" max="11018" width="8.84375" style="115"/>
    <col min="11019" max="11019" width="17.84375" style="115" bestFit="1" customWidth="1"/>
    <col min="11020" max="11264" width="8.84375" style="115"/>
    <col min="11265" max="11265" width="7.07421875" style="115" customWidth="1"/>
    <col min="11266" max="11266" width="2.3046875" style="115" customWidth="1"/>
    <col min="11267" max="11267" width="6.3046875" style="115" customWidth="1"/>
    <col min="11268" max="11268" width="33.4609375" style="115" customWidth="1"/>
    <col min="11269" max="11269" width="18" style="115" customWidth="1"/>
    <col min="11270" max="11270" width="27.69140625" style="115" customWidth="1"/>
    <col min="11271" max="11271" width="28.84375" style="115" bestFit="1" customWidth="1"/>
    <col min="11272" max="11272" width="3" style="115" customWidth="1"/>
    <col min="11273" max="11273" width="23.4609375" style="115" customWidth="1"/>
    <col min="11274" max="11274" width="8.84375" style="115"/>
    <col min="11275" max="11275" width="17.84375" style="115" bestFit="1" customWidth="1"/>
    <col min="11276" max="11520" width="8.84375" style="115"/>
    <col min="11521" max="11521" width="7.07421875" style="115" customWidth="1"/>
    <col min="11522" max="11522" width="2.3046875" style="115" customWidth="1"/>
    <col min="11523" max="11523" width="6.3046875" style="115" customWidth="1"/>
    <col min="11524" max="11524" width="33.4609375" style="115" customWidth="1"/>
    <col min="11525" max="11525" width="18" style="115" customWidth="1"/>
    <col min="11526" max="11526" width="27.69140625" style="115" customWidth="1"/>
    <col min="11527" max="11527" width="28.84375" style="115" bestFit="1" customWidth="1"/>
    <col min="11528" max="11528" width="3" style="115" customWidth="1"/>
    <col min="11529" max="11529" width="23.4609375" style="115" customWidth="1"/>
    <col min="11530" max="11530" width="8.84375" style="115"/>
    <col min="11531" max="11531" width="17.84375" style="115" bestFit="1" customWidth="1"/>
    <col min="11532" max="11776" width="8.84375" style="115"/>
    <col min="11777" max="11777" width="7.07421875" style="115" customWidth="1"/>
    <col min="11778" max="11778" width="2.3046875" style="115" customWidth="1"/>
    <col min="11779" max="11779" width="6.3046875" style="115" customWidth="1"/>
    <col min="11780" max="11780" width="33.4609375" style="115" customWidth="1"/>
    <col min="11781" max="11781" width="18" style="115" customWidth="1"/>
    <col min="11782" max="11782" width="27.69140625" style="115" customWidth="1"/>
    <col min="11783" max="11783" width="28.84375" style="115" bestFit="1" customWidth="1"/>
    <col min="11784" max="11784" width="3" style="115" customWidth="1"/>
    <col min="11785" max="11785" width="23.4609375" style="115" customWidth="1"/>
    <col min="11786" max="11786" width="8.84375" style="115"/>
    <col min="11787" max="11787" width="17.84375" style="115" bestFit="1" customWidth="1"/>
    <col min="11788" max="12032" width="8.84375" style="115"/>
    <col min="12033" max="12033" width="7.07421875" style="115" customWidth="1"/>
    <col min="12034" max="12034" width="2.3046875" style="115" customWidth="1"/>
    <col min="12035" max="12035" width="6.3046875" style="115" customWidth="1"/>
    <col min="12036" max="12036" width="33.4609375" style="115" customWidth="1"/>
    <col min="12037" max="12037" width="18" style="115" customWidth="1"/>
    <col min="12038" max="12038" width="27.69140625" style="115" customWidth="1"/>
    <col min="12039" max="12039" width="28.84375" style="115" bestFit="1" customWidth="1"/>
    <col min="12040" max="12040" width="3" style="115" customWidth="1"/>
    <col min="12041" max="12041" width="23.4609375" style="115" customWidth="1"/>
    <col min="12042" max="12042" width="8.84375" style="115"/>
    <col min="12043" max="12043" width="17.84375" style="115" bestFit="1" customWidth="1"/>
    <col min="12044" max="12288" width="8.84375" style="115"/>
    <col min="12289" max="12289" width="7.07421875" style="115" customWidth="1"/>
    <col min="12290" max="12290" width="2.3046875" style="115" customWidth="1"/>
    <col min="12291" max="12291" width="6.3046875" style="115" customWidth="1"/>
    <col min="12292" max="12292" width="33.4609375" style="115" customWidth="1"/>
    <col min="12293" max="12293" width="18" style="115" customWidth="1"/>
    <col min="12294" max="12294" width="27.69140625" style="115" customWidth="1"/>
    <col min="12295" max="12295" width="28.84375" style="115" bestFit="1" customWidth="1"/>
    <col min="12296" max="12296" width="3" style="115" customWidth="1"/>
    <col min="12297" max="12297" width="23.4609375" style="115" customWidth="1"/>
    <col min="12298" max="12298" width="8.84375" style="115"/>
    <col min="12299" max="12299" width="17.84375" style="115" bestFit="1" customWidth="1"/>
    <col min="12300" max="12544" width="8.84375" style="115"/>
    <col min="12545" max="12545" width="7.07421875" style="115" customWidth="1"/>
    <col min="12546" max="12546" width="2.3046875" style="115" customWidth="1"/>
    <col min="12547" max="12547" width="6.3046875" style="115" customWidth="1"/>
    <col min="12548" max="12548" width="33.4609375" style="115" customWidth="1"/>
    <col min="12549" max="12549" width="18" style="115" customWidth="1"/>
    <col min="12550" max="12550" width="27.69140625" style="115" customWidth="1"/>
    <col min="12551" max="12551" width="28.84375" style="115" bestFit="1" customWidth="1"/>
    <col min="12552" max="12552" width="3" style="115" customWidth="1"/>
    <col min="12553" max="12553" width="23.4609375" style="115" customWidth="1"/>
    <col min="12554" max="12554" width="8.84375" style="115"/>
    <col min="12555" max="12555" width="17.84375" style="115" bestFit="1" customWidth="1"/>
    <col min="12556" max="12800" width="8.84375" style="115"/>
    <col min="12801" max="12801" width="7.07421875" style="115" customWidth="1"/>
    <col min="12802" max="12802" width="2.3046875" style="115" customWidth="1"/>
    <col min="12803" max="12803" width="6.3046875" style="115" customWidth="1"/>
    <col min="12804" max="12804" width="33.4609375" style="115" customWidth="1"/>
    <col min="12805" max="12805" width="18" style="115" customWidth="1"/>
    <col min="12806" max="12806" width="27.69140625" style="115" customWidth="1"/>
    <col min="12807" max="12807" width="28.84375" style="115" bestFit="1" customWidth="1"/>
    <col min="12808" max="12808" width="3" style="115" customWidth="1"/>
    <col min="12809" max="12809" width="23.4609375" style="115" customWidth="1"/>
    <col min="12810" max="12810" width="8.84375" style="115"/>
    <col min="12811" max="12811" width="17.84375" style="115" bestFit="1" customWidth="1"/>
    <col min="12812" max="13056" width="8.84375" style="115"/>
    <col min="13057" max="13057" width="7.07421875" style="115" customWidth="1"/>
    <col min="13058" max="13058" width="2.3046875" style="115" customWidth="1"/>
    <col min="13059" max="13059" width="6.3046875" style="115" customWidth="1"/>
    <col min="13060" max="13060" width="33.4609375" style="115" customWidth="1"/>
    <col min="13061" max="13061" width="18" style="115" customWidth="1"/>
    <col min="13062" max="13062" width="27.69140625" style="115" customWidth="1"/>
    <col min="13063" max="13063" width="28.84375" style="115" bestFit="1" customWidth="1"/>
    <col min="13064" max="13064" width="3" style="115" customWidth="1"/>
    <col min="13065" max="13065" width="23.4609375" style="115" customWidth="1"/>
    <col min="13066" max="13066" width="8.84375" style="115"/>
    <col min="13067" max="13067" width="17.84375" style="115" bestFit="1" customWidth="1"/>
    <col min="13068" max="13312" width="8.84375" style="115"/>
    <col min="13313" max="13313" width="7.07421875" style="115" customWidth="1"/>
    <col min="13314" max="13314" width="2.3046875" style="115" customWidth="1"/>
    <col min="13315" max="13315" width="6.3046875" style="115" customWidth="1"/>
    <col min="13316" max="13316" width="33.4609375" style="115" customWidth="1"/>
    <col min="13317" max="13317" width="18" style="115" customWidth="1"/>
    <col min="13318" max="13318" width="27.69140625" style="115" customWidth="1"/>
    <col min="13319" max="13319" width="28.84375" style="115" bestFit="1" customWidth="1"/>
    <col min="13320" max="13320" width="3" style="115" customWidth="1"/>
    <col min="13321" max="13321" width="23.4609375" style="115" customWidth="1"/>
    <col min="13322" max="13322" width="8.84375" style="115"/>
    <col min="13323" max="13323" width="17.84375" style="115" bestFit="1" customWidth="1"/>
    <col min="13324" max="13568" width="8.84375" style="115"/>
    <col min="13569" max="13569" width="7.07421875" style="115" customWidth="1"/>
    <col min="13570" max="13570" width="2.3046875" style="115" customWidth="1"/>
    <col min="13571" max="13571" width="6.3046875" style="115" customWidth="1"/>
    <col min="13572" max="13572" width="33.4609375" style="115" customWidth="1"/>
    <col min="13573" max="13573" width="18" style="115" customWidth="1"/>
    <col min="13574" max="13574" width="27.69140625" style="115" customWidth="1"/>
    <col min="13575" max="13575" width="28.84375" style="115" bestFit="1" customWidth="1"/>
    <col min="13576" max="13576" width="3" style="115" customWidth="1"/>
    <col min="13577" max="13577" width="23.4609375" style="115" customWidth="1"/>
    <col min="13578" max="13578" width="8.84375" style="115"/>
    <col min="13579" max="13579" width="17.84375" style="115" bestFit="1" customWidth="1"/>
    <col min="13580" max="13824" width="8.84375" style="115"/>
    <col min="13825" max="13825" width="7.07421875" style="115" customWidth="1"/>
    <col min="13826" max="13826" width="2.3046875" style="115" customWidth="1"/>
    <col min="13827" max="13827" width="6.3046875" style="115" customWidth="1"/>
    <col min="13828" max="13828" width="33.4609375" style="115" customWidth="1"/>
    <col min="13829" max="13829" width="18" style="115" customWidth="1"/>
    <col min="13830" max="13830" width="27.69140625" style="115" customWidth="1"/>
    <col min="13831" max="13831" width="28.84375" style="115" bestFit="1" customWidth="1"/>
    <col min="13832" max="13832" width="3" style="115" customWidth="1"/>
    <col min="13833" max="13833" width="23.4609375" style="115" customWidth="1"/>
    <col min="13834" max="13834" width="8.84375" style="115"/>
    <col min="13835" max="13835" width="17.84375" style="115" bestFit="1" customWidth="1"/>
    <col min="13836" max="14080" width="8.84375" style="115"/>
    <col min="14081" max="14081" width="7.07421875" style="115" customWidth="1"/>
    <col min="14082" max="14082" width="2.3046875" style="115" customWidth="1"/>
    <col min="14083" max="14083" width="6.3046875" style="115" customWidth="1"/>
    <col min="14084" max="14084" width="33.4609375" style="115" customWidth="1"/>
    <col min="14085" max="14085" width="18" style="115" customWidth="1"/>
    <col min="14086" max="14086" width="27.69140625" style="115" customWidth="1"/>
    <col min="14087" max="14087" width="28.84375" style="115" bestFit="1" customWidth="1"/>
    <col min="14088" max="14088" width="3" style="115" customWidth="1"/>
    <col min="14089" max="14089" width="23.4609375" style="115" customWidth="1"/>
    <col min="14090" max="14090" width="8.84375" style="115"/>
    <col min="14091" max="14091" width="17.84375" style="115" bestFit="1" customWidth="1"/>
    <col min="14092" max="14336" width="8.84375" style="115"/>
    <col min="14337" max="14337" width="7.07421875" style="115" customWidth="1"/>
    <col min="14338" max="14338" width="2.3046875" style="115" customWidth="1"/>
    <col min="14339" max="14339" width="6.3046875" style="115" customWidth="1"/>
    <col min="14340" max="14340" width="33.4609375" style="115" customWidth="1"/>
    <col min="14341" max="14341" width="18" style="115" customWidth="1"/>
    <col min="14342" max="14342" width="27.69140625" style="115" customWidth="1"/>
    <col min="14343" max="14343" width="28.84375" style="115" bestFit="1" customWidth="1"/>
    <col min="14344" max="14344" width="3" style="115" customWidth="1"/>
    <col min="14345" max="14345" width="23.4609375" style="115" customWidth="1"/>
    <col min="14346" max="14346" width="8.84375" style="115"/>
    <col min="14347" max="14347" width="17.84375" style="115" bestFit="1" customWidth="1"/>
    <col min="14348" max="14592" width="8.84375" style="115"/>
    <col min="14593" max="14593" width="7.07421875" style="115" customWidth="1"/>
    <col min="14594" max="14594" width="2.3046875" style="115" customWidth="1"/>
    <col min="14595" max="14595" width="6.3046875" style="115" customWidth="1"/>
    <col min="14596" max="14596" width="33.4609375" style="115" customWidth="1"/>
    <col min="14597" max="14597" width="18" style="115" customWidth="1"/>
    <col min="14598" max="14598" width="27.69140625" style="115" customWidth="1"/>
    <col min="14599" max="14599" width="28.84375" style="115" bestFit="1" customWidth="1"/>
    <col min="14600" max="14600" width="3" style="115" customWidth="1"/>
    <col min="14601" max="14601" width="23.4609375" style="115" customWidth="1"/>
    <col min="14602" max="14602" width="8.84375" style="115"/>
    <col min="14603" max="14603" width="17.84375" style="115" bestFit="1" customWidth="1"/>
    <col min="14604" max="14848" width="8.84375" style="115"/>
    <col min="14849" max="14849" width="7.07421875" style="115" customWidth="1"/>
    <col min="14850" max="14850" width="2.3046875" style="115" customWidth="1"/>
    <col min="14851" max="14851" width="6.3046875" style="115" customWidth="1"/>
    <col min="14852" max="14852" width="33.4609375" style="115" customWidth="1"/>
    <col min="14853" max="14853" width="18" style="115" customWidth="1"/>
    <col min="14854" max="14854" width="27.69140625" style="115" customWidth="1"/>
    <col min="14855" max="14855" width="28.84375" style="115" bestFit="1" customWidth="1"/>
    <col min="14856" max="14856" width="3" style="115" customWidth="1"/>
    <col min="14857" max="14857" width="23.4609375" style="115" customWidth="1"/>
    <col min="14858" max="14858" width="8.84375" style="115"/>
    <col min="14859" max="14859" width="17.84375" style="115" bestFit="1" customWidth="1"/>
    <col min="14860" max="15104" width="8.84375" style="115"/>
    <col min="15105" max="15105" width="7.07421875" style="115" customWidth="1"/>
    <col min="15106" max="15106" width="2.3046875" style="115" customWidth="1"/>
    <col min="15107" max="15107" width="6.3046875" style="115" customWidth="1"/>
    <col min="15108" max="15108" width="33.4609375" style="115" customWidth="1"/>
    <col min="15109" max="15109" width="18" style="115" customWidth="1"/>
    <col min="15110" max="15110" width="27.69140625" style="115" customWidth="1"/>
    <col min="15111" max="15111" width="28.84375" style="115" bestFit="1" customWidth="1"/>
    <col min="15112" max="15112" width="3" style="115" customWidth="1"/>
    <col min="15113" max="15113" width="23.4609375" style="115" customWidth="1"/>
    <col min="15114" max="15114" width="8.84375" style="115"/>
    <col min="15115" max="15115" width="17.84375" style="115" bestFit="1" customWidth="1"/>
    <col min="15116" max="15360" width="8.84375" style="115"/>
    <col min="15361" max="15361" width="7.07421875" style="115" customWidth="1"/>
    <col min="15362" max="15362" width="2.3046875" style="115" customWidth="1"/>
    <col min="15363" max="15363" width="6.3046875" style="115" customWidth="1"/>
    <col min="15364" max="15364" width="33.4609375" style="115" customWidth="1"/>
    <col min="15365" max="15365" width="18" style="115" customWidth="1"/>
    <col min="15366" max="15366" width="27.69140625" style="115" customWidth="1"/>
    <col min="15367" max="15367" width="28.84375" style="115" bestFit="1" customWidth="1"/>
    <col min="15368" max="15368" width="3" style="115" customWidth="1"/>
    <col min="15369" max="15369" width="23.4609375" style="115" customWidth="1"/>
    <col min="15370" max="15370" width="8.84375" style="115"/>
    <col min="15371" max="15371" width="17.84375" style="115" bestFit="1" customWidth="1"/>
    <col min="15372" max="15616" width="8.84375" style="115"/>
    <col min="15617" max="15617" width="7.07421875" style="115" customWidth="1"/>
    <col min="15618" max="15618" width="2.3046875" style="115" customWidth="1"/>
    <col min="15619" max="15619" width="6.3046875" style="115" customWidth="1"/>
    <col min="15620" max="15620" width="33.4609375" style="115" customWidth="1"/>
    <col min="15621" max="15621" width="18" style="115" customWidth="1"/>
    <col min="15622" max="15622" width="27.69140625" style="115" customWidth="1"/>
    <col min="15623" max="15623" width="28.84375" style="115" bestFit="1" customWidth="1"/>
    <col min="15624" max="15624" width="3" style="115" customWidth="1"/>
    <col min="15625" max="15625" width="23.4609375" style="115" customWidth="1"/>
    <col min="15626" max="15626" width="8.84375" style="115"/>
    <col min="15627" max="15627" width="17.84375" style="115" bestFit="1" customWidth="1"/>
    <col min="15628" max="15872" width="8.84375" style="115"/>
    <col min="15873" max="15873" width="7.07421875" style="115" customWidth="1"/>
    <col min="15874" max="15874" width="2.3046875" style="115" customWidth="1"/>
    <col min="15875" max="15875" width="6.3046875" style="115" customWidth="1"/>
    <col min="15876" max="15876" width="33.4609375" style="115" customWidth="1"/>
    <col min="15877" max="15877" width="18" style="115" customWidth="1"/>
    <col min="15878" max="15878" width="27.69140625" style="115" customWidth="1"/>
    <col min="15879" max="15879" width="28.84375" style="115" bestFit="1" customWidth="1"/>
    <col min="15880" max="15880" width="3" style="115" customWidth="1"/>
    <col min="15881" max="15881" width="23.4609375" style="115" customWidth="1"/>
    <col min="15882" max="15882" width="8.84375" style="115"/>
    <col min="15883" max="15883" width="17.84375" style="115" bestFit="1" customWidth="1"/>
    <col min="15884" max="16128" width="8.84375" style="115"/>
    <col min="16129" max="16129" width="7.07421875" style="115" customWidth="1"/>
    <col min="16130" max="16130" width="2.3046875" style="115" customWidth="1"/>
    <col min="16131" max="16131" width="6.3046875" style="115" customWidth="1"/>
    <col min="16132" max="16132" width="33.4609375" style="115" customWidth="1"/>
    <col min="16133" max="16133" width="18" style="115" customWidth="1"/>
    <col min="16134" max="16134" width="27.69140625" style="115" customWidth="1"/>
    <col min="16135" max="16135" width="28.84375" style="115" bestFit="1" customWidth="1"/>
    <col min="16136" max="16136" width="3" style="115" customWidth="1"/>
    <col min="16137" max="16137" width="23.4609375" style="115" customWidth="1"/>
    <col min="16138" max="16138" width="8.84375" style="115"/>
    <col min="16139" max="16139" width="17.84375" style="115" bestFit="1" customWidth="1"/>
    <col min="16140" max="16384" width="8.84375" style="115"/>
  </cols>
  <sheetData>
    <row r="1" spans="1:12" ht="18">
      <c r="A1" s="1114"/>
      <c r="B1" s="1115"/>
      <c r="C1" s="1115"/>
      <c r="D1" s="1115"/>
      <c r="E1" s="1115"/>
      <c r="F1" s="1115"/>
      <c r="G1" s="1115"/>
      <c r="H1" s="1115"/>
      <c r="I1" s="1115"/>
      <c r="J1" s="1118" t="str">
        <f>'Attachment H-11A '!K1&amp;""&amp;", Attachment 2a"</f>
        <v>Attachment H -11A, Attachment 2a</v>
      </c>
      <c r="K1" s="1118"/>
      <c r="L1" s="1118"/>
    </row>
    <row r="2" spans="1:12" ht="18">
      <c r="A2" s="1116" t="s">
        <v>495</v>
      </c>
      <c r="B2" s="1116"/>
      <c r="C2" s="1116"/>
      <c r="D2" s="1116"/>
      <c r="E2" s="1116"/>
      <c r="F2" s="1116"/>
      <c r="G2" s="1116"/>
      <c r="H2" s="1116"/>
      <c r="I2" s="1116"/>
      <c r="J2" s="691"/>
      <c r="K2" s="1118" t="s">
        <v>168</v>
      </c>
      <c r="L2" s="1118"/>
    </row>
    <row r="3" spans="1:12" ht="18">
      <c r="A3" s="174"/>
      <c r="B3" s="174"/>
      <c r="C3" s="174"/>
      <c r="D3" s="174"/>
      <c r="E3" s="174"/>
      <c r="F3" s="174"/>
      <c r="G3" s="174"/>
      <c r="H3" s="174"/>
      <c r="I3" s="174"/>
      <c r="J3" s="1118" t="str">
        <f>'Attachment H-11A '!K4</f>
        <v>For the 12 months ended 12/31/2025</v>
      </c>
      <c r="K3" s="1118"/>
      <c r="L3" s="1118"/>
    </row>
    <row r="4" spans="1:12" s="117" customFormat="1" ht="15.5">
      <c r="A4" s="118"/>
      <c r="B4" s="118"/>
    </row>
    <row r="5" spans="1:12" s="117" customFormat="1" ht="15.5">
      <c r="A5" s="121" t="s">
        <v>278</v>
      </c>
      <c r="B5" s="122"/>
      <c r="C5" s="122"/>
      <c r="D5" s="122"/>
      <c r="E5" s="122"/>
      <c r="F5" s="122"/>
      <c r="G5" s="122"/>
      <c r="H5" s="122"/>
      <c r="I5" s="122"/>
    </row>
    <row r="6" spans="1:12" s="117" customFormat="1" ht="15.5">
      <c r="A6" s="123"/>
      <c r="G6" s="124" t="s">
        <v>951</v>
      </c>
    </row>
    <row r="7" spans="1:12" s="117" customFormat="1" ht="15.5">
      <c r="I7" s="125"/>
    </row>
    <row r="8" spans="1:12" s="117" customFormat="1" ht="15.5">
      <c r="A8" s="118">
        <v>1</v>
      </c>
      <c r="C8" s="126" t="s">
        <v>481</v>
      </c>
      <c r="D8" s="126"/>
      <c r="F8" s="126"/>
      <c r="G8" s="127" t="s">
        <v>885</v>
      </c>
      <c r="H8" s="126"/>
      <c r="I8" s="120">
        <f>'Attachment H-11A '!I85</f>
        <v>488698760.17435056</v>
      </c>
    </row>
    <row r="9" spans="1:12" s="117" customFormat="1" ht="15.5">
      <c r="G9" s="126"/>
      <c r="I9" s="125"/>
    </row>
    <row r="10" spans="1:12" s="117" customFormat="1" ht="15.5">
      <c r="A10" s="118"/>
      <c r="B10" s="126"/>
      <c r="C10" s="126"/>
      <c r="D10" s="126"/>
      <c r="F10" s="119"/>
      <c r="G10" s="126"/>
      <c r="H10" s="119"/>
      <c r="I10" s="119"/>
    </row>
    <row r="11" spans="1:12" s="117" customFormat="1" ht="15.5">
      <c r="A11" s="118">
        <f>A8+1</f>
        <v>2</v>
      </c>
      <c r="B11" s="126"/>
      <c r="C11" s="126" t="s">
        <v>482</v>
      </c>
      <c r="D11" s="128"/>
      <c r="F11" s="117" t="s">
        <v>483</v>
      </c>
      <c r="G11" s="127" t="s">
        <v>886</v>
      </c>
      <c r="H11" s="119"/>
      <c r="I11" s="119">
        <f>'Attachment H-11A '!I240</f>
        <v>0</v>
      </c>
    </row>
    <row r="12" spans="1:12" s="117" customFormat="1" ht="15.5">
      <c r="A12" s="118"/>
      <c r="B12" s="126"/>
      <c r="C12" s="126"/>
      <c r="D12" s="126"/>
      <c r="G12" s="127"/>
      <c r="H12" s="119"/>
      <c r="I12" s="119"/>
    </row>
    <row r="13" spans="1:12" s="117" customFormat="1" ht="15.5">
      <c r="A13" s="118"/>
      <c r="B13" s="126"/>
      <c r="C13" s="126" t="s">
        <v>88</v>
      </c>
      <c r="D13" s="129"/>
      <c r="G13" s="127"/>
      <c r="H13" s="119"/>
      <c r="I13" s="119"/>
    </row>
    <row r="14" spans="1:12" s="117" customFormat="1" ht="15.5">
      <c r="A14" s="118">
        <f>A11+1</f>
        <v>3</v>
      </c>
      <c r="B14" s="126"/>
      <c r="C14" s="126"/>
      <c r="D14" s="126" t="s">
        <v>484</v>
      </c>
      <c r="E14" s="119"/>
      <c r="F14" s="119"/>
      <c r="G14" s="127" t="s">
        <v>505</v>
      </c>
      <c r="H14" s="119"/>
      <c r="I14" s="119">
        <f>'Attachment 8 - Cap Structure'!E23</f>
        <v>1947228916.8496387</v>
      </c>
    </row>
    <row r="15" spans="1:12" s="117" customFormat="1" ht="15.5">
      <c r="A15" s="118">
        <f>A14+1</f>
        <v>4</v>
      </c>
      <c r="B15" s="126"/>
      <c r="C15" s="126"/>
      <c r="D15" s="126" t="s">
        <v>283</v>
      </c>
      <c r="E15" s="119"/>
      <c r="F15" s="119"/>
      <c r="G15" s="127" t="s">
        <v>932</v>
      </c>
      <c r="H15" s="119"/>
      <c r="I15" s="119">
        <f>'Attachment 8 - Cap Structure'!G23</f>
        <v>0</v>
      </c>
    </row>
    <row r="16" spans="1:12" s="117" customFormat="1" ht="15.5">
      <c r="A16" s="118">
        <f>A15+1</f>
        <v>5</v>
      </c>
      <c r="B16" s="126"/>
      <c r="C16" s="126"/>
      <c r="D16" s="126" t="s">
        <v>284</v>
      </c>
      <c r="E16" s="119"/>
      <c r="F16" s="119"/>
      <c r="G16" s="127" t="s">
        <v>506</v>
      </c>
      <c r="H16" s="119"/>
      <c r="I16" s="119">
        <f>'Attachment 8 - Cap Structure'!J23</f>
        <v>-116116.45463639637</v>
      </c>
    </row>
    <row r="17" spans="1:11" s="117" customFormat="1" ht="15.5">
      <c r="A17" s="118">
        <f>+A16+1</f>
        <v>6</v>
      </c>
      <c r="B17" s="126"/>
      <c r="C17" s="126"/>
      <c r="D17" s="126" t="s">
        <v>933</v>
      </c>
      <c r="E17" s="130"/>
      <c r="F17" s="130"/>
      <c r="G17" s="131" t="s">
        <v>934</v>
      </c>
      <c r="H17" s="130"/>
      <c r="I17" s="130">
        <f>'Attachment 8 - Cap Structure'!H23+'Attachment 8 - Cap Structure'!K23+'Attachment 8 - Cap Structure'!F23+'Attachment 8 - Cap Structure'!I23</f>
        <v>53564776.719690651</v>
      </c>
    </row>
    <row r="18" spans="1:11" s="117" customFormat="1" ht="15.5">
      <c r="A18" s="118">
        <f>A17+1</f>
        <v>7</v>
      </c>
      <c r="B18" s="126"/>
      <c r="C18" s="126"/>
      <c r="D18" s="126" t="s">
        <v>88</v>
      </c>
      <c r="E18" s="119"/>
      <c r="F18" s="119"/>
      <c r="G18" s="127" t="s">
        <v>935</v>
      </c>
      <c r="H18" s="119"/>
      <c r="I18" s="119">
        <f>'Attachment 8 - Cap Structure'!L23</f>
        <v>1893780256.5845842</v>
      </c>
    </row>
    <row r="19" spans="1:11" s="117" customFormat="1" ht="15.5">
      <c r="A19" s="118"/>
      <c r="B19" s="126"/>
      <c r="C19" s="126"/>
      <c r="D19" s="126"/>
      <c r="E19" s="119"/>
      <c r="F19" s="119"/>
      <c r="G19" s="127"/>
      <c r="H19" s="119"/>
      <c r="I19" s="119"/>
    </row>
    <row r="20" spans="1:11" s="117" customFormat="1" ht="15.5">
      <c r="A20" s="118"/>
      <c r="B20" s="126"/>
      <c r="C20" s="126"/>
      <c r="D20" s="126"/>
      <c r="E20" s="119"/>
      <c r="F20" s="119"/>
      <c r="G20" s="127"/>
      <c r="H20" s="119"/>
      <c r="I20" s="119"/>
    </row>
    <row r="21" spans="1:11" s="117" customFormat="1" ht="15.5">
      <c r="A21" s="118"/>
      <c r="B21" s="126"/>
      <c r="C21" s="126" t="s">
        <v>485</v>
      </c>
      <c r="D21" s="129"/>
      <c r="G21" s="127"/>
      <c r="I21" s="119"/>
    </row>
    <row r="22" spans="1:11" s="117" customFormat="1" ht="15.5">
      <c r="A22" s="118">
        <f>+A18+1</f>
        <v>8</v>
      </c>
      <c r="B22" s="126"/>
      <c r="C22" s="126"/>
      <c r="D22" s="126" t="s">
        <v>229</v>
      </c>
      <c r="G22" s="127" t="s">
        <v>887</v>
      </c>
      <c r="I22" s="119">
        <f>'Attachment H-11A '!D245</f>
        <v>1649999999.9999952</v>
      </c>
    </row>
    <row r="23" spans="1:11" s="117" customFormat="1" ht="15.5">
      <c r="A23" s="118">
        <f>A22+1</f>
        <v>9</v>
      </c>
      <c r="B23" s="126"/>
      <c r="C23" s="126"/>
      <c r="D23" s="126" t="s">
        <v>227</v>
      </c>
      <c r="G23" s="127" t="s">
        <v>888</v>
      </c>
      <c r="I23" s="119">
        <f>'Attachment H-11A '!D246</f>
        <v>0</v>
      </c>
    </row>
    <row r="24" spans="1:11" s="117" customFormat="1" ht="15.5">
      <c r="A24" s="118">
        <f t="shared" ref="A24:A25" si="0">A23+1</f>
        <v>10</v>
      </c>
      <c r="B24" s="126"/>
      <c r="C24" s="126"/>
      <c r="D24" s="126" t="s">
        <v>88</v>
      </c>
      <c r="G24" s="131" t="s">
        <v>889</v>
      </c>
      <c r="I24" s="119">
        <f>'Attachment H-11A '!D247</f>
        <v>1893780256.5845842</v>
      </c>
    </row>
    <row r="25" spans="1:11" s="117" customFormat="1" ht="15.5">
      <c r="A25" s="118">
        <f t="shared" si="0"/>
        <v>11</v>
      </c>
      <c r="B25" s="126"/>
      <c r="C25" s="126"/>
      <c r="D25" s="126" t="s">
        <v>952</v>
      </c>
      <c r="E25" s="132"/>
      <c r="F25" s="133"/>
      <c r="G25" s="127" t="s">
        <v>890</v>
      </c>
      <c r="H25" s="134"/>
      <c r="I25" s="134">
        <f>'Attachment H-11A '!D248</f>
        <v>3543780256.5845795</v>
      </c>
    </row>
    <row r="26" spans="1:11" s="117" customFormat="1" ht="15.5">
      <c r="A26" s="118"/>
      <c r="B26" s="126"/>
      <c r="C26" s="126"/>
      <c r="D26" s="126"/>
      <c r="G26" s="126"/>
      <c r="H26" s="119"/>
      <c r="I26" s="135"/>
    </row>
    <row r="27" spans="1:11" s="117" customFormat="1" ht="15.5">
      <c r="A27" s="118">
        <f>A25+1</f>
        <v>12</v>
      </c>
      <c r="B27" s="126"/>
      <c r="C27" s="126"/>
      <c r="D27" s="126" t="s">
        <v>486</v>
      </c>
      <c r="F27" s="126" t="s">
        <v>955</v>
      </c>
      <c r="G27" s="127" t="s">
        <v>891</v>
      </c>
      <c r="H27" s="119"/>
      <c r="I27" s="136">
        <f>'Attachment H-11A '!E245</f>
        <v>0.46560449027114065</v>
      </c>
    </row>
    <row r="28" spans="1:11" s="117" customFormat="1" ht="15.5">
      <c r="A28" s="118">
        <f>A27+1</f>
        <v>13</v>
      </c>
      <c r="B28" s="126"/>
      <c r="C28" s="126"/>
      <c r="D28" s="126" t="s">
        <v>487</v>
      </c>
      <c r="F28" s="126" t="s">
        <v>227</v>
      </c>
      <c r="G28" s="127" t="s">
        <v>892</v>
      </c>
      <c r="H28" s="119"/>
      <c r="I28" s="136">
        <f>'Attachment H-11A '!E246</f>
        <v>0</v>
      </c>
    </row>
    <row r="29" spans="1:11" s="117" customFormat="1" ht="15.5">
      <c r="A29" s="118">
        <f>A28+1</f>
        <v>14</v>
      </c>
      <c r="B29" s="126"/>
      <c r="C29" s="126"/>
      <c r="D29" s="126" t="s">
        <v>488</v>
      </c>
      <c r="F29" s="126" t="s">
        <v>88</v>
      </c>
      <c r="G29" s="127" t="s">
        <v>893</v>
      </c>
      <c r="H29" s="119"/>
      <c r="I29" s="136">
        <f>'Attachment H-11A '!E247</f>
        <v>0.5343955097288593</v>
      </c>
    </row>
    <row r="30" spans="1:11" s="117" customFormat="1" ht="15.5">
      <c r="A30" s="118"/>
      <c r="B30" s="126"/>
      <c r="C30" s="126"/>
      <c r="D30" s="126"/>
      <c r="F30" s="127"/>
      <c r="G30" s="126"/>
      <c r="H30" s="119"/>
      <c r="I30" s="135"/>
    </row>
    <row r="31" spans="1:11" s="117" customFormat="1" ht="15.5">
      <c r="A31" s="118">
        <f>A29+1</f>
        <v>15</v>
      </c>
      <c r="B31" s="126"/>
      <c r="C31" s="126"/>
      <c r="D31" s="126" t="s">
        <v>361</v>
      </c>
      <c r="F31" s="127" t="s">
        <v>955</v>
      </c>
      <c r="G31" s="127" t="s">
        <v>894</v>
      </c>
      <c r="H31" s="119"/>
      <c r="I31" s="137">
        <f>'Attachment H-11A '!G245</f>
        <v>4.6899999999999997E-2</v>
      </c>
      <c r="K31" s="137"/>
    </row>
    <row r="32" spans="1:11" s="117" customFormat="1" ht="15.5">
      <c r="A32" s="118">
        <f>A31+1</f>
        <v>16</v>
      </c>
      <c r="B32" s="126"/>
      <c r="C32" s="126"/>
      <c r="D32" s="126" t="s">
        <v>489</v>
      </c>
      <c r="F32" s="127" t="s">
        <v>227</v>
      </c>
      <c r="G32" s="127" t="s">
        <v>895</v>
      </c>
      <c r="H32" s="119"/>
      <c r="I32" s="137">
        <f>'Attachment H-11A '!G246</f>
        <v>0</v>
      </c>
    </row>
    <row r="33" spans="1:11" s="117" customFormat="1" ht="15.5">
      <c r="A33" s="118">
        <f>A32+1</f>
        <v>17</v>
      </c>
      <c r="B33" s="126"/>
      <c r="C33" s="126"/>
      <c r="D33" s="126" t="s">
        <v>490</v>
      </c>
      <c r="F33" s="127" t="s">
        <v>88</v>
      </c>
      <c r="G33" s="127" t="s">
        <v>898</v>
      </c>
      <c r="H33" s="119"/>
      <c r="I33" s="876">
        <f>'Attachment H-11A '!G247+0.01</f>
        <v>0.11449999999999999</v>
      </c>
      <c r="K33" s="137"/>
    </row>
    <row r="34" spans="1:11" s="117" customFormat="1" ht="15.5">
      <c r="A34" s="118"/>
      <c r="B34" s="126"/>
      <c r="C34" s="126"/>
      <c r="D34" s="126"/>
      <c r="F34" s="127"/>
      <c r="G34" s="126"/>
      <c r="H34" s="119"/>
    </row>
    <row r="35" spans="1:11" s="117" customFormat="1" ht="15.5">
      <c r="A35" s="118">
        <f>A33+1</f>
        <v>18</v>
      </c>
      <c r="B35" s="126"/>
      <c r="C35" s="126"/>
      <c r="D35" s="126" t="s">
        <v>491</v>
      </c>
      <c r="F35" s="126" t="s">
        <v>956</v>
      </c>
      <c r="G35" s="126" t="s">
        <v>301</v>
      </c>
      <c r="H35" s="138"/>
      <c r="I35" s="137">
        <f>I31*I27</f>
        <v>2.1836850593716494E-2</v>
      </c>
    </row>
    <row r="36" spans="1:11" s="117" customFormat="1" ht="15.5">
      <c r="A36" s="118">
        <f>A35+1</f>
        <v>19</v>
      </c>
      <c r="B36" s="126"/>
      <c r="C36" s="126"/>
      <c r="D36" s="126" t="s">
        <v>492</v>
      </c>
      <c r="F36" s="126" t="s">
        <v>227</v>
      </c>
      <c r="G36" s="126" t="s">
        <v>302</v>
      </c>
      <c r="H36" s="139"/>
      <c r="I36" s="137">
        <f>I32*I28</f>
        <v>0</v>
      </c>
    </row>
    <row r="37" spans="1:11" s="117" customFormat="1" ht="15.5">
      <c r="A37" s="118">
        <f>A36+1</f>
        <v>20</v>
      </c>
      <c r="B37" s="126"/>
      <c r="C37" s="126"/>
      <c r="D37" s="140" t="s">
        <v>493</v>
      </c>
      <c r="E37" s="141"/>
      <c r="F37" s="140" t="s">
        <v>88</v>
      </c>
      <c r="G37" s="140" t="s">
        <v>303</v>
      </c>
      <c r="H37" s="142"/>
      <c r="I37" s="143">
        <f>I33*I29</f>
        <v>6.1188285863954382E-2</v>
      </c>
    </row>
    <row r="38" spans="1:11" s="117" customFormat="1" ht="15.5">
      <c r="A38" s="118">
        <f>A37+1</f>
        <v>21</v>
      </c>
      <c r="B38" s="126"/>
      <c r="C38" s="126" t="s">
        <v>954</v>
      </c>
      <c r="D38" s="126"/>
      <c r="E38" s="144"/>
      <c r="F38" s="144"/>
      <c r="G38" s="126" t="str">
        <f>"(Sum Lines "&amp;A35&amp;" to "&amp;A37&amp;")"</f>
        <v>(Sum Lines 18 to 20)</v>
      </c>
      <c r="H38" s="145"/>
      <c r="I38" s="146">
        <f>SUM(I35:I37)</f>
        <v>8.3025136457670873E-2</v>
      </c>
    </row>
    <row r="39" spans="1:11" s="117" customFormat="1" ht="15.5">
      <c r="A39" s="124"/>
      <c r="B39" s="126"/>
      <c r="C39" s="126"/>
      <c r="D39" s="126"/>
      <c r="E39" s="144"/>
      <c r="F39" s="144"/>
      <c r="G39" s="129"/>
      <c r="H39" s="145"/>
      <c r="I39" s="146"/>
    </row>
    <row r="40" spans="1:11" s="117" customFormat="1" ht="16" thickBot="1">
      <c r="A40" s="118">
        <f>A38+1</f>
        <v>22</v>
      </c>
      <c r="B40" s="126"/>
      <c r="C40" s="126" t="s">
        <v>494</v>
      </c>
      <c r="D40" s="126"/>
      <c r="E40" s="147"/>
      <c r="F40" s="148"/>
      <c r="G40" s="149" t="str">
        <f>"(Line "&amp;A8&amp;" * Line "&amp;A38&amp;")"</f>
        <v>(Line 1 * Line 21)</v>
      </c>
      <c r="H40" s="150"/>
      <c r="I40" s="151">
        <f>+I38*I8</f>
        <v>40574281.25017003</v>
      </c>
    </row>
    <row r="41" spans="1:11" s="117" customFormat="1" ht="16" thickTop="1">
      <c r="A41" s="118"/>
      <c r="B41" s="118"/>
      <c r="C41" s="118"/>
      <c r="F41" s="118"/>
      <c r="G41" s="119"/>
      <c r="H41" s="119"/>
      <c r="I41" s="137"/>
    </row>
    <row r="42" spans="1:11" s="117" customFormat="1" ht="15.5">
      <c r="A42" s="152" t="s">
        <v>285</v>
      </c>
      <c r="B42" s="152"/>
      <c r="C42" s="153"/>
      <c r="D42" s="154"/>
      <c r="E42" s="122"/>
      <c r="F42" s="155"/>
      <c r="G42" s="122"/>
      <c r="H42" s="122"/>
      <c r="I42" s="156"/>
    </row>
    <row r="43" spans="1:11" s="117" customFormat="1" ht="15.5">
      <c r="A43" s="126"/>
      <c r="B43" s="126"/>
      <c r="C43" s="118"/>
      <c r="D43" s="144"/>
      <c r="F43" s="135"/>
      <c r="I43" s="157"/>
      <c r="K43" s="119"/>
    </row>
    <row r="44" spans="1:11" s="117" customFormat="1" ht="15.5">
      <c r="A44" s="118" t="s">
        <v>3</v>
      </c>
      <c r="B44" s="118"/>
      <c r="C44" s="158" t="s">
        <v>279</v>
      </c>
      <c r="F44" s="135"/>
      <c r="G44" s="119"/>
      <c r="H44" s="159"/>
    </row>
    <row r="45" spans="1:11" s="117" customFormat="1" ht="15.5">
      <c r="A45" s="118">
        <f>+A40+1</f>
        <v>23</v>
      </c>
      <c r="B45" s="118"/>
      <c r="C45" s="118"/>
      <c r="D45" s="203" t="s">
        <v>62</v>
      </c>
      <c r="F45" s="118"/>
      <c r="G45" s="127" t="s">
        <v>1134</v>
      </c>
      <c r="H45" s="160"/>
      <c r="I45" s="161">
        <f>'Attachment H-11A '!D144</f>
        <v>0.2580014665</v>
      </c>
    </row>
    <row r="46" spans="1:11" s="117" customFormat="1" ht="15.5">
      <c r="A46" s="118">
        <f>+A45+1</f>
        <v>24</v>
      </c>
      <c r="B46" s="118"/>
      <c r="C46" s="118"/>
      <c r="D46" s="80" t="s">
        <v>820</v>
      </c>
      <c r="E46" s="162"/>
      <c r="F46" s="118"/>
      <c r="G46" s="127" t="s">
        <v>291</v>
      </c>
      <c r="H46" s="160"/>
      <c r="I46" s="177">
        <f>(I45/(1-I45)*(1-I35/I38))</f>
        <v>0.25625822670626858</v>
      </c>
    </row>
    <row r="47" spans="1:11" s="117" customFormat="1" ht="15.5">
      <c r="A47" s="118"/>
      <c r="B47" s="118"/>
      <c r="C47" s="118"/>
      <c r="D47" s="204"/>
      <c r="E47" s="160"/>
      <c r="F47" s="118"/>
      <c r="G47" s="127"/>
      <c r="H47" s="160"/>
      <c r="I47" s="163"/>
    </row>
    <row r="48" spans="1:11" s="117" customFormat="1" ht="15.5">
      <c r="A48" s="118"/>
      <c r="B48" s="118"/>
      <c r="C48" s="118"/>
      <c r="D48" s="204"/>
      <c r="E48" s="164"/>
      <c r="F48" s="118"/>
      <c r="G48" s="127"/>
      <c r="H48" s="160"/>
      <c r="I48" s="161"/>
    </row>
    <row r="49" spans="1:11" s="117" customFormat="1" ht="15.5">
      <c r="A49" s="118">
        <v>25</v>
      </c>
      <c r="B49" s="118"/>
      <c r="C49" s="118"/>
      <c r="D49" s="203" t="s">
        <v>821</v>
      </c>
      <c r="E49" s="162"/>
      <c r="F49" s="118"/>
      <c r="G49" s="1020" t="s">
        <v>1135</v>
      </c>
      <c r="H49" s="160"/>
      <c r="I49" s="94">
        <f>'Attachment H-11A '!D148</f>
        <v>1.3477115585161732</v>
      </c>
      <c r="K49" s="165"/>
    </row>
    <row r="50" spans="1:11" s="117" customFormat="1" ht="15.5">
      <c r="A50" s="118">
        <v>26</v>
      </c>
      <c r="B50" s="118"/>
      <c r="C50" s="118"/>
      <c r="D50" s="204" t="s">
        <v>248</v>
      </c>
      <c r="F50" s="166"/>
      <c r="G50" s="127" t="s">
        <v>1136</v>
      </c>
      <c r="H50" s="159"/>
      <c r="I50" s="175">
        <f>'Attachment H-11A '!D149</f>
        <v>0</v>
      </c>
    </row>
    <row r="51" spans="1:11" s="117" customFormat="1" ht="15.5">
      <c r="A51" s="118">
        <v>27</v>
      </c>
      <c r="B51" s="118"/>
      <c r="C51" s="118"/>
      <c r="D51" s="204" t="s">
        <v>282</v>
      </c>
      <c r="F51" s="166"/>
      <c r="G51" s="127" t="s">
        <v>1137</v>
      </c>
      <c r="H51" s="159"/>
      <c r="I51" s="175">
        <f>'Attachment H-11A '!D150</f>
        <v>30404.053818959248</v>
      </c>
    </row>
    <row r="52" spans="1:11" s="117" customFormat="1" ht="15.5">
      <c r="A52" s="118">
        <v>28</v>
      </c>
      <c r="B52" s="118"/>
      <c r="C52" s="118"/>
      <c r="D52" s="204" t="s">
        <v>289</v>
      </c>
      <c r="F52" s="166"/>
      <c r="G52" s="127" t="s">
        <v>1138</v>
      </c>
      <c r="H52" s="159"/>
      <c r="I52" s="175">
        <f>'Attachment H-11A '!D151</f>
        <v>-28849.593408145069</v>
      </c>
    </row>
    <row r="53" spans="1:11" s="117" customFormat="1" ht="15.5">
      <c r="A53" s="118">
        <v>29</v>
      </c>
      <c r="B53" s="118"/>
      <c r="C53" s="118"/>
      <c r="D53" s="203" t="s">
        <v>286</v>
      </c>
      <c r="F53" s="166"/>
      <c r="G53" s="164" t="s">
        <v>305</v>
      </c>
      <c r="H53" s="159"/>
      <c r="I53" s="175">
        <f>I46*I40</f>
        <v>10397493.363049975</v>
      </c>
    </row>
    <row r="54" spans="1:11" s="117" customFormat="1" ht="15.5">
      <c r="A54" s="118">
        <v>30</v>
      </c>
      <c r="B54" s="118"/>
      <c r="C54" s="118"/>
      <c r="D54" s="80" t="s">
        <v>287</v>
      </c>
      <c r="F54" s="166"/>
      <c r="G54" s="127" t="s">
        <v>1144</v>
      </c>
      <c r="H54" s="159"/>
      <c r="I54" s="175">
        <f>'Attachment H-11A '!I153</f>
        <v>0</v>
      </c>
    </row>
    <row r="55" spans="1:11" s="117" customFormat="1" ht="15.5">
      <c r="A55" s="118">
        <v>31</v>
      </c>
      <c r="B55" s="118"/>
      <c r="C55" s="118"/>
      <c r="D55" s="80" t="s">
        <v>288</v>
      </c>
      <c r="F55" s="166"/>
      <c r="G55" s="127" t="s">
        <v>1140</v>
      </c>
      <c r="H55" s="159"/>
      <c r="I55" s="175">
        <f>'Attachment H-11A '!I154</f>
        <v>40975.894757559174</v>
      </c>
    </row>
    <row r="56" spans="1:11" s="117" customFormat="1" ht="16" thickBot="1">
      <c r="A56" s="118">
        <v>32</v>
      </c>
      <c r="B56" s="118"/>
      <c r="C56" s="118"/>
      <c r="D56" s="80" t="s">
        <v>290</v>
      </c>
      <c r="F56" s="166"/>
      <c r="G56" s="127" t="s">
        <v>1141</v>
      </c>
      <c r="H56" s="159"/>
      <c r="I56" s="176">
        <f>'Attachment H-11A '!D155</f>
        <v>-38880.93049464911</v>
      </c>
    </row>
    <row r="57" spans="1:11" s="117" customFormat="1" ht="15.5">
      <c r="A57" s="118">
        <v>33</v>
      </c>
      <c r="B57" s="118"/>
      <c r="C57" s="118"/>
      <c r="D57" s="203" t="s">
        <v>64</v>
      </c>
      <c r="F57" s="166"/>
      <c r="G57" s="164" t="s">
        <v>304</v>
      </c>
      <c r="H57" s="159"/>
      <c r="I57" s="202">
        <f>SUM(I53:I56)</f>
        <v>10399588.327312885</v>
      </c>
    </row>
    <row r="58" spans="1:11" s="117" customFormat="1" ht="15.5">
      <c r="A58" s="118"/>
      <c r="B58" s="118"/>
      <c r="C58" s="118"/>
      <c r="F58" s="166"/>
      <c r="G58" s="164"/>
      <c r="H58" s="159"/>
      <c r="I58" s="167"/>
    </row>
    <row r="59" spans="1:11" s="117" customFormat="1" ht="15.5">
      <c r="A59" s="152" t="s">
        <v>793</v>
      </c>
      <c r="B59" s="152"/>
      <c r="C59" s="153"/>
      <c r="D59" s="154"/>
      <c r="E59" s="122"/>
      <c r="F59" s="155"/>
      <c r="G59" s="122"/>
      <c r="H59" s="122"/>
      <c r="I59" s="156"/>
    </row>
    <row r="60" spans="1:11" s="117" customFormat="1" ht="15.5">
      <c r="A60" s="197"/>
      <c r="B60" s="197"/>
      <c r="C60" s="198"/>
      <c r="D60" s="199"/>
      <c r="F60" s="200"/>
      <c r="I60" s="201"/>
    </row>
    <row r="61" spans="1:11" s="117" customFormat="1" ht="15.5">
      <c r="A61" s="118">
        <v>34</v>
      </c>
      <c r="B61" s="118"/>
      <c r="C61" s="118"/>
      <c r="D61" s="117" t="s">
        <v>860</v>
      </c>
      <c r="F61" s="166"/>
      <c r="G61" s="164" t="s">
        <v>306</v>
      </c>
      <c r="H61" s="159"/>
      <c r="I61" s="175">
        <f>I40+I57</f>
        <v>50973869.577482916</v>
      </c>
    </row>
    <row r="62" spans="1:11" s="117" customFormat="1" ht="15.5">
      <c r="A62" s="118"/>
      <c r="B62" s="118"/>
      <c r="C62" s="118"/>
      <c r="F62" s="166"/>
      <c r="G62" s="164"/>
      <c r="H62" s="159"/>
      <c r="I62" s="175"/>
    </row>
    <row r="63" spans="1:11" s="117" customFormat="1" ht="15.5">
      <c r="A63" s="118">
        <v>35</v>
      </c>
      <c r="B63" s="118"/>
      <c r="C63" s="118"/>
      <c r="D63" s="117" t="s">
        <v>693</v>
      </c>
      <c r="F63" s="166"/>
      <c r="G63" s="164" t="s">
        <v>695</v>
      </c>
      <c r="H63" s="159"/>
      <c r="I63" s="175">
        <f>I40</f>
        <v>40574281.25017003</v>
      </c>
    </row>
    <row r="64" spans="1:11" s="117" customFormat="1" ht="15.5">
      <c r="A64" s="118">
        <v>36</v>
      </c>
      <c r="B64" s="118"/>
      <c r="C64" s="118"/>
      <c r="D64" s="117" t="s">
        <v>694</v>
      </c>
      <c r="F64" s="166"/>
      <c r="G64" s="164" t="s">
        <v>696</v>
      </c>
      <c r="H64" s="159"/>
      <c r="I64" s="175">
        <f>I57</f>
        <v>10399588.327312885</v>
      </c>
    </row>
    <row r="65" spans="1:11" s="117" customFormat="1" ht="15.5">
      <c r="A65" s="118">
        <v>37</v>
      </c>
      <c r="B65" s="118"/>
      <c r="C65" s="118"/>
      <c r="D65" s="117" t="s">
        <v>514</v>
      </c>
      <c r="F65" s="166"/>
      <c r="G65" s="164" t="s">
        <v>854</v>
      </c>
      <c r="H65" s="159"/>
      <c r="I65" s="175">
        <f>I61-'Attachment 2 - ROE Calcs'!I61</f>
        <v>3519662.2534461394</v>
      </c>
      <c r="J65" s="235"/>
    </row>
    <row r="66" spans="1:11" s="117" customFormat="1" ht="15.5">
      <c r="A66" s="118">
        <v>38</v>
      </c>
      <c r="B66" s="118"/>
      <c r="C66" s="118"/>
      <c r="D66" s="117" t="s">
        <v>308</v>
      </c>
      <c r="F66" s="166"/>
      <c r="G66" s="164" t="s">
        <v>307</v>
      </c>
      <c r="H66" s="159"/>
      <c r="I66" s="175">
        <f>I8</f>
        <v>488698760.17435056</v>
      </c>
    </row>
    <row r="67" spans="1:11" s="117" customFormat="1" ht="15.5">
      <c r="A67" s="118">
        <v>39</v>
      </c>
      <c r="B67" s="118"/>
      <c r="C67" s="118"/>
      <c r="D67" s="117" t="s">
        <v>515</v>
      </c>
      <c r="F67" s="166"/>
      <c r="G67" s="164" t="s">
        <v>764</v>
      </c>
      <c r="H67" s="159"/>
      <c r="I67" s="196">
        <f>I65/I66</f>
        <v>7.2021100528072701E-3</v>
      </c>
      <c r="J67" s="235"/>
    </row>
    <row r="68" spans="1:11" s="117" customFormat="1" ht="15.5">
      <c r="A68" s="118"/>
      <c r="B68" s="118"/>
      <c r="C68" s="118"/>
      <c r="F68" s="166"/>
      <c r="G68" s="164"/>
      <c r="H68" s="159"/>
      <c r="I68" s="175"/>
    </row>
    <row r="69" spans="1:11" s="117" customFormat="1" ht="15.5">
      <c r="A69" s="118" t="s">
        <v>206</v>
      </c>
      <c r="B69" s="118"/>
      <c r="C69" s="118"/>
      <c r="F69" s="166"/>
      <c r="G69" s="164"/>
      <c r="H69" s="159"/>
      <c r="I69" s="168"/>
    </row>
    <row r="70" spans="1:11" s="117" customFormat="1" ht="31.5" customHeight="1">
      <c r="A70" s="118" t="s">
        <v>205</v>
      </c>
      <c r="B70" s="1120" t="s">
        <v>953</v>
      </c>
      <c r="C70" s="1120"/>
      <c r="D70" s="1120"/>
      <c r="E70" s="1120"/>
      <c r="F70" s="1120"/>
      <c r="G70" s="1120"/>
      <c r="H70" s="1120"/>
      <c r="I70" s="1120"/>
      <c r="J70" s="1120"/>
      <c r="K70" s="1120"/>
    </row>
    <row r="71" spans="1:11" s="117" customFormat="1" ht="16" thickBot="1">
      <c r="A71" s="118"/>
      <c r="B71" s="118"/>
      <c r="C71" s="178"/>
      <c r="D71" s="178"/>
      <c r="E71" s="179"/>
      <c r="F71" s="180"/>
      <c r="G71" s="181"/>
      <c r="H71" s="182"/>
      <c r="I71" s="183"/>
      <c r="K71" s="119" t="s">
        <v>3</v>
      </c>
    </row>
    <row r="72" spans="1:11" s="117" customFormat="1" ht="16" thickTop="1">
      <c r="A72" s="118"/>
      <c r="B72" s="118"/>
      <c r="C72" s="118"/>
      <c r="D72" s="164"/>
      <c r="F72" s="118"/>
      <c r="G72" s="171"/>
      <c r="H72" s="172"/>
      <c r="I72" s="173"/>
    </row>
  </sheetData>
  <mergeCells count="6">
    <mergeCell ref="A1:I1"/>
    <mergeCell ref="A2:I2"/>
    <mergeCell ref="B70:K70"/>
    <mergeCell ref="J3:L3"/>
    <mergeCell ref="K2:L2"/>
    <mergeCell ref="J1:L1"/>
  </mergeCells>
  <pageMargins left="0.7" right="0.7" top="0.75" bottom="0.75" header="0.3" footer="0.3"/>
  <pageSetup scale="36" orientation="portrait" r:id="rId1"/>
  <ignoredErrors>
    <ignoredError sqref="I40"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E064C-64DF-40C2-9850-3106ABEAF529}">
  <sheetPr codeName="Sheet12"/>
  <dimension ref="A1:AV42"/>
  <sheetViews>
    <sheetView view="pageBreakPreview" zoomScale="60" zoomScaleNormal="60" workbookViewId="0">
      <selection activeCell="A2" sqref="A2:N2"/>
    </sheetView>
  </sheetViews>
  <sheetFormatPr defaultRowHeight="15.5"/>
  <cols>
    <col min="1" max="1" width="7.53515625" customWidth="1"/>
    <col min="2" max="2" width="3.69140625" bestFit="1" customWidth="1"/>
    <col min="3" max="3" width="31.69140625" customWidth="1"/>
    <col min="4" max="4" width="14.4609375" customWidth="1"/>
    <col min="5" max="5" width="15.07421875" customWidth="1"/>
    <col min="6" max="11" width="13.07421875" bestFit="1" customWidth="1"/>
    <col min="12" max="18" width="16" bestFit="1" customWidth="1"/>
    <col min="19" max="19" width="3.84375" customWidth="1"/>
    <col min="20" max="20" width="15.3046875" bestFit="1" customWidth="1"/>
    <col min="21" max="21" width="15.4609375" customWidth="1"/>
    <col min="22" max="28" width="12.53515625" customWidth="1"/>
    <col min="29" max="29" width="15.4609375" customWidth="1"/>
    <col min="30" max="30" width="14.84375" customWidth="1"/>
    <col min="31" max="31" width="12.84375" bestFit="1" customWidth="1"/>
    <col min="32" max="32" width="13.69140625" bestFit="1" customWidth="1"/>
    <col min="33" max="33" width="13.07421875" bestFit="1" customWidth="1"/>
    <col min="34" max="34" width="3.84375" customWidth="1"/>
    <col min="35" max="35" width="13.84375" customWidth="1"/>
    <col min="36" max="36" width="11" bestFit="1" customWidth="1"/>
    <col min="37" max="37" width="15.69140625" bestFit="1" customWidth="1"/>
    <col min="38" max="38" width="17.3046875" bestFit="1" customWidth="1"/>
    <col min="39" max="39" width="15.3046875" bestFit="1" customWidth="1"/>
  </cols>
  <sheetData>
    <row r="1" spans="1:48">
      <c r="A1" s="1121" t="s">
        <v>747</v>
      </c>
      <c r="B1" s="1121"/>
      <c r="C1" s="1121"/>
      <c r="D1" s="1121"/>
      <c r="E1" s="1121"/>
      <c r="F1" s="1121"/>
      <c r="G1" s="1121"/>
      <c r="H1" s="1121"/>
      <c r="I1" s="1121"/>
      <c r="J1" s="1121"/>
      <c r="K1" s="1121"/>
      <c r="L1" s="1121"/>
      <c r="M1" s="1121"/>
      <c r="N1" s="1121"/>
      <c r="O1" s="18"/>
      <c r="R1" s="3"/>
      <c r="S1" s="3" t="str">
        <f>'Attachment H-11A '!K1&amp;""&amp;", Attachment 2b"</f>
        <v>Attachment H -11A, Attachment 2b</v>
      </c>
      <c r="T1" s="1121" t="str">
        <f>A1</f>
        <v>Incentive ROE NITS Worksheet Support</v>
      </c>
      <c r="U1" s="1121"/>
      <c r="V1" s="1121"/>
      <c r="W1" s="1121"/>
      <c r="X1" s="1121"/>
      <c r="Y1" s="1121"/>
      <c r="Z1" s="1121"/>
      <c r="AA1" s="1121"/>
      <c r="AB1" s="1121"/>
      <c r="AC1" s="1121"/>
      <c r="AD1" s="1121"/>
      <c r="AE1" s="1121"/>
      <c r="AF1" s="18"/>
      <c r="AK1" s="18"/>
      <c r="AL1" s="18"/>
      <c r="AM1" s="3" t="str">
        <f>S1</f>
        <v>Attachment H -11A, Attachment 2b</v>
      </c>
    </row>
    <row r="2" spans="1:48">
      <c r="A2" s="1122" t="s">
        <v>347</v>
      </c>
      <c r="B2" s="1122"/>
      <c r="C2" s="1122"/>
      <c r="D2" s="1122"/>
      <c r="E2" s="1122"/>
      <c r="F2" s="1122"/>
      <c r="G2" s="1122"/>
      <c r="H2" s="1122"/>
      <c r="I2" s="1122"/>
      <c r="J2" s="1122"/>
      <c r="K2" s="1122"/>
      <c r="L2" s="1122"/>
      <c r="M2" s="1122"/>
      <c r="N2" s="1122"/>
      <c r="O2" s="237"/>
      <c r="R2" s="3"/>
      <c r="S2" s="3" t="s">
        <v>171</v>
      </c>
      <c r="T2" s="1122" t="s">
        <v>347</v>
      </c>
      <c r="U2" s="1122"/>
      <c r="V2" s="1122"/>
      <c r="W2" s="1122"/>
      <c r="X2" s="1122"/>
      <c r="Y2" s="1122"/>
      <c r="Z2" s="1122"/>
      <c r="AA2" s="1122"/>
      <c r="AB2" s="1122"/>
      <c r="AC2" s="1122"/>
      <c r="AD2" s="1122"/>
      <c r="AE2" s="1122"/>
      <c r="AF2" s="237"/>
      <c r="AK2" s="237"/>
      <c r="AL2" s="237"/>
      <c r="AM2" s="3" t="s">
        <v>174</v>
      </c>
    </row>
    <row r="3" spans="1:48">
      <c r="A3" s="237"/>
      <c r="B3" s="238"/>
      <c r="C3" s="238"/>
      <c r="D3" s="238"/>
      <c r="E3" s="238"/>
      <c r="F3" s="238"/>
      <c r="G3" s="238"/>
      <c r="H3" s="238"/>
      <c r="I3" s="238"/>
      <c r="J3" s="238"/>
      <c r="K3" s="238"/>
      <c r="L3" s="238"/>
      <c r="M3" s="3"/>
      <c r="R3" s="3"/>
      <c r="S3" s="3" t="str">
        <f>'Attachment H-11A '!K4</f>
        <v>For the 12 months ended 12/31/2025</v>
      </c>
      <c r="AM3" s="3" t="str">
        <f>'Attachment H-11A '!K4</f>
        <v>For the 12 months ended 12/31/2025</v>
      </c>
    </row>
    <row r="4" spans="1:48">
      <c r="A4" s="237"/>
      <c r="B4" s="238"/>
      <c r="C4" s="238"/>
      <c r="D4" s="238"/>
      <c r="E4" s="238"/>
      <c r="F4" s="238"/>
      <c r="G4" s="238"/>
      <c r="H4" s="238"/>
      <c r="I4" s="238"/>
      <c r="J4" s="238"/>
      <c r="K4" s="238"/>
      <c r="L4" s="238"/>
      <c r="M4" s="3"/>
    </row>
    <row r="5" spans="1:48">
      <c r="A5" s="237"/>
      <c r="B5" s="238"/>
      <c r="C5" s="238"/>
      <c r="D5" s="238"/>
      <c r="E5" s="238"/>
      <c r="F5" s="238"/>
      <c r="G5" s="238"/>
      <c r="H5" s="238"/>
      <c r="I5" s="238"/>
      <c r="J5" s="238"/>
      <c r="K5" s="238"/>
      <c r="L5" s="238"/>
      <c r="M5" s="3"/>
    </row>
    <row r="6" spans="1:48">
      <c r="A6" s="237"/>
      <c r="B6" s="238"/>
      <c r="C6" s="238"/>
      <c r="D6" s="238"/>
      <c r="E6" s="238"/>
      <c r="F6" s="238"/>
      <c r="G6" s="238"/>
      <c r="H6" s="238"/>
      <c r="I6" s="238"/>
      <c r="J6" s="238"/>
      <c r="K6" s="238"/>
      <c r="L6" s="238"/>
      <c r="M6" s="3"/>
      <c r="AI6" s="848" t="s">
        <v>688</v>
      </c>
      <c r="AJ6" s="848" t="s">
        <v>812</v>
      </c>
      <c r="AK6" s="848" t="s">
        <v>813</v>
      </c>
      <c r="AL6" s="848" t="s">
        <v>814</v>
      </c>
      <c r="AM6" s="848" t="s">
        <v>808</v>
      </c>
    </row>
    <row r="7" spans="1:48">
      <c r="A7" s="237"/>
      <c r="B7" s="238"/>
      <c r="C7" s="238"/>
      <c r="D7" s="238"/>
      <c r="E7" s="238"/>
      <c r="F7" s="238"/>
      <c r="G7" s="238"/>
      <c r="H7" s="238"/>
      <c r="I7" s="238"/>
      <c r="J7" s="238"/>
      <c r="K7" s="238"/>
      <c r="L7" s="238"/>
      <c r="M7" s="3"/>
    </row>
    <row r="8" spans="1:48" ht="50.25" customHeight="1">
      <c r="A8" s="19" t="s">
        <v>159</v>
      </c>
      <c r="B8" s="20"/>
      <c r="C8" s="30" t="s">
        <v>160</v>
      </c>
      <c r="D8" s="21" t="s">
        <v>175</v>
      </c>
      <c r="E8" s="22" t="s">
        <v>255</v>
      </c>
      <c r="F8" s="487">
        <v>45646</v>
      </c>
      <c r="G8" s="239">
        <f>F8+31</f>
        <v>45677</v>
      </c>
      <c r="H8" s="239">
        <f>G8+31</f>
        <v>45708</v>
      </c>
      <c r="I8" s="239">
        <f>H8+31</f>
        <v>45739</v>
      </c>
      <c r="J8" s="239">
        <f>I8+31</f>
        <v>45770</v>
      </c>
      <c r="K8" s="239">
        <f t="shared" ref="K8:R8" si="0">J8+31</f>
        <v>45801</v>
      </c>
      <c r="L8" s="239">
        <f t="shared" si="0"/>
        <v>45832</v>
      </c>
      <c r="M8" s="239">
        <f t="shared" si="0"/>
        <v>45863</v>
      </c>
      <c r="N8" s="239">
        <f t="shared" si="0"/>
        <v>45894</v>
      </c>
      <c r="O8" s="239">
        <f t="shared" si="0"/>
        <v>45925</v>
      </c>
      <c r="P8" s="239">
        <f t="shared" si="0"/>
        <v>45956</v>
      </c>
      <c r="Q8" s="239">
        <f t="shared" si="0"/>
        <v>45987</v>
      </c>
      <c r="R8" s="239">
        <f t="shared" si="0"/>
        <v>46018</v>
      </c>
      <c r="S8" s="239"/>
      <c r="T8" s="22" t="s">
        <v>345</v>
      </c>
      <c r="U8" s="239">
        <f>F8</f>
        <v>45646</v>
      </c>
      <c r="V8" s="239">
        <f t="shared" ref="V8:AG8" si="1">G8</f>
        <v>45677</v>
      </c>
      <c r="W8" s="239">
        <f t="shared" si="1"/>
        <v>45708</v>
      </c>
      <c r="X8" s="239">
        <f t="shared" si="1"/>
        <v>45739</v>
      </c>
      <c r="Y8" s="239">
        <f t="shared" si="1"/>
        <v>45770</v>
      </c>
      <c r="Z8" s="239">
        <f t="shared" si="1"/>
        <v>45801</v>
      </c>
      <c r="AA8" s="239">
        <f t="shared" si="1"/>
        <v>45832</v>
      </c>
      <c r="AB8" s="239">
        <f t="shared" si="1"/>
        <v>45863</v>
      </c>
      <c r="AC8" s="239">
        <f t="shared" si="1"/>
        <v>45894</v>
      </c>
      <c r="AD8" s="239">
        <f t="shared" si="1"/>
        <v>45925</v>
      </c>
      <c r="AE8" s="239">
        <f t="shared" si="1"/>
        <v>45956</v>
      </c>
      <c r="AF8" s="239">
        <f t="shared" si="1"/>
        <v>45987</v>
      </c>
      <c r="AG8" s="239">
        <f t="shared" si="1"/>
        <v>46018</v>
      </c>
      <c r="AH8" s="240"/>
      <c r="AI8" s="22" t="s">
        <v>346</v>
      </c>
      <c r="AJ8" s="239" t="s">
        <v>754</v>
      </c>
      <c r="AK8" s="243" t="s">
        <v>697</v>
      </c>
      <c r="AL8" s="243" t="s">
        <v>749</v>
      </c>
      <c r="AM8" s="243" t="s">
        <v>756</v>
      </c>
      <c r="AN8" s="242"/>
      <c r="AO8" s="242"/>
      <c r="AP8" s="242"/>
      <c r="AQ8" s="242"/>
      <c r="AR8" s="242"/>
      <c r="AS8" s="242"/>
      <c r="AT8" s="242"/>
      <c r="AU8" s="242"/>
      <c r="AV8" s="242"/>
    </row>
    <row r="9" spans="1:48">
      <c r="A9" s="23"/>
      <c r="B9" s="24"/>
      <c r="C9" s="25" t="s">
        <v>13</v>
      </c>
      <c r="D9" s="24"/>
      <c r="E9" s="25" t="s">
        <v>14</v>
      </c>
      <c r="F9" s="25" t="s">
        <v>15</v>
      </c>
      <c r="G9" s="25" t="s">
        <v>15</v>
      </c>
      <c r="H9" s="25" t="s">
        <v>15</v>
      </c>
      <c r="I9" s="25" t="s">
        <v>15</v>
      </c>
      <c r="J9" s="25" t="s">
        <v>15</v>
      </c>
      <c r="K9" s="25" t="s">
        <v>15</v>
      </c>
      <c r="L9" s="25" t="s">
        <v>15</v>
      </c>
      <c r="M9" s="25" t="s">
        <v>15</v>
      </c>
      <c r="N9" s="25" t="s">
        <v>15</v>
      </c>
      <c r="O9" s="25" t="s">
        <v>15</v>
      </c>
      <c r="P9" s="25" t="s">
        <v>15</v>
      </c>
      <c r="Q9" s="25" t="s">
        <v>15</v>
      </c>
      <c r="R9" s="25" t="s">
        <v>15</v>
      </c>
      <c r="S9" s="25"/>
      <c r="T9" s="25" t="s">
        <v>921</v>
      </c>
      <c r="U9" s="25" t="s">
        <v>15</v>
      </c>
      <c r="V9" s="25" t="s">
        <v>15</v>
      </c>
      <c r="W9" s="25" t="s">
        <v>15</v>
      </c>
      <c r="X9" s="25" t="s">
        <v>15</v>
      </c>
      <c r="Y9" s="25" t="s">
        <v>15</v>
      </c>
      <c r="Z9" s="25" t="s">
        <v>15</v>
      </c>
      <c r="AA9" s="25" t="s">
        <v>15</v>
      </c>
      <c r="AB9" s="25" t="s">
        <v>15</v>
      </c>
      <c r="AC9" s="25" t="s">
        <v>15</v>
      </c>
      <c r="AD9" s="25" t="s">
        <v>15</v>
      </c>
      <c r="AE9" s="25" t="s">
        <v>15</v>
      </c>
      <c r="AF9" s="25" t="s">
        <v>15</v>
      </c>
      <c r="AG9" s="25" t="s">
        <v>15</v>
      </c>
      <c r="AH9" s="241"/>
      <c r="AI9" s="25" t="s">
        <v>921</v>
      </c>
      <c r="AJ9" s="877" t="s">
        <v>16</v>
      </c>
      <c r="AK9" s="878" t="s">
        <v>131</v>
      </c>
      <c r="AL9" s="878" t="s">
        <v>539</v>
      </c>
      <c r="AM9" s="878" t="s">
        <v>309</v>
      </c>
    </row>
    <row r="10" spans="1:48">
      <c r="A10" s="26"/>
      <c r="B10" s="2"/>
      <c r="C10" s="2"/>
      <c r="D10" s="2"/>
      <c r="E10" s="2"/>
      <c r="F10" s="2"/>
      <c r="G10" s="2"/>
      <c r="H10" s="2"/>
      <c r="I10" s="2"/>
      <c r="J10" s="2"/>
      <c r="K10" s="2"/>
      <c r="L10" s="2"/>
      <c r="M10" s="2"/>
      <c r="N10" s="2"/>
      <c r="O10" s="2"/>
      <c r="P10" s="2"/>
      <c r="Q10" s="2"/>
      <c r="R10" s="2"/>
      <c r="S10" s="2"/>
      <c r="AH10" s="244"/>
      <c r="AM10" s="245"/>
    </row>
    <row r="11" spans="1:48">
      <c r="A11" s="275"/>
      <c r="B11" s="17"/>
      <c r="C11" s="17"/>
      <c r="D11" s="27"/>
      <c r="E11" s="9"/>
      <c r="F11" s="9"/>
      <c r="G11" s="9"/>
      <c r="H11" s="9"/>
      <c r="I11" s="9"/>
      <c r="J11" s="9"/>
      <c r="K11" s="9"/>
      <c r="L11" s="9"/>
      <c r="M11" s="9"/>
      <c r="N11" s="9"/>
      <c r="O11" s="9"/>
      <c r="P11" s="9"/>
      <c r="Q11" s="9"/>
      <c r="R11" s="9"/>
      <c r="S11" s="9"/>
      <c r="U11" s="9"/>
      <c r="V11" s="9"/>
      <c r="W11" s="9"/>
      <c r="X11" s="9"/>
      <c r="Y11" s="9"/>
      <c r="Z11" s="9"/>
      <c r="AA11" s="9"/>
      <c r="AB11" s="9"/>
      <c r="AC11" s="9"/>
      <c r="AD11" s="9"/>
      <c r="AE11" s="9"/>
      <c r="AF11" s="9"/>
      <c r="AG11" s="9"/>
      <c r="AH11" s="244"/>
      <c r="AM11" s="245"/>
    </row>
    <row r="12" spans="1:48">
      <c r="A12" s="786" t="s">
        <v>464</v>
      </c>
      <c r="B12" s="684"/>
      <c r="C12" s="787"/>
      <c r="D12" s="788"/>
      <c r="E12" s="9">
        <f>AVERAGE(F12:R12)</f>
        <v>0</v>
      </c>
      <c r="F12" s="61">
        <v>0</v>
      </c>
      <c r="G12" s="61">
        <v>0</v>
      </c>
      <c r="H12" s="61">
        <v>0</v>
      </c>
      <c r="I12" s="61">
        <v>0</v>
      </c>
      <c r="J12" s="61">
        <v>0</v>
      </c>
      <c r="K12" s="61">
        <v>0</v>
      </c>
      <c r="L12" s="61">
        <v>0</v>
      </c>
      <c r="M12" s="61">
        <v>0</v>
      </c>
      <c r="N12" s="61">
        <v>0</v>
      </c>
      <c r="O12" s="61">
        <v>0</v>
      </c>
      <c r="P12" s="61">
        <v>0</v>
      </c>
      <c r="Q12" s="61">
        <v>0</v>
      </c>
      <c r="R12" s="61">
        <v>0</v>
      </c>
      <c r="S12" s="9"/>
      <c r="T12" s="9">
        <f>AVERAGE(U12:AG12)</f>
        <v>0</v>
      </c>
      <c r="U12" s="61">
        <v>0</v>
      </c>
      <c r="V12" s="61">
        <v>0</v>
      </c>
      <c r="W12" s="61">
        <v>0</v>
      </c>
      <c r="X12" s="61">
        <v>0</v>
      </c>
      <c r="Y12" s="61">
        <v>0</v>
      </c>
      <c r="Z12" s="61">
        <v>0</v>
      </c>
      <c r="AA12" s="61">
        <v>0</v>
      </c>
      <c r="AB12" s="61">
        <v>0</v>
      </c>
      <c r="AC12" s="61">
        <v>0</v>
      </c>
      <c r="AD12" s="61">
        <v>0</v>
      </c>
      <c r="AE12" s="61">
        <v>0</v>
      </c>
      <c r="AF12" s="61">
        <v>0</v>
      </c>
      <c r="AG12" s="61">
        <v>0</v>
      </c>
      <c r="AH12" s="244"/>
      <c r="AI12" s="784">
        <f t="shared" ref="AI12:AI17" si="2">E12-T12</f>
        <v>0</v>
      </c>
      <c r="AJ12" s="397"/>
      <c r="AK12" s="784">
        <f>AI12*'Attachment H-11A '!$I$227</f>
        <v>0</v>
      </c>
      <c r="AL12" s="704">
        <f>AI12*(('Attachment H-11A '!$I$234)*AJ12/100+'Attachment H-11A '!$I$227)</f>
        <v>0</v>
      </c>
      <c r="AM12" s="245">
        <f>AL12-AK12</f>
        <v>0</v>
      </c>
    </row>
    <row r="13" spans="1:48">
      <c r="A13" s="786" t="s">
        <v>465</v>
      </c>
      <c r="B13" s="684"/>
      <c r="C13" s="787"/>
      <c r="D13" s="788"/>
      <c r="E13" s="9">
        <f t="shared" ref="E13:E17" si="3">AVERAGE(F13:R13)</f>
        <v>0</v>
      </c>
      <c r="F13" s="61">
        <v>0</v>
      </c>
      <c r="G13" s="61">
        <v>0</v>
      </c>
      <c r="H13" s="61">
        <v>0</v>
      </c>
      <c r="I13" s="61">
        <v>0</v>
      </c>
      <c r="J13" s="61">
        <v>0</v>
      </c>
      <c r="K13" s="61">
        <v>0</v>
      </c>
      <c r="L13" s="61">
        <v>0</v>
      </c>
      <c r="M13" s="61">
        <v>0</v>
      </c>
      <c r="N13" s="61">
        <v>0</v>
      </c>
      <c r="O13" s="61">
        <v>0</v>
      </c>
      <c r="P13" s="61">
        <v>0</v>
      </c>
      <c r="Q13" s="61">
        <v>0</v>
      </c>
      <c r="R13" s="61">
        <v>0</v>
      </c>
      <c r="S13" s="9"/>
      <c r="T13" s="9">
        <f t="shared" ref="T13:T17" si="4">AVERAGE(U13:AG13)</f>
        <v>0</v>
      </c>
      <c r="U13" s="61">
        <v>0</v>
      </c>
      <c r="V13" s="61">
        <v>0</v>
      </c>
      <c r="W13" s="61">
        <v>0</v>
      </c>
      <c r="X13" s="61">
        <v>0</v>
      </c>
      <c r="Y13" s="61">
        <v>0</v>
      </c>
      <c r="Z13" s="61">
        <v>0</v>
      </c>
      <c r="AA13" s="61">
        <v>0</v>
      </c>
      <c r="AB13" s="61">
        <v>0</v>
      </c>
      <c r="AC13" s="61">
        <v>0</v>
      </c>
      <c r="AD13" s="61">
        <v>0</v>
      </c>
      <c r="AE13" s="61">
        <v>0</v>
      </c>
      <c r="AF13" s="61">
        <v>0</v>
      </c>
      <c r="AG13" s="61">
        <v>0</v>
      </c>
      <c r="AH13" s="244"/>
      <c r="AI13" s="784">
        <f t="shared" si="2"/>
        <v>0</v>
      </c>
      <c r="AJ13" s="397"/>
      <c r="AK13" s="704">
        <f>AI13*'Attachment H-11A '!$I$227</f>
        <v>0</v>
      </c>
      <c r="AL13" s="704">
        <f>AI13*(('Attachment H-11A '!$I$234)*AJ13/100+'Attachment H-11A '!$I$227)</f>
        <v>0</v>
      </c>
      <c r="AM13" s="245">
        <f t="shared" ref="AM13:AM17" si="5">AL13-AK13</f>
        <v>0</v>
      </c>
    </row>
    <row r="14" spans="1:48">
      <c r="A14" s="786" t="s">
        <v>466</v>
      </c>
      <c r="B14" s="684"/>
      <c r="C14" s="787"/>
      <c r="D14" s="788"/>
      <c r="E14" s="9">
        <f t="shared" si="3"/>
        <v>0</v>
      </c>
      <c r="F14" s="61">
        <v>0</v>
      </c>
      <c r="G14" s="61">
        <v>0</v>
      </c>
      <c r="H14" s="61">
        <v>0</v>
      </c>
      <c r="I14" s="61">
        <v>0</v>
      </c>
      <c r="J14" s="61">
        <v>0</v>
      </c>
      <c r="K14" s="61">
        <v>0</v>
      </c>
      <c r="L14" s="61">
        <v>0</v>
      </c>
      <c r="M14" s="61">
        <v>0</v>
      </c>
      <c r="N14" s="61">
        <v>0</v>
      </c>
      <c r="O14" s="61">
        <v>0</v>
      </c>
      <c r="P14" s="61">
        <v>0</v>
      </c>
      <c r="Q14" s="61">
        <v>0</v>
      </c>
      <c r="R14" s="61">
        <v>0</v>
      </c>
      <c r="T14" s="9">
        <f t="shared" si="4"/>
        <v>0</v>
      </c>
      <c r="U14" s="61">
        <v>0</v>
      </c>
      <c r="V14" s="61">
        <v>0</v>
      </c>
      <c r="W14" s="61">
        <v>0</v>
      </c>
      <c r="X14" s="61">
        <v>0</v>
      </c>
      <c r="Y14" s="61">
        <v>0</v>
      </c>
      <c r="Z14" s="61">
        <v>0</v>
      </c>
      <c r="AA14" s="61">
        <v>0</v>
      </c>
      <c r="AB14" s="61">
        <v>0</v>
      </c>
      <c r="AC14" s="61">
        <v>0</v>
      </c>
      <c r="AD14" s="61">
        <v>0</v>
      </c>
      <c r="AE14" s="61">
        <v>0</v>
      </c>
      <c r="AF14" s="61">
        <v>0</v>
      </c>
      <c r="AG14" s="61">
        <v>0</v>
      </c>
      <c r="AH14" s="244"/>
      <c r="AI14" s="784">
        <f t="shared" si="2"/>
        <v>0</v>
      </c>
      <c r="AJ14" s="397"/>
      <c r="AK14" s="704">
        <f>AI14*'Attachment H-11A '!$I$227</f>
        <v>0</v>
      </c>
      <c r="AL14" s="704">
        <f>AI14*(('Attachment H-11A '!$I$234)*AJ14/100+'Attachment H-11A '!$I$227)</f>
        <v>0</v>
      </c>
      <c r="AM14" s="245">
        <f t="shared" si="5"/>
        <v>0</v>
      </c>
    </row>
    <row r="15" spans="1:48">
      <c r="A15" s="786" t="s">
        <v>509</v>
      </c>
      <c r="B15" s="684"/>
      <c r="C15" s="787"/>
      <c r="D15" s="788"/>
      <c r="E15" s="9">
        <f t="shared" si="3"/>
        <v>0</v>
      </c>
      <c r="F15" s="61">
        <v>0</v>
      </c>
      <c r="G15" s="61">
        <v>0</v>
      </c>
      <c r="H15" s="61">
        <v>0</v>
      </c>
      <c r="I15" s="61">
        <v>0</v>
      </c>
      <c r="J15" s="61">
        <v>0</v>
      </c>
      <c r="K15" s="61">
        <v>0</v>
      </c>
      <c r="L15" s="61">
        <v>0</v>
      </c>
      <c r="M15" s="61">
        <v>0</v>
      </c>
      <c r="N15" s="61">
        <v>0</v>
      </c>
      <c r="O15" s="61">
        <v>0</v>
      </c>
      <c r="P15" s="61">
        <v>0</v>
      </c>
      <c r="Q15" s="61">
        <v>0</v>
      </c>
      <c r="R15" s="61">
        <v>0</v>
      </c>
      <c r="T15" s="9">
        <f t="shared" si="4"/>
        <v>0</v>
      </c>
      <c r="U15" s="61">
        <v>0</v>
      </c>
      <c r="V15" s="61">
        <v>0</v>
      </c>
      <c r="W15" s="61">
        <v>0</v>
      </c>
      <c r="X15" s="61">
        <v>0</v>
      </c>
      <c r="Y15" s="61">
        <v>0</v>
      </c>
      <c r="Z15" s="61">
        <v>0</v>
      </c>
      <c r="AA15" s="61">
        <v>0</v>
      </c>
      <c r="AB15" s="61">
        <v>0</v>
      </c>
      <c r="AC15" s="61">
        <v>0</v>
      </c>
      <c r="AD15" s="61">
        <v>0</v>
      </c>
      <c r="AE15" s="61">
        <v>0</v>
      </c>
      <c r="AF15" s="61">
        <v>0</v>
      </c>
      <c r="AG15" s="61">
        <v>0</v>
      </c>
      <c r="AH15" s="244"/>
      <c r="AI15" s="784">
        <f t="shared" si="2"/>
        <v>0</v>
      </c>
      <c r="AJ15" s="397"/>
      <c r="AK15" s="704">
        <f>AI15*'Attachment H-11A '!$I$227</f>
        <v>0</v>
      </c>
      <c r="AL15" s="704">
        <f>AI15*(('Attachment H-11A '!$I$234)*AJ15/100+'Attachment H-11A '!$I$227)</f>
        <v>0</v>
      </c>
      <c r="AM15" s="245">
        <f t="shared" si="5"/>
        <v>0</v>
      </c>
    </row>
    <row r="16" spans="1:48">
      <c r="A16" s="786" t="s">
        <v>769</v>
      </c>
      <c r="B16" s="684"/>
      <c r="C16" s="787"/>
      <c r="D16" s="788"/>
      <c r="E16" s="9">
        <f t="shared" si="3"/>
        <v>0</v>
      </c>
      <c r="F16" s="61">
        <v>0</v>
      </c>
      <c r="G16" s="61">
        <v>0</v>
      </c>
      <c r="H16" s="61">
        <v>0</v>
      </c>
      <c r="I16" s="61">
        <v>0</v>
      </c>
      <c r="J16" s="61">
        <v>0</v>
      </c>
      <c r="K16" s="61">
        <v>0</v>
      </c>
      <c r="L16" s="61">
        <v>0</v>
      </c>
      <c r="M16" s="61">
        <v>0</v>
      </c>
      <c r="N16" s="61">
        <v>0</v>
      </c>
      <c r="O16" s="61">
        <v>0</v>
      </c>
      <c r="P16" s="61">
        <v>0</v>
      </c>
      <c r="Q16" s="61">
        <v>0</v>
      </c>
      <c r="R16" s="61">
        <v>0</v>
      </c>
      <c r="T16" s="9">
        <f t="shared" si="4"/>
        <v>0</v>
      </c>
      <c r="U16" s="61">
        <v>0</v>
      </c>
      <c r="V16" s="61">
        <v>0</v>
      </c>
      <c r="W16" s="61">
        <v>0</v>
      </c>
      <c r="X16" s="61">
        <v>0</v>
      </c>
      <c r="Y16" s="61">
        <v>0</v>
      </c>
      <c r="Z16" s="61">
        <v>0</v>
      </c>
      <c r="AA16" s="61">
        <v>0</v>
      </c>
      <c r="AB16" s="61">
        <v>0</v>
      </c>
      <c r="AC16" s="61">
        <v>0</v>
      </c>
      <c r="AD16" s="61">
        <v>0</v>
      </c>
      <c r="AE16" s="61">
        <v>0</v>
      </c>
      <c r="AF16" s="61">
        <v>0</v>
      </c>
      <c r="AG16" s="61">
        <v>0</v>
      </c>
      <c r="AH16" s="244"/>
      <c r="AI16" s="784">
        <f t="shared" si="2"/>
        <v>0</v>
      </c>
      <c r="AJ16" s="397"/>
      <c r="AK16" s="704">
        <f>AI16*'Attachment H-11A '!$I$227</f>
        <v>0</v>
      </c>
      <c r="AL16" s="704">
        <f>AI16*(('Attachment H-11A '!$I$234)*AJ16/100+'Attachment H-11A '!$I$227)</f>
        <v>0</v>
      </c>
      <c r="AM16" s="245">
        <f t="shared" si="5"/>
        <v>0</v>
      </c>
    </row>
    <row r="17" spans="1:39">
      <c r="A17" s="786" t="s">
        <v>770</v>
      </c>
      <c r="B17" s="684"/>
      <c r="C17" s="787"/>
      <c r="D17" s="788"/>
      <c r="E17" s="9">
        <f t="shared" si="3"/>
        <v>0</v>
      </c>
      <c r="F17" s="61">
        <v>0</v>
      </c>
      <c r="G17" s="61">
        <v>0</v>
      </c>
      <c r="H17" s="61">
        <v>0</v>
      </c>
      <c r="I17" s="61">
        <v>0</v>
      </c>
      <c r="J17" s="61">
        <v>0</v>
      </c>
      <c r="K17" s="61">
        <v>0</v>
      </c>
      <c r="L17" s="61">
        <v>0</v>
      </c>
      <c r="M17" s="61">
        <v>0</v>
      </c>
      <c r="N17" s="61">
        <v>0</v>
      </c>
      <c r="O17" s="61">
        <v>0</v>
      </c>
      <c r="P17" s="61">
        <v>0</v>
      </c>
      <c r="Q17" s="61">
        <v>0</v>
      </c>
      <c r="R17" s="61">
        <v>0</v>
      </c>
      <c r="T17" s="9">
        <f t="shared" si="4"/>
        <v>0</v>
      </c>
      <c r="U17" s="61">
        <v>0</v>
      </c>
      <c r="V17" s="61">
        <v>0</v>
      </c>
      <c r="W17" s="61">
        <v>0</v>
      </c>
      <c r="X17" s="61">
        <v>0</v>
      </c>
      <c r="Y17" s="61">
        <v>0</v>
      </c>
      <c r="Z17" s="61">
        <v>0</v>
      </c>
      <c r="AA17" s="61">
        <v>0</v>
      </c>
      <c r="AB17" s="61">
        <v>0</v>
      </c>
      <c r="AC17" s="61">
        <v>0</v>
      </c>
      <c r="AD17" s="61">
        <v>0</v>
      </c>
      <c r="AE17" s="61">
        <v>0</v>
      </c>
      <c r="AF17" s="61">
        <v>0</v>
      </c>
      <c r="AG17" s="61">
        <v>0</v>
      </c>
      <c r="AH17" s="244"/>
      <c r="AI17" s="784">
        <f t="shared" si="2"/>
        <v>0</v>
      </c>
      <c r="AJ17" s="397"/>
      <c r="AK17" s="704">
        <f>AI17*'Attachment H-11A '!$I$227</f>
        <v>0</v>
      </c>
      <c r="AL17" s="704">
        <f>AI17*(('Attachment H-11A '!$I$234)*AJ17/100+'Attachment H-11A '!$I$227)</f>
        <v>0</v>
      </c>
      <c r="AM17" s="245">
        <f t="shared" si="5"/>
        <v>0</v>
      </c>
    </row>
    <row r="18" spans="1:39">
      <c r="A18" s="246"/>
      <c r="AM18" s="245"/>
    </row>
    <row r="19" spans="1:39">
      <c r="A19" s="246"/>
      <c r="AM19" s="245"/>
    </row>
    <row r="20" spans="1:39" ht="15.65" customHeight="1">
      <c r="A20" s="246"/>
      <c r="U20" s="500"/>
      <c r="X20" s="678"/>
      <c r="Y20" s="678"/>
      <c r="Z20" s="678"/>
      <c r="AA20" s="678"/>
      <c r="AB20" s="678"/>
      <c r="AM20" s="245"/>
    </row>
    <row r="21" spans="1:39">
      <c r="A21" s="246"/>
      <c r="X21" s="678"/>
      <c r="Y21" s="678"/>
      <c r="Z21" s="678"/>
      <c r="AA21" s="678"/>
      <c r="AB21" s="678"/>
      <c r="AM21" s="245"/>
    </row>
    <row r="22" spans="1:39">
      <c r="A22" s="246"/>
      <c r="X22" s="678"/>
      <c r="Y22" s="678"/>
      <c r="Z22" s="678"/>
      <c r="AA22" s="678"/>
      <c r="AB22" s="678"/>
      <c r="AM22" s="245"/>
    </row>
    <row r="23" spans="1:39">
      <c r="A23" s="246"/>
      <c r="X23" s="678"/>
      <c r="Y23" s="678"/>
      <c r="Z23" s="678"/>
      <c r="AA23" s="678"/>
      <c r="AB23" s="678"/>
      <c r="AM23" s="245"/>
    </row>
    <row r="24" spans="1:39">
      <c r="A24" s="246"/>
      <c r="AM24" s="245"/>
    </row>
    <row r="25" spans="1:39">
      <c r="A25" s="246"/>
      <c r="AM25" s="245"/>
    </row>
    <row r="26" spans="1:39">
      <c r="A26" s="246"/>
      <c r="AM26" s="245"/>
    </row>
    <row r="27" spans="1:39">
      <c r="A27" s="246"/>
      <c r="AM27" s="245"/>
    </row>
    <row r="28" spans="1:39">
      <c r="A28" s="246"/>
      <c r="AM28" s="245"/>
    </row>
    <row r="29" spans="1:39">
      <c r="A29" s="246"/>
      <c r="AM29" s="245"/>
    </row>
    <row r="30" spans="1:39">
      <c r="A30" s="247"/>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9"/>
    </row>
    <row r="31" spans="1:39">
      <c r="A31" s="852" t="s">
        <v>467</v>
      </c>
      <c r="C31" t="s">
        <v>236</v>
      </c>
      <c r="AM31">
        <f>SUM(AM12:AM26)</f>
        <v>0</v>
      </c>
    </row>
    <row r="32" spans="1:39">
      <c r="A32" s="1" t="s">
        <v>247</v>
      </c>
      <c r="B32" s="1"/>
      <c r="C32" s="1"/>
      <c r="S32" s="28"/>
      <c r="T32" s="1" t="s">
        <v>815</v>
      </c>
      <c r="U32" s="1"/>
    </row>
    <row r="33" spans="1:32" ht="15.75" customHeight="1">
      <c r="A33" s="29"/>
      <c r="B33" s="1" t="s">
        <v>205</v>
      </c>
      <c r="C33" s="1" t="s">
        <v>878</v>
      </c>
      <c r="D33" s="1"/>
      <c r="E33" s="1"/>
      <c r="F33" s="1"/>
      <c r="G33" s="1"/>
      <c r="H33" s="1"/>
      <c r="I33" s="1"/>
      <c r="J33" s="1"/>
      <c r="K33" s="1"/>
      <c r="M33" s="1" t="s">
        <v>829</v>
      </c>
      <c r="S33" s="29"/>
      <c r="T33" s="16" t="s">
        <v>257</v>
      </c>
      <c r="U33" s="1" t="s">
        <v>822</v>
      </c>
      <c r="V33" s="1"/>
      <c r="W33" s="1"/>
      <c r="X33" s="1"/>
      <c r="Y33" s="1"/>
      <c r="Z33" s="1"/>
      <c r="AA33" s="1"/>
      <c r="AB33" s="1"/>
      <c r="AC33" s="1"/>
      <c r="AD33" s="890" t="s">
        <v>631</v>
      </c>
      <c r="AE33" t="s">
        <v>899</v>
      </c>
    </row>
    <row r="34" spans="1:32" ht="33.75" customHeight="1">
      <c r="B34" s="1" t="s">
        <v>218</v>
      </c>
      <c r="C34" s="1" t="s">
        <v>799</v>
      </c>
      <c r="D34" s="1"/>
      <c r="E34" s="1"/>
      <c r="F34" s="1"/>
      <c r="G34" s="1"/>
      <c r="H34" s="1"/>
      <c r="I34" s="1"/>
      <c r="J34" s="1"/>
      <c r="K34" s="1"/>
      <c r="T34" s="16" t="s">
        <v>267</v>
      </c>
      <c r="U34" s="1125" t="s">
        <v>918</v>
      </c>
      <c r="V34" s="1125"/>
      <c r="W34" s="1125"/>
      <c r="X34" s="1125"/>
      <c r="Y34" s="1125"/>
      <c r="Z34" s="1125"/>
      <c r="AA34" s="1125"/>
      <c r="AB34" s="1125"/>
      <c r="AC34" s="1125"/>
      <c r="AD34" s="890" t="s">
        <v>512</v>
      </c>
      <c r="AE34" t="s">
        <v>1145</v>
      </c>
    </row>
    <row r="35" spans="1:32">
      <c r="T35" s="16" t="s">
        <v>268</v>
      </c>
      <c r="U35" t="s">
        <v>922</v>
      </c>
      <c r="AB35" s="1"/>
      <c r="AC35" s="1"/>
      <c r="AD35" s="890" t="s">
        <v>686</v>
      </c>
      <c r="AE35" t="s">
        <v>923</v>
      </c>
    </row>
    <row r="40" spans="1:32">
      <c r="T40" s="16"/>
      <c r="U40" s="1"/>
      <c r="V40" s="1"/>
      <c r="W40" s="1"/>
      <c r="X40" s="1"/>
      <c r="Y40" s="1"/>
      <c r="Z40" s="1"/>
      <c r="AA40" s="1"/>
      <c r="AD40" s="1123"/>
      <c r="AE40" s="1124"/>
      <c r="AF40" s="1"/>
    </row>
    <row r="41" spans="1:32">
      <c r="AD41" s="1"/>
      <c r="AE41" s="1"/>
      <c r="AF41" s="1"/>
    </row>
    <row r="42" spans="1:32">
      <c r="AD42" s="1"/>
      <c r="AE42" s="1"/>
      <c r="AF42" s="1"/>
    </row>
  </sheetData>
  <mergeCells count="6">
    <mergeCell ref="A1:N1"/>
    <mergeCell ref="T1:AE1"/>
    <mergeCell ref="A2:N2"/>
    <mergeCell ref="T2:AE2"/>
    <mergeCell ref="AD40:AE40"/>
    <mergeCell ref="U34:AC34"/>
  </mergeCells>
  <pageMargins left="0.7" right="0.7" top="0.75" bottom="0.75" header="0.3" footer="0.3"/>
  <pageSetup scale="38" orientation="landscape" r:id="rId1"/>
  <colBreaks count="1" manualBreakCount="1">
    <brk id="19"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M70"/>
  <sheetViews>
    <sheetView view="pageBreakPreview" zoomScale="90" zoomScaleNormal="60" zoomScaleSheetLayoutView="90" workbookViewId="0"/>
  </sheetViews>
  <sheetFormatPr defaultColWidth="8.84375" defaultRowHeight="20.149999999999999" customHeight="1"/>
  <cols>
    <col min="1" max="1" width="6.07421875" style="39" bestFit="1" customWidth="1"/>
    <col min="2" max="2" width="15.07421875" style="33" customWidth="1"/>
    <col min="3" max="3" width="8.84375" style="33"/>
    <col min="4" max="4" width="2.84375" style="33" customWidth="1"/>
    <col min="5" max="5" width="14.84375" style="39" bestFit="1" customWidth="1"/>
    <col min="6" max="6" width="23.07421875" style="39" customWidth="1"/>
    <col min="7" max="7" width="19.07421875" style="39" customWidth="1"/>
    <col min="8" max="8" width="17.07421875" style="39" customWidth="1"/>
    <col min="9" max="9" width="12.84375" style="39" customWidth="1"/>
    <col min="10" max="11" width="15" style="39" bestFit="1" customWidth="1"/>
    <col min="12" max="12" width="3.53515625" style="39" customWidth="1"/>
    <col min="13" max="13" width="18.23046875" style="33" customWidth="1"/>
    <col min="14" max="14" width="23" style="33" customWidth="1"/>
    <col min="15" max="15" width="15" style="33" bestFit="1" customWidth="1"/>
    <col min="16" max="16" width="15.53515625" style="33" bestFit="1" customWidth="1"/>
    <col min="17" max="16384" width="8.84375" style="33"/>
  </cols>
  <sheetData>
    <row r="1" spans="1:13" ht="20.149999999999999" customHeight="1">
      <c r="E1" s="33"/>
      <c r="F1" s="33"/>
      <c r="G1" s="33"/>
      <c r="M1" s="3" t="str">
        <f>'Attachment H-11A '!K1&amp;""&amp;", Attachment 3"</f>
        <v>Attachment H -11A, Attachment 3</v>
      </c>
    </row>
    <row r="2" spans="1:13" ht="20.149999999999999" customHeight="1">
      <c r="M2" s="3" t="s">
        <v>168</v>
      </c>
    </row>
    <row r="3" spans="1:13" ht="20.149999999999999" customHeight="1">
      <c r="H3" s="41" t="s">
        <v>496</v>
      </c>
      <c r="M3" s="3" t="str">
        <f>'Attachment H-11A '!K4</f>
        <v>For the 12 months ended 12/31/2025</v>
      </c>
    </row>
    <row r="4" spans="1:13" ht="20.149999999999999" customHeight="1">
      <c r="A4" s="42"/>
    </row>
    <row r="5" spans="1:13" ht="20.149999999999999" customHeight="1">
      <c r="E5" s="375" t="s">
        <v>457</v>
      </c>
      <c r="F5" s="375" t="s">
        <v>458</v>
      </c>
      <c r="G5" s="375" t="s">
        <v>459</v>
      </c>
      <c r="H5" s="375" t="s">
        <v>460</v>
      </c>
      <c r="I5" s="375" t="s">
        <v>461</v>
      </c>
      <c r="J5" s="375" t="s">
        <v>462</v>
      </c>
      <c r="K5" s="375" t="s">
        <v>463</v>
      </c>
      <c r="L5" s="376"/>
      <c r="M5" s="39" t="s">
        <v>765</v>
      </c>
    </row>
    <row r="6" spans="1:13" ht="20.149999999999999" customHeight="1">
      <c r="E6" s="41" t="s">
        <v>196</v>
      </c>
      <c r="F6" s="41" t="s">
        <v>755</v>
      </c>
      <c r="G6" s="41" t="s">
        <v>794</v>
      </c>
      <c r="H6" s="41" t="s">
        <v>795</v>
      </c>
      <c r="I6" s="41" t="s">
        <v>199</v>
      </c>
      <c r="J6" s="41" t="s">
        <v>198</v>
      </c>
      <c r="K6" s="41" t="s">
        <v>200</v>
      </c>
      <c r="L6" s="33"/>
      <c r="M6" s="41" t="s">
        <v>9</v>
      </c>
    </row>
    <row r="7" spans="1:13" ht="20.149999999999999" customHeight="1">
      <c r="D7" s="37"/>
      <c r="E7" s="40"/>
      <c r="F7" s="40"/>
      <c r="G7" s="40"/>
      <c r="H7" s="40"/>
      <c r="I7" s="40"/>
      <c r="J7" s="40"/>
      <c r="K7" s="43"/>
      <c r="L7" s="33"/>
    </row>
    <row r="8" spans="1:13" ht="20.149999999999999" customHeight="1">
      <c r="A8" s="43">
        <v>1</v>
      </c>
      <c r="B8" s="33" t="s">
        <v>180</v>
      </c>
      <c r="C8" s="36">
        <v>2024</v>
      </c>
      <c r="E8" s="93">
        <f>E27-E48</f>
        <v>3219681315.3846421</v>
      </c>
      <c r="F8" s="86">
        <v>16365785.130000001</v>
      </c>
      <c r="G8" s="93">
        <f>F27-F48-F8</f>
        <v>786959054.22327042</v>
      </c>
      <c r="H8" s="93">
        <f>G27-G48+F8</f>
        <v>2496452323.9288425</v>
      </c>
      <c r="I8" s="93">
        <f t="shared" ref="I8:K20" si="0">H27-H48</f>
        <v>67138839.984837487</v>
      </c>
      <c r="J8" s="93">
        <f>I27-I48</f>
        <v>165985998.55232048</v>
      </c>
      <c r="K8" s="93">
        <f t="shared" si="0"/>
        <v>0</v>
      </c>
      <c r="L8" s="400"/>
      <c r="M8" s="400">
        <f>SUM(E8,G8,H8,I8,J8,K8)</f>
        <v>6736217532.0739126</v>
      </c>
    </row>
    <row r="9" spans="1:13" ht="20.149999999999999" customHeight="1">
      <c r="A9" s="43">
        <v>2</v>
      </c>
      <c r="B9" s="33" t="s">
        <v>181</v>
      </c>
      <c r="C9" s="35">
        <f>C8+1</f>
        <v>2025</v>
      </c>
      <c r="E9" s="93">
        <f t="shared" ref="E9" si="1">E28-E49</f>
        <v>3223679327.1050386</v>
      </c>
      <c r="F9" s="86">
        <v>16365785.130000001</v>
      </c>
      <c r="G9" s="93">
        <f>F28-F49-F9</f>
        <v>787881588.85179567</v>
      </c>
      <c r="H9" s="93">
        <f>G28-G49+F9</f>
        <v>2506284437.8922791</v>
      </c>
      <c r="I9" s="93">
        <f t="shared" si="0"/>
        <v>70167154.163002193</v>
      </c>
      <c r="J9" s="93">
        <f t="shared" si="0"/>
        <v>166709847.76970783</v>
      </c>
      <c r="K9" s="93">
        <f t="shared" si="0"/>
        <v>0</v>
      </c>
      <c r="L9" s="400"/>
      <c r="M9" s="400">
        <f t="shared" ref="M9:M20" si="2">SUM(E9,G9,H9,I9,J9,K9)</f>
        <v>6754722355.7818232</v>
      </c>
    </row>
    <row r="10" spans="1:13" ht="20.149999999999999" customHeight="1">
      <c r="A10" s="43">
        <v>3</v>
      </c>
      <c r="B10" s="33" t="s">
        <v>182</v>
      </c>
      <c r="C10" s="35">
        <f>C9</f>
        <v>2025</v>
      </c>
      <c r="E10" s="93">
        <f t="shared" ref="E10" si="3">E29-E50</f>
        <v>3225063945.7287006</v>
      </c>
      <c r="F10" s="86">
        <v>16365785.130000001</v>
      </c>
      <c r="G10" s="93">
        <f t="shared" ref="G10:G20" si="4">F29-F50-F10</f>
        <v>788315547.43837571</v>
      </c>
      <c r="H10" s="93">
        <f t="shared" ref="H10:H20" si="5">G29-G50+F10</f>
        <v>2515060346.6601367</v>
      </c>
      <c r="I10" s="93">
        <f t="shared" si="0"/>
        <v>70542619.936675176</v>
      </c>
      <c r="J10" s="93">
        <f t="shared" si="0"/>
        <v>167473010.21747988</v>
      </c>
      <c r="K10" s="93">
        <f t="shared" si="0"/>
        <v>0</v>
      </c>
      <c r="L10" s="400"/>
      <c r="M10" s="400">
        <f t="shared" si="2"/>
        <v>6766455469.9813681</v>
      </c>
    </row>
    <row r="11" spans="1:13" ht="20.149999999999999" customHeight="1">
      <c r="A11" s="43">
        <v>4</v>
      </c>
      <c r="B11" s="33" t="s">
        <v>183</v>
      </c>
      <c r="C11" s="35">
        <f t="shared" ref="C11:C20" si="6">C10</f>
        <v>2025</v>
      </c>
      <c r="E11" s="93">
        <f t="shared" ref="E11" si="7">E30-E51</f>
        <v>3226202795.3693271</v>
      </c>
      <c r="F11" s="86">
        <v>16365785.130000001</v>
      </c>
      <c r="G11" s="93">
        <f t="shared" si="4"/>
        <v>791758463.16447532</v>
      </c>
      <c r="H11" s="93">
        <f t="shared" si="5"/>
        <v>2523809016.1911936</v>
      </c>
      <c r="I11" s="93">
        <f t="shared" si="0"/>
        <v>71135317.495969266</v>
      </c>
      <c r="J11" s="93">
        <f t="shared" si="0"/>
        <v>167935578.37216926</v>
      </c>
      <c r="K11" s="93">
        <f t="shared" si="0"/>
        <v>0</v>
      </c>
      <c r="L11" s="400"/>
      <c r="M11" s="400">
        <f t="shared" si="2"/>
        <v>6780841170.5931349</v>
      </c>
    </row>
    <row r="12" spans="1:13" ht="20.149999999999999" customHeight="1">
      <c r="A12" s="43">
        <v>5</v>
      </c>
      <c r="B12" s="33" t="s">
        <v>184</v>
      </c>
      <c r="C12" s="35">
        <f t="shared" si="6"/>
        <v>2025</v>
      </c>
      <c r="E12" s="93">
        <f t="shared" ref="E12" si="8">E31-E52</f>
        <v>3227706612.0384712</v>
      </c>
      <c r="F12" s="86">
        <v>16365785.130000001</v>
      </c>
      <c r="G12" s="93">
        <f t="shared" si="4"/>
        <v>802717583.67130458</v>
      </c>
      <c r="H12" s="93">
        <f t="shared" si="5"/>
        <v>2531745817.9269776</v>
      </c>
      <c r="I12" s="93">
        <f t="shared" si="0"/>
        <v>71487016.413209617</v>
      </c>
      <c r="J12" s="93">
        <f t="shared" si="0"/>
        <v>168445885.00385818</v>
      </c>
      <c r="K12" s="93">
        <f t="shared" si="0"/>
        <v>0</v>
      </c>
      <c r="L12" s="400"/>
      <c r="M12" s="400">
        <f t="shared" si="2"/>
        <v>6802102915.0538216</v>
      </c>
    </row>
    <row r="13" spans="1:13" ht="20.149999999999999" customHeight="1">
      <c r="A13" s="43">
        <v>6</v>
      </c>
      <c r="B13" s="33" t="s">
        <v>185</v>
      </c>
      <c r="C13" s="35">
        <f t="shared" si="6"/>
        <v>2025</v>
      </c>
      <c r="E13" s="93">
        <f t="shared" ref="E13" si="9">E32-E53</f>
        <v>3259039890.5048318</v>
      </c>
      <c r="F13" s="86">
        <v>16365785.130000001</v>
      </c>
      <c r="G13" s="93">
        <f t="shared" si="4"/>
        <v>808746462.61976862</v>
      </c>
      <c r="H13" s="93">
        <f t="shared" si="5"/>
        <v>2539629728.9042134</v>
      </c>
      <c r="I13" s="93">
        <f t="shared" si="0"/>
        <v>71805996.757384673</v>
      </c>
      <c r="J13" s="93">
        <f t="shared" si="0"/>
        <v>168957897.23060942</v>
      </c>
      <c r="K13" s="93">
        <f t="shared" si="0"/>
        <v>0</v>
      </c>
      <c r="L13" s="400"/>
      <c r="M13" s="400">
        <f t="shared" si="2"/>
        <v>6848179976.0168076</v>
      </c>
    </row>
    <row r="14" spans="1:13" ht="20.149999999999999" customHeight="1">
      <c r="A14" s="43">
        <v>7</v>
      </c>
      <c r="B14" s="33" t="s">
        <v>195</v>
      </c>
      <c r="C14" s="35">
        <f t="shared" si="6"/>
        <v>2025</v>
      </c>
      <c r="E14" s="93">
        <f t="shared" ref="E14" si="10">E33-E54</f>
        <v>3273692035.3921456</v>
      </c>
      <c r="F14" s="86">
        <v>16365785.130000001</v>
      </c>
      <c r="G14" s="93">
        <f t="shared" si="4"/>
        <v>817947716.76330006</v>
      </c>
      <c r="H14" s="93">
        <f t="shared" si="5"/>
        <v>2548235229.0130348</v>
      </c>
      <c r="I14" s="93">
        <f t="shared" si="0"/>
        <v>72151481.023839206</v>
      </c>
      <c r="J14" s="93">
        <f t="shared" si="0"/>
        <v>169631261.4814235</v>
      </c>
      <c r="K14" s="93">
        <f t="shared" si="0"/>
        <v>0</v>
      </c>
      <c r="L14" s="400"/>
      <c r="M14" s="400">
        <f t="shared" si="2"/>
        <v>6881657723.6737423</v>
      </c>
    </row>
    <row r="15" spans="1:13" ht="20.149999999999999" customHeight="1">
      <c r="A15" s="43">
        <v>8</v>
      </c>
      <c r="B15" s="33" t="s">
        <v>186</v>
      </c>
      <c r="C15" s="35">
        <f t="shared" si="6"/>
        <v>2025</v>
      </c>
      <c r="E15" s="93">
        <f t="shared" ref="E15" si="11">E34-E55</f>
        <v>3275252005.1259117</v>
      </c>
      <c r="F15" s="86">
        <v>16365785.130000001</v>
      </c>
      <c r="G15" s="93">
        <f t="shared" si="4"/>
        <v>820504075.68164098</v>
      </c>
      <c r="H15" s="93">
        <f t="shared" si="5"/>
        <v>2555582365.6178236</v>
      </c>
      <c r="I15" s="93">
        <f t="shared" si="0"/>
        <v>72463055.071202844</v>
      </c>
      <c r="J15" s="93">
        <f t="shared" si="0"/>
        <v>170332102.24623778</v>
      </c>
      <c r="K15" s="93">
        <f t="shared" si="0"/>
        <v>0</v>
      </c>
      <c r="L15" s="400"/>
      <c r="M15" s="400">
        <f t="shared" si="2"/>
        <v>6894133603.7428179</v>
      </c>
    </row>
    <row r="16" spans="1:13" ht="20.149999999999999" customHeight="1">
      <c r="A16" s="43">
        <v>9</v>
      </c>
      <c r="B16" s="33" t="s">
        <v>187</v>
      </c>
      <c r="C16" s="35">
        <f t="shared" si="6"/>
        <v>2025</v>
      </c>
      <c r="E16" s="93">
        <f t="shared" ref="E16" si="12">E35-E56</f>
        <v>3277318555.2804952</v>
      </c>
      <c r="F16" s="86">
        <v>16365785.130000001</v>
      </c>
      <c r="G16" s="93">
        <f t="shared" si="4"/>
        <v>822226503.49473214</v>
      </c>
      <c r="H16" s="93">
        <f t="shared" si="5"/>
        <v>2563013483.435112</v>
      </c>
      <c r="I16" s="93">
        <f t="shared" si="0"/>
        <v>72803605.489390045</v>
      </c>
      <c r="J16" s="93">
        <f t="shared" si="0"/>
        <v>171233893.10585472</v>
      </c>
      <c r="K16" s="93">
        <f t="shared" si="0"/>
        <v>0</v>
      </c>
      <c r="L16" s="400"/>
      <c r="M16" s="400">
        <f t="shared" si="2"/>
        <v>6906596040.8055849</v>
      </c>
    </row>
    <row r="17" spans="1:13" ht="20.149999999999999" customHeight="1">
      <c r="A17" s="43">
        <v>10</v>
      </c>
      <c r="B17" s="33" t="s">
        <v>188</v>
      </c>
      <c r="C17" s="35">
        <f t="shared" si="6"/>
        <v>2025</v>
      </c>
      <c r="E17" s="93">
        <f t="shared" ref="E17" si="13">E36-E57</f>
        <v>3278920371.388885</v>
      </c>
      <c r="F17" s="86">
        <v>16365785.130000001</v>
      </c>
      <c r="G17" s="93">
        <f t="shared" si="4"/>
        <v>824121709.38590455</v>
      </c>
      <c r="H17" s="93">
        <f t="shared" si="5"/>
        <v>2570765033.9454665</v>
      </c>
      <c r="I17" s="93">
        <f t="shared" si="0"/>
        <v>73111274.039608687</v>
      </c>
      <c r="J17" s="93">
        <f t="shared" si="0"/>
        <v>172100474.81061974</v>
      </c>
      <c r="K17" s="93">
        <f t="shared" si="0"/>
        <v>0</v>
      </c>
      <c r="L17" s="400"/>
      <c r="M17" s="400">
        <f t="shared" si="2"/>
        <v>6919018863.5704851</v>
      </c>
    </row>
    <row r="18" spans="1:13" ht="20.149999999999999" customHeight="1">
      <c r="A18" s="43">
        <v>11</v>
      </c>
      <c r="B18" s="33" t="s">
        <v>190</v>
      </c>
      <c r="C18" s="35">
        <f t="shared" si="6"/>
        <v>2025</v>
      </c>
      <c r="E18" s="93">
        <f t="shared" ref="E18" si="14">E37-E58</f>
        <v>3280509871.8462558</v>
      </c>
      <c r="F18" s="86">
        <v>16365785.130000001</v>
      </c>
      <c r="G18" s="93">
        <f t="shared" si="4"/>
        <v>828016816.48228729</v>
      </c>
      <c r="H18" s="93">
        <f t="shared" si="5"/>
        <v>2578410372.0443501</v>
      </c>
      <c r="I18" s="93">
        <f t="shared" si="0"/>
        <v>73423566.449407086</v>
      </c>
      <c r="J18" s="93">
        <f t="shared" si="0"/>
        <v>172970353.05835375</v>
      </c>
      <c r="K18" s="93">
        <f t="shared" si="0"/>
        <v>0</v>
      </c>
      <c r="L18" s="400"/>
      <c r="M18" s="400">
        <f t="shared" si="2"/>
        <v>6933330979.8806534</v>
      </c>
    </row>
    <row r="19" spans="1:13" ht="20.149999999999999" customHeight="1">
      <c r="A19" s="43">
        <v>12</v>
      </c>
      <c r="B19" s="33" t="s">
        <v>189</v>
      </c>
      <c r="C19" s="35">
        <f t="shared" si="6"/>
        <v>2025</v>
      </c>
      <c r="E19" s="93">
        <f t="shared" ref="E19" si="15">E38-E59</f>
        <v>3314889355.6325216</v>
      </c>
      <c r="F19" s="86">
        <v>16365785.130000001</v>
      </c>
      <c r="G19" s="93">
        <f t="shared" si="4"/>
        <v>831680987.25809491</v>
      </c>
      <c r="H19" s="93">
        <f t="shared" si="5"/>
        <v>2585833298.5309052</v>
      </c>
      <c r="I19" s="93">
        <f t="shared" si="0"/>
        <v>73724771.860794634</v>
      </c>
      <c r="J19" s="93">
        <f t="shared" si="0"/>
        <v>173633555.62873569</v>
      </c>
      <c r="K19" s="93">
        <f t="shared" si="0"/>
        <v>0</v>
      </c>
      <c r="L19" s="400"/>
      <c r="M19" s="400">
        <f t="shared" si="2"/>
        <v>6979761968.9110527</v>
      </c>
    </row>
    <row r="20" spans="1:13" ht="20.149999999999999" customHeight="1">
      <c r="A20" s="43">
        <v>13</v>
      </c>
      <c r="B20" s="33" t="s">
        <v>180</v>
      </c>
      <c r="C20" s="35">
        <f t="shared" si="6"/>
        <v>2025</v>
      </c>
      <c r="E20" s="93">
        <f t="shared" ref="E20" si="16">E39-E60</f>
        <v>3434617553.6044912</v>
      </c>
      <c r="F20" s="86">
        <v>16365785.130000001</v>
      </c>
      <c r="G20" s="93">
        <f t="shared" si="4"/>
        <v>842874891.85430324</v>
      </c>
      <c r="H20" s="93">
        <f t="shared" si="5"/>
        <v>2593518044.0363226</v>
      </c>
      <c r="I20" s="93">
        <f t="shared" si="0"/>
        <v>76304660.214274779</v>
      </c>
      <c r="J20" s="93">
        <f t="shared" si="0"/>
        <v>174345483.52370641</v>
      </c>
      <c r="K20" s="93">
        <f t="shared" si="0"/>
        <v>0</v>
      </c>
      <c r="L20" s="400"/>
      <c r="M20" s="400">
        <f t="shared" si="2"/>
        <v>7121660633.233098</v>
      </c>
    </row>
    <row r="21" spans="1:13" ht="20.149999999999999" customHeight="1">
      <c r="E21" s="93"/>
      <c r="F21" s="93"/>
      <c r="G21" s="93"/>
      <c r="H21" s="93"/>
      <c r="I21" s="93"/>
      <c r="J21" s="93"/>
      <c r="K21" s="93"/>
      <c r="L21" s="400"/>
      <c r="M21" s="400"/>
    </row>
    <row r="22" spans="1:13" s="44" customFormat="1" ht="20.149999999999999" customHeight="1">
      <c r="A22" s="184">
        <v>14</v>
      </c>
      <c r="B22" s="44" t="s">
        <v>204</v>
      </c>
      <c r="D22" s="49" t="s">
        <v>776</v>
      </c>
      <c r="E22" s="399">
        <f t="shared" ref="E22:J22" si="17">SUM(E8:E20)/13</f>
        <v>3270505664.1847477</v>
      </c>
      <c r="F22" s="399">
        <f t="shared" si="17"/>
        <v>16365785.129999997</v>
      </c>
      <c r="G22" s="399">
        <f t="shared" si="17"/>
        <v>811827030.8376348</v>
      </c>
      <c r="H22" s="399">
        <f t="shared" si="17"/>
        <v>2546795346.0097432</v>
      </c>
      <c r="I22" s="399">
        <f t="shared" si="17"/>
        <v>72019950.68458429</v>
      </c>
      <c r="J22" s="399">
        <f t="shared" si="17"/>
        <v>169981180.07700589</v>
      </c>
      <c r="K22" s="399">
        <f t="shared" ref="K22" si="18">SUM(K8:K20)/13</f>
        <v>0</v>
      </c>
      <c r="L22" s="399"/>
      <c r="M22" s="399">
        <f>SUM(M8:M20)/13</f>
        <v>6871129171.7937164</v>
      </c>
    </row>
    <row r="24" spans="1:13" ht="20.149999999999999" customHeight="1">
      <c r="E24" s="41" t="s">
        <v>196</v>
      </c>
      <c r="F24" s="41" t="s">
        <v>24</v>
      </c>
      <c r="G24" s="41" t="s">
        <v>197</v>
      </c>
      <c r="H24" s="41" t="s">
        <v>199</v>
      </c>
      <c r="I24" s="41" t="s">
        <v>198</v>
      </c>
      <c r="J24" s="41" t="s">
        <v>200</v>
      </c>
      <c r="K24" s="33"/>
      <c r="M24" s="41" t="s">
        <v>9</v>
      </c>
    </row>
    <row r="25" spans="1:13" ht="20.149999999999999" customHeight="1">
      <c r="E25" s="41"/>
      <c r="F25" s="42"/>
      <c r="G25" s="1063"/>
      <c r="H25" s="1063"/>
      <c r="I25" s="41"/>
      <c r="J25" s="41"/>
      <c r="K25" s="33"/>
    </row>
    <row r="26" spans="1:13" ht="20.149999999999999" customHeight="1">
      <c r="D26" s="37" t="s">
        <v>218</v>
      </c>
      <c r="E26" s="40" t="s">
        <v>124</v>
      </c>
      <c r="F26" s="40" t="s">
        <v>201</v>
      </c>
      <c r="G26" s="40" t="s">
        <v>125</v>
      </c>
      <c r="H26" s="40" t="s">
        <v>202</v>
      </c>
      <c r="I26" s="40" t="s">
        <v>203</v>
      </c>
      <c r="J26" s="43">
        <v>356.1</v>
      </c>
      <c r="K26" s="33"/>
    </row>
    <row r="27" spans="1:13" ht="20.149999999999999" customHeight="1">
      <c r="A27" s="43">
        <v>15</v>
      </c>
      <c r="B27" s="33" t="s">
        <v>180</v>
      </c>
      <c r="C27" s="35">
        <f>C8</f>
        <v>2024</v>
      </c>
      <c r="E27" s="86">
        <v>3224322494.3746419</v>
      </c>
      <c r="F27" s="86">
        <v>803325813.77327037</v>
      </c>
      <c r="G27" s="86">
        <v>2480086538.7988424</v>
      </c>
      <c r="H27" s="86">
        <v>67138839.984837487</v>
      </c>
      <c r="I27" s="86">
        <v>166043743.34232047</v>
      </c>
      <c r="J27" s="86"/>
      <c r="K27" s="87"/>
      <c r="M27" s="87">
        <f t="shared" ref="M27:M39" si="19">SUM(E27:J27)</f>
        <v>6740917430.2739124</v>
      </c>
    </row>
    <row r="28" spans="1:13" ht="20.149999999999999" customHeight="1">
      <c r="A28" s="43">
        <v>16</v>
      </c>
      <c r="B28" s="33" t="s">
        <v>181</v>
      </c>
      <c r="C28" s="35">
        <f>C27+1</f>
        <v>2025</v>
      </c>
      <c r="E28" s="86">
        <v>3228320506.0950384</v>
      </c>
      <c r="F28" s="86">
        <v>804248348.40179563</v>
      </c>
      <c r="G28" s="86">
        <v>2489918652.762279</v>
      </c>
      <c r="H28" s="86">
        <v>70167154.163002193</v>
      </c>
      <c r="I28" s="86">
        <v>166767592.55970782</v>
      </c>
      <c r="J28" s="86"/>
      <c r="K28" s="87"/>
      <c r="M28" s="87">
        <f t="shared" si="19"/>
        <v>6759422253.981823</v>
      </c>
    </row>
    <row r="29" spans="1:13" ht="20.149999999999999" customHeight="1">
      <c r="A29" s="43">
        <v>17</v>
      </c>
      <c r="B29" s="33" t="s">
        <v>182</v>
      </c>
      <c r="C29" s="35">
        <f>C28</f>
        <v>2025</v>
      </c>
      <c r="E29" s="86">
        <v>3229705124.7187004</v>
      </c>
      <c r="F29" s="86">
        <v>804682306.98837566</v>
      </c>
      <c r="G29" s="86">
        <v>2498694561.5301366</v>
      </c>
      <c r="H29" s="86">
        <v>70542619.936675176</v>
      </c>
      <c r="I29" s="86">
        <v>167530755.00747988</v>
      </c>
      <c r="J29" s="86"/>
      <c r="K29" s="87"/>
      <c r="M29" s="87">
        <f t="shared" si="19"/>
        <v>6771155368.1813679</v>
      </c>
    </row>
    <row r="30" spans="1:13" ht="20.149999999999999" customHeight="1">
      <c r="A30" s="43">
        <v>18</v>
      </c>
      <c r="B30" s="33" t="s">
        <v>183</v>
      </c>
      <c r="C30" s="35">
        <f t="shared" ref="C30:C39" si="20">C29</f>
        <v>2025</v>
      </c>
      <c r="E30" s="86">
        <v>3230843974.3593268</v>
      </c>
      <c r="F30" s="86">
        <v>808125222.71447527</v>
      </c>
      <c r="G30" s="86">
        <v>2507443231.0611935</v>
      </c>
      <c r="H30" s="86">
        <v>71135317.495969266</v>
      </c>
      <c r="I30" s="86">
        <v>167993323.16216925</v>
      </c>
      <c r="J30" s="86"/>
      <c r="K30" s="87"/>
      <c r="M30" s="87">
        <f t="shared" si="19"/>
        <v>6785541068.7931337</v>
      </c>
    </row>
    <row r="31" spans="1:13" ht="20.149999999999999" customHeight="1">
      <c r="A31" s="43">
        <v>19</v>
      </c>
      <c r="B31" s="33" t="s">
        <v>184</v>
      </c>
      <c r="C31" s="35">
        <f t="shared" si="20"/>
        <v>2025</v>
      </c>
      <c r="E31" s="86">
        <v>3232347791.028471</v>
      </c>
      <c r="F31" s="86">
        <v>819084343.22130454</v>
      </c>
      <c r="G31" s="86">
        <v>2515380032.7969775</v>
      </c>
      <c r="H31" s="86">
        <v>71487016.413209617</v>
      </c>
      <c r="I31" s="86">
        <v>168503629.79385817</v>
      </c>
      <c r="J31" s="86"/>
      <c r="K31" s="87"/>
      <c r="M31" s="87">
        <f t="shared" si="19"/>
        <v>6806802813.2538214</v>
      </c>
    </row>
    <row r="32" spans="1:13" ht="20.149999999999999" customHeight="1">
      <c r="A32" s="43">
        <v>20</v>
      </c>
      <c r="B32" s="33" t="s">
        <v>185</v>
      </c>
      <c r="C32" s="35">
        <f t="shared" si="20"/>
        <v>2025</v>
      </c>
      <c r="E32" s="86">
        <v>3263681069.4948316</v>
      </c>
      <c r="F32" s="86">
        <v>825113222.16976857</v>
      </c>
      <c r="G32" s="86">
        <v>2523263943.7742133</v>
      </c>
      <c r="H32" s="86">
        <v>71805996.757384673</v>
      </c>
      <c r="I32" s="86">
        <v>169015642.02060941</v>
      </c>
      <c r="J32" s="86"/>
      <c r="K32" s="87"/>
      <c r="M32" s="87">
        <f t="shared" si="19"/>
        <v>6852879874.2168083</v>
      </c>
    </row>
    <row r="33" spans="1:13" ht="20.149999999999999" customHeight="1">
      <c r="A33" s="43">
        <v>21</v>
      </c>
      <c r="B33" s="33" t="s">
        <v>195</v>
      </c>
      <c r="C33" s="35">
        <f t="shared" si="20"/>
        <v>2025</v>
      </c>
      <c r="E33" s="86">
        <v>3278333214.3821454</v>
      </c>
      <c r="F33" s="86">
        <v>834314476.31330001</v>
      </c>
      <c r="G33" s="86">
        <v>2531869443.8830347</v>
      </c>
      <c r="H33" s="86">
        <v>72151481.023839206</v>
      </c>
      <c r="I33" s="86">
        <v>169689006.27142349</v>
      </c>
      <c r="J33" s="86"/>
      <c r="K33" s="87"/>
      <c r="M33" s="87">
        <f t="shared" si="19"/>
        <v>6886357621.8737421</v>
      </c>
    </row>
    <row r="34" spans="1:13" ht="20.149999999999999" customHeight="1">
      <c r="A34" s="43">
        <v>22</v>
      </c>
      <c r="B34" s="33" t="s">
        <v>186</v>
      </c>
      <c r="C34" s="35">
        <f t="shared" si="20"/>
        <v>2025</v>
      </c>
      <c r="E34" s="86">
        <v>3279893184.1159115</v>
      </c>
      <c r="F34" s="86">
        <v>836870835.23164093</v>
      </c>
      <c r="G34" s="86">
        <v>2539216580.4878235</v>
      </c>
      <c r="H34" s="86">
        <v>72463055.071202844</v>
      </c>
      <c r="I34" s="86">
        <v>170389847.03623778</v>
      </c>
      <c r="J34" s="86"/>
      <c r="K34" s="87"/>
      <c r="M34" s="87">
        <f t="shared" si="19"/>
        <v>6898833501.9428167</v>
      </c>
    </row>
    <row r="35" spans="1:13" ht="20.149999999999999" customHeight="1">
      <c r="A35" s="43">
        <v>23</v>
      </c>
      <c r="B35" s="33" t="s">
        <v>187</v>
      </c>
      <c r="C35" s="35">
        <f t="shared" si="20"/>
        <v>2025</v>
      </c>
      <c r="E35" s="86">
        <v>3281959734.2704949</v>
      </c>
      <c r="F35" s="86">
        <v>838593263.04473209</v>
      </c>
      <c r="G35" s="86">
        <v>2546647698.3051119</v>
      </c>
      <c r="H35" s="86">
        <v>72803605.489390045</v>
      </c>
      <c r="I35" s="86">
        <v>171291637.89585471</v>
      </c>
      <c r="J35" s="86"/>
      <c r="K35" s="87"/>
      <c r="M35" s="87">
        <f t="shared" si="19"/>
        <v>6911295939.0055838</v>
      </c>
    </row>
    <row r="36" spans="1:13" ht="20.149999999999999" customHeight="1">
      <c r="A36" s="43">
        <v>24</v>
      </c>
      <c r="B36" s="33" t="s">
        <v>188</v>
      </c>
      <c r="C36" s="35">
        <f t="shared" si="20"/>
        <v>2025</v>
      </c>
      <c r="E36" s="86">
        <v>3283561550.3788848</v>
      </c>
      <c r="F36" s="86">
        <v>840488468.9359045</v>
      </c>
      <c r="G36" s="86">
        <v>2554399248.8154664</v>
      </c>
      <c r="H36" s="86">
        <v>73111274.039608687</v>
      </c>
      <c r="I36" s="86">
        <v>172158219.60061973</v>
      </c>
      <c r="J36" s="86"/>
      <c r="K36" s="87"/>
      <c r="M36" s="87">
        <f t="shared" si="19"/>
        <v>6923718761.770484</v>
      </c>
    </row>
    <row r="37" spans="1:13" ht="20.149999999999999" customHeight="1">
      <c r="A37" s="43">
        <v>25</v>
      </c>
      <c r="B37" s="33" t="s">
        <v>190</v>
      </c>
      <c r="C37" s="35">
        <f t="shared" si="20"/>
        <v>2025</v>
      </c>
      <c r="E37" s="86">
        <v>3285151050.8362556</v>
      </c>
      <c r="F37" s="86">
        <v>844383576.03228724</v>
      </c>
      <c r="G37" s="86">
        <v>2562044586.91435</v>
      </c>
      <c r="H37" s="86">
        <v>73423566.449407086</v>
      </c>
      <c r="I37" s="86">
        <v>173028097.84835374</v>
      </c>
      <c r="J37" s="86"/>
      <c r="K37" s="87"/>
      <c r="M37" s="87">
        <f t="shared" si="19"/>
        <v>6938030878.0806522</v>
      </c>
    </row>
    <row r="38" spans="1:13" ht="20.149999999999999" customHeight="1">
      <c r="A38" s="43">
        <v>26</v>
      </c>
      <c r="B38" s="33" t="s">
        <v>189</v>
      </c>
      <c r="C38" s="35">
        <f t="shared" si="20"/>
        <v>2025</v>
      </c>
      <c r="E38" s="86">
        <v>3319530534.6225214</v>
      </c>
      <c r="F38" s="86">
        <v>848047746.80809486</v>
      </c>
      <c r="G38" s="86">
        <v>2569467513.4009051</v>
      </c>
      <c r="H38" s="86">
        <v>73724771.860794634</v>
      </c>
      <c r="I38" s="86">
        <v>173691300.41873568</v>
      </c>
      <c r="J38" s="86"/>
      <c r="K38" s="87"/>
      <c r="M38" s="87">
        <f t="shared" si="19"/>
        <v>6984461867.1110525</v>
      </c>
    </row>
    <row r="39" spans="1:13" ht="20.149999999999999" customHeight="1">
      <c r="A39" s="43">
        <v>27</v>
      </c>
      <c r="B39" s="33" t="s">
        <v>180</v>
      </c>
      <c r="C39" s="35">
        <f t="shared" si="20"/>
        <v>2025</v>
      </c>
      <c r="E39" s="86">
        <v>3439258732.594491</v>
      </c>
      <c r="F39" s="86">
        <v>859241651.40430319</v>
      </c>
      <c r="G39" s="86">
        <v>2577152258.9063225</v>
      </c>
      <c r="H39" s="86">
        <v>76304660.214274779</v>
      </c>
      <c r="I39" s="86">
        <v>174403228.3137064</v>
      </c>
      <c r="J39" s="86"/>
      <c r="K39" s="87"/>
      <c r="M39" s="87">
        <f t="shared" si="19"/>
        <v>7126360531.4330978</v>
      </c>
    </row>
    <row r="40" spans="1:13" ht="20.149999999999999" customHeight="1">
      <c r="E40" s="88"/>
      <c r="F40" s="88"/>
      <c r="G40" s="88"/>
      <c r="H40" s="88"/>
      <c r="I40" s="88"/>
      <c r="J40" s="88"/>
      <c r="K40" s="87"/>
      <c r="M40" s="87"/>
    </row>
    <row r="41" spans="1:13" ht="20.149999999999999" customHeight="1">
      <c r="A41" s="43">
        <v>28</v>
      </c>
      <c r="B41" s="33" t="s">
        <v>204</v>
      </c>
      <c r="E41" s="88">
        <f>SUM(E27:E39)/13</f>
        <v>3275146843.174747</v>
      </c>
      <c r="F41" s="88">
        <f>SUM(F27:F39)/13</f>
        <v>828193790.38763475</v>
      </c>
      <c r="G41" s="88">
        <f t="shared" ref="G41" si="21">SUM(G27:G39)/13</f>
        <v>2530429560.8797426</v>
      </c>
      <c r="H41" s="88">
        <f>SUM(H27:H39)/13</f>
        <v>72019950.68458429</v>
      </c>
      <c r="I41" s="88">
        <f>SUM(I27:I39)/13</f>
        <v>170038924.86700585</v>
      </c>
      <c r="J41" s="88">
        <f>SUM(J27:J39)/13</f>
        <v>0</v>
      </c>
      <c r="K41" s="88"/>
      <c r="M41" s="88">
        <f>SUM(M27:M39)/13</f>
        <v>6875829069.9937153</v>
      </c>
    </row>
    <row r="44" spans="1:13" ht="20.149999999999999" customHeight="1">
      <c r="B44" s="53" t="s">
        <v>528</v>
      </c>
      <c r="C44" s="54"/>
      <c r="D44" s="54"/>
      <c r="E44" s="55"/>
      <c r="F44" s="55"/>
      <c r="G44" s="56"/>
      <c r="H44" s="382"/>
      <c r="I44" s="382"/>
      <c r="J44" s="387"/>
      <c r="L44" s="33"/>
    </row>
    <row r="45" spans="1:13" ht="20.149999999999999" customHeight="1">
      <c r="B45" s="57"/>
      <c r="E45" s="41" t="s">
        <v>196</v>
      </c>
      <c r="F45" s="41" t="s">
        <v>24</v>
      </c>
      <c r="G45" s="41" t="s">
        <v>197</v>
      </c>
      <c r="H45" s="41" t="s">
        <v>199</v>
      </c>
      <c r="I45" s="41" t="s">
        <v>198</v>
      </c>
      <c r="J45" s="380" t="s">
        <v>200</v>
      </c>
      <c r="L45" s="33"/>
    </row>
    <row r="46" spans="1:13" ht="20.149999999999999" customHeight="1">
      <c r="B46" s="57"/>
      <c r="E46" s="33"/>
      <c r="F46" s="41"/>
      <c r="G46" s="41"/>
      <c r="H46" s="33"/>
      <c r="I46" s="41"/>
      <c r="J46" s="58"/>
      <c r="L46" s="33"/>
    </row>
    <row r="47" spans="1:13" ht="20.149999999999999" customHeight="1">
      <c r="B47" s="57"/>
      <c r="D47" s="37" t="s">
        <v>218</v>
      </c>
      <c r="E47" s="40" t="s">
        <v>568</v>
      </c>
      <c r="F47" s="40" t="s">
        <v>232</v>
      </c>
      <c r="G47" s="40" t="s">
        <v>548</v>
      </c>
      <c r="H47" s="40" t="s">
        <v>300</v>
      </c>
      <c r="I47" s="40" t="s">
        <v>511</v>
      </c>
      <c r="J47" s="491" t="s">
        <v>300</v>
      </c>
      <c r="L47" s="33"/>
    </row>
    <row r="48" spans="1:13" ht="20.149999999999999" customHeight="1">
      <c r="A48" s="43">
        <v>29</v>
      </c>
      <c r="B48" s="57" t="s">
        <v>180</v>
      </c>
      <c r="C48" s="35">
        <f>C8</f>
        <v>2024</v>
      </c>
      <c r="E48" s="1052">
        <v>4641178.9899999993</v>
      </c>
      <c r="F48" s="89">
        <v>974.42</v>
      </c>
      <c r="G48" s="89">
        <v>0</v>
      </c>
      <c r="H48" s="89">
        <v>0</v>
      </c>
      <c r="I48" s="89">
        <v>57744.79</v>
      </c>
      <c r="J48" s="89">
        <v>0</v>
      </c>
      <c r="L48" s="33"/>
    </row>
    <row r="49" spans="1:12" ht="20.149999999999999" customHeight="1">
      <c r="A49" s="43">
        <v>30</v>
      </c>
      <c r="B49" s="57" t="s">
        <v>181</v>
      </c>
      <c r="C49" s="35">
        <f>C48+1</f>
        <v>2025</v>
      </c>
      <c r="E49" s="1052">
        <v>4641178.9899999993</v>
      </c>
      <c r="F49" s="89">
        <v>974.42</v>
      </c>
      <c r="G49" s="89">
        <v>0</v>
      </c>
      <c r="H49" s="89">
        <v>0</v>
      </c>
      <c r="I49" s="89">
        <v>57744.79</v>
      </c>
      <c r="J49" s="89">
        <v>0</v>
      </c>
      <c r="L49" s="33"/>
    </row>
    <row r="50" spans="1:12" ht="20.149999999999999" customHeight="1">
      <c r="A50" s="43">
        <v>31</v>
      </c>
      <c r="B50" s="57" t="s">
        <v>182</v>
      </c>
      <c r="C50" s="35">
        <f>C49</f>
        <v>2025</v>
      </c>
      <c r="E50" s="1052">
        <v>4641178.9899999993</v>
      </c>
      <c r="F50" s="89">
        <v>974.42</v>
      </c>
      <c r="G50" s="89">
        <v>0</v>
      </c>
      <c r="H50" s="89">
        <v>0</v>
      </c>
      <c r="I50" s="89">
        <v>57744.79</v>
      </c>
      <c r="J50" s="89">
        <v>0</v>
      </c>
      <c r="L50" s="33"/>
    </row>
    <row r="51" spans="1:12" ht="20.149999999999999" customHeight="1">
      <c r="A51" s="43">
        <v>32</v>
      </c>
      <c r="B51" s="57" t="s">
        <v>183</v>
      </c>
      <c r="C51" s="35">
        <f t="shared" ref="C51:C60" si="22">C50</f>
        <v>2025</v>
      </c>
      <c r="E51" s="1052">
        <v>4641178.9899999993</v>
      </c>
      <c r="F51" s="89">
        <v>974.42</v>
      </c>
      <c r="G51" s="89">
        <v>0</v>
      </c>
      <c r="H51" s="89">
        <v>0</v>
      </c>
      <c r="I51" s="89">
        <v>57744.79</v>
      </c>
      <c r="J51" s="89">
        <v>0</v>
      </c>
      <c r="L51" s="33"/>
    </row>
    <row r="52" spans="1:12" ht="20.149999999999999" customHeight="1">
      <c r="A52" s="43">
        <v>33</v>
      </c>
      <c r="B52" s="57" t="s">
        <v>184</v>
      </c>
      <c r="C52" s="35">
        <f t="shared" si="22"/>
        <v>2025</v>
      </c>
      <c r="E52" s="1052">
        <v>4641178.9899999993</v>
      </c>
      <c r="F52" s="89">
        <v>974.42</v>
      </c>
      <c r="G52" s="89">
        <v>0</v>
      </c>
      <c r="H52" s="89">
        <v>0</v>
      </c>
      <c r="I52" s="89">
        <v>57744.79</v>
      </c>
      <c r="J52" s="89">
        <v>0</v>
      </c>
      <c r="L52" s="33"/>
    </row>
    <row r="53" spans="1:12" ht="20.149999999999999" customHeight="1">
      <c r="A53" s="43">
        <v>34</v>
      </c>
      <c r="B53" s="57" t="s">
        <v>185</v>
      </c>
      <c r="C53" s="35">
        <f t="shared" si="22"/>
        <v>2025</v>
      </c>
      <c r="E53" s="1052">
        <v>4641178.9899999993</v>
      </c>
      <c r="F53" s="89">
        <v>974.42</v>
      </c>
      <c r="G53" s="89">
        <v>0</v>
      </c>
      <c r="H53" s="89">
        <v>0</v>
      </c>
      <c r="I53" s="89">
        <v>57744.79</v>
      </c>
      <c r="J53" s="89">
        <v>0</v>
      </c>
      <c r="L53" s="33"/>
    </row>
    <row r="54" spans="1:12" ht="20.149999999999999" customHeight="1">
      <c r="A54" s="43">
        <v>35</v>
      </c>
      <c r="B54" s="57" t="s">
        <v>195</v>
      </c>
      <c r="C54" s="35">
        <f t="shared" si="22"/>
        <v>2025</v>
      </c>
      <c r="E54" s="1052">
        <v>4641178.9899999993</v>
      </c>
      <c r="F54" s="89">
        <v>974.42</v>
      </c>
      <c r="G54" s="89">
        <v>0</v>
      </c>
      <c r="H54" s="89">
        <v>0</v>
      </c>
      <c r="I54" s="89">
        <v>57744.79</v>
      </c>
      <c r="J54" s="89">
        <v>0</v>
      </c>
      <c r="L54" s="33"/>
    </row>
    <row r="55" spans="1:12" ht="20.149999999999999" customHeight="1">
      <c r="A55" s="43">
        <v>36</v>
      </c>
      <c r="B55" s="57" t="s">
        <v>186</v>
      </c>
      <c r="C55" s="35">
        <f t="shared" si="22"/>
        <v>2025</v>
      </c>
      <c r="E55" s="1052">
        <v>4641178.9899999993</v>
      </c>
      <c r="F55" s="89">
        <v>974.42</v>
      </c>
      <c r="G55" s="89">
        <v>0</v>
      </c>
      <c r="H55" s="89">
        <v>0</v>
      </c>
      <c r="I55" s="89">
        <v>57744.79</v>
      </c>
      <c r="J55" s="89">
        <v>0</v>
      </c>
      <c r="L55" s="33"/>
    </row>
    <row r="56" spans="1:12" ht="20.149999999999999" customHeight="1">
      <c r="A56" s="43">
        <v>37</v>
      </c>
      <c r="B56" s="57" t="s">
        <v>187</v>
      </c>
      <c r="C56" s="35">
        <f t="shared" si="22"/>
        <v>2025</v>
      </c>
      <c r="E56" s="1052">
        <v>4641178.9899999993</v>
      </c>
      <c r="F56" s="89">
        <v>974.42</v>
      </c>
      <c r="G56" s="89">
        <v>0</v>
      </c>
      <c r="H56" s="89">
        <v>0</v>
      </c>
      <c r="I56" s="89">
        <v>57744.79</v>
      </c>
      <c r="J56" s="89">
        <v>0</v>
      </c>
      <c r="L56" s="33"/>
    </row>
    <row r="57" spans="1:12" ht="20.149999999999999" customHeight="1">
      <c r="A57" s="43">
        <v>38</v>
      </c>
      <c r="B57" s="57" t="s">
        <v>188</v>
      </c>
      <c r="C57" s="35">
        <f t="shared" si="22"/>
        <v>2025</v>
      </c>
      <c r="E57" s="1052">
        <v>4641178.9899999993</v>
      </c>
      <c r="F57" s="89">
        <v>974.42</v>
      </c>
      <c r="G57" s="89">
        <v>0</v>
      </c>
      <c r="H57" s="89">
        <v>0</v>
      </c>
      <c r="I57" s="89">
        <v>57744.79</v>
      </c>
      <c r="J57" s="89">
        <v>0</v>
      </c>
      <c r="L57" s="33"/>
    </row>
    <row r="58" spans="1:12" ht="20.149999999999999" customHeight="1">
      <c r="A58" s="43">
        <v>39</v>
      </c>
      <c r="B58" s="57" t="s">
        <v>190</v>
      </c>
      <c r="C58" s="35">
        <f t="shared" si="22"/>
        <v>2025</v>
      </c>
      <c r="E58" s="1052">
        <v>4641178.9899999993</v>
      </c>
      <c r="F58" s="89">
        <v>974.42</v>
      </c>
      <c r="G58" s="89">
        <v>0</v>
      </c>
      <c r="H58" s="89">
        <v>0</v>
      </c>
      <c r="I58" s="89">
        <v>57744.79</v>
      </c>
      <c r="J58" s="89">
        <v>0</v>
      </c>
      <c r="L58" s="33"/>
    </row>
    <row r="59" spans="1:12" ht="20.149999999999999" customHeight="1">
      <c r="A59" s="43">
        <v>40</v>
      </c>
      <c r="B59" s="57" t="s">
        <v>189</v>
      </c>
      <c r="C59" s="35">
        <f t="shared" si="22"/>
        <v>2025</v>
      </c>
      <c r="E59" s="1052">
        <v>4641178.9899999993</v>
      </c>
      <c r="F59" s="89">
        <v>974.42</v>
      </c>
      <c r="G59" s="89">
        <v>0</v>
      </c>
      <c r="H59" s="89">
        <v>0</v>
      </c>
      <c r="I59" s="89">
        <v>57744.79</v>
      </c>
      <c r="J59" s="89">
        <v>0</v>
      </c>
      <c r="L59" s="33"/>
    </row>
    <row r="60" spans="1:12" ht="20.149999999999999" customHeight="1">
      <c r="A60" s="43">
        <v>41</v>
      </c>
      <c r="B60" s="57" t="s">
        <v>180</v>
      </c>
      <c r="C60" s="35">
        <f t="shared" si="22"/>
        <v>2025</v>
      </c>
      <c r="E60" s="1052">
        <v>4641178.9899999993</v>
      </c>
      <c r="F60" s="89">
        <v>974.42</v>
      </c>
      <c r="G60" s="89">
        <v>0</v>
      </c>
      <c r="H60" s="89">
        <v>0</v>
      </c>
      <c r="I60" s="89">
        <v>57744.79</v>
      </c>
      <c r="J60" s="89">
        <v>0</v>
      </c>
      <c r="L60" s="33"/>
    </row>
    <row r="61" spans="1:12" ht="20.149999999999999" customHeight="1">
      <c r="B61" s="57"/>
      <c r="E61" s="33"/>
      <c r="F61" s="90"/>
      <c r="G61" s="33"/>
      <c r="H61" s="33"/>
      <c r="I61" s="33"/>
      <c r="J61" s="58"/>
      <c r="L61" s="33"/>
    </row>
    <row r="62" spans="1:12" ht="20.149999999999999" customHeight="1">
      <c r="A62" s="43">
        <v>42</v>
      </c>
      <c r="B62" s="59" t="s">
        <v>204</v>
      </c>
      <c r="C62" s="60"/>
      <c r="D62" s="60"/>
      <c r="E62" s="91">
        <f t="shared" ref="E62" si="23">SUM(E48:E60)/13</f>
        <v>4641178.99</v>
      </c>
      <c r="F62" s="91">
        <f>SUM(F48:F60)/13</f>
        <v>974.42</v>
      </c>
      <c r="G62" s="91">
        <f>SUM(G48:G60)/13</f>
        <v>0</v>
      </c>
      <c r="H62" s="91">
        <f>SUM(H48:H60)/13</f>
        <v>0</v>
      </c>
      <c r="I62" s="91">
        <f>SUM(I48:I60)/13</f>
        <v>57744.79</v>
      </c>
      <c r="J62" s="381">
        <f>SUM(J48:J60)/13</f>
        <v>0</v>
      </c>
      <c r="L62" s="33"/>
    </row>
    <row r="64" spans="1:12" ht="20.149999999999999" customHeight="1">
      <c r="A64" s="33" t="s">
        <v>206</v>
      </c>
    </row>
    <row r="65" spans="1:2" ht="20.149999999999999" customHeight="1">
      <c r="A65" s="39" t="s">
        <v>205</v>
      </c>
      <c r="B65" s="33" t="s">
        <v>900</v>
      </c>
    </row>
    <row r="66" spans="1:2" ht="20.149999999999999" customHeight="1">
      <c r="A66" s="39" t="s">
        <v>218</v>
      </c>
      <c r="B66" s="33" t="s">
        <v>207</v>
      </c>
    </row>
    <row r="67" spans="1:2" ht="20.149999999999999" customHeight="1">
      <c r="A67" s="39" t="s">
        <v>257</v>
      </c>
      <c r="B67" s="33" t="s">
        <v>551</v>
      </c>
    </row>
    <row r="68" spans="1:2" ht="20.149999999999999" customHeight="1">
      <c r="A68" s="39" t="s">
        <v>267</v>
      </c>
      <c r="B68" s="33" t="s">
        <v>752</v>
      </c>
    </row>
    <row r="69" spans="1:2" ht="20.149999999999999" customHeight="1">
      <c r="A69" s="39" t="s">
        <v>268</v>
      </c>
      <c r="B69" s="33" t="s">
        <v>800</v>
      </c>
    </row>
    <row r="70" spans="1:2" ht="20.149999999999999" customHeight="1">
      <c r="A70" s="39" t="s">
        <v>631</v>
      </c>
      <c r="B70" s="33" t="s">
        <v>796</v>
      </c>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44" fitToWidth="0" fitToHeight="0" orientation="portrait" r:id="rId2"/>
  <headerFooter alignWithMargins="0"/>
  <colBreaks count="1" manualBreakCount="1">
    <brk id="13" max="1048575" man="1"/>
  </colBreaks>
  <ignoredErrors>
    <ignoredError sqref="J4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B0E6-1736-47A3-B69D-EE4415B67312}">
  <sheetPr codeName="Sheet13"/>
  <dimension ref="A1:N71"/>
  <sheetViews>
    <sheetView view="pageBreakPreview" topLeftCell="B1" zoomScale="90" zoomScaleNormal="70" zoomScaleSheetLayoutView="90" workbookViewId="0">
      <selection activeCell="B1" sqref="B1"/>
    </sheetView>
  </sheetViews>
  <sheetFormatPr defaultColWidth="8.84375" defaultRowHeight="15.5"/>
  <cols>
    <col min="1" max="1" width="5.84375" style="39" bestFit="1" customWidth="1"/>
    <col min="2" max="2" width="10.84375" style="33" customWidth="1"/>
    <col min="3" max="3" width="13" style="33" customWidth="1"/>
    <col min="4" max="4" width="2.84375" style="33" customWidth="1"/>
    <col min="5" max="5" width="17.07421875" style="39" bestFit="1" customWidth="1"/>
    <col min="6" max="6" width="24.07421875" style="39" customWidth="1"/>
    <col min="7" max="7" width="18" style="39" customWidth="1"/>
    <col min="8" max="8" width="17.07421875" style="39" customWidth="1"/>
    <col min="9" max="9" width="14.69140625" style="39" customWidth="1"/>
    <col min="10" max="10" width="16.69140625" style="39" customWidth="1"/>
    <col min="11" max="11" width="14.69140625" style="39" customWidth="1"/>
    <col min="12" max="12" width="2.07421875" style="39" customWidth="1"/>
    <col min="13" max="13" width="17.84375" style="33" customWidth="1"/>
    <col min="14" max="14" width="19.84375" style="33" customWidth="1"/>
    <col min="15" max="15" width="17.84375" style="33" bestFit="1" customWidth="1"/>
    <col min="16" max="16" width="13.84375" style="33" bestFit="1" customWidth="1"/>
    <col min="17" max="16384" width="8.84375" style="33"/>
  </cols>
  <sheetData>
    <row r="1" spans="1:14" ht="20.149999999999999" customHeight="1">
      <c r="E1" s="831"/>
      <c r="F1" s="831"/>
      <c r="G1" s="831"/>
      <c r="M1" s="3" t="str">
        <f>'Attachment H-11A '!K1&amp;""&amp;", Attachment 4"</f>
        <v>Attachment H -11A, Attachment 4</v>
      </c>
    </row>
    <row r="2" spans="1:14" ht="20.149999999999999" customHeight="1">
      <c r="M2" s="3" t="s">
        <v>168</v>
      </c>
    </row>
    <row r="3" spans="1:14" ht="20.149999999999999" customHeight="1">
      <c r="H3" s="41" t="s">
        <v>497</v>
      </c>
      <c r="M3" s="3" t="str">
        <f>'Attachment H-11A '!K4</f>
        <v>For the 12 months ended 12/31/2025</v>
      </c>
    </row>
    <row r="4" spans="1:14" ht="20.149999999999999" customHeight="1">
      <c r="A4" s="42"/>
    </row>
    <row r="5" spans="1:14" ht="20.149999999999999" customHeight="1">
      <c r="E5" s="375" t="s">
        <v>457</v>
      </c>
      <c r="F5" s="375" t="s">
        <v>458</v>
      </c>
      <c r="G5" s="375" t="s">
        <v>459</v>
      </c>
      <c r="H5" s="375" t="s">
        <v>460</v>
      </c>
      <c r="I5" s="375" t="s">
        <v>461</v>
      </c>
      <c r="J5" s="375" t="s">
        <v>462</v>
      </c>
      <c r="K5" s="375" t="s">
        <v>463</v>
      </c>
      <c r="L5" s="376"/>
      <c r="M5" s="39" t="s">
        <v>765</v>
      </c>
    </row>
    <row r="6" spans="1:14" ht="20.149999999999999" customHeight="1">
      <c r="E6" s="41" t="s">
        <v>196</v>
      </c>
      <c r="F6" s="41" t="s">
        <v>755</v>
      </c>
      <c r="G6" s="41" t="s">
        <v>794</v>
      </c>
      <c r="H6" s="41" t="s">
        <v>795</v>
      </c>
      <c r="I6" s="41" t="s">
        <v>199</v>
      </c>
      <c r="J6" s="41" t="s">
        <v>198</v>
      </c>
      <c r="K6" s="41" t="s">
        <v>200</v>
      </c>
      <c r="L6" s="33"/>
      <c r="M6" s="41" t="s">
        <v>9</v>
      </c>
    </row>
    <row r="7" spans="1:14" ht="20.149999999999999" customHeight="1">
      <c r="D7" s="37"/>
      <c r="E7" s="40"/>
      <c r="F7" s="40"/>
      <c r="G7" s="40"/>
      <c r="H7" s="40"/>
      <c r="I7" s="40"/>
      <c r="J7" s="40"/>
      <c r="K7" s="43"/>
      <c r="L7" s="33"/>
    </row>
    <row r="8" spans="1:14" ht="20.149999999999999" customHeight="1">
      <c r="A8" s="43">
        <v>1</v>
      </c>
      <c r="B8" s="33" t="s">
        <v>180</v>
      </c>
      <c r="C8" s="36">
        <v>2024</v>
      </c>
      <c r="E8" s="93">
        <f t="shared" ref="E8:E20" si="0">E28-E49</f>
        <v>1386202221.4359078</v>
      </c>
      <c r="F8" s="86">
        <v>-46656.051218916597</v>
      </c>
      <c r="G8" s="93">
        <f>F28-F49-F8</f>
        <v>200382352.25964141</v>
      </c>
      <c r="H8" s="93">
        <f>G28-G49+F8</f>
        <v>759188363.09084201</v>
      </c>
      <c r="I8" s="93">
        <f t="shared" ref="I8:K20" si="1">H28-H49</f>
        <v>37954967.118204102</v>
      </c>
      <c r="J8" s="93">
        <f t="shared" si="1"/>
        <v>74428529.278899699</v>
      </c>
      <c r="K8" s="93">
        <f t="shared" si="1"/>
        <v>0</v>
      </c>
      <c r="L8" s="400"/>
      <c r="M8" s="400">
        <f>SUM(E8,G8,H8,I8,J8,K8)</f>
        <v>2458156433.183495</v>
      </c>
      <c r="N8" s="101"/>
    </row>
    <row r="9" spans="1:14" ht="20.149999999999999" customHeight="1">
      <c r="A9" s="43">
        <v>2</v>
      </c>
      <c r="B9" s="33" t="s">
        <v>181</v>
      </c>
      <c r="C9" s="35">
        <f>C8+1</f>
        <v>2025</v>
      </c>
      <c r="E9" s="93">
        <f t="shared" si="0"/>
        <v>1393961321.717685</v>
      </c>
      <c r="F9" s="86">
        <v>-28862.654753499926</v>
      </c>
      <c r="G9" s="93">
        <f t="shared" ref="G9:G20" si="2">F29-F50-F9</f>
        <v>201469992.41615701</v>
      </c>
      <c r="H9" s="93">
        <f t="shared" ref="H9:H20" si="3">G29-G50+F9</f>
        <v>762271978.26884532</v>
      </c>
      <c r="I9" s="93">
        <f t="shared" si="1"/>
        <v>38576365.7679803</v>
      </c>
      <c r="J9" s="93">
        <f t="shared" si="1"/>
        <v>75272027.841377303</v>
      </c>
      <c r="K9" s="93">
        <f t="shared" si="1"/>
        <v>0</v>
      </c>
      <c r="L9" s="400"/>
      <c r="M9" s="400">
        <f t="shared" ref="M9:M20" si="4">SUM(E9,G9,H9,I9,J9,K9)</f>
        <v>2471551686.0120444</v>
      </c>
      <c r="N9" s="101"/>
    </row>
    <row r="10" spans="1:14" ht="20.149999999999999" customHeight="1">
      <c r="A10" s="43">
        <v>3</v>
      </c>
      <c r="B10" s="33" t="s">
        <v>182</v>
      </c>
      <c r="C10" s="35">
        <f>C9</f>
        <v>2025</v>
      </c>
      <c r="E10" s="93">
        <f t="shared" si="0"/>
        <v>1402018400.0750766</v>
      </c>
      <c r="F10" s="86">
        <v>-11069.258288083256</v>
      </c>
      <c r="G10" s="93">
        <f t="shared" si="2"/>
        <v>202493263.95627406</v>
      </c>
      <c r="H10" s="93">
        <f t="shared" si="3"/>
        <v>765517951.77273464</v>
      </c>
      <c r="I10" s="93">
        <f t="shared" si="1"/>
        <v>39217258.31630338</v>
      </c>
      <c r="J10" s="93">
        <f t="shared" si="1"/>
        <v>76118109.647817001</v>
      </c>
      <c r="K10" s="93">
        <f t="shared" si="1"/>
        <v>0</v>
      </c>
      <c r="L10" s="400"/>
      <c r="M10" s="400">
        <f t="shared" si="4"/>
        <v>2485364983.7682056</v>
      </c>
      <c r="N10" s="101"/>
    </row>
    <row r="11" spans="1:14" ht="20.149999999999999" customHeight="1">
      <c r="A11" s="43">
        <v>4</v>
      </c>
      <c r="B11" s="33" t="s">
        <v>183</v>
      </c>
      <c r="C11" s="35">
        <f t="shared" ref="C11:C20" si="5">C10</f>
        <v>2025</v>
      </c>
      <c r="E11" s="93">
        <f t="shared" si="0"/>
        <v>1410032597.6721423</v>
      </c>
      <c r="F11" s="86">
        <v>6724.1381773334142</v>
      </c>
      <c r="G11" s="93">
        <f t="shared" si="2"/>
        <v>203124056.82314405</v>
      </c>
      <c r="H11" s="93">
        <f t="shared" si="3"/>
        <v>768706058.90587723</v>
      </c>
      <c r="I11" s="93">
        <f t="shared" si="1"/>
        <v>39863813.107218437</v>
      </c>
      <c r="J11" s="93">
        <f t="shared" si="1"/>
        <v>77003063.977592543</v>
      </c>
      <c r="K11" s="93">
        <f t="shared" si="1"/>
        <v>0</v>
      </c>
      <c r="L11" s="400"/>
      <c r="M11" s="400">
        <f t="shared" si="4"/>
        <v>2498729590.4859743</v>
      </c>
    </row>
    <row r="12" spans="1:14" ht="20.149999999999999" customHeight="1">
      <c r="A12" s="43">
        <v>5</v>
      </c>
      <c r="B12" s="33" t="s">
        <v>184</v>
      </c>
      <c r="C12" s="35">
        <f t="shared" si="5"/>
        <v>2025</v>
      </c>
      <c r="E12" s="93">
        <f t="shared" si="0"/>
        <v>1418041843.3049388</v>
      </c>
      <c r="F12" s="86">
        <v>24517.534642750084</v>
      </c>
      <c r="G12" s="93">
        <f t="shared" si="2"/>
        <v>202926309.32464331</v>
      </c>
      <c r="H12" s="93">
        <f t="shared" si="3"/>
        <v>771947281.62725139</v>
      </c>
      <c r="I12" s="93">
        <f t="shared" si="1"/>
        <v>40514950.786458246</v>
      </c>
      <c r="J12" s="93">
        <f t="shared" si="1"/>
        <v>77883839.46177493</v>
      </c>
      <c r="K12" s="93">
        <f t="shared" si="1"/>
        <v>0</v>
      </c>
      <c r="L12" s="400"/>
      <c r="M12" s="400">
        <f t="shared" si="4"/>
        <v>2511314224.5050664</v>
      </c>
    </row>
    <row r="13" spans="1:14" ht="20.149999999999999" customHeight="1">
      <c r="A13" s="43">
        <v>6</v>
      </c>
      <c r="B13" s="33" t="s">
        <v>185</v>
      </c>
      <c r="C13" s="35">
        <f t="shared" si="5"/>
        <v>2025</v>
      </c>
      <c r="E13" s="93">
        <f t="shared" si="0"/>
        <v>1422776097.1910813</v>
      </c>
      <c r="F13" s="86">
        <v>42310.931108166755</v>
      </c>
      <c r="G13" s="93">
        <f t="shared" si="2"/>
        <v>203113126.43034306</v>
      </c>
      <c r="H13" s="93">
        <f t="shared" si="3"/>
        <v>775213084.82536614</v>
      </c>
      <c r="I13" s="93">
        <f t="shared" si="1"/>
        <v>41171835.872677013</v>
      </c>
      <c r="J13" s="93">
        <f t="shared" si="1"/>
        <v>78768488.969736695</v>
      </c>
      <c r="K13" s="93">
        <f t="shared" si="1"/>
        <v>0</v>
      </c>
      <c r="L13" s="400"/>
      <c r="M13" s="400">
        <f>SUM(E13,G13,H13,I13,J13,K13)</f>
        <v>2521042633.2892041</v>
      </c>
    </row>
    <row r="14" spans="1:14" ht="20.149999999999999" customHeight="1">
      <c r="A14" s="43">
        <v>7</v>
      </c>
      <c r="B14" s="33" t="s">
        <v>195</v>
      </c>
      <c r="C14" s="35">
        <f t="shared" si="5"/>
        <v>2025</v>
      </c>
      <c r="E14" s="93">
        <f t="shared" si="0"/>
        <v>1429405576.1315758</v>
      </c>
      <c r="F14" s="86">
        <v>60104.327573583425</v>
      </c>
      <c r="G14" s="93">
        <f t="shared" si="2"/>
        <v>203162622.65606979</v>
      </c>
      <c r="H14" s="93">
        <f t="shared" si="3"/>
        <v>778496646.06349683</v>
      </c>
      <c r="I14" s="93">
        <f t="shared" si="1"/>
        <v>41832017.866406366</v>
      </c>
      <c r="J14" s="93">
        <f t="shared" si="1"/>
        <v>79640077.769452751</v>
      </c>
      <c r="K14" s="93">
        <f t="shared" si="1"/>
        <v>0</v>
      </c>
      <c r="L14" s="400"/>
      <c r="M14" s="400">
        <f t="shared" si="4"/>
        <v>2532536940.4870014</v>
      </c>
    </row>
    <row r="15" spans="1:14" ht="20.149999999999999" customHeight="1">
      <c r="A15" s="43">
        <v>8</v>
      </c>
      <c r="B15" s="33" t="s">
        <v>186</v>
      </c>
      <c r="C15" s="35">
        <f t="shared" si="5"/>
        <v>2025</v>
      </c>
      <c r="E15" s="93">
        <f t="shared" si="0"/>
        <v>1437545942.7493083</v>
      </c>
      <c r="F15" s="86">
        <v>77897.724039000095</v>
      </c>
      <c r="G15" s="93">
        <f t="shared" si="2"/>
        <v>204015642.75146434</v>
      </c>
      <c r="H15" s="93">
        <f>G35-G56+F15</f>
        <v>781838744.83574927</v>
      </c>
      <c r="I15" s="93">
        <f t="shared" si="1"/>
        <v>42406895.720934562</v>
      </c>
      <c r="J15" s="93">
        <f t="shared" si="1"/>
        <v>80514267.703605771</v>
      </c>
      <c r="K15" s="93">
        <f t="shared" si="1"/>
        <v>0</v>
      </c>
      <c r="L15" s="400"/>
      <c r="M15" s="400">
        <f t="shared" si="4"/>
        <v>2546321493.7610621</v>
      </c>
    </row>
    <row r="16" spans="1:14" ht="20.149999999999999" customHeight="1">
      <c r="A16" s="43">
        <v>9</v>
      </c>
      <c r="B16" s="33" t="s">
        <v>187</v>
      </c>
      <c r="C16" s="35">
        <f t="shared" si="5"/>
        <v>2025</v>
      </c>
      <c r="E16" s="93">
        <f t="shared" si="0"/>
        <v>1445648164.1774373</v>
      </c>
      <c r="F16" s="86">
        <v>95691.120504416758</v>
      </c>
      <c r="G16" s="93">
        <f t="shared" si="2"/>
        <v>204923466.92087272</v>
      </c>
      <c r="H16" s="93">
        <f t="shared" si="3"/>
        <v>785235917.14210987</v>
      </c>
      <c r="I16" s="93">
        <f t="shared" si="1"/>
        <v>42985590.586988091</v>
      </c>
      <c r="J16" s="93">
        <f t="shared" si="1"/>
        <v>81372735.707495302</v>
      </c>
      <c r="K16" s="93">
        <f t="shared" si="1"/>
        <v>0</v>
      </c>
      <c r="L16" s="400"/>
      <c r="M16" s="400">
        <f t="shared" si="4"/>
        <v>2560165874.534903</v>
      </c>
    </row>
    <row r="17" spans="1:14" ht="20.149999999999999" customHeight="1">
      <c r="A17" s="43">
        <v>10</v>
      </c>
      <c r="B17" s="33" t="s">
        <v>188</v>
      </c>
      <c r="C17" s="35">
        <f t="shared" si="5"/>
        <v>2025</v>
      </c>
      <c r="E17" s="93">
        <f t="shared" si="0"/>
        <v>1453716283.6179881</v>
      </c>
      <c r="F17" s="86">
        <v>113484.51696983344</v>
      </c>
      <c r="G17" s="93">
        <f t="shared" si="2"/>
        <v>205823838.13152114</v>
      </c>
      <c r="H17" s="93">
        <f t="shared" si="3"/>
        <v>788566891.2191838</v>
      </c>
      <c r="I17" s="93">
        <f t="shared" si="1"/>
        <v>43568044.859974444</v>
      </c>
      <c r="J17" s="93">
        <f t="shared" si="1"/>
        <v>82242412.285000741</v>
      </c>
      <c r="K17" s="93">
        <f t="shared" si="1"/>
        <v>0</v>
      </c>
      <c r="L17" s="400"/>
      <c r="M17" s="400">
        <f t="shared" si="4"/>
        <v>2573917470.1136684</v>
      </c>
    </row>
    <row r="18" spans="1:14" ht="20.149999999999999" customHeight="1">
      <c r="A18" s="43">
        <v>11</v>
      </c>
      <c r="B18" s="33" t="s">
        <v>190</v>
      </c>
      <c r="C18" s="35">
        <f t="shared" si="5"/>
        <v>2025</v>
      </c>
      <c r="E18" s="93">
        <f t="shared" si="0"/>
        <v>1461878249.3243592</v>
      </c>
      <c r="F18" s="86">
        <v>131277.91343525011</v>
      </c>
      <c r="G18" s="93">
        <f t="shared" si="2"/>
        <v>206510678.45017138</v>
      </c>
      <c r="H18" s="93">
        <f t="shared" si="3"/>
        <v>791941686.76163995</v>
      </c>
      <c r="I18" s="93">
        <f t="shared" si="1"/>
        <v>44154069.166938275</v>
      </c>
      <c r="J18" s="93">
        <f t="shared" si="1"/>
        <v>83118886.056037098</v>
      </c>
      <c r="K18" s="93">
        <f t="shared" si="1"/>
        <v>0</v>
      </c>
      <c r="L18" s="400"/>
      <c r="M18" s="400">
        <f t="shared" si="4"/>
        <v>2587603569.7591457</v>
      </c>
    </row>
    <row r="19" spans="1:14" ht="20.149999999999999" customHeight="1">
      <c r="A19" s="43">
        <v>12</v>
      </c>
      <c r="B19" s="33" t="s">
        <v>189</v>
      </c>
      <c r="C19" s="35">
        <f t="shared" si="5"/>
        <v>2025</v>
      </c>
      <c r="E19" s="93">
        <f t="shared" si="0"/>
        <v>1466446983.0088093</v>
      </c>
      <c r="F19" s="86">
        <v>149071.30990066679</v>
      </c>
      <c r="G19" s="93">
        <f t="shared" si="2"/>
        <v>207244074.94795609</v>
      </c>
      <c r="H19" s="93">
        <f t="shared" si="3"/>
        <v>795381180.16576278</v>
      </c>
      <c r="I19" s="93">
        <f t="shared" si="1"/>
        <v>44743631.215007111</v>
      </c>
      <c r="J19" s="93">
        <f t="shared" si="1"/>
        <v>84024639.85424678</v>
      </c>
      <c r="K19" s="93">
        <f t="shared" si="1"/>
        <v>0</v>
      </c>
      <c r="L19" s="400"/>
      <c r="M19" s="400">
        <f>SUM(E19,G19,H19,I19,J19,K19)</f>
        <v>2597840509.191782</v>
      </c>
    </row>
    <row r="20" spans="1:14" ht="20.149999999999999" customHeight="1">
      <c r="A20" s="43">
        <v>13</v>
      </c>
      <c r="B20" s="33" t="s">
        <v>180</v>
      </c>
      <c r="C20" s="35">
        <f t="shared" si="5"/>
        <v>2025</v>
      </c>
      <c r="E20" s="93">
        <f t="shared" si="0"/>
        <v>1466479623.1623113</v>
      </c>
      <c r="F20" s="86">
        <v>166864.70636608347</v>
      </c>
      <c r="G20" s="93">
        <f t="shared" si="2"/>
        <v>207109671.89655134</v>
      </c>
      <c r="H20" s="93">
        <f t="shared" si="3"/>
        <v>798904415.48642516</v>
      </c>
      <c r="I20" s="93">
        <f t="shared" si="1"/>
        <v>45350235.027224019</v>
      </c>
      <c r="J20" s="93">
        <f t="shared" si="1"/>
        <v>84930637.664055407</v>
      </c>
      <c r="K20" s="93">
        <f t="shared" si="1"/>
        <v>0</v>
      </c>
      <c r="L20" s="400"/>
      <c r="M20" s="400">
        <f t="shared" si="4"/>
        <v>2602774583.2365675</v>
      </c>
    </row>
    <row r="21" spans="1:14" ht="20.149999999999999" customHeight="1">
      <c r="E21" s="93"/>
      <c r="F21" s="93"/>
      <c r="G21" s="93"/>
      <c r="H21" s="93"/>
      <c r="I21" s="93"/>
      <c r="J21" s="93"/>
      <c r="K21" s="93"/>
      <c r="L21" s="400"/>
      <c r="M21" s="400"/>
    </row>
    <row r="22" spans="1:14" s="44" customFormat="1" ht="20.149999999999999" customHeight="1">
      <c r="A22" s="184">
        <v>14</v>
      </c>
      <c r="B22" s="44" t="s">
        <v>204</v>
      </c>
      <c r="D22" s="49" t="s">
        <v>527</v>
      </c>
      <c r="E22" s="399">
        <f>SUM(E8:E20)/13</f>
        <v>1430319484.889894</v>
      </c>
      <c r="F22" s="399">
        <f>SUM(F8:F20)/13</f>
        <v>60104.327573583425</v>
      </c>
      <c r="G22" s="399">
        <f t="shared" ref="G22:K22" si="6">SUM(G8:G20)/13</f>
        <v>204023007.45883149</v>
      </c>
      <c r="H22" s="399">
        <f>SUM(H8:H20)/13</f>
        <v>778708476.93579102</v>
      </c>
      <c r="I22" s="399">
        <f>SUM(I8:I20)/13</f>
        <v>41718436.570178032</v>
      </c>
      <c r="J22" s="399">
        <f>SUM(J8:J20)/13</f>
        <v>79639824.324391693</v>
      </c>
      <c r="K22" s="399">
        <f t="shared" si="6"/>
        <v>0</v>
      </c>
      <c r="L22" s="399"/>
      <c r="M22" s="399">
        <f t="shared" ref="M22" si="7">SUM(M8:M20)/13</f>
        <v>2534409230.1790862</v>
      </c>
    </row>
    <row r="23" spans="1:14" s="44" customFormat="1" ht="20.149999999999999" customHeight="1">
      <c r="A23" s="184"/>
      <c r="D23" s="49"/>
      <c r="E23" s="399"/>
      <c r="F23" s="399"/>
      <c r="G23" s="399"/>
      <c r="H23" s="399"/>
      <c r="I23" s="399"/>
      <c r="J23" s="399"/>
      <c r="K23" s="399"/>
      <c r="L23" s="399"/>
      <c r="M23" s="399"/>
    </row>
    <row r="24" spans="1:14" ht="20.149999999999999" customHeight="1">
      <c r="A24" s="42"/>
    </row>
    <row r="25" spans="1:14" ht="20.149999999999999" customHeight="1">
      <c r="E25" s="41" t="s">
        <v>196</v>
      </c>
      <c r="F25" s="41" t="s">
        <v>24</v>
      </c>
      <c r="G25" s="41" t="s">
        <v>197</v>
      </c>
      <c r="H25" s="41" t="s">
        <v>199</v>
      </c>
      <c r="I25" s="41" t="s">
        <v>198</v>
      </c>
      <c r="J25" s="41" t="s">
        <v>200</v>
      </c>
      <c r="K25" s="33"/>
      <c r="M25" s="41" t="s">
        <v>9</v>
      </c>
    </row>
    <row r="26" spans="1:14" ht="20.149999999999999" customHeight="1">
      <c r="E26" s="41"/>
      <c r="F26" s="41"/>
      <c r="G26" s="41"/>
      <c r="H26" s="41"/>
      <c r="I26" s="41"/>
      <c r="J26" s="41"/>
      <c r="K26" s="33"/>
    </row>
    <row r="27" spans="1:14" ht="20.149999999999999" customHeight="1">
      <c r="D27" s="37" t="s">
        <v>218</v>
      </c>
      <c r="E27" s="40" t="s">
        <v>40</v>
      </c>
      <c r="F27" s="40" t="s">
        <v>208</v>
      </c>
      <c r="G27" s="40" t="s">
        <v>41</v>
      </c>
      <c r="H27" s="40" t="s">
        <v>209</v>
      </c>
      <c r="I27" s="40" t="s">
        <v>210</v>
      </c>
      <c r="J27" s="43">
        <v>356.1</v>
      </c>
      <c r="K27" s="33"/>
    </row>
    <row r="28" spans="1:14" ht="20.149999999999999" customHeight="1">
      <c r="A28" s="43">
        <v>15</v>
      </c>
      <c r="B28" s="33" t="s">
        <v>180</v>
      </c>
      <c r="C28" s="35">
        <f>C8</f>
        <v>2024</v>
      </c>
      <c r="E28" s="86">
        <v>1392845232.5428376</v>
      </c>
      <c r="F28" s="86">
        <v>200336336.73818994</v>
      </c>
      <c r="G28" s="86">
        <v>759235019.14206088</v>
      </c>
      <c r="H28" s="86">
        <v>37954967.118204102</v>
      </c>
      <c r="I28" s="86">
        <v>74452070.629101798</v>
      </c>
      <c r="J28" s="86"/>
      <c r="K28" s="87"/>
      <c r="M28" s="87">
        <f t="shared" ref="M28:M40" si="8">SUM(E28:J28)</f>
        <v>2464823626.1703944</v>
      </c>
    </row>
    <row r="29" spans="1:14" ht="20.149999999999999" customHeight="1">
      <c r="A29" s="43">
        <v>16</v>
      </c>
      <c r="B29" s="33" t="s">
        <v>181</v>
      </c>
      <c r="C29" s="35">
        <f>C28+1</f>
        <v>2025</v>
      </c>
      <c r="E29" s="86">
        <v>1400593427.1300008</v>
      </c>
      <c r="F29" s="86">
        <v>201441771.88112444</v>
      </c>
      <c r="G29" s="86">
        <v>762300840.92359877</v>
      </c>
      <c r="H29" s="86">
        <v>38576365.7679803</v>
      </c>
      <c r="I29" s="86">
        <v>75295678.935619831</v>
      </c>
      <c r="J29" s="86"/>
      <c r="K29" s="87"/>
      <c r="M29" s="87">
        <f t="shared" si="8"/>
        <v>2478208084.6383238</v>
      </c>
      <c r="N29" s="93"/>
    </row>
    <row r="30" spans="1:14" ht="20.149999999999999" customHeight="1">
      <c r="A30" s="43">
        <v>17</v>
      </c>
      <c r="B30" s="33" t="s">
        <v>182</v>
      </c>
      <c r="C30" s="35">
        <f>C29</f>
        <v>2025</v>
      </c>
      <c r="E30" s="86">
        <v>1408639599.7927785</v>
      </c>
      <c r="F30" s="86">
        <v>202482838.40766039</v>
      </c>
      <c r="G30" s="86">
        <v>765529021.03102267</v>
      </c>
      <c r="H30" s="86">
        <v>39217258.31630338</v>
      </c>
      <c r="I30" s="86">
        <v>76141870.486099944</v>
      </c>
      <c r="J30" s="86"/>
      <c r="K30" s="87"/>
      <c r="M30" s="87">
        <f t="shared" si="8"/>
        <v>2492010588.0338645</v>
      </c>
      <c r="N30" s="93"/>
    </row>
    <row r="31" spans="1:14" ht="20.149999999999999" customHeight="1">
      <c r="A31" s="43">
        <v>18</v>
      </c>
      <c r="B31" s="33" t="s">
        <v>183</v>
      </c>
      <c r="C31" s="35">
        <f t="shared" ref="C31:C40" si="9">C30</f>
        <v>2025</v>
      </c>
      <c r="E31" s="86">
        <v>1416642891.69523</v>
      </c>
      <c r="F31" s="86">
        <v>203131426.26094928</v>
      </c>
      <c r="G31" s="86">
        <v>768699334.76769996</v>
      </c>
      <c r="H31" s="86">
        <v>39863813.107218437</v>
      </c>
      <c r="I31" s="86">
        <v>77026934.559915915</v>
      </c>
      <c r="J31" s="86"/>
      <c r="K31" s="87"/>
      <c r="M31" s="87">
        <f>SUM(E31:J31)</f>
        <v>2505364400.3910136</v>
      </c>
      <c r="N31" s="93"/>
    </row>
    <row r="32" spans="1:14" ht="20.149999999999999" customHeight="1">
      <c r="A32" s="43">
        <v>19</v>
      </c>
      <c r="B32" s="33" t="s">
        <v>184</v>
      </c>
      <c r="C32" s="35">
        <f t="shared" si="9"/>
        <v>2025</v>
      </c>
      <c r="E32" s="86">
        <v>1424641231.6334126</v>
      </c>
      <c r="F32" s="86">
        <v>202951473.74886745</v>
      </c>
      <c r="G32" s="86">
        <v>771922764.09260869</v>
      </c>
      <c r="H32" s="86">
        <v>40514950.786458246</v>
      </c>
      <c r="I32" s="86">
        <v>77907819.788138717</v>
      </c>
      <c r="J32" s="86"/>
      <c r="K32" s="87"/>
      <c r="M32" s="87">
        <f t="shared" si="8"/>
        <v>2517938240.0494857</v>
      </c>
      <c r="N32" s="93"/>
    </row>
    <row r="33" spans="1:14" ht="20.149999999999999" customHeight="1">
      <c r="A33" s="43">
        <v>20</v>
      </c>
      <c r="B33" s="33" t="s">
        <v>185</v>
      </c>
      <c r="C33" s="35">
        <f t="shared" si="9"/>
        <v>2025</v>
      </c>
      <c r="E33" s="86">
        <v>1429364579.8249409</v>
      </c>
      <c r="F33" s="86">
        <v>203156085.84098613</v>
      </c>
      <c r="G33" s="86">
        <v>775170773.89425802</v>
      </c>
      <c r="H33" s="86">
        <v>41171835.872677013</v>
      </c>
      <c r="I33" s="86">
        <v>78792579.040140897</v>
      </c>
      <c r="J33" s="86"/>
      <c r="K33" s="87"/>
      <c r="M33" s="87">
        <f t="shared" si="8"/>
        <v>2527655854.4730029</v>
      </c>
      <c r="N33" s="93"/>
    </row>
    <row r="34" spans="1:14" ht="20.149999999999999" customHeight="1">
      <c r="A34" s="43">
        <v>21</v>
      </c>
      <c r="B34" s="33" t="s">
        <v>195</v>
      </c>
      <c r="C34" s="35">
        <f t="shared" si="9"/>
        <v>2025</v>
      </c>
      <c r="E34" s="86">
        <v>1435983153.0708215</v>
      </c>
      <c r="F34" s="86">
        <v>203223377.05313176</v>
      </c>
      <c r="G34" s="86">
        <v>778436541.73592329</v>
      </c>
      <c r="H34" s="86">
        <v>41832017.866406366</v>
      </c>
      <c r="I34" s="86">
        <v>79664277.583897382</v>
      </c>
      <c r="J34" s="86"/>
      <c r="K34" s="87"/>
      <c r="M34" s="87">
        <f>SUM(E34:J34)</f>
        <v>2539139367.3101807</v>
      </c>
      <c r="N34" s="93"/>
    </row>
    <row r="35" spans="1:14" ht="20.149999999999999" customHeight="1">
      <c r="A35" s="43">
        <v>22</v>
      </c>
      <c r="B35" s="33" t="s">
        <v>186</v>
      </c>
      <c r="C35" s="35">
        <f t="shared" si="9"/>
        <v>2025</v>
      </c>
      <c r="E35" s="86">
        <v>1444112613.9939401</v>
      </c>
      <c r="F35" s="86">
        <v>204094192.13494518</v>
      </c>
      <c r="G35" s="86">
        <v>781760847.11171031</v>
      </c>
      <c r="H35" s="86">
        <v>42406895.720934562</v>
      </c>
      <c r="I35" s="86">
        <v>80538577.262090817</v>
      </c>
      <c r="J35" s="86"/>
      <c r="K35" s="87"/>
      <c r="M35" s="87">
        <f t="shared" si="8"/>
        <v>2552913126.2236209</v>
      </c>
      <c r="N35" s="93"/>
    </row>
    <row r="36" spans="1:14" ht="20.149999999999999" customHeight="1">
      <c r="A36" s="43">
        <v>23</v>
      </c>
      <c r="B36" s="33" t="s">
        <v>187</v>
      </c>
      <c r="C36" s="35">
        <f t="shared" si="9"/>
        <v>2025</v>
      </c>
      <c r="E36" s="86">
        <v>1452203929.7274549</v>
      </c>
      <c r="F36" s="86">
        <v>205019811.29077247</v>
      </c>
      <c r="G36" s="86">
        <v>785140226.02160549</v>
      </c>
      <c r="H36" s="86">
        <v>42985590.586988091</v>
      </c>
      <c r="I36" s="86">
        <v>81397155.010020778</v>
      </c>
      <c r="J36" s="86"/>
      <c r="K36" s="87"/>
      <c r="M36" s="87">
        <f t="shared" si="8"/>
        <v>2566746712.6368418</v>
      </c>
      <c r="N36" s="93"/>
    </row>
    <row r="37" spans="1:14" ht="20.149999999999999" customHeight="1">
      <c r="A37" s="43">
        <v>24</v>
      </c>
      <c r="B37" s="33" t="s">
        <v>188</v>
      </c>
      <c r="C37" s="35">
        <f t="shared" si="9"/>
        <v>2025</v>
      </c>
      <c r="E37" s="86">
        <v>1460261143.4733918</v>
      </c>
      <c r="F37" s="86">
        <v>205937977.48783979</v>
      </c>
      <c r="G37" s="86">
        <v>788453406.702214</v>
      </c>
      <c r="H37" s="86">
        <v>43568044.859974444</v>
      </c>
      <c r="I37" s="86">
        <v>82266941.331566632</v>
      </c>
      <c r="J37" s="86"/>
      <c r="K37" s="87"/>
      <c r="M37" s="87">
        <f>SUM(E37:J37)</f>
        <v>2580487513.8549867</v>
      </c>
      <c r="N37" s="93"/>
    </row>
    <row r="38" spans="1:14" ht="20.149999999999999" customHeight="1">
      <c r="A38" s="43">
        <v>25</v>
      </c>
      <c r="B38" s="33" t="s">
        <v>190</v>
      </c>
      <c r="C38" s="35">
        <f t="shared" si="9"/>
        <v>2025</v>
      </c>
      <c r="E38" s="86">
        <v>1468412203.4851487</v>
      </c>
      <c r="F38" s="86">
        <v>206642612.79290897</v>
      </c>
      <c r="G38" s="86">
        <v>791810408.84820473</v>
      </c>
      <c r="H38" s="86">
        <v>44154069.166938275</v>
      </c>
      <c r="I38" s="86">
        <v>83143524.846643403</v>
      </c>
      <c r="J38" s="86"/>
      <c r="K38" s="87"/>
      <c r="M38" s="87">
        <f t="shared" si="8"/>
        <v>2594162819.1398439</v>
      </c>
      <c r="N38" s="93"/>
    </row>
    <row r="39" spans="1:14" ht="20.149999999999999" customHeight="1">
      <c r="A39" s="43">
        <v>26</v>
      </c>
      <c r="B39" s="33" t="s">
        <v>189</v>
      </c>
      <c r="C39" s="35">
        <f t="shared" si="9"/>
        <v>2025</v>
      </c>
      <c r="E39" s="86">
        <v>1472970031.4749849</v>
      </c>
      <c r="F39" s="86">
        <v>207393804.27711257</v>
      </c>
      <c r="G39" s="86">
        <v>795232108.85586214</v>
      </c>
      <c r="H39" s="86">
        <v>44743631.215007111</v>
      </c>
      <c r="I39" s="86">
        <v>84049388.388893515</v>
      </c>
      <c r="J39" s="86"/>
      <c r="K39" s="87"/>
      <c r="M39" s="87">
        <f t="shared" si="8"/>
        <v>2604388964.2118607</v>
      </c>
      <c r="N39" s="93"/>
    </row>
    <row r="40" spans="1:14" ht="20.149999999999999" customHeight="1">
      <c r="A40" s="43">
        <v>27</v>
      </c>
      <c r="B40" s="33" t="s">
        <v>180</v>
      </c>
      <c r="C40" s="35">
        <f t="shared" si="9"/>
        <v>2025</v>
      </c>
      <c r="E40" s="86">
        <v>1472991765.9338729</v>
      </c>
      <c r="F40" s="86">
        <v>207277196.21212673</v>
      </c>
      <c r="G40" s="86">
        <v>798737550.7800591</v>
      </c>
      <c r="H40" s="86">
        <v>45350235.027224019</v>
      </c>
      <c r="I40" s="86">
        <v>84955495.942742556</v>
      </c>
      <c r="J40" s="86"/>
      <c r="K40" s="87"/>
      <c r="M40" s="87">
        <f t="shared" si="8"/>
        <v>2609312243.8960252</v>
      </c>
      <c r="N40" s="93"/>
    </row>
    <row r="41" spans="1:14" ht="20.149999999999999" customHeight="1">
      <c r="E41" s="88"/>
      <c r="F41" s="88"/>
      <c r="G41" s="88"/>
      <c r="H41" s="88"/>
      <c r="I41" s="88"/>
      <c r="J41" s="88"/>
      <c r="K41" s="87"/>
      <c r="M41" s="87"/>
    </row>
    <row r="42" spans="1:14" ht="20.149999999999999" customHeight="1">
      <c r="A42" s="43">
        <v>28</v>
      </c>
      <c r="B42" s="33" t="s">
        <v>204</v>
      </c>
      <c r="E42" s="88">
        <f t="shared" ref="E42:I42" si="10">SUM(E28:E40)/13</f>
        <v>1436897061.8291397</v>
      </c>
      <c r="F42" s="88">
        <f t="shared" si="10"/>
        <v>204083761.85589346</v>
      </c>
      <c r="G42" s="88">
        <f t="shared" si="10"/>
        <v>778648372.60821748</v>
      </c>
      <c r="H42" s="88">
        <f t="shared" si="10"/>
        <v>41718436.570178032</v>
      </c>
      <c r="I42" s="88">
        <f t="shared" si="10"/>
        <v>79664024.138836324</v>
      </c>
      <c r="J42" s="88">
        <f>SUM(J28:J40)/13</f>
        <v>0</v>
      </c>
      <c r="K42" s="88"/>
      <c r="M42" s="88">
        <f>SUM(M28:M40)/13</f>
        <v>2541011657.0022655</v>
      </c>
    </row>
    <row r="43" spans="1:14" ht="20.149999999999999" customHeight="1"/>
    <row r="44" spans="1:14" ht="20.149999999999999" customHeight="1"/>
    <row r="45" spans="1:14" ht="20.149999999999999" customHeight="1">
      <c r="B45" s="53" t="s">
        <v>550</v>
      </c>
      <c r="C45" s="832"/>
      <c r="D45" s="832"/>
      <c r="E45" s="833"/>
      <c r="F45" s="833"/>
      <c r="G45" s="56"/>
      <c r="H45" s="382"/>
      <c r="I45" s="382"/>
      <c r="J45" s="387"/>
      <c r="L45" s="834"/>
      <c r="M45" s="835"/>
      <c r="N45" s="835"/>
    </row>
    <row r="46" spans="1:14" ht="20.149999999999999" customHeight="1">
      <c r="B46" s="57"/>
      <c r="E46" s="41" t="s">
        <v>196</v>
      </c>
      <c r="F46" s="41" t="s">
        <v>24</v>
      </c>
      <c r="G46" s="41" t="s">
        <v>197</v>
      </c>
      <c r="H46" s="41" t="s">
        <v>199</v>
      </c>
      <c r="I46" s="41" t="s">
        <v>198</v>
      </c>
      <c r="J46" s="380" t="s">
        <v>200</v>
      </c>
      <c r="L46" s="33"/>
    </row>
    <row r="47" spans="1:14" ht="20.149999999999999" customHeight="1">
      <c r="B47" s="57"/>
      <c r="E47" s="33"/>
      <c r="F47" s="41"/>
      <c r="G47" s="41"/>
      <c r="H47" s="33"/>
      <c r="I47" s="41"/>
      <c r="J47" s="58"/>
      <c r="L47" s="33"/>
    </row>
    <row r="48" spans="1:14" ht="20.149999999999999" customHeight="1">
      <c r="B48" s="57"/>
      <c r="D48" s="37" t="s">
        <v>218</v>
      </c>
      <c r="E48" s="33" t="s">
        <v>547</v>
      </c>
      <c r="F48" s="40" t="s">
        <v>547</v>
      </c>
      <c r="G48" s="40" t="s">
        <v>547</v>
      </c>
      <c r="H48" s="33" t="s">
        <v>547</v>
      </c>
      <c r="I48" s="40" t="s">
        <v>547</v>
      </c>
      <c r="J48" s="58" t="s">
        <v>547</v>
      </c>
      <c r="L48" s="33"/>
    </row>
    <row r="49" spans="1:12" ht="20.149999999999999" customHeight="1">
      <c r="A49" s="43">
        <v>29</v>
      </c>
      <c r="B49" s="57" t="s">
        <v>180</v>
      </c>
      <c r="C49" s="35">
        <f>C8</f>
        <v>2024</v>
      </c>
      <c r="E49" s="1052">
        <v>6643011.1069298564</v>
      </c>
      <c r="F49" s="86">
        <v>640.52976744186049</v>
      </c>
      <c r="G49" s="86">
        <v>0</v>
      </c>
      <c r="H49" s="86">
        <v>0</v>
      </c>
      <c r="I49" s="86">
        <v>23541.350202103706</v>
      </c>
      <c r="J49" s="86">
        <v>0</v>
      </c>
      <c r="L49" s="33"/>
    </row>
    <row r="50" spans="1:12" ht="20.149999999999999" customHeight="1">
      <c r="A50" s="43">
        <v>30</v>
      </c>
      <c r="B50" s="57" t="s">
        <v>181</v>
      </c>
      <c r="C50" s="35">
        <f>C49+1</f>
        <v>2025</v>
      </c>
      <c r="E50" s="1052">
        <v>6632105.4123158278</v>
      </c>
      <c r="F50" s="86">
        <v>642.11972093023257</v>
      </c>
      <c r="G50" s="86">
        <v>0</v>
      </c>
      <c r="H50" s="86">
        <v>0</v>
      </c>
      <c r="I50" s="86">
        <v>23651.094242524447</v>
      </c>
      <c r="J50" s="86">
        <v>0</v>
      </c>
      <c r="L50" s="33"/>
    </row>
    <row r="51" spans="1:12" ht="20.149999999999999" customHeight="1">
      <c r="A51" s="43">
        <v>31</v>
      </c>
      <c r="B51" s="57" t="s">
        <v>182</v>
      </c>
      <c r="C51" s="35">
        <f>C50</f>
        <v>2025</v>
      </c>
      <c r="E51" s="1052">
        <v>6621199.7177017992</v>
      </c>
      <c r="F51" s="86">
        <v>643.70967441860466</v>
      </c>
      <c r="G51" s="86">
        <v>0</v>
      </c>
      <c r="H51" s="86">
        <v>0</v>
      </c>
      <c r="I51" s="86">
        <v>23760.838282945188</v>
      </c>
      <c r="J51" s="86">
        <v>0</v>
      </c>
      <c r="L51" s="33"/>
    </row>
    <row r="52" spans="1:12" ht="20.149999999999999" customHeight="1">
      <c r="A52" s="43">
        <v>32</v>
      </c>
      <c r="B52" s="57" t="s">
        <v>183</v>
      </c>
      <c r="C52" s="35">
        <f t="shared" ref="C52:C61" si="11">C51</f>
        <v>2025</v>
      </c>
      <c r="E52" s="1052">
        <v>6610294.0230877707</v>
      </c>
      <c r="F52" s="86">
        <v>645.29962790697675</v>
      </c>
      <c r="G52" s="86">
        <v>0</v>
      </c>
      <c r="H52" s="86">
        <v>0</v>
      </c>
      <c r="I52" s="86">
        <v>23870.582323365928</v>
      </c>
      <c r="J52" s="86">
        <v>0</v>
      </c>
      <c r="L52" s="33"/>
    </row>
    <row r="53" spans="1:12" ht="20.149999999999999" customHeight="1">
      <c r="A53" s="43">
        <v>33</v>
      </c>
      <c r="B53" s="57" t="s">
        <v>184</v>
      </c>
      <c r="C53" s="35">
        <f t="shared" si="11"/>
        <v>2025</v>
      </c>
      <c r="E53" s="1052">
        <v>6599388.3284737421</v>
      </c>
      <c r="F53" s="86">
        <v>646.88958139534884</v>
      </c>
      <c r="G53" s="86">
        <v>0</v>
      </c>
      <c r="H53" s="86">
        <v>0</v>
      </c>
      <c r="I53" s="86">
        <v>23980.326363786669</v>
      </c>
      <c r="J53" s="86">
        <v>0</v>
      </c>
      <c r="L53" s="33"/>
    </row>
    <row r="54" spans="1:12" ht="20.149999999999999" customHeight="1">
      <c r="A54" s="43">
        <v>34</v>
      </c>
      <c r="B54" s="57" t="s">
        <v>185</v>
      </c>
      <c r="C54" s="35">
        <f t="shared" si="11"/>
        <v>2025</v>
      </c>
      <c r="E54" s="1052">
        <v>6588482.6338597136</v>
      </c>
      <c r="F54" s="86">
        <v>648.47953488372093</v>
      </c>
      <c r="G54" s="86">
        <v>0</v>
      </c>
      <c r="H54" s="86">
        <v>0</v>
      </c>
      <c r="I54" s="86">
        <v>24090.07040420741</v>
      </c>
      <c r="J54" s="86">
        <v>0</v>
      </c>
      <c r="L54" s="33"/>
    </row>
    <row r="55" spans="1:12" ht="20.149999999999999" customHeight="1">
      <c r="A55" s="43">
        <v>35</v>
      </c>
      <c r="B55" s="57" t="s">
        <v>195</v>
      </c>
      <c r="C55" s="35">
        <f t="shared" si="11"/>
        <v>2025</v>
      </c>
      <c r="E55" s="1052">
        <v>6577576.939245685</v>
      </c>
      <c r="F55" s="86">
        <v>650.06948837209302</v>
      </c>
      <c r="G55" s="86">
        <v>0</v>
      </c>
      <c r="H55" s="86">
        <v>0</v>
      </c>
      <c r="I55" s="86">
        <v>24199.814444628151</v>
      </c>
      <c r="J55" s="86">
        <v>0</v>
      </c>
      <c r="L55" s="33"/>
    </row>
    <row r="56" spans="1:12" ht="20.149999999999999" customHeight="1">
      <c r="A56" s="43">
        <v>36</v>
      </c>
      <c r="B56" s="57" t="s">
        <v>186</v>
      </c>
      <c r="C56" s="35">
        <f t="shared" si="11"/>
        <v>2025</v>
      </c>
      <c r="E56" s="1052">
        <v>6566671.2446316564</v>
      </c>
      <c r="F56" s="86">
        <v>651.65944186046511</v>
      </c>
      <c r="G56" s="86">
        <v>0</v>
      </c>
      <c r="H56" s="86">
        <v>0</v>
      </c>
      <c r="I56" s="86">
        <v>24309.558485048892</v>
      </c>
      <c r="J56" s="86">
        <v>0</v>
      </c>
      <c r="L56" s="33"/>
    </row>
    <row r="57" spans="1:12" ht="20.149999999999999" customHeight="1">
      <c r="A57" s="43">
        <v>37</v>
      </c>
      <c r="B57" s="57" t="s">
        <v>187</v>
      </c>
      <c r="C57" s="35">
        <f t="shared" si="11"/>
        <v>2025</v>
      </c>
      <c r="E57" s="1052">
        <v>6555765.5500176279</v>
      </c>
      <c r="F57" s="86">
        <v>653.2493953488372</v>
      </c>
      <c r="G57" s="86">
        <v>0</v>
      </c>
      <c r="H57" s="86">
        <v>0</v>
      </c>
      <c r="I57" s="86">
        <v>24419.302525469633</v>
      </c>
      <c r="J57" s="86">
        <v>0</v>
      </c>
      <c r="L57" s="33"/>
    </row>
    <row r="58" spans="1:12" ht="20.149999999999999" customHeight="1">
      <c r="A58" s="43">
        <v>38</v>
      </c>
      <c r="B58" s="57" t="s">
        <v>188</v>
      </c>
      <c r="C58" s="35">
        <f t="shared" si="11"/>
        <v>2025</v>
      </c>
      <c r="E58" s="1052">
        <v>6544859.8554035993</v>
      </c>
      <c r="F58" s="86">
        <v>654.83934883720929</v>
      </c>
      <c r="G58" s="86">
        <v>0</v>
      </c>
      <c r="H58" s="86">
        <v>0</v>
      </c>
      <c r="I58" s="86">
        <v>24529.046565890374</v>
      </c>
      <c r="J58" s="86">
        <v>0</v>
      </c>
      <c r="L58" s="33"/>
    </row>
    <row r="59" spans="1:12" ht="20.149999999999999" customHeight="1">
      <c r="A59" s="43">
        <v>39</v>
      </c>
      <c r="B59" s="57" t="s">
        <v>190</v>
      </c>
      <c r="C59" s="35">
        <f t="shared" si="11"/>
        <v>2025</v>
      </c>
      <c r="E59" s="1052">
        <v>6533954.1607895708</v>
      </c>
      <c r="F59" s="86">
        <v>656.42930232558138</v>
      </c>
      <c r="G59" s="86">
        <v>0</v>
      </c>
      <c r="H59" s="86">
        <v>0</v>
      </c>
      <c r="I59" s="86">
        <v>24638.790606311115</v>
      </c>
      <c r="J59" s="86">
        <v>0</v>
      </c>
      <c r="L59" s="33"/>
    </row>
    <row r="60" spans="1:12" ht="20.149999999999999" customHeight="1">
      <c r="A60" s="43">
        <v>40</v>
      </c>
      <c r="B60" s="57" t="s">
        <v>189</v>
      </c>
      <c r="C60" s="35">
        <f t="shared" si="11"/>
        <v>2025</v>
      </c>
      <c r="E60" s="1052">
        <v>6523048.4661755422</v>
      </c>
      <c r="F60" s="86">
        <v>658.01925581395346</v>
      </c>
      <c r="G60" s="86">
        <v>0</v>
      </c>
      <c r="H60" s="86">
        <v>0</v>
      </c>
      <c r="I60" s="86">
        <v>24748.534646731856</v>
      </c>
      <c r="J60" s="86">
        <v>0</v>
      </c>
      <c r="L60" s="33"/>
    </row>
    <row r="61" spans="1:12" ht="20.149999999999999" customHeight="1">
      <c r="A61" s="43">
        <v>41</v>
      </c>
      <c r="B61" s="57" t="s">
        <v>180</v>
      </c>
      <c r="C61" s="35">
        <f t="shared" si="11"/>
        <v>2025</v>
      </c>
      <c r="E61" s="1052">
        <v>6512142.7715615137</v>
      </c>
      <c r="F61" s="86">
        <v>659.60920930232555</v>
      </c>
      <c r="G61" s="86">
        <v>0</v>
      </c>
      <c r="H61" s="86">
        <v>0</v>
      </c>
      <c r="I61" s="86">
        <v>24858.278687152597</v>
      </c>
      <c r="J61" s="86">
        <v>0</v>
      </c>
      <c r="L61" s="33"/>
    </row>
    <row r="62" spans="1:12" ht="20.149999999999999" customHeight="1">
      <c r="B62" s="57"/>
      <c r="E62" s="33"/>
      <c r="F62" s="90"/>
      <c r="G62" s="33"/>
      <c r="H62" s="33"/>
      <c r="I62" s="33"/>
      <c r="J62" s="58"/>
      <c r="L62" s="33"/>
    </row>
    <row r="63" spans="1:12" ht="20.149999999999999" customHeight="1">
      <c r="A63" s="43">
        <v>42</v>
      </c>
      <c r="B63" s="59" t="s">
        <v>204</v>
      </c>
      <c r="C63" s="60"/>
      <c r="D63" s="60"/>
      <c r="E63" s="91">
        <f t="shared" ref="E63" si="12">SUM(E49:E61)/13</f>
        <v>6577576.939245685</v>
      </c>
      <c r="F63" s="91">
        <f>SUM(F49:F61)/13</f>
        <v>650.06948837209302</v>
      </c>
      <c r="G63" s="91">
        <f>SUM(G49:G61)/13</f>
        <v>0</v>
      </c>
      <c r="H63" s="91">
        <f>SUM(H49:H61)/13</f>
        <v>0</v>
      </c>
      <c r="I63" s="91">
        <f>SUM(I49:I61)/13</f>
        <v>24199.814444628151</v>
      </c>
      <c r="J63" s="381">
        <f>SUM(J49:J61)/13</f>
        <v>0</v>
      </c>
      <c r="L63" s="33"/>
    </row>
    <row r="65" spans="1:2" ht="20.149999999999999" customHeight="1">
      <c r="A65" s="33" t="s">
        <v>206</v>
      </c>
    </row>
    <row r="66" spans="1:2" ht="20.149999999999999" customHeight="1">
      <c r="A66" s="39" t="s">
        <v>205</v>
      </c>
      <c r="B66" s="33" t="s">
        <v>901</v>
      </c>
    </row>
    <row r="67" spans="1:2" ht="20.149999999999999" customHeight="1">
      <c r="A67" s="39" t="s">
        <v>218</v>
      </c>
      <c r="B67" s="33" t="s">
        <v>207</v>
      </c>
    </row>
    <row r="68" spans="1:2" ht="20.149999999999999" customHeight="1">
      <c r="A68" s="39" t="s">
        <v>257</v>
      </c>
      <c r="B68" s="33" t="s">
        <v>552</v>
      </c>
    </row>
    <row r="69" spans="1:2" ht="20.149999999999999" customHeight="1">
      <c r="A69" s="39" t="s">
        <v>267</v>
      </c>
      <c r="B69" s="33" t="s">
        <v>752</v>
      </c>
    </row>
    <row r="70" spans="1:2">
      <c r="A70" s="39" t="s">
        <v>268</v>
      </c>
      <c r="B70" s="33" t="s">
        <v>800</v>
      </c>
    </row>
    <row r="71" spans="1:2" ht="20.149999999999999" customHeight="1">
      <c r="A71" s="39" t="s">
        <v>631</v>
      </c>
      <c r="B71" s="33" t="s">
        <v>796</v>
      </c>
    </row>
  </sheetData>
  <pageMargins left="0.7" right="0.7" top="0.75" bottom="0.75" header="0.3" footer="0.3"/>
  <pageSetup scale="43" orientation="portrait" r:id="rId1"/>
  <ignoredErrors>
    <ignoredError sqref="J4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P36"/>
  <sheetViews>
    <sheetView view="pageBreakPreview" zoomScale="80" zoomScaleNormal="80" zoomScaleSheetLayoutView="80" workbookViewId="0"/>
  </sheetViews>
  <sheetFormatPr defaultColWidth="8.84375" defaultRowHeight="20.149999999999999" customHeight="1"/>
  <cols>
    <col min="1" max="1" width="3.53515625" style="39" customWidth="1"/>
    <col min="2" max="2" width="17.3046875" style="33" customWidth="1"/>
    <col min="3" max="3" width="10" style="33" customWidth="1"/>
    <col min="4" max="4" width="5.69140625" style="33" customWidth="1"/>
    <col min="5" max="5" width="15.07421875" style="39" customWidth="1"/>
    <col min="6" max="6" width="15.53515625" style="39" customWidth="1"/>
    <col min="7" max="7" width="15" style="39" customWidth="1"/>
    <col min="8" max="8" width="16" style="39" customWidth="1"/>
    <col min="9" max="10" width="16.3046875" style="39" customWidth="1"/>
    <col min="11" max="11" width="18.07421875" style="33" customWidth="1"/>
    <col min="12" max="12" width="15.84375" style="33" customWidth="1"/>
    <col min="13" max="14" width="8.84375" style="33"/>
    <col min="15" max="15" width="14.53515625" style="33" bestFit="1" customWidth="1"/>
    <col min="16" max="16384" width="8.84375" style="33"/>
  </cols>
  <sheetData>
    <row r="1" spans="1:13" ht="20.149999999999999" customHeight="1">
      <c r="M1" s="3" t="str">
        <f>'Attachment H-11A '!K1&amp;""&amp;", Attachment 5"</f>
        <v>Attachment H -11A, Attachment 5</v>
      </c>
    </row>
    <row r="2" spans="1:13" ht="20.149999999999999" customHeight="1">
      <c r="M2" s="3" t="s">
        <v>168</v>
      </c>
    </row>
    <row r="3" spans="1:13" ht="20.149999999999999" customHeight="1">
      <c r="M3" s="3" t="str">
        <f>'Attachment H-11A '!K4</f>
        <v>For the 12 months ended 12/31/2025</v>
      </c>
    </row>
    <row r="4" spans="1:13" ht="20.149999999999999" customHeight="1">
      <c r="A4" s="42"/>
    </row>
    <row r="5" spans="1:13" ht="20.149999999999999" customHeight="1">
      <c r="A5" s="42"/>
      <c r="E5" s="375" t="s">
        <v>457</v>
      </c>
      <c r="F5" s="375" t="s">
        <v>458</v>
      </c>
      <c r="G5" s="375" t="s">
        <v>459</v>
      </c>
      <c r="H5" s="375" t="s">
        <v>460</v>
      </c>
      <c r="I5" s="375" t="s">
        <v>461</v>
      </c>
      <c r="J5" s="375"/>
      <c r="L5" s="375" t="s">
        <v>462</v>
      </c>
    </row>
    <row r="6" spans="1:13" ht="20.149999999999999" customHeight="1">
      <c r="E6" s="1127" t="s">
        <v>541</v>
      </c>
      <c r="F6" s="1127"/>
      <c r="G6" s="1127"/>
      <c r="H6" s="1127"/>
      <c r="I6" s="1127"/>
      <c r="J6" s="1127"/>
      <c r="K6" s="1127"/>
      <c r="L6" s="1127"/>
    </row>
    <row r="7" spans="1:13" ht="20.149999999999999" customHeight="1">
      <c r="E7" s="41" t="s">
        <v>211</v>
      </c>
      <c r="F7" s="41" t="s">
        <v>212</v>
      </c>
      <c r="G7" s="41" t="s">
        <v>213</v>
      </c>
      <c r="H7" s="41" t="s">
        <v>214</v>
      </c>
      <c r="I7" s="41" t="s">
        <v>215</v>
      </c>
      <c r="J7" s="41"/>
      <c r="L7" s="41" t="s">
        <v>9</v>
      </c>
    </row>
    <row r="8" spans="1:13" ht="20.149999999999999" customHeight="1">
      <c r="E8" s="47" t="s">
        <v>217</v>
      </c>
      <c r="F8" s="47" t="s">
        <v>217</v>
      </c>
      <c r="G8" s="47" t="s">
        <v>217</v>
      </c>
      <c r="H8" s="41"/>
      <c r="I8" s="47" t="s">
        <v>217</v>
      </c>
      <c r="J8" s="47"/>
    </row>
    <row r="9" spans="1:13" ht="20.149999999999999" customHeight="1">
      <c r="D9" s="37"/>
      <c r="E9" s="40"/>
      <c r="F9" s="40" t="s">
        <v>218</v>
      </c>
      <c r="G9" s="40" t="s">
        <v>257</v>
      </c>
      <c r="H9" s="40" t="s">
        <v>267</v>
      </c>
      <c r="I9" s="40" t="s">
        <v>268</v>
      </c>
      <c r="J9" s="40"/>
    </row>
    <row r="10" spans="1:13" ht="20.149999999999999" customHeight="1">
      <c r="A10" s="43">
        <v>1</v>
      </c>
      <c r="B10" s="46" t="s">
        <v>216</v>
      </c>
      <c r="C10" s="35" t="str">
        <f>MID(M3:M3,25,10)</f>
        <v>12/31/2025</v>
      </c>
      <c r="D10" s="48" t="s">
        <v>205</v>
      </c>
      <c r="E10" s="399">
        <f>-(E15)</f>
        <v>0</v>
      </c>
      <c r="F10" s="93">
        <f>-(F15-F24-G24-H24-I24-K24-J24)</f>
        <v>-122501241.3906236</v>
      </c>
      <c r="G10" s="93">
        <f>-(G15-F28-G28-H28-I28-K28-J28)</f>
        <v>-1948431.3070893665</v>
      </c>
      <c r="H10" s="93">
        <f>H15-F32-G32-H32-I32-K32-J32</f>
        <v>17734694.343020793</v>
      </c>
      <c r="I10" s="93">
        <v>0</v>
      </c>
      <c r="J10" s="93"/>
      <c r="L10" s="93">
        <f>SUM(E10:I10)</f>
        <v>-106714978.35469218</v>
      </c>
    </row>
    <row r="11" spans="1:13" ht="20.149999999999999" customHeight="1">
      <c r="D11" s="37"/>
      <c r="E11" s="40"/>
      <c r="F11" s="40"/>
      <c r="G11" s="40"/>
      <c r="H11" s="40"/>
      <c r="I11" s="40"/>
      <c r="J11" s="40"/>
    </row>
    <row r="13" spans="1:13" ht="20.149999999999999" customHeight="1">
      <c r="E13" s="1127" t="s">
        <v>879</v>
      </c>
      <c r="F13" s="1127"/>
      <c r="G13" s="1127"/>
      <c r="H13" s="1127"/>
      <c r="I13" s="1127"/>
      <c r="J13" s="1127"/>
      <c r="K13" s="1127"/>
      <c r="L13" s="1127"/>
    </row>
    <row r="14" spans="1:13" ht="20.149999999999999" customHeight="1">
      <c r="E14" s="41" t="s">
        <v>211</v>
      </c>
      <c r="F14" s="41" t="s">
        <v>212</v>
      </c>
      <c r="G14" s="41" t="s">
        <v>213</v>
      </c>
      <c r="H14" s="41" t="s">
        <v>214</v>
      </c>
      <c r="I14" s="41" t="s">
        <v>215</v>
      </c>
      <c r="J14" s="41"/>
      <c r="L14" s="41" t="s">
        <v>9</v>
      </c>
    </row>
    <row r="15" spans="1:13" ht="20.149999999999999" customHeight="1">
      <c r="A15" s="43">
        <v>2</v>
      </c>
      <c r="B15" s="46" t="s">
        <v>216</v>
      </c>
      <c r="C15" s="35" t="str">
        <f>C10</f>
        <v>12/31/2025</v>
      </c>
      <c r="D15" s="48" t="s">
        <v>512</v>
      </c>
      <c r="E15" s="88">
        <f>'Attachment 5a - ADIT Detail'!E13</f>
        <v>0</v>
      </c>
      <c r="F15" s="88">
        <f>'Attachment 5a - ADIT Detail'!E10</f>
        <v>118457229.91780591</v>
      </c>
      <c r="G15" s="88">
        <f>'Attachment 5a - ADIT Detail'!E11</f>
        <v>-2491567.3478786172</v>
      </c>
      <c r="H15" s="88">
        <f>'Attachment 5a - ADIT Detail'!E12</f>
        <v>24958729.416114025</v>
      </c>
      <c r="I15" s="88">
        <f>'Attachment 5a - ADIT Detail'!E14</f>
        <v>0</v>
      </c>
      <c r="J15" s="88"/>
      <c r="L15" s="88">
        <f t="shared" ref="L15" si="0">SUM(E15:I15)</f>
        <v>140924391.98604131</v>
      </c>
    </row>
    <row r="16" spans="1:13" ht="20.149999999999999" customHeight="1">
      <c r="B16" s="46"/>
      <c r="C16" s="35"/>
      <c r="E16" s="47"/>
      <c r="F16" s="47"/>
      <c r="G16" s="47"/>
      <c r="H16" s="41"/>
      <c r="I16" s="47"/>
      <c r="J16" s="47"/>
    </row>
    <row r="18" spans="1:14" ht="20.149999999999999" customHeight="1">
      <c r="A18" s="33" t="s">
        <v>206</v>
      </c>
      <c r="D18" s="39"/>
      <c r="I18" s="33"/>
      <c r="J18" s="33"/>
    </row>
    <row r="19" spans="1:14" ht="33.75" customHeight="1">
      <c r="A19" s="112" t="s">
        <v>205</v>
      </c>
      <c r="B19" s="1126" t="s">
        <v>902</v>
      </c>
      <c r="C19" s="1126"/>
      <c r="D19" s="1126"/>
      <c r="E19" s="1126"/>
      <c r="F19" s="1126"/>
      <c r="G19" s="1126"/>
      <c r="H19" s="1126"/>
      <c r="I19" s="1126"/>
      <c r="J19" s="1126"/>
      <c r="K19" s="1126"/>
      <c r="L19" s="1126"/>
      <c r="M19" s="1126"/>
    </row>
    <row r="20" spans="1:14" ht="20.149999999999999" customHeight="1">
      <c r="B20" s="1128"/>
      <c r="C20" s="1128"/>
      <c r="D20" s="1128"/>
      <c r="E20" s="1128"/>
      <c r="F20" s="1128"/>
      <c r="G20" s="1128"/>
      <c r="H20" s="1128"/>
      <c r="I20" s="1128"/>
      <c r="J20" s="1128"/>
      <c r="K20" s="1128"/>
      <c r="L20" s="1128"/>
    </row>
    <row r="21" spans="1:14" ht="20.149999999999999" customHeight="1">
      <c r="A21" s="39" t="s">
        <v>218</v>
      </c>
      <c r="B21" s="1128" t="s">
        <v>269</v>
      </c>
      <c r="C21" s="1128"/>
      <c r="D21" s="1128"/>
      <c r="E21" s="1128"/>
      <c r="F21" s="1128"/>
      <c r="G21" s="1128"/>
      <c r="H21" s="1128"/>
      <c r="I21" s="1128"/>
      <c r="J21" s="1128"/>
      <c r="K21" s="1128"/>
      <c r="L21" s="1128"/>
    </row>
    <row r="22" spans="1:14" ht="20.149999999999999" customHeight="1">
      <c r="B22" s="236"/>
      <c r="C22" s="236"/>
      <c r="D22" s="236"/>
      <c r="E22" s="236"/>
      <c r="F22" s="236"/>
      <c r="I22" s="236"/>
      <c r="J22" s="236"/>
      <c r="K22" s="236"/>
    </row>
    <row r="23" spans="1:14" ht="50.25" customHeight="1">
      <c r="B23" s="236"/>
      <c r="C23" s="236"/>
      <c r="D23" s="236"/>
      <c r="E23" s="236"/>
      <c r="F23" s="102" t="s">
        <v>263</v>
      </c>
      <c r="G23" s="102" t="s">
        <v>264</v>
      </c>
      <c r="H23" s="102" t="s">
        <v>265</v>
      </c>
      <c r="I23" s="102" t="s">
        <v>513</v>
      </c>
      <c r="J23" s="692" t="s">
        <v>685</v>
      </c>
      <c r="K23" s="102" t="s">
        <v>630</v>
      </c>
      <c r="L23" s="255"/>
      <c r="M23" s="255"/>
    </row>
    <row r="24" spans="1:14" s="101" customFormat="1" ht="20.149999999999999" customHeight="1">
      <c r="A24" s="43">
        <v>3</v>
      </c>
      <c r="B24" s="236"/>
      <c r="C24" s="236"/>
      <c r="D24" s="236"/>
      <c r="E24" s="103" t="str">
        <f>C10</f>
        <v>12/31/2025</v>
      </c>
      <c r="F24" s="113"/>
      <c r="G24" s="113"/>
      <c r="H24" s="113">
        <f>'Attachment 5a - ADIT Detail'!C108</f>
        <v>-11574932.814755797</v>
      </c>
      <c r="I24" s="113"/>
      <c r="J24" s="113"/>
      <c r="K24" s="372">
        <f>'Attachment 5b - ADIT Norm PTRR'!J41</f>
        <v>7530921.3419381082</v>
      </c>
      <c r="L24" s="88"/>
      <c r="M24" s="88"/>
      <c r="N24" s="384"/>
    </row>
    <row r="25" spans="1:14" s="101" customFormat="1" ht="20.149999999999999" customHeight="1">
      <c r="A25" s="39" t="s">
        <v>257</v>
      </c>
      <c r="B25" s="33" t="s">
        <v>266</v>
      </c>
      <c r="C25" s="33"/>
      <c r="D25" s="33"/>
      <c r="E25" s="33"/>
      <c r="F25" s="33"/>
      <c r="G25" s="33"/>
      <c r="H25" s="33"/>
      <c r="I25" s="33"/>
      <c r="J25" s="33"/>
      <c r="K25" s="33"/>
      <c r="L25" s="33"/>
      <c r="M25" s="33"/>
    </row>
    <row r="26" spans="1:14" ht="20.149999999999999" customHeight="1">
      <c r="B26" s="236"/>
      <c r="C26" s="236"/>
      <c r="D26" s="236"/>
      <c r="E26" s="236"/>
      <c r="F26" s="236"/>
      <c r="H26" s="236"/>
      <c r="I26" s="236"/>
      <c r="J26" s="236"/>
      <c r="K26" s="236"/>
      <c r="L26" s="236"/>
    </row>
    <row r="27" spans="1:14" ht="50.25" customHeight="1">
      <c r="B27" s="236"/>
      <c r="C27" s="236"/>
      <c r="D27" s="236"/>
      <c r="E27" s="236"/>
      <c r="F27" s="102" t="s">
        <v>263</v>
      </c>
      <c r="G27" s="102" t="s">
        <v>264</v>
      </c>
      <c r="H27" s="102" t="s">
        <v>265</v>
      </c>
      <c r="I27" s="102" t="s">
        <v>513</v>
      </c>
      <c r="J27" s="692" t="s">
        <v>685</v>
      </c>
      <c r="K27" s="102" t="s">
        <v>630</v>
      </c>
      <c r="L27" s="255"/>
      <c r="M27" s="255"/>
    </row>
    <row r="28" spans="1:14" s="101" customFormat="1" ht="20.149999999999999" customHeight="1">
      <c r="A28" s="43">
        <v>4</v>
      </c>
      <c r="B28" s="236"/>
      <c r="C28" s="236"/>
      <c r="D28" s="236"/>
      <c r="E28" s="103" t="str">
        <f>E24</f>
        <v>12/31/2025</v>
      </c>
      <c r="F28" s="113"/>
      <c r="G28" s="113">
        <f>'Attachment 5a - ADIT Detail'!C136</f>
        <v>53258.932276753229</v>
      </c>
      <c r="H28" s="113">
        <v>-4437075.6317361314</v>
      </c>
      <c r="I28" s="113"/>
      <c r="J28" s="113"/>
      <c r="K28" s="372">
        <f>'Attachment 5b - ADIT Norm PTRR'!J43</f>
        <v>-56181.955508605577</v>
      </c>
      <c r="L28" s="88"/>
      <c r="M28" s="88"/>
    </row>
    <row r="29" spans="1:14" s="101" customFormat="1" ht="20.149999999999999" customHeight="1">
      <c r="A29" s="39" t="s">
        <v>267</v>
      </c>
      <c r="B29" s="33" t="s">
        <v>823</v>
      </c>
      <c r="C29" s="33"/>
      <c r="D29" s="33"/>
      <c r="E29" s="33"/>
      <c r="F29" s="33"/>
      <c r="G29" s="33"/>
      <c r="H29" s="33"/>
      <c r="I29" s="33"/>
      <c r="J29" s="33"/>
      <c r="K29" s="33"/>
      <c r="L29" s="33"/>
      <c r="M29" s="33"/>
    </row>
    <row r="30" spans="1:14" s="101" customFormat="1" ht="20.149999999999999" customHeight="1">
      <c r="A30" s="39"/>
      <c r="B30" s="236"/>
      <c r="C30" s="236"/>
      <c r="D30" s="236"/>
      <c r="E30" s="236"/>
      <c r="G30" s="39"/>
      <c r="H30" s="33"/>
      <c r="I30" s="33"/>
      <c r="J30" s="33"/>
      <c r="K30" s="236"/>
      <c r="L30" s="236"/>
      <c r="M30" s="33"/>
    </row>
    <row r="31" spans="1:14" s="101" customFormat="1" ht="50.25" customHeight="1">
      <c r="A31" s="39"/>
      <c r="B31" s="236"/>
      <c r="C31" s="236"/>
      <c r="D31" s="236"/>
      <c r="E31" s="103"/>
      <c r="F31" s="104" t="s">
        <v>263</v>
      </c>
      <c r="G31" s="102" t="s">
        <v>264</v>
      </c>
      <c r="H31" s="102" t="s">
        <v>265</v>
      </c>
      <c r="I31" s="102" t="s">
        <v>513</v>
      </c>
      <c r="J31" s="692" t="s">
        <v>685</v>
      </c>
      <c r="K31" s="102" t="s">
        <v>630</v>
      </c>
      <c r="L31" s="255"/>
      <c r="M31" s="255"/>
    </row>
    <row r="32" spans="1:14" s="101" customFormat="1" ht="20.149999999999999" customHeight="1">
      <c r="A32" s="43">
        <v>5</v>
      </c>
      <c r="B32" s="236"/>
      <c r="C32" s="236"/>
      <c r="D32" s="236"/>
      <c r="E32" s="103" t="str">
        <f>E28</f>
        <v>12/31/2025</v>
      </c>
      <c r="F32" s="113"/>
      <c r="G32" s="113"/>
      <c r="H32" s="113">
        <f>'Attachment 5a - ADIT Detail'!C67</f>
        <v>-615934.85129436257</v>
      </c>
      <c r="I32" s="113">
        <f>'Attachment 5a - ADIT Detail'!C65</f>
        <v>6326794.762236706</v>
      </c>
      <c r="J32" s="113"/>
      <c r="K32" s="372">
        <f>'Attachment 5b - ADIT Norm PTRR'!J39</f>
        <v>1513175.162150885</v>
      </c>
      <c r="L32" s="88"/>
      <c r="M32" s="88"/>
    </row>
    <row r="33" spans="1:16" ht="45" customHeight="1">
      <c r="A33" s="668" t="s">
        <v>268</v>
      </c>
      <c r="B33" s="1126" t="s">
        <v>1169</v>
      </c>
      <c r="C33" s="1126"/>
      <c r="D33" s="1126"/>
      <c r="E33" s="1126"/>
      <c r="F33" s="1126"/>
      <c r="G33" s="1126"/>
      <c r="H33" s="1126"/>
      <c r="I33" s="1126"/>
      <c r="J33" s="1126"/>
      <c r="K33" s="1126"/>
      <c r="L33" s="1126"/>
    </row>
    <row r="34" spans="1:16" ht="20.149999999999999" customHeight="1">
      <c r="A34" s="39" t="s">
        <v>631</v>
      </c>
      <c r="B34" s="33" t="s">
        <v>632</v>
      </c>
      <c r="O34" s="1060"/>
    </row>
    <row r="35" spans="1:16" ht="20.149999999999999" customHeight="1">
      <c r="A35" s="39" t="s">
        <v>512</v>
      </c>
      <c r="B35" s="33" t="s">
        <v>819</v>
      </c>
      <c r="P35" s="1060"/>
    </row>
    <row r="36" spans="1:16" ht="20.149999999999999" customHeight="1">
      <c r="A36" s="39" t="s">
        <v>686</v>
      </c>
      <c r="B36" s="33" t="s">
        <v>687</v>
      </c>
      <c r="J36" s="33"/>
    </row>
  </sheetData>
  <mergeCells count="6">
    <mergeCell ref="B33:L33"/>
    <mergeCell ref="E6:L6"/>
    <mergeCell ref="E13:L13"/>
    <mergeCell ref="B19:M19"/>
    <mergeCell ref="B20:L20"/>
    <mergeCell ref="B21:L21"/>
  </mergeCells>
  <pageMargins left="0.7" right="0.7" top="0.75" bottom="0.75" header="0.3" footer="0.3"/>
  <pageSetup scale="4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V219"/>
  <sheetViews>
    <sheetView view="pageBreakPreview" zoomScaleNormal="100" zoomScaleSheetLayoutView="100" workbookViewId="0"/>
  </sheetViews>
  <sheetFormatPr defaultRowHeight="12.5"/>
  <cols>
    <col min="1" max="1" width="4.3046875" style="115" customWidth="1"/>
    <col min="2" max="2" width="44.84375" style="115" customWidth="1"/>
    <col min="3" max="3" width="12.69140625" style="115" bestFit="1" customWidth="1"/>
    <col min="4" max="4" width="13.69140625" style="115" customWidth="1"/>
    <col min="5" max="5" width="12.53515625" style="115" customWidth="1"/>
    <col min="6" max="6" width="13" style="115" customWidth="1"/>
    <col min="7" max="7" width="11.53515625" style="115" customWidth="1"/>
    <col min="8" max="10" width="13.84375" style="115" customWidth="1"/>
    <col min="11" max="11" width="49.4609375" style="115" customWidth="1"/>
    <col min="12" max="12" width="12.84375" style="115" customWidth="1"/>
    <col min="13" max="254" width="9.07421875" style="115"/>
    <col min="255" max="255" width="3.07421875" style="115" customWidth="1"/>
    <col min="256" max="256" width="33.3046875" style="115" customWidth="1"/>
    <col min="257" max="257" width="11.69140625" style="115" customWidth="1"/>
    <col min="258" max="258" width="12" style="115" customWidth="1"/>
    <col min="259" max="259" width="14.4609375" style="115" bestFit="1" customWidth="1"/>
    <col min="260" max="260" width="10.69140625" style="115" customWidth="1"/>
    <col min="261" max="261" width="11.84375" style="115" customWidth="1"/>
    <col min="262" max="262" width="10.84375" style="115" customWidth="1"/>
    <col min="263" max="263" width="11.53515625" style="115" customWidth="1"/>
    <col min="264" max="264" width="13.84375" style="115" customWidth="1"/>
    <col min="265" max="265" width="2.3046875" style="115" customWidth="1"/>
    <col min="266" max="266" width="2" style="115" customWidth="1"/>
    <col min="267" max="267" width="49.4609375" style="115" customWidth="1"/>
    <col min="268" max="268" width="12.84375" style="115" customWidth="1"/>
    <col min="269" max="510" width="9.07421875" style="115"/>
    <col min="511" max="511" width="3.07421875" style="115" customWidth="1"/>
    <col min="512" max="512" width="33.3046875" style="115" customWidth="1"/>
    <col min="513" max="513" width="11.69140625" style="115" customWidth="1"/>
    <col min="514" max="514" width="12" style="115" customWidth="1"/>
    <col min="515" max="515" width="14.4609375" style="115" bestFit="1" customWidth="1"/>
    <col min="516" max="516" width="10.69140625" style="115" customWidth="1"/>
    <col min="517" max="517" width="11.84375" style="115" customWidth="1"/>
    <col min="518" max="518" width="10.84375" style="115" customWidth="1"/>
    <col min="519" max="519" width="11.53515625" style="115" customWidth="1"/>
    <col min="520" max="520" width="13.84375" style="115" customWidth="1"/>
    <col min="521" max="521" width="2.3046875" style="115" customWidth="1"/>
    <col min="522" max="522" width="2" style="115" customWidth="1"/>
    <col min="523" max="523" width="49.4609375" style="115" customWidth="1"/>
    <col min="524" max="524" width="12.84375" style="115" customWidth="1"/>
    <col min="525" max="766" width="9.07421875" style="115"/>
    <col min="767" max="767" width="3.07421875" style="115" customWidth="1"/>
    <col min="768" max="768" width="33.3046875" style="115" customWidth="1"/>
    <col min="769" max="769" width="11.69140625" style="115" customWidth="1"/>
    <col min="770" max="770" width="12" style="115" customWidth="1"/>
    <col min="771" max="771" width="14.4609375" style="115" bestFit="1" customWidth="1"/>
    <col min="772" max="772" width="10.69140625" style="115" customWidth="1"/>
    <col min="773" max="773" width="11.84375" style="115" customWidth="1"/>
    <col min="774" max="774" width="10.84375" style="115" customWidth="1"/>
    <col min="775" max="775" width="11.53515625" style="115" customWidth="1"/>
    <col min="776" max="776" width="13.84375" style="115" customWidth="1"/>
    <col min="777" max="777" width="2.3046875" style="115" customWidth="1"/>
    <col min="778" max="778" width="2" style="115" customWidth="1"/>
    <col min="779" max="779" width="49.4609375" style="115" customWidth="1"/>
    <col min="780" max="780" width="12.84375" style="115" customWidth="1"/>
    <col min="781" max="1022" width="9.07421875" style="115"/>
    <col min="1023" max="1023" width="3.07421875" style="115" customWidth="1"/>
    <col min="1024" max="1024" width="33.3046875" style="115" customWidth="1"/>
    <col min="1025" max="1025" width="11.69140625" style="115" customWidth="1"/>
    <col min="1026" max="1026" width="12" style="115" customWidth="1"/>
    <col min="1027" max="1027" width="14.4609375" style="115" bestFit="1" customWidth="1"/>
    <col min="1028" max="1028" width="10.69140625" style="115" customWidth="1"/>
    <col min="1029" max="1029" width="11.84375" style="115" customWidth="1"/>
    <col min="1030" max="1030" width="10.84375" style="115" customWidth="1"/>
    <col min="1031" max="1031" width="11.53515625" style="115" customWidth="1"/>
    <col min="1032" max="1032" width="13.84375" style="115" customWidth="1"/>
    <col min="1033" max="1033" width="2.3046875" style="115" customWidth="1"/>
    <col min="1034" max="1034" width="2" style="115" customWidth="1"/>
    <col min="1035" max="1035" width="49.4609375" style="115" customWidth="1"/>
    <col min="1036" max="1036" width="12.84375" style="115" customWidth="1"/>
    <col min="1037" max="1278" width="9.07421875" style="115"/>
    <col min="1279" max="1279" width="3.07421875" style="115" customWidth="1"/>
    <col min="1280" max="1280" width="33.3046875" style="115" customWidth="1"/>
    <col min="1281" max="1281" width="11.69140625" style="115" customWidth="1"/>
    <col min="1282" max="1282" width="12" style="115" customWidth="1"/>
    <col min="1283" max="1283" width="14.4609375" style="115" bestFit="1" customWidth="1"/>
    <col min="1284" max="1284" width="10.69140625" style="115" customWidth="1"/>
    <col min="1285" max="1285" width="11.84375" style="115" customWidth="1"/>
    <col min="1286" max="1286" width="10.84375" style="115" customWidth="1"/>
    <col min="1287" max="1287" width="11.53515625" style="115" customWidth="1"/>
    <col min="1288" max="1288" width="13.84375" style="115" customWidth="1"/>
    <col min="1289" max="1289" width="2.3046875" style="115" customWidth="1"/>
    <col min="1290" max="1290" width="2" style="115" customWidth="1"/>
    <col min="1291" max="1291" width="49.4609375" style="115" customWidth="1"/>
    <col min="1292" max="1292" width="12.84375" style="115" customWidth="1"/>
    <col min="1293" max="1534" width="9.07421875" style="115"/>
    <col min="1535" max="1535" width="3.07421875" style="115" customWidth="1"/>
    <col min="1536" max="1536" width="33.3046875" style="115" customWidth="1"/>
    <col min="1537" max="1537" width="11.69140625" style="115" customWidth="1"/>
    <col min="1538" max="1538" width="12" style="115" customWidth="1"/>
    <col min="1539" max="1539" width="14.4609375" style="115" bestFit="1" customWidth="1"/>
    <col min="1540" max="1540" width="10.69140625" style="115" customWidth="1"/>
    <col min="1541" max="1541" width="11.84375" style="115" customWidth="1"/>
    <col min="1542" max="1542" width="10.84375" style="115" customWidth="1"/>
    <col min="1543" max="1543" width="11.53515625" style="115" customWidth="1"/>
    <col min="1544" max="1544" width="13.84375" style="115" customWidth="1"/>
    <col min="1545" max="1545" width="2.3046875" style="115" customWidth="1"/>
    <col min="1546" max="1546" width="2" style="115" customWidth="1"/>
    <col min="1547" max="1547" width="49.4609375" style="115" customWidth="1"/>
    <col min="1548" max="1548" width="12.84375" style="115" customWidth="1"/>
    <col min="1549" max="1790" width="9.07421875" style="115"/>
    <col min="1791" max="1791" width="3.07421875" style="115" customWidth="1"/>
    <col min="1792" max="1792" width="33.3046875" style="115" customWidth="1"/>
    <col min="1793" max="1793" width="11.69140625" style="115" customWidth="1"/>
    <col min="1794" max="1794" width="12" style="115" customWidth="1"/>
    <col min="1795" max="1795" width="14.4609375" style="115" bestFit="1" customWidth="1"/>
    <col min="1796" max="1796" width="10.69140625" style="115" customWidth="1"/>
    <col min="1797" max="1797" width="11.84375" style="115" customWidth="1"/>
    <col min="1798" max="1798" width="10.84375" style="115" customWidth="1"/>
    <col min="1799" max="1799" width="11.53515625" style="115" customWidth="1"/>
    <col min="1800" max="1800" width="13.84375" style="115" customWidth="1"/>
    <col min="1801" max="1801" width="2.3046875" style="115" customWidth="1"/>
    <col min="1802" max="1802" width="2" style="115" customWidth="1"/>
    <col min="1803" max="1803" width="49.4609375" style="115" customWidth="1"/>
    <col min="1804" max="1804" width="12.84375" style="115" customWidth="1"/>
    <col min="1805" max="2046" width="9.07421875" style="115"/>
    <col min="2047" max="2047" width="3.07421875" style="115" customWidth="1"/>
    <col min="2048" max="2048" width="33.3046875" style="115" customWidth="1"/>
    <col min="2049" max="2049" width="11.69140625" style="115" customWidth="1"/>
    <col min="2050" max="2050" width="12" style="115" customWidth="1"/>
    <col min="2051" max="2051" width="14.4609375" style="115" bestFit="1" customWidth="1"/>
    <col min="2052" max="2052" width="10.69140625" style="115" customWidth="1"/>
    <col min="2053" max="2053" width="11.84375" style="115" customWidth="1"/>
    <col min="2054" max="2054" width="10.84375" style="115" customWidth="1"/>
    <col min="2055" max="2055" width="11.53515625" style="115" customWidth="1"/>
    <col min="2056" max="2056" width="13.84375" style="115" customWidth="1"/>
    <col min="2057" max="2057" width="2.3046875" style="115" customWidth="1"/>
    <col min="2058" max="2058" width="2" style="115" customWidth="1"/>
    <col min="2059" max="2059" width="49.4609375" style="115" customWidth="1"/>
    <col min="2060" max="2060" width="12.84375" style="115" customWidth="1"/>
    <col min="2061" max="2302" width="9.07421875" style="115"/>
    <col min="2303" max="2303" width="3.07421875" style="115" customWidth="1"/>
    <col min="2304" max="2304" width="33.3046875" style="115" customWidth="1"/>
    <col min="2305" max="2305" width="11.69140625" style="115" customWidth="1"/>
    <col min="2306" max="2306" width="12" style="115" customWidth="1"/>
    <col min="2307" max="2307" width="14.4609375" style="115" bestFit="1" customWidth="1"/>
    <col min="2308" max="2308" width="10.69140625" style="115" customWidth="1"/>
    <col min="2309" max="2309" width="11.84375" style="115" customWidth="1"/>
    <col min="2310" max="2310" width="10.84375" style="115" customWidth="1"/>
    <col min="2311" max="2311" width="11.53515625" style="115" customWidth="1"/>
    <col min="2312" max="2312" width="13.84375" style="115" customWidth="1"/>
    <col min="2313" max="2313" width="2.3046875" style="115" customWidth="1"/>
    <col min="2314" max="2314" width="2" style="115" customWidth="1"/>
    <col min="2315" max="2315" width="49.4609375" style="115" customWidth="1"/>
    <col min="2316" max="2316" width="12.84375" style="115" customWidth="1"/>
    <col min="2317" max="2558" width="9.07421875" style="115"/>
    <col min="2559" max="2559" width="3.07421875" style="115" customWidth="1"/>
    <col min="2560" max="2560" width="33.3046875" style="115" customWidth="1"/>
    <col min="2561" max="2561" width="11.69140625" style="115" customWidth="1"/>
    <col min="2562" max="2562" width="12" style="115" customWidth="1"/>
    <col min="2563" max="2563" width="14.4609375" style="115" bestFit="1" customWidth="1"/>
    <col min="2564" max="2564" width="10.69140625" style="115" customWidth="1"/>
    <col min="2565" max="2565" width="11.84375" style="115" customWidth="1"/>
    <col min="2566" max="2566" width="10.84375" style="115" customWidth="1"/>
    <col min="2567" max="2567" width="11.53515625" style="115" customWidth="1"/>
    <col min="2568" max="2568" width="13.84375" style="115" customWidth="1"/>
    <col min="2569" max="2569" width="2.3046875" style="115" customWidth="1"/>
    <col min="2570" max="2570" width="2" style="115" customWidth="1"/>
    <col min="2571" max="2571" width="49.4609375" style="115" customWidth="1"/>
    <col min="2572" max="2572" width="12.84375" style="115" customWidth="1"/>
    <col min="2573" max="2814" width="9.07421875" style="115"/>
    <col min="2815" max="2815" width="3.07421875" style="115" customWidth="1"/>
    <col min="2816" max="2816" width="33.3046875" style="115" customWidth="1"/>
    <col min="2817" max="2817" width="11.69140625" style="115" customWidth="1"/>
    <col min="2818" max="2818" width="12" style="115" customWidth="1"/>
    <col min="2819" max="2819" width="14.4609375" style="115" bestFit="1" customWidth="1"/>
    <col min="2820" max="2820" width="10.69140625" style="115" customWidth="1"/>
    <col min="2821" max="2821" width="11.84375" style="115" customWidth="1"/>
    <col min="2822" max="2822" width="10.84375" style="115" customWidth="1"/>
    <col min="2823" max="2823" width="11.53515625" style="115" customWidth="1"/>
    <col min="2824" max="2824" width="13.84375" style="115" customWidth="1"/>
    <col min="2825" max="2825" width="2.3046875" style="115" customWidth="1"/>
    <col min="2826" max="2826" width="2" style="115" customWidth="1"/>
    <col min="2827" max="2827" width="49.4609375" style="115" customWidth="1"/>
    <col min="2828" max="2828" width="12.84375" style="115" customWidth="1"/>
    <col min="2829" max="3070" width="9.07421875" style="115"/>
    <col min="3071" max="3071" width="3.07421875" style="115" customWidth="1"/>
    <col min="3072" max="3072" width="33.3046875" style="115" customWidth="1"/>
    <col min="3073" max="3073" width="11.69140625" style="115" customWidth="1"/>
    <col min="3074" max="3074" width="12" style="115" customWidth="1"/>
    <col min="3075" max="3075" width="14.4609375" style="115" bestFit="1" customWidth="1"/>
    <col min="3076" max="3076" width="10.69140625" style="115" customWidth="1"/>
    <col min="3077" max="3077" width="11.84375" style="115" customWidth="1"/>
    <col min="3078" max="3078" width="10.84375" style="115" customWidth="1"/>
    <col min="3079" max="3079" width="11.53515625" style="115" customWidth="1"/>
    <col min="3080" max="3080" width="13.84375" style="115" customWidth="1"/>
    <col min="3081" max="3081" width="2.3046875" style="115" customWidth="1"/>
    <col min="3082" max="3082" width="2" style="115" customWidth="1"/>
    <col min="3083" max="3083" width="49.4609375" style="115" customWidth="1"/>
    <col min="3084" max="3084" width="12.84375" style="115" customWidth="1"/>
    <col min="3085" max="3326" width="9.07421875" style="115"/>
    <col min="3327" max="3327" width="3.07421875" style="115" customWidth="1"/>
    <col min="3328" max="3328" width="33.3046875" style="115" customWidth="1"/>
    <col min="3329" max="3329" width="11.69140625" style="115" customWidth="1"/>
    <col min="3330" max="3330" width="12" style="115" customWidth="1"/>
    <col min="3331" max="3331" width="14.4609375" style="115" bestFit="1" customWidth="1"/>
    <col min="3332" max="3332" width="10.69140625" style="115" customWidth="1"/>
    <col min="3333" max="3333" width="11.84375" style="115" customWidth="1"/>
    <col min="3334" max="3334" width="10.84375" style="115" customWidth="1"/>
    <col min="3335" max="3335" width="11.53515625" style="115" customWidth="1"/>
    <col min="3336" max="3336" width="13.84375" style="115" customWidth="1"/>
    <col min="3337" max="3337" width="2.3046875" style="115" customWidth="1"/>
    <col min="3338" max="3338" width="2" style="115" customWidth="1"/>
    <col min="3339" max="3339" width="49.4609375" style="115" customWidth="1"/>
    <col min="3340" max="3340" width="12.84375" style="115" customWidth="1"/>
    <col min="3341" max="3582" width="9.07421875" style="115"/>
    <col min="3583" max="3583" width="3.07421875" style="115" customWidth="1"/>
    <col min="3584" max="3584" width="33.3046875" style="115" customWidth="1"/>
    <col min="3585" max="3585" width="11.69140625" style="115" customWidth="1"/>
    <col min="3586" max="3586" width="12" style="115" customWidth="1"/>
    <col min="3587" max="3587" width="14.4609375" style="115" bestFit="1" customWidth="1"/>
    <col min="3588" max="3588" width="10.69140625" style="115" customWidth="1"/>
    <col min="3589" max="3589" width="11.84375" style="115" customWidth="1"/>
    <col min="3590" max="3590" width="10.84375" style="115" customWidth="1"/>
    <col min="3591" max="3591" width="11.53515625" style="115" customWidth="1"/>
    <col min="3592" max="3592" width="13.84375" style="115" customWidth="1"/>
    <col min="3593" max="3593" width="2.3046875" style="115" customWidth="1"/>
    <col min="3594" max="3594" width="2" style="115" customWidth="1"/>
    <col min="3595" max="3595" width="49.4609375" style="115" customWidth="1"/>
    <col min="3596" max="3596" width="12.84375" style="115" customWidth="1"/>
    <col min="3597" max="3838" width="9.07421875" style="115"/>
    <col min="3839" max="3839" width="3.07421875" style="115" customWidth="1"/>
    <col min="3840" max="3840" width="33.3046875" style="115" customWidth="1"/>
    <col min="3841" max="3841" width="11.69140625" style="115" customWidth="1"/>
    <col min="3842" max="3842" width="12" style="115" customWidth="1"/>
    <col min="3843" max="3843" width="14.4609375" style="115" bestFit="1" customWidth="1"/>
    <col min="3844" max="3844" width="10.69140625" style="115" customWidth="1"/>
    <col min="3845" max="3845" width="11.84375" style="115" customWidth="1"/>
    <col min="3846" max="3846" width="10.84375" style="115" customWidth="1"/>
    <col min="3847" max="3847" width="11.53515625" style="115" customWidth="1"/>
    <col min="3848" max="3848" width="13.84375" style="115" customWidth="1"/>
    <col min="3849" max="3849" width="2.3046875" style="115" customWidth="1"/>
    <col min="3850" max="3850" width="2" style="115" customWidth="1"/>
    <col min="3851" max="3851" width="49.4609375" style="115" customWidth="1"/>
    <col min="3852" max="3852" width="12.84375" style="115" customWidth="1"/>
    <col min="3853" max="4094" width="9.07421875" style="115"/>
    <col min="4095" max="4095" width="3.07421875" style="115" customWidth="1"/>
    <col min="4096" max="4096" width="33.3046875" style="115" customWidth="1"/>
    <col min="4097" max="4097" width="11.69140625" style="115" customWidth="1"/>
    <col min="4098" max="4098" width="12" style="115" customWidth="1"/>
    <col min="4099" max="4099" width="14.4609375" style="115" bestFit="1" customWidth="1"/>
    <col min="4100" max="4100" width="10.69140625" style="115" customWidth="1"/>
    <col min="4101" max="4101" width="11.84375" style="115" customWidth="1"/>
    <col min="4102" max="4102" width="10.84375" style="115" customWidth="1"/>
    <col min="4103" max="4103" width="11.53515625" style="115" customWidth="1"/>
    <col min="4104" max="4104" width="13.84375" style="115" customWidth="1"/>
    <col min="4105" max="4105" width="2.3046875" style="115" customWidth="1"/>
    <col min="4106" max="4106" width="2" style="115" customWidth="1"/>
    <col min="4107" max="4107" width="49.4609375" style="115" customWidth="1"/>
    <col min="4108" max="4108" width="12.84375" style="115" customWidth="1"/>
    <col min="4109" max="4350" width="9.07421875" style="115"/>
    <col min="4351" max="4351" width="3.07421875" style="115" customWidth="1"/>
    <col min="4352" max="4352" width="33.3046875" style="115" customWidth="1"/>
    <col min="4353" max="4353" width="11.69140625" style="115" customWidth="1"/>
    <col min="4354" max="4354" width="12" style="115" customWidth="1"/>
    <col min="4355" max="4355" width="14.4609375" style="115" bestFit="1" customWidth="1"/>
    <col min="4356" max="4356" width="10.69140625" style="115" customWidth="1"/>
    <col min="4357" max="4357" width="11.84375" style="115" customWidth="1"/>
    <col min="4358" max="4358" width="10.84375" style="115" customWidth="1"/>
    <col min="4359" max="4359" width="11.53515625" style="115" customWidth="1"/>
    <col min="4360" max="4360" width="13.84375" style="115" customWidth="1"/>
    <col min="4361" max="4361" width="2.3046875" style="115" customWidth="1"/>
    <col min="4362" max="4362" width="2" style="115" customWidth="1"/>
    <col min="4363" max="4363" width="49.4609375" style="115" customWidth="1"/>
    <col min="4364" max="4364" width="12.84375" style="115" customWidth="1"/>
    <col min="4365" max="4606" width="9.07421875" style="115"/>
    <col min="4607" max="4607" width="3.07421875" style="115" customWidth="1"/>
    <col min="4608" max="4608" width="33.3046875" style="115" customWidth="1"/>
    <col min="4609" max="4609" width="11.69140625" style="115" customWidth="1"/>
    <col min="4610" max="4610" width="12" style="115" customWidth="1"/>
    <col min="4611" max="4611" width="14.4609375" style="115" bestFit="1" customWidth="1"/>
    <col min="4612" max="4612" width="10.69140625" style="115" customWidth="1"/>
    <col min="4613" max="4613" width="11.84375" style="115" customWidth="1"/>
    <col min="4614" max="4614" width="10.84375" style="115" customWidth="1"/>
    <col min="4615" max="4615" width="11.53515625" style="115" customWidth="1"/>
    <col min="4616" max="4616" width="13.84375" style="115" customWidth="1"/>
    <col min="4617" max="4617" width="2.3046875" style="115" customWidth="1"/>
    <col min="4618" max="4618" width="2" style="115" customWidth="1"/>
    <col min="4619" max="4619" width="49.4609375" style="115" customWidth="1"/>
    <col min="4620" max="4620" width="12.84375" style="115" customWidth="1"/>
    <col min="4621" max="4862" width="9.07421875" style="115"/>
    <col min="4863" max="4863" width="3.07421875" style="115" customWidth="1"/>
    <col min="4864" max="4864" width="33.3046875" style="115" customWidth="1"/>
    <col min="4865" max="4865" width="11.69140625" style="115" customWidth="1"/>
    <col min="4866" max="4866" width="12" style="115" customWidth="1"/>
    <col min="4867" max="4867" width="14.4609375" style="115" bestFit="1" customWidth="1"/>
    <col min="4868" max="4868" width="10.69140625" style="115" customWidth="1"/>
    <col min="4869" max="4869" width="11.84375" style="115" customWidth="1"/>
    <col min="4870" max="4870" width="10.84375" style="115" customWidth="1"/>
    <col min="4871" max="4871" width="11.53515625" style="115" customWidth="1"/>
    <col min="4872" max="4872" width="13.84375" style="115" customWidth="1"/>
    <col min="4873" max="4873" width="2.3046875" style="115" customWidth="1"/>
    <col min="4874" max="4874" width="2" style="115" customWidth="1"/>
    <col min="4875" max="4875" width="49.4609375" style="115" customWidth="1"/>
    <col min="4876" max="4876" width="12.84375" style="115" customWidth="1"/>
    <col min="4877" max="5118" width="9.07421875" style="115"/>
    <col min="5119" max="5119" width="3.07421875" style="115" customWidth="1"/>
    <col min="5120" max="5120" width="33.3046875" style="115" customWidth="1"/>
    <col min="5121" max="5121" width="11.69140625" style="115" customWidth="1"/>
    <col min="5122" max="5122" width="12" style="115" customWidth="1"/>
    <col min="5123" max="5123" width="14.4609375" style="115" bestFit="1" customWidth="1"/>
    <col min="5124" max="5124" width="10.69140625" style="115" customWidth="1"/>
    <col min="5125" max="5125" width="11.84375" style="115" customWidth="1"/>
    <col min="5126" max="5126" width="10.84375" style="115" customWidth="1"/>
    <col min="5127" max="5127" width="11.53515625" style="115" customWidth="1"/>
    <col min="5128" max="5128" width="13.84375" style="115" customWidth="1"/>
    <col min="5129" max="5129" width="2.3046875" style="115" customWidth="1"/>
    <col min="5130" max="5130" width="2" style="115" customWidth="1"/>
    <col min="5131" max="5131" width="49.4609375" style="115" customWidth="1"/>
    <col min="5132" max="5132" width="12.84375" style="115" customWidth="1"/>
    <col min="5133" max="5374" width="9.07421875" style="115"/>
    <col min="5375" max="5375" width="3.07421875" style="115" customWidth="1"/>
    <col min="5376" max="5376" width="33.3046875" style="115" customWidth="1"/>
    <col min="5377" max="5377" width="11.69140625" style="115" customWidth="1"/>
    <col min="5378" max="5378" width="12" style="115" customWidth="1"/>
    <col min="5379" max="5379" width="14.4609375" style="115" bestFit="1" customWidth="1"/>
    <col min="5380" max="5380" width="10.69140625" style="115" customWidth="1"/>
    <col min="5381" max="5381" width="11.84375" style="115" customWidth="1"/>
    <col min="5382" max="5382" width="10.84375" style="115" customWidth="1"/>
    <col min="5383" max="5383" width="11.53515625" style="115" customWidth="1"/>
    <col min="5384" max="5384" width="13.84375" style="115" customWidth="1"/>
    <col min="5385" max="5385" width="2.3046875" style="115" customWidth="1"/>
    <col min="5386" max="5386" width="2" style="115" customWidth="1"/>
    <col min="5387" max="5387" width="49.4609375" style="115" customWidth="1"/>
    <col min="5388" max="5388" width="12.84375" style="115" customWidth="1"/>
    <col min="5389" max="5630" width="9.07421875" style="115"/>
    <col min="5631" max="5631" width="3.07421875" style="115" customWidth="1"/>
    <col min="5632" max="5632" width="33.3046875" style="115" customWidth="1"/>
    <col min="5633" max="5633" width="11.69140625" style="115" customWidth="1"/>
    <col min="5634" max="5634" width="12" style="115" customWidth="1"/>
    <col min="5635" max="5635" width="14.4609375" style="115" bestFit="1" customWidth="1"/>
    <col min="5636" max="5636" width="10.69140625" style="115" customWidth="1"/>
    <col min="5637" max="5637" width="11.84375" style="115" customWidth="1"/>
    <col min="5638" max="5638" width="10.84375" style="115" customWidth="1"/>
    <col min="5639" max="5639" width="11.53515625" style="115" customWidth="1"/>
    <col min="5640" max="5640" width="13.84375" style="115" customWidth="1"/>
    <col min="5641" max="5641" width="2.3046875" style="115" customWidth="1"/>
    <col min="5642" max="5642" width="2" style="115" customWidth="1"/>
    <col min="5643" max="5643" width="49.4609375" style="115" customWidth="1"/>
    <col min="5644" max="5644" width="12.84375" style="115" customWidth="1"/>
    <col min="5645" max="5886" width="9.07421875" style="115"/>
    <col min="5887" max="5887" width="3.07421875" style="115" customWidth="1"/>
    <col min="5888" max="5888" width="33.3046875" style="115" customWidth="1"/>
    <col min="5889" max="5889" width="11.69140625" style="115" customWidth="1"/>
    <col min="5890" max="5890" width="12" style="115" customWidth="1"/>
    <col min="5891" max="5891" width="14.4609375" style="115" bestFit="1" customWidth="1"/>
    <col min="5892" max="5892" width="10.69140625" style="115" customWidth="1"/>
    <col min="5893" max="5893" width="11.84375" style="115" customWidth="1"/>
    <col min="5894" max="5894" width="10.84375" style="115" customWidth="1"/>
    <col min="5895" max="5895" width="11.53515625" style="115" customWidth="1"/>
    <col min="5896" max="5896" width="13.84375" style="115" customWidth="1"/>
    <col min="5897" max="5897" width="2.3046875" style="115" customWidth="1"/>
    <col min="5898" max="5898" width="2" style="115" customWidth="1"/>
    <col min="5899" max="5899" width="49.4609375" style="115" customWidth="1"/>
    <col min="5900" max="5900" width="12.84375" style="115" customWidth="1"/>
    <col min="5901" max="6142" width="9.07421875" style="115"/>
    <col min="6143" max="6143" width="3.07421875" style="115" customWidth="1"/>
    <col min="6144" max="6144" width="33.3046875" style="115" customWidth="1"/>
    <col min="6145" max="6145" width="11.69140625" style="115" customWidth="1"/>
    <col min="6146" max="6146" width="12" style="115" customWidth="1"/>
    <col min="6147" max="6147" width="14.4609375" style="115" bestFit="1" customWidth="1"/>
    <col min="6148" max="6148" width="10.69140625" style="115" customWidth="1"/>
    <col min="6149" max="6149" width="11.84375" style="115" customWidth="1"/>
    <col min="6150" max="6150" width="10.84375" style="115" customWidth="1"/>
    <col min="6151" max="6151" width="11.53515625" style="115" customWidth="1"/>
    <col min="6152" max="6152" width="13.84375" style="115" customWidth="1"/>
    <col min="6153" max="6153" width="2.3046875" style="115" customWidth="1"/>
    <col min="6154" max="6154" width="2" style="115" customWidth="1"/>
    <col min="6155" max="6155" width="49.4609375" style="115" customWidth="1"/>
    <col min="6156" max="6156" width="12.84375" style="115" customWidth="1"/>
    <col min="6157" max="6398" width="9.07421875" style="115"/>
    <col min="6399" max="6399" width="3.07421875" style="115" customWidth="1"/>
    <col min="6400" max="6400" width="33.3046875" style="115" customWidth="1"/>
    <col min="6401" max="6401" width="11.69140625" style="115" customWidth="1"/>
    <col min="6402" max="6402" width="12" style="115" customWidth="1"/>
    <col min="6403" max="6403" width="14.4609375" style="115" bestFit="1" customWidth="1"/>
    <col min="6404" max="6404" width="10.69140625" style="115" customWidth="1"/>
    <col min="6405" max="6405" width="11.84375" style="115" customWidth="1"/>
    <col min="6406" max="6406" width="10.84375" style="115" customWidth="1"/>
    <col min="6407" max="6407" width="11.53515625" style="115" customWidth="1"/>
    <col min="6408" max="6408" width="13.84375" style="115" customWidth="1"/>
    <col min="6409" max="6409" width="2.3046875" style="115" customWidth="1"/>
    <col min="6410" max="6410" width="2" style="115" customWidth="1"/>
    <col min="6411" max="6411" width="49.4609375" style="115" customWidth="1"/>
    <col min="6412" max="6412" width="12.84375" style="115" customWidth="1"/>
    <col min="6413" max="6654" width="9.07421875" style="115"/>
    <col min="6655" max="6655" width="3.07421875" style="115" customWidth="1"/>
    <col min="6656" max="6656" width="33.3046875" style="115" customWidth="1"/>
    <col min="6657" max="6657" width="11.69140625" style="115" customWidth="1"/>
    <col min="6658" max="6658" width="12" style="115" customWidth="1"/>
    <col min="6659" max="6659" width="14.4609375" style="115" bestFit="1" customWidth="1"/>
    <col min="6660" max="6660" width="10.69140625" style="115" customWidth="1"/>
    <col min="6661" max="6661" width="11.84375" style="115" customWidth="1"/>
    <col min="6662" max="6662" width="10.84375" style="115" customWidth="1"/>
    <col min="6663" max="6663" width="11.53515625" style="115" customWidth="1"/>
    <col min="6664" max="6664" width="13.84375" style="115" customWidth="1"/>
    <col min="6665" max="6665" width="2.3046875" style="115" customWidth="1"/>
    <col min="6666" max="6666" width="2" style="115" customWidth="1"/>
    <col min="6667" max="6667" width="49.4609375" style="115" customWidth="1"/>
    <col min="6668" max="6668" width="12.84375" style="115" customWidth="1"/>
    <col min="6669" max="6910" width="9.07421875" style="115"/>
    <col min="6911" max="6911" width="3.07421875" style="115" customWidth="1"/>
    <col min="6912" max="6912" width="33.3046875" style="115" customWidth="1"/>
    <col min="6913" max="6913" width="11.69140625" style="115" customWidth="1"/>
    <col min="6914" max="6914" width="12" style="115" customWidth="1"/>
    <col min="6915" max="6915" width="14.4609375" style="115" bestFit="1" customWidth="1"/>
    <col min="6916" max="6916" width="10.69140625" style="115" customWidth="1"/>
    <col min="6917" max="6917" width="11.84375" style="115" customWidth="1"/>
    <col min="6918" max="6918" width="10.84375" style="115" customWidth="1"/>
    <col min="6919" max="6919" width="11.53515625" style="115" customWidth="1"/>
    <col min="6920" max="6920" width="13.84375" style="115" customWidth="1"/>
    <col min="6921" max="6921" width="2.3046875" style="115" customWidth="1"/>
    <col min="6922" max="6922" width="2" style="115" customWidth="1"/>
    <col min="6923" max="6923" width="49.4609375" style="115" customWidth="1"/>
    <col min="6924" max="6924" width="12.84375" style="115" customWidth="1"/>
    <col min="6925" max="7166" width="9.07421875" style="115"/>
    <col min="7167" max="7167" width="3.07421875" style="115" customWidth="1"/>
    <col min="7168" max="7168" width="33.3046875" style="115" customWidth="1"/>
    <col min="7169" max="7169" width="11.69140625" style="115" customWidth="1"/>
    <col min="7170" max="7170" width="12" style="115" customWidth="1"/>
    <col min="7171" max="7171" width="14.4609375" style="115" bestFit="1" customWidth="1"/>
    <col min="7172" max="7172" width="10.69140625" style="115" customWidth="1"/>
    <col min="7173" max="7173" width="11.84375" style="115" customWidth="1"/>
    <col min="7174" max="7174" width="10.84375" style="115" customWidth="1"/>
    <col min="7175" max="7175" width="11.53515625" style="115" customWidth="1"/>
    <col min="7176" max="7176" width="13.84375" style="115" customWidth="1"/>
    <col min="7177" max="7177" width="2.3046875" style="115" customWidth="1"/>
    <col min="7178" max="7178" width="2" style="115" customWidth="1"/>
    <col min="7179" max="7179" width="49.4609375" style="115" customWidth="1"/>
    <col min="7180" max="7180" width="12.84375" style="115" customWidth="1"/>
    <col min="7181" max="7422" width="9.07421875" style="115"/>
    <col min="7423" max="7423" width="3.07421875" style="115" customWidth="1"/>
    <col min="7424" max="7424" width="33.3046875" style="115" customWidth="1"/>
    <col min="7425" max="7425" width="11.69140625" style="115" customWidth="1"/>
    <col min="7426" max="7426" width="12" style="115" customWidth="1"/>
    <col min="7427" max="7427" width="14.4609375" style="115" bestFit="1" customWidth="1"/>
    <col min="7428" max="7428" width="10.69140625" style="115" customWidth="1"/>
    <col min="7429" max="7429" width="11.84375" style="115" customWidth="1"/>
    <col min="7430" max="7430" width="10.84375" style="115" customWidth="1"/>
    <col min="7431" max="7431" width="11.53515625" style="115" customWidth="1"/>
    <col min="7432" max="7432" width="13.84375" style="115" customWidth="1"/>
    <col min="7433" max="7433" width="2.3046875" style="115" customWidth="1"/>
    <col min="7434" max="7434" width="2" style="115" customWidth="1"/>
    <col min="7435" max="7435" width="49.4609375" style="115" customWidth="1"/>
    <col min="7436" max="7436" width="12.84375" style="115" customWidth="1"/>
    <col min="7437" max="7678" width="9.07421875" style="115"/>
    <col min="7679" max="7679" width="3.07421875" style="115" customWidth="1"/>
    <col min="7680" max="7680" width="33.3046875" style="115" customWidth="1"/>
    <col min="7681" max="7681" width="11.69140625" style="115" customWidth="1"/>
    <col min="7682" max="7682" width="12" style="115" customWidth="1"/>
    <col min="7683" max="7683" width="14.4609375" style="115" bestFit="1" customWidth="1"/>
    <col min="7684" max="7684" width="10.69140625" style="115" customWidth="1"/>
    <col min="7685" max="7685" width="11.84375" style="115" customWidth="1"/>
    <col min="7686" max="7686" width="10.84375" style="115" customWidth="1"/>
    <col min="7687" max="7687" width="11.53515625" style="115" customWidth="1"/>
    <col min="7688" max="7688" width="13.84375" style="115" customWidth="1"/>
    <col min="7689" max="7689" width="2.3046875" style="115" customWidth="1"/>
    <col min="7690" max="7690" width="2" style="115" customWidth="1"/>
    <col min="7691" max="7691" width="49.4609375" style="115" customWidth="1"/>
    <col min="7692" max="7692" width="12.84375" style="115" customWidth="1"/>
    <col min="7693" max="7934" width="9.07421875" style="115"/>
    <col min="7935" max="7935" width="3.07421875" style="115" customWidth="1"/>
    <col min="7936" max="7936" width="33.3046875" style="115" customWidth="1"/>
    <col min="7937" max="7937" width="11.69140625" style="115" customWidth="1"/>
    <col min="7938" max="7938" width="12" style="115" customWidth="1"/>
    <col min="7939" max="7939" width="14.4609375" style="115" bestFit="1" customWidth="1"/>
    <col min="7940" max="7940" width="10.69140625" style="115" customWidth="1"/>
    <col min="7941" max="7941" width="11.84375" style="115" customWidth="1"/>
    <col min="7942" max="7942" width="10.84375" style="115" customWidth="1"/>
    <col min="7943" max="7943" width="11.53515625" style="115" customWidth="1"/>
    <col min="7944" max="7944" width="13.84375" style="115" customWidth="1"/>
    <col min="7945" max="7945" width="2.3046875" style="115" customWidth="1"/>
    <col min="7946" max="7946" width="2" style="115" customWidth="1"/>
    <col min="7947" max="7947" width="49.4609375" style="115" customWidth="1"/>
    <col min="7948" max="7948" width="12.84375" style="115" customWidth="1"/>
    <col min="7949" max="8190" width="9.07421875" style="115"/>
    <col min="8191" max="8191" width="3.07421875" style="115" customWidth="1"/>
    <col min="8192" max="8192" width="33.3046875" style="115" customWidth="1"/>
    <col min="8193" max="8193" width="11.69140625" style="115" customWidth="1"/>
    <col min="8194" max="8194" width="12" style="115" customWidth="1"/>
    <col min="8195" max="8195" width="14.4609375" style="115" bestFit="1" customWidth="1"/>
    <col min="8196" max="8196" width="10.69140625" style="115" customWidth="1"/>
    <col min="8197" max="8197" width="11.84375" style="115" customWidth="1"/>
    <col min="8198" max="8198" width="10.84375" style="115" customWidth="1"/>
    <col min="8199" max="8199" width="11.53515625" style="115" customWidth="1"/>
    <col min="8200" max="8200" width="13.84375" style="115" customWidth="1"/>
    <col min="8201" max="8201" width="2.3046875" style="115" customWidth="1"/>
    <col min="8202" max="8202" width="2" style="115" customWidth="1"/>
    <col min="8203" max="8203" width="49.4609375" style="115" customWidth="1"/>
    <col min="8204" max="8204" width="12.84375" style="115" customWidth="1"/>
    <col min="8205" max="8446" width="9.07421875" style="115"/>
    <col min="8447" max="8447" width="3.07421875" style="115" customWidth="1"/>
    <col min="8448" max="8448" width="33.3046875" style="115" customWidth="1"/>
    <col min="8449" max="8449" width="11.69140625" style="115" customWidth="1"/>
    <col min="8450" max="8450" width="12" style="115" customWidth="1"/>
    <col min="8451" max="8451" width="14.4609375" style="115" bestFit="1" customWidth="1"/>
    <col min="8452" max="8452" width="10.69140625" style="115" customWidth="1"/>
    <col min="8453" max="8453" width="11.84375" style="115" customWidth="1"/>
    <col min="8454" max="8454" width="10.84375" style="115" customWidth="1"/>
    <col min="8455" max="8455" width="11.53515625" style="115" customWidth="1"/>
    <col min="8456" max="8456" width="13.84375" style="115" customWidth="1"/>
    <col min="8457" max="8457" width="2.3046875" style="115" customWidth="1"/>
    <col min="8458" max="8458" width="2" style="115" customWidth="1"/>
    <col min="8459" max="8459" width="49.4609375" style="115" customWidth="1"/>
    <col min="8460" max="8460" width="12.84375" style="115" customWidth="1"/>
    <col min="8461" max="8702" width="9.07421875" style="115"/>
    <col min="8703" max="8703" width="3.07421875" style="115" customWidth="1"/>
    <col min="8704" max="8704" width="33.3046875" style="115" customWidth="1"/>
    <col min="8705" max="8705" width="11.69140625" style="115" customWidth="1"/>
    <col min="8706" max="8706" width="12" style="115" customWidth="1"/>
    <col min="8707" max="8707" width="14.4609375" style="115" bestFit="1" customWidth="1"/>
    <col min="8708" max="8708" width="10.69140625" style="115" customWidth="1"/>
    <col min="8709" max="8709" width="11.84375" style="115" customWidth="1"/>
    <col min="8710" max="8710" width="10.84375" style="115" customWidth="1"/>
    <col min="8711" max="8711" width="11.53515625" style="115" customWidth="1"/>
    <col min="8712" max="8712" width="13.84375" style="115" customWidth="1"/>
    <col min="8713" max="8713" width="2.3046875" style="115" customWidth="1"/>
    <col min="8714" max="8714" width="2" style="115" customWidth="1"/>
    <col min="8715" max="8715" width="49.4609375" style="115" customWidth="1"/>
    <col min="8716" max="8716" width="12.84375" style="115" customWidth="1"/>
    <col min="8717" max="8958" width="9.07421875" style="115"/>
    <col min="8959" max="8959" width="3.07421875" style="115" customWidth="1"/>
    <col min="8960" max="8960" width="33.3046875" style="115" customWidth="1"/>
    <col min="8961" max="8961" width="11.69140625" style="115" customWidth="1"/>
    <col min="8962" max="8962" width="12" style="115" customWidth="1"/>
    <col min="8963" max="8963" width="14.4609375" style="115" bestFit="1" customWidth="1"/>
    <col min="8964" max="8964" width="10.69140625" style="115" customWidth="1"/>
    <col min="8965" max="8965" width="11.84375" style="115" customWidth="1"/>
    <col min="8966" max="8966" width="10.84375" style="115" customWidth="1"/>
    <col min="8967" max="8967" width="11.53515625" style="115" customWidth="1"/>
    <col min="8968" max="8968" width="13.84375" style="115" customWidth="1"/>
    <col min="8969" max="8969" width="2.3046875" style="115" customWidth="1"/>
    <col min="8970" max="8970" width="2" style="115" customWidth="1"/>
    <col min="8971" max="8971" width="49.4609375" style="115" customWidth="1"/>
    <col min="8972" max="8972" width="12.84375" style="115" customWidth="1"/>
    <col min="8973" max="9214" width="9.07421875" style="115"/>
    <col min="9215" max="9215" width="3.07421875" style="115" customWidth="1"/>
    <col min="9216" max="9216" width="33.3046875" style="115" customWidth="1"/>
    <col min="9217" max="9217" width="11.69140625" style="115" customWidth="1"/>
    <col min="9218" max="9218" width="12" style="115" customWidth="1"/>
    <col min="9219" max="9219" width="14.4609375" style="115" bestFit="1" customWidth="1"/>
    <col min="9220" max="9220" width="10.69140625" style="115" customWidth="1"/>
    <col min="9221" max="9221" width="11.84375" style="115" customWidth="1"/>
    <col min="9222" max="9222" width="10.84375" style="115" customWidth="1"/>
    <col min="9223" max="9223" width="11.53515625" style="115" customWidth="1"/>
    <col min="9224" max="9224" width="13.84375" style="115" customWidth="1"/>
    <col min="9225" max="9225" width="2.3046875" style="115" customWidth="1"/>
    <col min="9226" max="9226" width="2" style="115" customWidth="1"/>
    <col min="9227" max="9227" width="49.4609375" style="115" customWidth="1"/>
    <col min="9228" max="9228" width="12.84375" style="115" customWidth="1"/>
    <col min="9229" max="9470" width="9.07421875" style="115"/>
    <col min="9471" max="9471" width="3.07421875" style="115" customWidth="1"/>
    <col min="9472" max="9472" width="33.3046875" style="115" customWidth="1"/>
    <col min="9473" max="9473" width="11.69140625" style="115" customWidth="1"/>
    <col min="9474" max="9474" width="12" style="115" customWidth="1"/>
    <col min="9475" max="9475" width="14.4609375" style="115" bestFit="1" customWidth="1"/>
    <col min="9476" max="9476" width="10.69140625" style="115" customWidth="1"/>
    <col min="9477" max="9477" width="11.84375" style="115" customWidth="1"/>
    <col min="9478" max="9478" width="10.84375" style="115" customWidth="1"/>
    <col min="9479" max="9479" width="11.53515625" style="115" customWidth="1"/>
    <col min="9480" max="9480" width="13.84375" style="115" customWidth="1"/>
    <col min="9481" max="9481" width="2.3046875" style="115" customWidth="1"/>
    <col min="9482" max="9482" width="2" style="115" customWidth="1"/>
    <col min="9483" max="9483" width="49.4609375" style="115" customWidth="1"/>
    <col min="9484" max="9484" width="12.84375" style="115" customWidth="1"/>
    <col min="9485" max="9726" width="9.07421875" style="115"/>
    <col min="9727" max="9727" width="3.07421875" style="115" customWidth="1"/>
    <col min="9728" max="9728" width="33.3046875" style="115" customWidth="1"/>
    <col min="9729" max="9729" width="11.69140625" style="115" customWidth="1"/>
    <col min="9730" max="9730" width="12" style="115" customWidth="1"/>
    <col min="9731" max="9731" width="14.4609375" style="115" bestFit="1" customWidth="1"/>
    <col min="9732" max="9732" width="10.69140625" style="115" customWidth="1"/>
    <col min="9733" max="9733" width="11.84375" style="115" customWidth="1"/>
    <col min="9734" max="9734" width="10.84375" style="115" customWidth="1"/>
    <col min="9735" max="9735" width="11.53515625" style="115" customWidth="1"/>
    <col min="9736" max="9736" width="13.84375" style="115" customWidth="1"/>
    <col min="9737" max="9737" width="2.3046875" style="115" customWidth="1"/>
    <col min="9738" max="9738" width="2" style="115" customWidth="1"/>
    <col min="9739" max="9739" width="49.4609375" style="115" customWidth="1"/>
    <col min="9740" max="9740" width="12.84375" style="115" customWidth="1"/>
    <col min="9741" max="9982" width="9.07421875" style="115"/>
    <col min="9983" max="9983" width="3.07421875" style="115" customWidth="1"/>
    <col min="9984" max="9984" width="33.3046875" style="115" customWidth="1"/>
    <col min="9985" max="9985" width="11.69140625" style="115" customWidth="1"/>
    <col min="9986" max="9986" width="12" style="115" customWidth="1"/>
    <col min="9987" max="9987" width="14.4609375" style="115" bestFit="1" customWidth="1"/>
    <col min="9988" max="9988" width="10.69140625" style="115" customWidth="1"/>
    <col min="9989" max="9989" width="11.84375" style="115" customWidth="1"/>
    <col min="9990" max="9990" width="10.84375" style="115" customWidth="1"/>
    <col min="9991" max="9991" width="11.53515625" style="115" customWidth="1"/>
    <col min="9992" max="9992" width="13.84375" style="115" customWidth="1"/>
    <col min="9993" max="9993" width="2.3046875" style="115" customWidth="1"/>
    <col min="9994" max="9994" width="2" style="115" customWidth="1"/>
    <col min="9995" max="9995" width="49.4609375" style="115" customWidth="1"/>
    <col min="9996" max="9996" width="12.84375" style="115" customWidth="1"/>
    <col min="9997" max="10238" width="9.07421875" style="115"/>
    <col min="10239" max="10239" width="3.07421875" style="115" customWidth="1"/>
    <col min="10240" max="10240" width="33.3046875" style="115" customWidth="1"/>
    <col min="10241" max="10241" width="11.69140625" style="115" customWidth="1"/>
    <col min="10242" max="10242" width="12" style="115" customWidth="1"/>
    <col min="10243" max="10243" width="14.4609375" style="115" bestFit="1" customWidth="1"/>
    <col min="10244" max="10244" width="10.69140625" style="115" customWidth="1"/>
    <col min="10245" max="10245" width="11.84375" style="115" customWidth="1"/>
    <col min="10246" max="10246" width="10.84375" style="115" customWidth="1"/>
    <col min="10247" max="10247" width="11.53515625" style="115" customWidth="1"/>
    <col min="10248" max="10248" width="13.84375" style="115" customWidth="1"/>
    <col min="10249" max="10249" width="2.3046875" style="115" customWidth="1"/>
    <col min="10250" max="10250" width="2" style="115" customWidth="1"/>
    <col min="10251" max="10251" width="49.4609375" style="115" customWidth="1"/>
    <col min="10252" max="10252" width="12.84375" style="115" customWidth="1"/>
    <col min="10253" max="10494" width="9.07421875" style="115"/>
    <col min="10495" max="10495" width="3.07421875" style="115" customWidth="1"/>
    <col min="10496" max="10496" width="33.3046875" style="115" customWidth="1"/>
    <col min="10497" max="10497" width="11.69140625" style="115" customWidth="1"/>
    <col min="10498" max="10498" width="12" style="115" customWidth="1"/>
    <col min="10499" max="10499" width="14.4609375" style="115" bestFit="1" customWidth="1"/>
    <col min="10500" max="10500" width="10.69140625" style="115" customWidth="1"/>
    <col min="10501" max="10501" width="11.84375" style="115" customWidth="1"/>
    <col min="10502" max="10502" width="10.84375" style="115" customWidth="1"/>
    <col min="10503" max="10503" width="11.53515625" style="115" customWidth="1"/>
    <col min="10504" max="10504" width="13.84375" style="115" customWidth="1"/>
    <col min="10505" max="10505" width="2.3046875" style="115" customWidth="1"/>
    <col min="10506" max="10506" width="2" style="115" customWidth="1"/>
    <col min="10507" max="10507" width="49.4609375" style="115" customWidth="1"/>
    <col min="10508" max="10508" width="12.84375" style="115" customWidth="1"/>
    <col min="10509" max="10750" width="9.07421875" style="115"/>
    <col min="10751" max="10751" width="3.07421875" style="115" customWidth="1"/>
    <col min="10752" max="10752" width="33.3046875" style="115" customWidth="1"/>
    <col min="10753" max="10753" width="11.69140625" style="115" customWidth="1"/>
    <col min="10754" max="10754" width="12" style="115" customWidth="1"/>
    <col min="10755" max="10755" width="14.4609375" style="115" bestFit="1" customWidth="1"/>
    <col min="10756" max="10756" width="10.69140625" style="115" customWidth="1"/>
    <col min="10757" max="10757" width="11.84375" style="115" customWidth="1"/>
    <col min="10758" max="10758" width="10.84375" style="115" customWidth="1"/>
    <col min="10759" max="10759" width="11.53515625" style="115" customWidth="1"/>
    <col min="10760" max="10760" width="13.84375" style="115" customWidth="1"/>
    <col min="10761" max="10761" width="2.3046875" style="115" customWidth="1"/>
    <col min="10762" max="10762" width="2" style="115" customWidth="1"/>
    <col min="10763" max="10763" width="49.4609375" style="115" customWidth="1"/>
    <col min="10764" max="10764" width="12.84375" style="115" customWidth="1"/>
    <col min="10765" max="11006" width="9.07421875" style="115"/>
    <col min="11007" max="11007" width="3.07421875" style="115" customWidth="1"/>
    <col min="11008" max="11008" width="33.3046875" style="115" customWidth="1"/>
    <col min="11009" max="11009" width="11.69140625" style="115" customWidth="1"/>
    <col min="11010" max="11010" width="12" style="115" customWidth="1"/>
    <col min="11011" max="11011" width="14.4609375" style="115" bestFit="1" customWidth="1"/>
    <col min="11012" max="11012" width="10.69140625" style="115" customWidth="1"/>
    <col min="11013" max="11013" width="11.84375" style="115" customWidth="1"/>
    <col min="11014" max="11014" width="10.84375" style="115" customWidth="1"/>
    <col min="11015" max="11015" width="11.53515625" style="115" customWidth="1"/>
    <col min="11016" max="11016" width="13.84375" style="115" customWidth="1"/>
    <col min="11017" max="11017" width="2.3046875" style="115" customWidth="1"/>
    <col min="11018" max="11018" width="2" style="115" customWidth="1"/>
    <col min="11019" max="11019" width="49.4609375" style="115" customWidth="1"/>
    <col min="11020" max="11020" width="12.84375" style="115" customWidth="1"/>
    <col min="11021" max="11262" width="9.07421875" style="115"/>
    <col min="11263" max="11263" width="3.07421875" style="115" customWidth="1"/>
    <col min="11264" max="11264" width="33.3046875" style="115" customWidth="1"/>
    <col min="11265" max="11265" width="11.69140625" style="115" customWidth="1"/>
    <col min="11266" max="11266" width="12" style="115" customWidth="1"/>
    <col min="11267" max="11267" width="14.4609375" style="115" bestFit="1" customWidth="1"/>
    <col min="11268" max="11268" width="10.69140625" style="115" customWidth="1"/>
    <col min="11269" max="11269" width="11.84375" style="115" customWidth="1"/>
    <col min="11270" max="11270" width="10.84375" style="115" customWidth="1"/>
    <col min="11271" max="11271" width="11.53515625" style="115" customWidth="1"/>
    <col min="11272" max="11272" width="13.84375" style="115" customWidth="1"/>
    <col min="11273" max="11273" width="2.3046875" style="115" customWidth="1"/>
    <col min="11274" max="11274" width="2" style="115" customWidth="1"/>
    <col min="11275" max="11275" width="49.4609375" style="115" customWidth="1"/>
    <col min="11276" max="11276" width="12.84375" style="115" customWidth="1"/>
    <col min="11277" max="11518" width="9.07421875" style="115"/>
    <col min="11519" max="11519" width="3.07421875" style="115" customWidth="1"/>
    <col min="11520" max="11520" width="33.3046875" style="115" customWidth="1"/>
    <col min="11521" max="11521" width="11.69140625" style="115" customWidth="1"/>
    <col min="11522" max="11522" width="12" style="115" customWidth="1"/>
    <col min="11523" max="11523" width="14.4609375" style="115" bestFit="1" customWidth="1"/>
    <col min="11524" max="11524" width="10.69140625" style="115" customWidth="1"/>
    <col min="11525" max="11525" width="11.84375" style="115" customWidth="1"/>
    <col min="11526" max="11526" width="10.84375" style="115" customWidth="1"/>
    <col min="11527" max="11527" width="11.53515625" style="115" customWidth="1"/>
    <col min="11528" max="11528" width="13.84375" style="115" customWidth="1"/>
    <col min="11529" max="11529" width="2.3046875" style="115" customWidth="1"/>
    <col min="11530" max="11530" width="2" style="115" customWidth="1"/>
    <col min="11531" max="11531" width="49.4609375" style="115" customWidth="1"/>
    <col min="11532" max="11532" width="12.84375" style="115" customWidth="1"/>
    <col min="11533" max="11774" width="9.07421875" style="115"/>
    <col min="11775" max="11775" width="3.07421875" style="115" customWidth="1"/>
    <col min="11776" max="11776" width="33.3046875" style="115" customWidth="1"/>
    <col min="11777" max="11777" width="11.69140625" style="115" customWidth="1"/>
    <col min="11778" max="11778" width="12" style="115" customWidth="1"/>
    <col min="11779" max="11779" width="14.4609375" style="115" bestFit="1" customWidth="1"/>
    <col min="11780" max="11780" width="10.69140625" style="115" customWidth="1"/>
    <col min="11781" max="11781" width="11.84375" style="115" customWidth="1"/>
    <col min="11782" max="11782" width="10.84375" style="115" customWidth="1"/>
    <col min="11783" max="11783" width="11.53515625" style="115" customWidth="1"/>
    <col min="11784" max="11784" width="13.84375" style="115" customWidth="1"/>
    <col min="11785" max="11785" width="2.3046875" style="115" customWidth="1"/>
    <col min="11786" max="11786" width="2" style="115" customWidth="1"/>
    <col min="11787" max="11787" width="49.4609375" style="115" customWidth="1"/>
    <col min="11788" max="11788" width="12.84375" style="115" customWidth="1"/>
    <col min="11789" max="12030" width="9.07421875" style="115"/>
    <col min="12031" max="12031" width="3.07421875" style="115" customWidth="1"/>
    <col min="12032" max="12032" width="33.3046875" style="115" customWidth="1"/>
    <col min="12033" max="12033" width="11.69140625" style="115" customWidth="1"/>
    <col min="12034" max="12034" width="12" style="115" customWidth="1"/>
    <col min="12035" max="12035" width="14.4609375" style="115" bestFit="1" customWidth="1"/>
    <col min="12036" max="12036" width="10.69140625" style="115" customWidth="1"/>
    <col min="12037" max="12037" width="11.84375" style="115" customWidth="1"/>
    <col min="12038" max="12038" width="10.84375" style="115" customWidth="1"/>
    <col min="12039" max="12039" width="11.53515625" style="115" customWidth="1"/>
    <col min="12040" max="12040" width="13.84375" style="115" customWidth="1"/>
    <col min="12041" max="12041" width="2.3046875" style="115" customWidth="1"/>
    <col min="12042" max="12042" width="2" style="115" customWidth="1"/>
    <col min="12043" max="12043" width="49.4609375" style="115" customWidth="1"/>
    <col min="12044" max="12044" width="12.84375" style="115" customWidth="1"/>
    <col min="12045" max="12286" width="9.07421875" style="115"/>
    <col min="12287" max="12287" width="3.07421875" style="115" customWidth="1"/>
    <col min="12288" max="12288" width="33.3046875" style="115" customWidth="1"/>
    <col min="12289" max="12289" width="11.69140625" style="115" customWidth="1"/>
    <col min="12290" max="12290" width="12" style="115" customWidth="1"/>
    <col min="12291" max="12291" width="14.4609375" style="115" bestFit="1" customWidth="1"/>
    <col min="12292" max="12292" width="10.69140625" style="115" customWidth="1"/>
    <col min="12293" max="12293" width="11.84375" style="115" customWidth="1"/>
    <col min="12294" max="12294" width="10.84375" style="115" customWidth="1"/>
    <col min="12295" max="12295" width="11.53515625" style="115" customWidth="1"/>
    <col min="12296" max="12296" width="13.84375" style="115" customWidth="1"/>
    <col min="12297" max="12297" width="2.3046875" style="115" customWidth="1"/>
    <col min="12298" max="12298" width="2" style="115" customWidth="1"/>
    <col min="12299" max="12299" width="49.4609375" style="115" customWidth="1"/>
    <col min="12300" max="12300" width="12.84375" style="115" customWidth="1"/>
    <col min="12301" max="12542" width="9.07421875" style="115"/>
    <col min="12543" max="12543" width="3.07421875" style="115" customWidth="1"/>
    <col min="12544" max="12544" width="33.3046875" style="115" customWidth="1"/>
    <col min="12545" max="12545" width="11.69140625" style="115" customWidth="1"/>
    <col min="12546" max="12546" width="12" style="115" customWidth="1"/>
    <col min="12547" max="12547" width="14.4609375" style="115" bestFit="1" customWidth="1"/>
    <col min="12548" max="12548" width="10.69140625" style="115" customWidth="1"/>
    <col min="12549" max="12549" width="11.84375" style="115" customWidth="1"/>
    <col min="12550" max="12550" width="10.84375" style="115" customWidth="1"/>
    <col min="12551" max="12551" width="11.53515625" style="115" customWidth="1"/>
    <col min="12552" max="12552" width="13.84375" style="115" customWidth="1"/>
    <col min="12553" max="12553" width="2.3046875" style="115" customWidth="1"/>
    <col min="12554" max="12554" width="2" style="115" customWidth="1"/>
    <col min="12555" max="12555" width="49.4609375" style="115" customWidth="1"/>
    <col min="12556" max="12556" width="12.84375" style="115" customWidth="1"/>
    <col min="12557" max="12798" width="9.07421875" style="115"/>
    <col min="12799" max="12799" width="3.07421875" style="115" customWidth="1"/>
    <col min="12800" max="12800" width="33.3046875" style="115" customWidth="1"/>
    <col min="12801" max="12801" width="11.69140625" style="115" customWidth="1"/>
    <col min="12802" max="12802" width="12" style="115" customWidth="1"/>
    <col min="12803" max="12803" width="14.4609375" style="115" bestFit="1" customWidth="1"/>
    <col min="12804" max="12804" width="10.69140625" style="115" customWidth="1"/>
    <col min="12805" max="12805" width="11.84375" style="115" customWidth="1"/>
    <col min="12806" max="12806" width="10.84375" style="115" customWidth="1"/>
    <col min="12807" max="12807" width="11.53515625" style="115" customWidth="1"/>
    <col min="12808" max="12808" width="13.84375" style="115" customWidth="1"/>
    <col min="12809" max="12809" width="2.3046875" style="115" customWidth="1"/>
    <col min="12810" max="12810" width="2" style="115" customWidth="1"/>
    <col min="12811" max="12811" width="49.4609375" style="115" customWidth="1"/>
    <col min="12812" max="12812" width="12.84375" style="115" customWidth="1"/>
    <col min="12813" max="13054" width="9.07421875" style="115"/>
    <col min="13055" max="13055" width="3.07421875" style="115" customWidth="1"/>
    <col min="13056" max="13056" width="33.3046875" style="115" customWidth="1"/>
    <col min="13057" max="13057" width="11.69140625" style="115" customWidth="1"/>
    <col min="13058" max="13058" width="12" style="115" customWidth="1"/>
    <col min="13059" max="13059" width="14.4609375" style="115" bestFit="1" customWidth="1"/>
    <col min="13060" max="13060" width="10.69140625" style="115" customWidth="1"/>
    <col min="13061" max="13061" width="11.84375" style="115" customWidth="1"/>
    <col min="13062" max="13062" width="10.84375" style="115" customWidth="1"/>
    <col min="13063" max="13063" width="11.53515625" style="115" customWidth="1"/>
    <col min="13064" max="13064" width="13.84375" style="115" customWidth="1"/>
    <col min="13065" max="13065" width="2.3046875" style="115" customWidth="1"/>
    <col min="13066" max="13066" width="2" style="115" customWidth="1"/>
    <col min="13067" max="13067" width="49.4609375" style="115" customWidth="1"/>
    <col min="13068" max="13068" width="12.84375" style="115" customWidth="1"/>
    <col min="13069" max="13310" width="9.07421875" style="115"/>
    <col min="13311" max="13311" width="3.07421875" style="115" customWidth="1"/>
    <col min="13312" max="13312" width="33.3046875" style="115" customWidth="1"/>
    <col min="13313" max="13313" width="11.69140625" style="115" customWidth="1"/>
    <col min="13314" max="13314" width="12" style="115" customWidth="1"/>
    <col min="13315" max="13315" width="14.4609375" style="115" bestFit="1" customWidth="1"/>
    <col min="13316" max="13316" width="10.69140625" style="115" customWidth="1"/>
    <col min="13317" max="13317" width="11.84375" style="115" customWidth="1"/>
    <col min="13318" max="13318" width="10.84375" style="115" customWidth="1"/>
    <col min="13319" max="13319" width="11.53515625" style="115" customWidth="1"/>
    <col min="13320" max="13320" width="13.84375" style="115" customWidth="1"/>
    <col min="13321" max="13321" width="2.3046875" style="115" customWidth="1"/>
    <col min="13322" max="13322" width="2" style="115" customWidth="1"/>
    <col min="13323" max="13323" width="49.4609375" style="115" customWidth="1"/>
    <col min="13324" max="13324" width="12.84375" style="115" customWidth="1"/>
    <col min="13325" max="13566" width="9.07421875" style="115"/>
    <col min="13567" max="13567" width="3.07421875" style="115" customWidth="1"/>
    <col min="13568" max="13568" width="33.3046875" style="115" customWidth="1"/>
    <col min="13569" max="13569" width="11.69140625" style="115" customWidth="1"/>
    <col min="13570" max="13570" width="12" style="115" customWidth="1"/>
    <col min="13571" max="13571" width="14.4609375" style="115" bestFit="1" customWidth="1"/>
    <col min="13572" max="13572" width="10.69140625" style="115" customWidth="1"/>
    <col min="13573" max="13573" width="11.84375" style="115" customWidth="1"/>
    <col min="13574" max="13574" width="10.84375" style="115" customWidth="1"/>
    <col min="13575" max="13575" width="11.53515625" style="115" customWidth="1"/>
    <col min="13576" max="13576" width="13.84375" style="115" customWidth="1"/>
    <col min="13577" max="13577" width="2.3046875" style="115" customWidth="1"/>
    <col min="13578" max="13578" width="2" style="115" customWidth="1"/>
    <col min="13579" max="13579" width="49.4609375" style="115" customWidth="1"/>
    <col min="13580" max="13580" width="12.84375" style="115" customWidth="1"/>
    <col min="13581" max="13822" width="9.07421875" style="115"/>
    <col min="13823" max="13823" width="3.07421875" style="115" customWidth="1"/>
    <col min="13824" max="13824" width="33.3046875" style="115" customWidth="1"/>
    <col min="13825" max="13825" width="11.69140625" style="115" customWidth="1"/>
    <col min="13826" max="13826" width="12" style="115" customWidth="1"/>
    <col min="13827" max="13827" width="14.4609375" style="115" bestFit="1" customWidth="1"/>
    <col min="13828" max="13828" width="10.69140625" style="115" customWidth="1"/>
    <col min="13829" max="13829" width="11.84375" style="115" customWidth="1"/>
    <col min="13830" max="13830" width="10.84375" style="115" customWidth="1"/>
    <col min="13831" max="13831" width="11.53515625" style="115" customWidth="1"/>
    <col min="13832" max="13832" width="13.84375" style="115" customWidth="1"/>
    <col min="13833" max="13833" width="2.3046875" style="115" customWidth="1"/>
    <col min="13834" max="13834" width="2" style="115" customWidth="1"/>
    <col min="13835" max="13835" width="49.4609375" style="115" customWidth="1"/>
    <col min="13836" max="13836" width="12.84375" style="115" customWidth="1"/>
    <col min="13837" max="14078" width="9.07421875" style="115"/>
    <col min="14079" max="14079" width="3.07421875" style="115" customWidth="1"/>
    <col min="14080" max="14080" width="33.3046875" style="115" customWidth="1"/>
    <col min="14081" max="14081" width="11.69140625" style="115" customWidth="1"/>
    <col min="14082" max="14082" width="12" style="115" customWidth="1"/>
    <col min="14083" max="14083" width="14.4609375" style="115" bestFit="1" customWidth="1"/>
    <col min="14084" max="14084" width="10.69140625" style="115" customWidth="1"/>
    <col min="14085" max="14085" width="11.84375" style="115" customWidth="1"/>
    <col min="14086" max="14086" width="10.84375" style="115" customWidth="1"/>
    <col min="14087" max="14087" width="11.53515625" style="115" customWidth="1"/>
    <col min="14088" max="14088" width="13.84375" style="115" customWidth="1"/>
    <col min="14089" max="14089" width="2.3046875" style="115" customWidth="1"/>
    <col min="14090" max="14090" width="2" style="115" customWidth="1"/>
    <col min="14091" max="14091" width="49.4609375" style="115" customWidth="1"/>
    <col min="14092" max="14092" width="12.84375" style="115" customWidth="1"/>
    <col min="14093" max="14334" width="9.07421875" style="115"/>
    <col min="14335" max="14335" width="3.07421875" style="115" customWidth="1"/>
    <col min="14336" max="14336" width="33.3046875" style="115" customWidth="1"/>
    <col min="14337" max="14337" width="11.69140625" style="115" customWidth="1"/>
    <col min="14338" max="14338" width="12" style="115" customWidth="1"/>
    <col min="14339" max="14339" width="14.4609375" style="115" bestFit="1" customWidth="1"/>
    <col min="14340" max="14340" width="10.69140625" style="115" customWidth="1"/>
    <col min="14341" max="14341" width="11.84375" style="115" customWidth="1"/>
    <col min="14342" max="14342" width="10.84375" style="115" customWidth="1"/>
    <col min="14343" max="14343" width="11.53515625" style="115" customWidth="1"/>
    <col min="14344" max="14344" width="13.84375" style="115" customWidth="1"/>
    <col min="14345" max="14345" width="2.3046875" style="115" customWidth="1"/>
    <col min="14346" max="14346" width="2" style="115" customWidth="1"/>
    <col min="14347" max="14347" width="49.4609375" style="115" customWidth="1"/>
    <col min="14348" max="14348" width="12.84375" style="115" customWidth="1"/>
    <col min="14349" max="14590" width="9.07421875" style="115"/>
    <col min="14591" max="14591" width="3.07421875" style="115" customWidth="1"/>
    <col min="14592" max="14592" width="33.3046875" style="115" customWidth="1"/>
    <col min="14593" max="14593" width="11.69140625" style="115" customWidth="1"/>
    <col min="14594" max="14594" width="12" style="115" customWidth="1"/>
    <col min="14595" max="14595" width="14.4609375" style="115" bestFit="1" customWidth="1"/>
    <col min="14596" max="14596" width="10.69140625" style="115" customWidth="1"/>
    <col min="14597" max="14597" width="11.84375" style="115" customWidth="1"/>
    <col min="14598" max="14598" width="10.84375" style="115" customWidth="1"/>
    <col min="14599" max="14599" width="11.53515625" style="115" customWidth="1"/>
    <col min="14600" max="14600" width="13.84375" style="115" customWidth="1"/>
    <col min="14601" max="14601" width="2.3046875" style="115" customWidth="1"/>
    <col min="14602" max="14602" width="2" style="115" customWidth="1"/>
    <col min="14603" max="14603" width="49.4609375" style="115" customWidth="1"/>
    <col min="14604" max="14604" width="12.84375" style="115" customWidth="1"/>
    <col min="14605" max="14846" width="9.07421875" style="115"/>
    <col min="14847" max="14847" width="3.07421875" style="115" customWidth="1"/>
    <col min="14848" max="14848" width="33.3046875" style="115" customWidth="1"/>
    <col min="14849" max="14849" width="11.69140625" style="115" customWidth="1"/>
    <col min="14850" max="14850" width="12" style="115" customWidth="1"/>
    <col min="14851" max="14851" width="14.4609375" style="115" bestFit="1" customWidth="1"/>
    <col min="14852" max="14852" width="10.69140625" style="115" customWidth="1"/>
    <col min="14853" max="14853" width="11.84375" style="115" customWidth="1"/>
    <col min="14854" max="14854" width="10.84375" style="115" customWidth="1"/>
    <col min="14855" max="14855" width="11.53515625" style="115" customWidth="1"/>
    <col min="14856" max="14856" width="13.84375" style="115" customWidth="1"/>
    <col min="14857" max="14857" width="2.3046875" style="115" customWidth="1"/>
    <col min="14858" max="14858" width="2" style="115" customWidth="1"/>
    <col min="14859" max="14859" width="49.4609375" style="115" customWidth="1"/>
    <col min="14860" max="14860" width="12.84375" style="115" customWidth="1"/>
    <col min="14861" max="15102" width="9.07421875" style="115"/>
    <col min="15103" max="15103" width="3.07421875" style="115" customWidth="1"/>
    <col min="15104" max="15104" width="33.3046875" style="115" customWidth="1"/>
    <col min="15105" max="15105" width="11.69140625" style="115" customWidth="1"/>
    <col min="15106" max="15106" width="12" style="115" customWidth="1"/>
    <col min="15107" max="15107" width="14.4609375" style="115" bestFit="1" customWidth="1"/>
    <col min="15108" max="15108" width="10.69140625" style="115" customWidth="1"/>
    <col min="15109" max="15109" width="11.84375" style="115" customWidth="1"/>
    <col min="15110" max="15110" width="10.84375" style="115" customWidth="1"/>
    <col min="15111" max="15111" width="11.53515625" style="115" customWidth="1"/>
    <col min="15112" max="15112" width="13.84375" style="115" customWidth="1"/>
    <col min="15113" max="15113" width="2.3046875" style="115" customWidth="1"/>
    <col min="15114" max="15114" width="2" style="115" customWidth="1"/>
    <col min="15115" max="15115" width="49.4609375" style="115" customWidth="1"/>
    <col min="15116" max="15116" width="12.84375" style="115" customWidth="1"/>
    <col min="15117" max="15358" width="9.07421875" style="115"/>
    <col min="15359" max="15359" width="3.07421875" style="115" customWidth="1"/>
    <col min="15360" max="15360" width="33.3046875" style="115" customWidth="1"/>
    <col min="15361" max="15361" width="11.69140625" style="115" customWidth="1"/>
    <col min="15362" max="15362" width="12" style="115" customWidth="1"/>
    <col min="15363" max="15363" width="14.4609375" style="115" bestFit="1" customWidth="1"/>
    <col min="15364" max="15364" width="10.69140625" style="115" customWidth="1"/>
    <col min="15365" max="15365" width="11.84375" style="115" customWidth="1"/>
    <col min="15366" max="15366" width="10.84375" style="115" customWidth="1"/>
    <col min="15367" max="15367" width="11.53515625" style="115" customWidth="1"/>
    <col min="15368" max="15368" width="13.84375" style="115" customWidth="1"/>
    <col min="15369" max="15369" width="2.3046875" style="115" customWidth="1"/>
    <col min="15370" max="15370" width="2" style="115" customWidth="1"/>
    <col min="15371" max="15371" width="49.4609375" style="115" customWidth="1"/>
    <col min="15372" max="15372" width="12.84375" style="115" customWidth="1"/>
    <col min="15373" max="15614" width="9.07421875" style="115"/>
    <col min="15615" max="15615" width="3.07421875" style="115" customWidth="1"/>
    <col min="15616" max="15616" width="33.3046875" style="115" customWidth="1"/>
    <col min="15617" max="15617" width="11.69140625" style="115" customWidth="1"/>
    <col min="15618" max="15618" width="12" style="115" customWidth="1"/>
    <col min="15619" max="15619" width="14.4609375" style="115" bestFit="1" customWidth="1"/>
    <col min="15620" max="15620" width="10.69140625" style="115" customWidth="1"/>
    <col min="15621" max="15621" width="11.84375" style="115" customWidth="1"/>
    <col min="15622" max="15622" width="10.84375" style="115" customWidth="1"/>
    <col min="15623" max="15623" width="11.53515625" style="115" customWidth="1"/>
    <col min="15624" max="15624" width="13.84375" style="115" customWidth="1"/>
    <col min="15625" max="15625" width="2.3046875" style="115" customWidth="1"/>
    <col min="15626" max="15626" width="2" style="115" customWidth="1"/>
    <col min="15627" max="15627" width="49.4609375" style="115" customWidth="1"/>
    <col min="15628" max="15628" width="12.84375" style="115" customWidth="1"/>
    <col min="15629" max="15870" width="9.07421875" style="115"/>
    <col min="15871" max="15871" width="3.07421875" style="115" customWidth="1"/>
    <col min="15872" max="15872" width="33.3046875" style="115" customWidth="1"/>
    <col min="15873" max="15873" width="11.69140625" style="115" customWidth="1"/>
    <col min="15874" max="15874" width="12" style="115" customWidth="1"/>
    <col min="15875" max="15875" width="14.4609375" style="115" bestFit="1" customWidth="1"/>
    <col min="15876" max="15876" width="10.69140625" style="115" customWidth="1"/>
    <col min="15877" max="15877" width="11.84375" style="115" customWidth="1"/>
    <col min="15878" max="15878" width="10.84375" style="115" customWidth="1"/>
    <col min="15879" max="15879" width="11.53515625" style="115" customWidth="1"/>
    <col min="15880" max="15880" width="13.84375" style="115" customWidth="1"/>
    <col min="15881" max="15881" width="2.3046875" style="115" customWidth="1"/>
    <col min="15882" max="15882" width="2" style="115" customWidth="1"/>
    <col min="15883" max="15883" width="49.4609375" style="115" customWidth="1"/>
    <col min="15884" max="15884" width="12.84375" style="115" customWidth="1"/>
    <col min="15885" max="16126" width="9.07421875" style="115"/>
    <col min="16127" max="16127" width="3.07421875" style="115" customWidth="1"/>
    <col min="16128" max="16128" width="33.3046875" style="115" customWidth="1"/>
    <col min="16129" max="16129" width="11.69140625" style="115" customWidth="1"/>
    <col min="16130" max="16130" width="12" style="115" customWidth="1"/>
    <col min="16131" max="16131" width="14.4609375" style="115" bestFit="1" customWidth="1"/>
    <col min="16132" max="16132" width="10.69140625" style="115" customWidth="1"/>
    <col min="16133" max="16133" width="11.84375" style="115" customWidth="1"/>
    <col min="16134" max="16134" width="10.84375" style="115" customWidth="1"/>
    <col min="16135" max="16135" width="11.53515625" style="115" customWidth="1"/>
    <col min="16136" max="16136" width="13.84375" style="115" customWidth="1"/>
    <col min="16137" max="16137" width="2.3046875" style="115" customWidth="1"/>
    <col min="16138" max="16138" width="2" style="115" customWidth="1"/>
    <col min="16139" max="16139" width="49.4609375" style="115" customWidth="1"/>
    <col min="16140" max="16140" width="12.84375" style="115" customWidth="1"/>
    <col min="16141" max="16382" width="9.07421875" style="115"/>
    <col min="16383" max="16384" width="8.84375" style="115" customWidth="1"/>
  </cols>
  <sheetData>
    <row r="1" spans="1:11" ht="19.5" customHeight="1">
      <c r="A1" s="42"/>
      <c r="C1" s="1129"/>
      <c r="D1" s="1129"/>
      <c r="E1" s="1129"/>
      <c r="F1" s="1129"/>
      <c r="G1" s="1129"/>
      <c r="H1" s="1129"/>
      <c r="I1" s="208"/>
      <c r="K1" s="3" t="str">
        <f>'Attachment H-11A '!K1&amp;""&amp;", Attachment 5a"</f>
        <v>Attachment H -11A, Attachment 5a</v>
      </c>
    </row>
    <row r="2" spans="1:11" ht="17.5" customHeight="1">
      <c r="B2" s="676"/>
      <c r="C2" s="205"/>
      <c r="D2" s="205"/>
      <c r="E2" s="205"/>
      <c r="F2" s="205"/>
      <c r="G2" s="205"/>
      <c r="H2" s="205"/>
      <c r="I2" s="205"/>
      <c r="K2" s="32" t="s">
        <v>516</v>
      </c>
    </row>
    <row r="3" spans="1:11" ht="15.65" customHeight="1">
      <c r="B3" s="676"/>
      <c r="C3" s="1130"/>
      <c r="D3" s="1130"/>
      <c r="E3" s="1130"/>
      <c r="F3" s="1130"/>
      <c r="G3" s="1130"/>
      <c r="H3" s="1130"/>
      <c r="I3" s="206"/>
      <c r="K3" s="3" t="str">
        <f>'Attachment H-11A '!K4</f>
        <v>For the 12 months ended 12/31/2025</v>
      </c>
    </row>
    <row r="4" spans="1:11" ht="16" customHeight="1" thickBot="1">
      <c r="B4" s="676"/>
      <c r="C4" s="208"/>
      <c r="D4" s="208"/>
      <c r="E4" s="208"/>
      <c r="F4" s="208"/>
      <c r="G4" s="124"/>
      <c r="H4" s="124"/>
      <c r="I4" s="206"/>
      <c r="K4" s="3"/>
    </row>
    <row r="5" spans="1:11" ht="15.65" customHeight="1">
      <c r="B5" s="676"/>
      <c r="C5" s="1131"/>
      <c r="D5" s="1132"/>
      <c r="E5" s="1132"/>
      <c r="F5" s="1132"/>
      <c r="G5" s="1132"/>
      <c r="H5" s="1132"/>
      <c r="I5" s="1132"/>
      <c r="J5" s="1133"/>
      <c r="K5" s="3"/>
    </row>
    <row r="6" spans="1:11" ht="16" customHeight="1" thickBot="1">
      <c r="B6" s="676"/>
      <c r="C6" s="1134" t="s">
        <v>617</v>
      </c>
      <c r="D6" s="1135"/>
      <c r="E6" s="1135"/>
      <c r="F6" s="1135"/>
      <c r="G6" s="1135"/>
      <c r="H6" s="1135"/>
      <c r="I6" s="1135"/>
      <c r="J6" s="1136"/>
      <c r="K6" s="3"/>
    </row>
    <row r="7" spans="1:11" ht="15.5">
      <c r="A7" s="115" t="s">
        <v>5</v>
      </c>
      <c r="B7" s="208">
        <v>1</v>
      </c>
      <c r="C7" s="208">
        <v>2</v>
      </c>
      <c r="D7" s="208">
        <v>3</v>
      </c>
      <c r="E7" s="208">
        <v>4</v>
      </c>
      <c r="F7" s="208"/>
      <c r="G7" s="208"/>
      <c r="H7" s="208"/>
      <c r="I7" s="208"/>
      <c r="J7" s="3"/>
    </row>
    <row r="8" spans="1:11" ht="57" customHeight="1">
      <c r="B8" s="207"/>
      <c r="C8" s="359" t="s">
        <v>531</v>
      </c>
      <c r="D8" s="359" t="s">
        <v>957</v>
      </c>
      <c r="E8" s="359" t="s">
        <v>536</v>
      </c>
      <c r="F8" s="124"/>
      <c r="G8" s="124"/>
      <c r="H8" s="206"/>
      <c r="J8" s="3"/>
    </row>
    <row r="9" spans="1:11" ht="26">
      <c r="B9" s="207"/>
      <c r="C9" s="214" t="s">
        <v>539</v>
      </c>
      <c r="D9" s="391" t="s">
        <v>618</v>
      </c>
      <c r="E9" s="391" t="s">
        <v>619</v>
      </c>
      <c r="F9" s="124"/>
      <c r="G9" s="124"/>
      <c r="H9" s="206"/>
      <c r="J9" s="3"/>
    </row>
    <row r="10" spans="1:11" ht="15.5">
      <c r="A10" s="115">
        <v>1</v>
      </c>
      <c r="B10" s="207" t="s">
        <v>959</v>
      </c>
      <c r="C10" s="389">
        <f>F110</f>
        <v>118457229.91780591</v>
      </c>
      <c r="D10" s="390">
        <f>H28</f>
        <v>0</v>
      </c>
      <c r="E10" s="389">
        <f>C10+D10</f>
        <v>118457229.91780591</v>
      </c>
      <c r="F10" s="214"/>
      <c r="G10" s="214"/>
      <c r="H10" s="206"/>
      <c r="J10" s="3"/>
    </row>
    <row r="11" spans="1:11" ht="15.5">
      <c r="A11" s="115">
        <v>2</v>
      </c>
      <c r="B11" s="207" t="s">
        <v>532</v>
      </c>
      <c r="C11" s="389">
        <f>F140</f>
        <v>-2491567.3478786172</v>
      </c>
      <c r="D11" s="390">
        <f>H29</f>
        <v>0</v>
      </c>
      <c r="E11" s="389">
        <f>C11+D11</f>
        <v>-2491567.3478786172</v>
      </c>
      <c r="F11" s="214"/>
      <c r="G11" s="214"/>
      <c r="H11" s="206"/>
      <c r="J11" s="3"/>
    </row>
    <row r="12" spans="1:11" ht="15.5">
      <c r="A12" s="115">
        <v>3</v>
      </c>
      <c r="B12" s="207" t="s">
        <v>533</v>
      </c>
      <c r="C12" s="389">
        <f>F69</f>
        <v>24958729.416114025</v>
      </c>
      <c r="D12" s="390">
        <f>H30</f>
        <v>0</v>
      </c>
      <c r="E12" s="389">
        <f>C12+D12</f>
        <v>24958729.416114025</v>
      </c>
      <c r="F12" s="214"/>
      <c r="G12" s="214"/>
      <c r="H12" s="206"/>
      <c r="J12" s="3"/>
    </row>
    <row r="13" spans="1:11" ht="15.5">
      <c r="A13" s="115">
        <v>4</v>
      </c>
      <c r="B13" s="207" t="s">
        <v>534</v>
      </c>
      <c r="C13" s="389">
        <f>F173</f>
        <v>0</v>
      </c>
      <c r="D13" s="390">
        <f>H31</f>
        <v>0</v>
      </c>
      <c r="E13" s="389">
        <f>C13+D13</f>
        <v>0</v>
      </c>
      <c r="F13" s="214"/>
      <c r="G13" s="214"/>
      <c r="H13" s="206"/>
      <c r="J13" s="3"/>
    </row>
    <row r="14" spans="1:11" ht="16">
      <c r="A14" s="115">
        <v>5</v>
      </c>
      <c r="B14" s="207" t="s">
        <v>535</v>
      </c>
      <c r="C14" s="392">
        <f>F208</f>
        <v>0</v>
      </c>
      <c r="D14" s="393">
        <f>H32</f>
        <v>0</v>
      </c>
      <c r="E14" s="392">
        <f>C14+D14</f>
        <v>0</v>
      </c>
      <c r="F14" s="214"/>
      <c r="G14" s="214"/>
      <c r="H14" s="206"/>
      <c r="J14" s="3"/>
    </row>
    <row r="15" spans="1:11" ht="15.5">
      <c r="B15" s="207" t="s">
        <v>540</v>
      </c>
      <c r="C15" s="389">
        <f>SUM(C10:C14)</f>
        <v>140924391.98604131</v>
      </c>
      <c r="D15" s="389">
        <f>SUM(D10:D14)</f>
        <v>0</v>
      </c>
      <c r="E15" s="389">
        <f t="shared" ref="E15" si="0">SUM(E10:E14)</f>
        <v>140924391.98604131</v>
      </c>
      <c r="F15" s="214"/>
      <c r="G15" s="214"/>
      <c r="H15" s="206"/>
      <c r="J15" s="3"/>
    </row>
    <row r="16" spans="1:11" ht="15.5">
      <c r="C16" s="214"/>
      <c r="D16" s="214"/>
      <c r="E16" s="214"/>
      <c r="F16" s="214"/>
      <c r="G16" s="214"/>
      <c r="H16" s="206"/>
      <c r="J16" s="3"/>
    </row>
    <row r="17" spans="1:10" ht="15.5">
      <c r="C17" s="214"/>
      <c r="D17" s="214"/>
      <c r="E17" s="214"/>
      <c r="F17" s="214"/>
      <c r="G17" s="214"/>
      <c r="H17" s="206"/>
      <c r="J17" s="3"/>
    </row>
    <row r="18" spans="1:10" ht="15.5">
      <c r="C18" s="124"/>
      <c r="D18" s="124"/>
      <c r="E18" s="124"/>
      <c r="F18" s="124"/>
      <c r="G18" s="124"/>
      <c r="H18" s="206"/>
      <c r="J18" s="3"/>
    </row>
    <row r="19" spans="1:10" ht="15.5">
      <c r="C19" s="124"/>
      <c r="D19" s="124"/>
      <c r="E19" s="124"/>
      <c r="F19" s="124"/>
      <c r="G19" s="124"/>
      <c r="H19" s="206"/>
      <c r="J19" s="3"/>
    </row>
    <row r="20" spans="1:10" ht="13.5" thickBot="1">
      <c r="B20" s="116"/>
      <c r="H20" s="207"/>
      <c r="I20" s="207"/>
    </row>
    <row r="21" spans="1:10" ht="15.75" customHeight="1">
      <c r="C21" s="1141"/>
      <c r="D21" s="1142"/>
      <c r="E21" s="1142"/>
      <c r="F21" s="1142"/>
      <c r="G21" s="1142"/>
      <c r="H21" s="1142"/>
      <c r="I21" s="1142"/>
      <c r="J21" s="1143"/>
    </row>
    <row r="22" spans="1:10" ht="13.5" thickBot="1">
      <c r="C22" s="1134" t="s">
        <v>617</v>
      </c>
      <c r="D22" s="1135"/>
      <c r="E22" s="1135"/>
      <c r="F22" s="1135"/>
      <c r="G22" s="1135"/>
      <c r="H22" s="1135"/>
      <c r="I22" s="1135"/>
      <c r="J22" s="1136"/>
    </row>
    <row r="23" spans="1:10" ht="13">
      <c r="A23" s="115" t="s">
        <v>5</v>
      </c>
      <c r="C23" s="208" t="s">
        <v>101</v>
      </c>
      <c r="D23" s="208" t="s">
        <v>102</v>
      </c>
      <c r="E23" s="208" t="s">
        <v>103</v>
      </c>
      <c r="F23" s="208" t="s">
        <v>104</v>
      </c>
      <c r="G23" s="208" t="s">
        <v>105</v>
      </c>
      <c r="H23" s="208" t="s">
        <v>106</v>
      </c>
    </row>
    <row r="24" spans="1:10" ht="26">
      <c r="C24" s="208" t="s">
        <v>453</v>
      </c>
      <c r="D24" s="208" t="s">
        <v>454</v>
      </c>
      <c r="E24" s="208" t="s">
        <v>351</v>
      </c>
      <c r="F24" s="208" t="s">
        <v>350</v>
      </c>
      <c r="G24" s="208" t="s">
        <v>352</v>
      </c>
      <c r="H24" s="359" t="s">
        <v>455</v>
      </c>
    </row>
    <row r="25" spans="1:10" ht="13">
      <c r="C25" s="208" t="s">
        <v>313</v>
      </c>
      <c r="D25" s="208" t="s">
        <v>313</v>
      </c>
      <c r="E25" s="208" t="s">
        <v>236</v>
      </c>
      <c r="F25" s="208" t="s">
        <v>10</v>
      </c>
      <c r="G25" s="208" t="s">
        <v>10</v>
      </c>
      <c r="H25" s="208" t="s">
        <v>314</v>
      </c>
    </row>
    <row r="26" spans="1:10" ht="40.5" customHeight="1">
      <c r="C26" s="214" t="s">
        <v>13</v>
      </c>
      <c r="D26" s="214" t="s">
        <v>14</v>
      </c>
      <c r="E26" s="391" t="s">
        <v>637</v>
      </c>
      <c r="F26" s="214" t="s">
        <v>15</v>
      </c>
      <c r="G26" s="214" t="s">
        <v>16</v>
      </c>
      <c r="H26" s="391" t="s">
        <v>638</v>
      </c>
    </row>
    <row r="27" spans="1:10">
      <c r="A27" s="115" t="s">
        <v>3</v>
      </c>
      <c r="B27" s="115" t="s">
        <v>3</v>
      </c>
    </row>
    <row r="28" spans="1:10">
      <c r="A28" s="115">
        <v>1</v>
      </c>
      <c r="B28" s="115" t="s">
        <v>958</v>
      </c>
      <c r="C28" s="210">
        <f>G110</f>
        <v>0</v>
      </c>
      <c r="D28" s="210">
        <f>H110</f>
        <v>0</v>
      </c>
      <c r="E28" s="210">
        <f>SUM(C28:D28)</f>
        <v>0</v>
      </c>
      <c r="F28" s="251">
        <f>'Attachment H-11A '!$G$47</f>
        <v>0.11579322578488699</v>
      </c>
      <c r="G28" s="251">
        <f>'Attachment H-11A '!$I$213</f>
        <v>3.3378594941179174E-2</v>
      </c>
      <c r="H28" s="229">
        <f>(C28*F28)+(D28*G28)</f>
        <v>0</v>
      </c>
    </row>
    <row r="29" spans="1:10">
      <c r="A29" s="115">
        <f t="shared" ref="A29:A30" si="1">A28+1</f>
        <v>2</v>
      </c>
      <c r="B29" s="115" t="s">
        <v>315</v>
      </c>
      <c r="C29" s="210">
        <f>G140</f>
        <v>0</v>
      </c>
      <c r="D29" s="210">
        <f>H140</f>
        <v>0</v>
      </c>
      <c r="E29" s="210">
        <f>SUM(C29:D29)</f>
        <v>0</v>
      </c>
      <c r="F29" s="251">
        <f>'Attachment H-11A '!$G$47</f>
        <v>0.11579322578488699</v>
      </c>
      <c r="G29" s="251">
        <f>'Attachment H-11A '!$I$213</f>
        <v>3.3378594941179174E-2</v>
      </c>
      <c r="H29" s="229">
        <f>(C29*F29)+(D29*G29)</f>
        <v>0</v>
      </c>
    </row>
    <row r="30" spans="1:10">
      <c r="A30" s="115">
        <f t="shared" si="1"/>
        <v>3</v>
      </c>
      <c r="B30" s="115" t="s">
        <v>316</v>
      </c>
      <c r="C30" s="209">
        <f>G69</f>
        <v>0</v>
      </c>
      <c r="D30" s="209">
        <f>H69</f>
        <v>0</v>
      </c>
      <c r="E30" s="210">
        <f t="shared" ref="E30:E33" si="2">SUM(C30:D30)</f>
        <v>0</v>
      </c>
      <c r="F30" s="251">
        <f>'Attachment H-11A '!$G$47</f>
        <v>0.11579322578488699</v>
      </c>
      <c r="G30" s="251">
        <f>'Attachment H-11A '!$I$213</f>
        <v>3.3378594941179174E-2</v>
      </c>
      <c r="H30" s="229">
        <f>(C30*F30)+(D30*G30)</f>
        <v>0</v>
      </c>
    </row>
    <row r="31" spans="1:10">
      <c r="A31" s="115">
        <v>4</v>
      </c>
      <c r="B31" s="115" t="s">
        <v>339</v>
      </c>
      <c r="C31" s="211">
        <f>G173</f>
        <v>0</v>
      </c>
      <c r="D31" s="211">
        <f>H173</f>
        <v>0</v>
      </c>
      <c r="E31" s="210">
        <f t="shared" si="2"/>
        <v>0</v>
      </c>
      <c r="F31" s="251">
        <f>'Attachment H-11A '!$G$47</f>
        <v>0.11579322578488699</v>
      </c>
      <c r="G31" s="251">
        <f>'Attachment H-11A '!$I$213</f>
        <v>3.3378594941179174E-2</v>
      </c>
      <c r="H31" s="229">
        <f>(C31*F31)+(D31*G31)</f>
        <v>0</v>
      </c>
    </row>
    <row r="32" spans="1:10" ht="14">
      <c r="A32" s="115">
        <v>5</v>
      </c>
      <c r="B32" s="115" t="s">
        <v>340</v>
      </c>
      <c r="C32" s="253">
        <f>G208</f>
        <v>0</v>
      </c>
      <c r="D32" s="253">
        <f>H208</f>
        <v>0</v>
      </c>
      <c r="E32" s="212">
        <f t="shared" si="2"/>
        <v>0</v>
      </c>
      <c r="F32" s="251">
        <f>'Attachment H-11A '!$G$47</f>
        <v>0.11579322578488699</v>
      </c>
      <c r="G32" s="251">
        <f>'Attachment H-11A '!$I$213</f>
        <v>3.3378594941179174E-2</v>
      </c>
      <c r="H32" s="252">
        <f>(C32*F32)+(D32*G32)</f>
        <v>0</v>
      </c>
    </row>
    <row r="33" spans="1:11" ht="13">
      <c r="A33" s="115">
        <v>6</v>
      </c>
      <c r="B33" s="207" t="s">
        <v>236</v>
      </c>
      <c r="C33" s="210">
        <f>SUM(C28:C32)</f>
        <v>0</v>
      </c>
      <c r="D33" s="210">
        <f>SUM(D28:D32)</f>
        <v>0</v>
      </c>
      <c r="E33" s="210">
        <f t="shared" si="2"/>
        <v>0</v>
      </c>
      <c r="F33" s="210"/>
      <c r="G33" s="210"/>
      <c r="H33" s="210">
        <f>SUM(H28:H32)</f>
        <v>0</v>
      </c>
    </row>
    <row r="34" spans="1:11" ht="13">
      <c r="B34" s="207"/>
      <c r="C34" s="250"/>
      <c r="D34" s="210"/>
      <c r="E34" s="210"/>
    </row>
    <row r="35" spans="1:11" ht="13">
      <c r="A35" s="115" t="s">
        <v>176</v>
      </c>
      <c r="B35" s="207"/>
      <c r="C35" s="217"/>
      <c r="D35" s="217"/>
      <c r="E35" s="217"/>
    </row>
    <row r="36" spans="1:11">
      <c r="A36" s="254" t="s">
        <v>101</v>
      </c>
      <c r="B36" s="115" t="s">
        <v>537</v>
      </c>
      <c r="C36" s="217"/>
      <c r="D36" s="210"/>
      <c r="E36" s="210"/>
      <c r="J36" s="229"/>
    </row>
    <row r="37" spans="1:11">
      <c r="A37" s="214" t="s">
        <v>102</v>
      </c>
      <c r="B37" s="115" t="s">
        <v>538</v>
      </c>
      <c r="E37" s="210"/>
      <c r="F37" s="210"/>
      <c r="G37" s="210"/>
      <c r="H37" s="214"/>
      <c r="I37" s="210"/>
      <c r="J37" s="210"/>
    </row>
    <row r="38" spans="1:11">
      <c r="A38" s="214" t="s">
        <v>103</v>
      </c>
      <c r="B38" s="115" t="s">
        <v>910</v>
      </c>
      <c r="E38" s="210"/>
      <c r="F38" s="210"/>
      <c r="G38" s="210"/>
      <c r="H38" s="213"/>
      <c r="I38" s="210"/>
      <c r="J38" s="210"/>
    </row>
    <row r="39" spans="1:11">
      <c r="A39" s="214" t="s">
        <v>104</v>
      </c>
      <c r="B39" s="115" t="s">
        <v>911</v>
      </c>
    </row>
    <row r="40" spans="1:11" ht="12" customHeight="1">
      <c r="A40" s="214" t="s">
        <v>105</v>
      </c>
      <c r="B40" s="115" t="s">
        <v>620</v>
      </c>
      <c r="C40" s="207"/>
      <c r="D40" s="207"/>
      <c r="E40" s="207"/>
      <c r="F40" s="207"/>
      <c r="G40" s="207"/>
      <c r="H40" s="207"/>
    </row>
    <row r="41" spans="1:11">
      <c r="A41" s="214" t="s">
        <v>106</v>
      </c>
      <c r="B41" s="115" t="s">
        <v>553</v>
      </c>
      <c r="F41" s="234"/>
    </row>
    <row r="42" spans="1:11">
      <c r="A42" s="214"/>
    </row>
    <row r="43" spans="1:11" ht="15.5">
      <c r="B43" s="208"/>
      <c r="C43" s="208"/>
      <c r="D43" s="208"/>
      <c r="E43" s="208"/>
      <c r="F43" s="208"/>
      <c r="G43" s="208"/>
      <c r="H43" s="208"/>
      <c r="I43" s="124"/>
    </row>
    <row r="44" spans="1:11" ht="13">
      <c r="H44" s="207"/>
      <c r="I44" s="207"/>
    </row>
    <row r="45" spans="1:11" ht="16" thickBot="1">
      <c r="B45" s="208" t="s">
        <v>101</v>
      </c>
      <c r="C45" s="208" t="s">
        <v>102</v>
      </c>
      <c r="D45" s="208" t="s">
        <v>103</v>
      </c>
      <c r="E45" s="208" t="s">
        <v>104</v>
      </c>
      <c r="F45" s="208" t="s">
        <v>105</v>
      </c>
      <c r="G45" s="208" t="s">
        <v>106</v>
      </c>
      <c r="H45" s="208" t="s">
        <v>107</v>
      </c>
      <c r="I45" s="207"/>
      <c r="K45" s="3" t="str">
        <f>K1</f>
        <v>Attachment H -11A, Attachment 5a</v>
      </c>
    </row>
    <row r="46" spans="1:11" ht="16" thickBot="1">
      <c r="C46" s="1138"/>
      <c r="D46" s="1139"/>
      <c r="E46" s="1139"/>
      <c r="F46" s="1139"/>
      <c r="G46" s="1139"/>
      <c r="H46" s="1140"/>
      <c r="I46" s="208"/>
      <c r="J46" s="208"/>
      <c r="K46" s="32" t="s">
        <v>554</v>
      </c>
    </row>
    <row r="47" spans="1:11" ht="15.5">
      <c r="K47" s="3" t="str">
        <f>'Attachment H-11A '!K4</f>
        <v>For the 12 months ended 12/31/2025</v>
      </c>
    </row>
    <row r="48" spans="1:11" ht="13">
      <c r="B48" s="216"/>
      <c r="C48" s="217"/>
      <c r="D48" s="217"/>
      <c r="E48" s="217"/>
      <c r="F48" s="217"/>
      <c r="G48" s="217"/>
      <c r="H48" s="217"/>
      <c r="I48" s="217"/>
      <c r="J48" s="217"/>
      <c r="K48" s="218"/>
    </row>
    <row r="49" spans="2:11" ht="13">
      <c r="B49" s="216"/>
      <c r="C49" s="217"/>
      <c r="D49" s="217"/>
      <c r="E49" s="217"/>
      <c r="F49" s="217"/>
      <c r="G49" s="217"/>
      <c r="H49" s="217"/>
      <c r="I49" s="217"/>
      <c r="J49" s="217"/>
      <c r="K49" s="218"/>
    </row>
    <row r="50" spans="2:11" ht="13">
      <c r="B50" s="207" t="s">
        <v>317</v>
      </c>
      <c r="C50" s="208" t="s">
        <v>318</v>
      </c>
      <c r="D50" s="208" t="s">
        <v>310</v>
      </c>
      <c r="E50" s="208" t="s">
        <v>319</v>
      </c>
      <c r="F50" s="208" t="s">
        <v>320</v>
      </c>
      <c r="G50" s="208"/>
      <c r="H50" s="208"/>
      <c r="I50" s="208"/>
      <c r="J50" s="208"/>
    </row>
    <row r="51" spans="2:11" ht="13">
      <c r="C51" s="208" t="s">
        <v>321</v>
      </c>
      <c r="D51" s="208" t="s">
        <v>313</v>
      </c>
      <c r="E51" s="208" t="s">
        <v>322</v>
      </c>
      <c r="F51" s="208" t="s">
        <v>24</v>
      </c>
      <c r="G51" s="208" t="s">
        <v>311</v>
      </c>
      <c r="H51" s="208" t="s">
        <v>312</v>
      </c>
      <c r="I51" s="208"/>
      <c r="J51" s="208"/>
    </row>
    <row r="52" spans="2:11" ht="13">
      <c r="C52" s="208" t="s">
        <v>323</v>
      </c>
      <c r="E52" s="208" t="s">
        <v>313</v>
      </c>
      <c r="F52" s="208" t="s">
        <v>313</v>
      </c>
      <c r="G52" s="208" t="s">
        <v>313</v>
      </c>
      <c r="H52" s="208" t="s">
        <v>313</v>
      </c>
      <c r="I52" s="208"/>
      <c r="J52" s="208"/>
      <c r="K52" s="208" t="s">
        <v>324</v>
      </c>
    </row>
    <row r="53" spans="2:11" ht="13">
      <c r="B53" s="377"/>
    </row>
    <row r="54" spans="2:11" ht="13">
      <c r="B54" s="352" t="s">
        <v>1357</v>
      </c>
      <c r="C54" s="353">
        <f>F54</f>
        <v>846.16830461879624</v>
      </c>
      <c r="D54" s="354"/>
      <c r="E54" s="354"/>
      <c r="F54" s="354">
        <v>846.16830461879624</v>
      </c>
      <c r="G54" s="354"/>
      <c r="H54" s="354"/>
      <c r="I54" s="354"/>
      <c r="J54" s="354"/>
      <c r="K54" s="355"/>
    </row>
    <row r="55" spans="2:11" ht="13">
      <c r="B55" s="352" t="s">
        <v>1358</v>
      </c>
      <c r="C55" s="353">
        <f t="shared" ref="C55:C67" si="3">F55</f>
        <v>11592.860880022747</v>
      </c>
      <c r="D55" s="354"/>
      <c r="E55" s="354"/>
      <c r="F55" s="354">
        <v>11592.860880022747</v>
      </c>
      <c r="G55" s="354"/>
      <c r="H55" s="354"/>
      <c r="I55" s="354"/>
      <c r="J55" s="354"/>
      <c r="K55" s="354"/>
    </row>
    <row r="56" spans="2:11" ht="13">
      <c r="B56" s="352" t="s">
        <v>1359</v>
      </c>
      <c r="C56" s="353">
        <f t="shared" si="3"/>
        <v>128774.92091615312</v>
      </c>
      <c r="D56" s="354"/>
      <c r="E56" s="354"/>
      <c r="F56" s="354">
        <v>128774.92091615312</v>
      </c>
      <c r="G56" s="354"/>
      <c r="H56" s="354"/>
      <c r="I56" s="354"/>
      <c r="J56" s="354"/>
      <c r="K56" s="354"/>
    </row>
    <row r="57" spans="2:11" ht="13">
      <c r="B57" s="352" t="s">
        <v>1328</v>
      </c>
      <c r="C57" s="353">
        <f t="shared" si="3"/>
        <v>17509.563291844021</v>
      </c>
      <c r="D57" s="354"/>
      <c r="E57" s="354"/>
      <c r="F57" s="354">
        <v>17509.563291844021</v>
      </c>
      <c r="G57" s="354"/>
      <c r="H57" s="354"/>
      <c r="I57" s="354"/>
      <c r="J57" s="354"/>
      <c r="K57" s="354"/>
    </row>
    <row r="58" spans="2:11" ht="13">
      <c r="B58" s="352" t="s">
        <v>1360</v>
      </c>
      <c r="C58" s="353">
        <f t="shared" si="3"/>
        <v>18878.385509097861</v>
      </c>
      <c r="D58" s="354"/>
      <c r="E58" s="354"/>
      <c r="F58" s="354">
        <v>18878.385509097861</v>
      </c>
      <c r="G58" s="354"/>
      <c r="H58" s="354"/>
      <c r="I58" s="354"/>
      <c r="J58" s="354"/>
      <c r="K58" s="354"/>
    </row>
    <row r="59" spans="2:11" ht="13">
      <c r="B59" s="352" t="s">
        <v>1361</v>
      </c>
      <c r="C59" s="353">
        <f t="shared" si="3"/>
        <v>764749.98104619747</v>
      </c>
      <c r="D59" s="354"/>
      <c r="E59" s="354"/>
      <c r="F59" s="354">
        <v>764749.98104619747</v>
      </c>
      <c r="G59" s="354"/>
      <c r="H59" s="354"/>
      <c r="I59" s="354"/>
      <c r="J59" s="354"/>
      <c r="K59" s="354"/>
    </row>
    <row r="60" spans="2:11" ht="13">
      <c r="B60" s="352" t="s">
        <v>1362</v>
      </c>
      <c r="C60" s="353">
        <f t="shared" si="3"/>
        <v>21612.666411389844</v>
      </c>
      <c r="D60" s="354"/>
      <c r="E60" s="354"/>
      <c r="F60" s="354">
        <v>21612.666411389844</v>
      </c>
      <c r="G60" s="354"/>
      <c r="H60" s="354"/>
      <c r="I60" s="354"/>
      <c r="J60" s="354"/>
      <c r="K60" s="354"/>
    </row>
    <row r="61" spans="2:11" ht="13">
      <c r="B61" s="352" t="s">
        <v>1363</v>
      </c>
      <c r="C61" s="353">
        <f t="shared" si="3"/>
        <v>813252.20836205303</v>
      </c>
      <c r="D61" s="354"/>
      <c r="E61" s="354"/>
      <c r="F61" s="354">
        <v>813252.20836205303</v>
      </c>
      <c r="G61" s="354"/>
      <c r="H61" s="354"/>
      <c r="I61" s="354"/>
      <c r="J61" s="354"/>
      <c r="K61" s="354"/>
    </row>
    <row r="62" spans="2:11" ht="13">
      <c r="B62" s="352" t="s">
        <v>1365</v>
      </c>
      <c r="C62" s="353">
        <f t="shared" si="3"/>
        <v>759.73625237133626</v>
      </c>
      <c r="D62" s="354"/>
      <c r="E62" s="354"/>
      <c r="F62" s="354">
        <v>759.73625237133626</v>
      </c>
      <c r="G62" s="354"/>
      <c r="H62" s="354"/>
      <c r="I62" s="354"/>
      <c r="J62" s="354"/>
      <c r="K62" s="354"/>
    </row>
    <row r="63" spans="2:11" ht="13">
      <c r="B63" s="352" t="s">
        <v>1395</v>
      </c>
      <c r="C63" s="353">
        <f t="shared" si="3"/>
        <v>864785.40846034081</v>
      </c>
      <c r="D63" s="354"/>
      <c r="E63" s="354"/>
      <c r="F63" s="354">
        <v>864785.40846034081</v>
      </c>
      <c r="G63" s="354"/>
      <c r="H63" s="354"/>
      <c r="I63" s="354"/>
      <c r="J63" s="354"/>
      <c r="K63" s="354"/>
    </row>
    <row r="64" spans="2:11" ht="13">
      <c r="B64" s="352" t="s">
        <v>1355</v>
      </c>
      <c r="C64" s="353">
        <f t="shared" si="3"/>
        <v>2239027.5357375913</v>
      </c>
      <c r="D64" s="354"/>
      <c r="E64" s="354"/>
      <c r="F64" s="354">
        <v>2239027.5357375913</v>
      </c>
      <c r="G64" s="354"/>
      <c r="H64" s="354"/>
      <c r="I64" s="354"/>
      <c r="J64" s="354"/>
      <c r="K64" s="354"/>
    </row>
    <row r="65" spans="2:11" ht="13">
      <c r="B65" s="352" t="s">
        <v>513</v>
      </c>
      <c r="C65" s="353">
        <f t="shared" si="3"/>
        <v>6326794.762236706</v>
      </c>
      <c r="D65" s="354"/>
      <c r="E65" s="354"/>
      <c r="F65" s="354">
        <v>6326794.762236706</v>
      </c>
      <c r="G65" s="354"/>
      <c r="H65" s="354"/>
      <c r="I65" s="354"/>
      <c r="J65" s="354"/>
      <c r="K65" s="354"/>
    </row>
    <row r="66" spans="2:11" ht="13">
      <c r="B66" s="352" t="s">
        <v>1356</v>
      </c>
      <c r="C66" s="353">
        <f t="shared" si="3"/>
        <v>14366080.07</v>
      </c>
      <c r="D66" s="354"/>
      <c r="E66" s="354"/>
      <c r="F66" s="354">
        <v>14366080.07</v>
      </c>
      <c r="G66" s="354"/>
      <c r="H66" s="354"/>
      <c r="I66" s="354"/>
      <c r="J66" s="354"/>
      <c r="K66" s="355"/>
    </row>
    <row r="67" spans="2:11" ht="13">
      <c r="B67" s="356" t="s">
        <v>1366</v>
      </c>
      <c r="C67" s="353">
        <f t="shared" si="3"/>
        <v>-615934.85129436257</v>
      </c>
      <c r="D67" s="1028"/>
      <c r="E67" s="1028"/>
      <c r="F67" s="1028">
        <v>-615934.85129436257</v>
      </c>
      <c r="G67" s="1028"/>
      <c r="H67" s="1028"/>
      <c r="I67" s="1028"/>
      <c r="J67" s="1028"/>
      <c r="K67" s="1056"/>
    </row>
    <row r="68" spans="2:11" ht="13">
      <c r="B68" s="356"/>
      <c r="C68" s="357"/>
      <c r="D68" s="357"/>
      <c r="E68" s="357"/>
      <c r="F68" s="357"/>
      <c r="G68" s="357"/>
      <c r="H68" s="357"/>
      <c r="I68" s="357"/>
      <c r="J68" s="357"/>
      <c r="K68" s="358"/>
    </row>
    <row r="69" spans="2:11" ht="13">
      <c r="B69" s="216" t="s">
        <v>236</v>
      </c>
      <c r="C69" s="217">
        <f>SUM(C54:C67)</f>
        <v>24958729.416114025</v>
      </c>
      <c r="D69" s="217">
        <f>SUM(D54:D66)</f>
        <v>0</v>
      </c>
      <c r="E69" s="217">
        <f>SUM(E54:E66)</f>
        <v>0</v>
      </c>
      <c r="F69" s="217">
        <f>SUM(F54:F67)</f>
        <v>24958729.416114025</v>
      </c>
      <c r="G69" s="217">
        <f>SUM(G54:G66)</f>
        <v>0</v>
      </c>
      <c r="H69" s="217">
        <f>SUM(H54:H66)</f>
        <v>0</v>
      </c>
      <c r="I69" s="217"/>
      <c r="J69" s="217"/>
      <c r="K69" s="218"/>
    </row>
    <row r="70" spans="2:11" ht="13">
      <c r="B70" s="216"/>
      <c r="C70" s="217"/>
      <c r="D70" s="217"/>
      <c r="E70" s="217"/>
      <c r="F70" s="217"/>
      <c r="G70" s="217"/>
      <c r="H70" s="217"/>
      <c r="I70" s="217"/>
      <c r="J70" s="217"/>
      <c r="K70" s="218"/>
    </row>
    <row r="71" spans="2:11" ht="13">
      <c r="B71" s="216"/>
      <c r="C71" s="217"/>
      <c r="D71" s="217"/>
      <c r="E71" s="217"/>
      <c r="F71" s="217"/>
      <c r="G71" s="217"/>
      <c r="H71" s="217"/>
      <c r="I71" s="217"/>
      <c r="J71" s="217"/>
      <c r="K71" s="218"/>
    </row>
    <row r="72" spans="2:11" ht="13">
      <c r="B72" s="216"/>
      <c r="C72" s="217"/>
      <c r="D72" s="217"/>
      <c r="E72" s="217"/>
      <c r="F72" s="217"/>
      <c r="G72" s="217"/>
      <c r="H72" s="217"/>
      <c r="I72" s="217"/>
      <c r="J72" s="217"/>
      <c r="K72" s="218"/>
    </row>
    <row r="73" spans="2:11" ht="13">
      <c r="B73" s="216"/>
      <c r="C73" s="217"/>
      <c r="D73" s="217"/>
      <c r="E73" s="217"/>
      <c r="F73" s="217"/>
      <c r="G73" s="217"/>
      <c r="H73" s="217"/>
      <c r="I73" s="217"/>
      <c r="J73" s="217"/>
      <c r="K73" s="218"/>
    </row>
    <row r="74" spans="2:11" ht="13">
      <c r="B74" s="216"/>
      <c r="C74" s="217"/>
      <c r="D74" s="217"/>
      <c r="E74" s="217"/>
      <c r="F74" s="217"/>
      <c r="G74" s="217"/>
      <c r="H74" s="217"/>
      <c r="I74" s="217"/>
      <c r="J74" s="217"/>
      <c r="K74" s="218"/>
    </row>
    <row r="75" spans="2:11" ht="13">
      <c r="B75" s="223"/>
      <c r="H75" s="213"/>
      <c r="I75" s="220"/>
      <c r="J75" s="210"/>
    </row>
    <row r="76" spans="2:11" ht="13">
      <c r="B76" s="219" t="s">
        <v>325</v>
      </c>
      <c r="C76" s="209"/>
      <c r="D76" s="209"/>
      <c r="E76" s="213"/>
      <c r="F76" s="213"/>
      <c r="G76" s="221"/>
      <c r="H76" s="221"/>
      <c r="I76" s="221"/>
      <c r="J76" s="211"/>
    </row>
    <row r="77" spans="2:11" ht="13">
      <c r="B77" s="219"/>
      <c r="C77" s="209"/>
      <c r="D77" s="209"/>
      <c r="E77" s="213"/>
      <c r="F77" s="213"/>
      <c r="G77" s="221"/>
      <c r="H77" s="221"/>
      <c r="I77" s="221"/>
      <c r="J77" s="211"/>
    </row>
    <row r="78" spans="2:11" ht="13" customHeight="1">
      <c r="B78" s="1137" t="s">
        <v>326</v>
      </c>
      <c r="C78" s="1137"/>
      <c r="D78" s="1137"/>
      <c r="E78" s="1137"/>
      <c r="F78" s="1137"/>
      <c r="G78" s="1137"/>
      <c r="H78" s="1137"/>
      <c r="I78" s="1137"/>
      <c r="J78" s="211"/>
    </row>
    <row r="79" spans="2:11" ht="12.75" customHeight="1">
      <c r="B79" s="1137" t="s">
        <v>327</v>
      </c>
      <c r="C79" s="1137"/>
      <c r="D79" s="1137"/>
      <c r="E79" s="1137"/>
      <c r="F79" s="1137"/>
      <c r="G79" s="1137"/>
      <c r="H79" s="1137"/>
      <c r="I79" s="1137"/>
    </row>
    <row r="80" spans="2:11" ht="12.75" customHeight="1">
      <c r="B80" s="689" t="s">
        <v>328</v>
      </c>
      <c r="C80" s="213"/>
      <c r="D80" s="213"/>
      <c r="E80" s="213"/>
      <c r="F80" s="213"/>
      <c r="G80" s="221"/>
      <c r="H80" s="221"/>
      <c r="I80" s="221"/>
    </row>
    <row r="81" spans="2:11" ht="13">
      <c r="B81" s="689" t="s">
        <v>329</v>
      </c>
      <c r="C81" s="213"/>
      <c r="D81" s="213"/>
      <c r="E81" s="213"/>
      <c r="F81" s="213"/>
      <c r="G81" s="221"/>
      <c r="H81" s="221"/>
      <c r="I81" s="221"/>
    </row>
    <row r="82" spans="2:11" ht="13">
      <c r="B82" s="689" t="s">
        <v>330</v>
      </c>
      <c r="C82" s="213"/>
      <c r="D82" s="213"/>
      <c r="E82" s="213"/>
      <c r="F82" s="213"/>
      <c r="G82" s="221"/>
      <c r="H82" s="221"/>
      <c r="I82" s="221"/>
    </row>
    <row r="83" spans="2:11" ht="13">
      <c r="B83" s="215" t="s">
        <v>331</v>
      </c>
      <c r="C83" s="215"/>
      <c r="D83" s="215"/>
      <c r="E83" s="215"/>
      <c r="F83" s="215"/>
      <c r="G83" s="215"/>
      <c r="H83" s="215"/>
      <c r="I83" s="215"/>
    </row>
    <row r="84" spans="2:11" ht="27" customHeight="1">
      <c r="B84" s="650"/>
      <c r="C84" s="650"/>
      <c r="D84" s="650"/>
      <c r="E84" s="650"/>
      <c r="F84" s="650"/>
      <c r="G84" s="650"/>
      <c r="H84" s="650"/>
      <c r="I84" s="650"/>
    </row>
    <row r="85" spans="2:11" ht="18" customHeight="1" thickBot="1">
      <c r="B85" s="208" t="s">
        <v>101</v>
      </c>
      <c r="C85" s="208" t="s">
        <v>102</v>
      </c>
      <c r="D85" s="208" t="s">
        <v>103</v>
      </c>
      <c r="E85" s="208" t="s">
        <v>104</v>
      </c>
      <c r="F85" s="208" t="s">
        <v>105</v>
      </c>
      <c r="G85" s="208" t="s">
        <v>106</v>
      </c>
      <c r="H85" s="208" t="s">
        <v>107</v>
      </c>
      <c r="I85" s="225"/>
      <c r="K85" s="3" t="str">
        <f>K1</f>
        <v>Attachment H -11A, Attachment 5a</v>
      </c>
    </row>
    <row r="86" spans="2:11" ht="16" thickBot="1">
      <c r="B86" s="208"/>
      <c r="C86" s="1138"/>
      <c r="D86" s="1139"/>
      <c r="E86" s="1139"/>
      <c r="F86" s="1139"/>
      <c r="G86" s="1139"/>
      <c r="H86" s="1140"/>
      <c r="I86" s="220"/>
      <c r="K86" s="32" t="s">
        <v>520</v>
      </c>
    </row>
    <row r="87" spans="2:11" ht="15.5">
      <c r="B87" s="224"/>
      <c r="C87" s="208"/>
      <c r="D87" s="208"/>
      <c r="E87" s="208"/>
      <c r="F87" s="208"/>
      <c r="G87" s="208"/>
      <c r="H87" s="208"/>
      <c r="I87" s="227"/>
      <c r="J87" s="227"/>
      <c r="K87" s="3" t="str">
        <f>'Attachment H-11A '!K4</f>
        <v>For the 12 months ended 12/31/2025</v>
      </c>
    </row>
    <row r="88" spans="2:11" ht="15.5">
      <c r="B88" s="277"/>
      <c r="C88" s="277"/>
      <c r="D88" s="277"/>
      <c r="E88" s="277"/>
      <c r="F88" s="277"/>
      <c r="G88" s="277"/>
      <c r="H88" s="277"/>
      <c r="I88" s="277"/>
    </row>
    <row r="89" spans="2:11" ht="15.5">
      <c r="B89" s="277"/>
      <c r="C89" s="277"/>
      <c r="D89" s="277"/>
      <c r="E89" s="277"/>
      <c r="F89" s="277"/>
      <c r="G89" s="277"/>
      <c r="H89" s="277"/>
      <c r="I89" s="277"/>
    </row>
    <row r="90" spans="2:11" ht="13">
      <c r="B90" s="224"/>
      <c r="C90" s="208" t="s">
        <v>318</v>
      </c>
      <c r="D90" s="208" t="s">
        <v>310</v>
      </c>
      <c r="E90" s="208" t="s">
        <v>319</v>
      </c>
      <c r="F90" s="208" t="s">
        <v>320</v>
      </c>
      <c r="G90" s="208"/>
      <c r="H90" s="208"/>
      <c r="I90" s="227"/>
      <c r="J90" s="227"/>
    </row>
    <row r="91" spans="2:11" ht="13">
      <c r="B91" s="226" t="s">
        <v>452</v>
      </c>
      <c r="C91" s="208" t="s">
        <v>321</v>
      </c>
      <c r="D91" s="208" t="s">
        <v>313</v>
      </c>
      <c r="E91" s="208" t="s">
        <v>322</v>
      </c>
      <c r="F91" s="208" t="s">
        <v>24</v>
      </c>
      <c r="G91" s="208" t="s">
        <v>311</v>
      </c>
      <c r="H91" s="208" t="s">
        <v>312</v>
      </c>
      <c r="I91" s="227"/>
      <c r="J91" s="227"/>
      <c r="K91" s="211" t="s">
        <v>3</v>
      </c>
    </row>
    <row r="92" spans="2:11" ht="13">
      <c r="B92" s="222"/>
      <c r="C92" s="208" t="s">
        <v>332</v>
      </c>
      <c r="E92" s="208" t="s">
        <v>313</v>
      </c>
      <c r="F92" s="208" t="s">
        <v>313</v>
      </c>
      <c r="G92" s="208" t="s">
        <v>313</v>
      </c>
      <c r="H92" s="208" t="s">
        <v>313</v>
      </c>
      <c r="I92" s="227"/>
      <c r="J92" s="227"/>
    </row>
    <row r="93" spans="2:11" ht="13">
      <c r="B93" s="228"/>
      <c r="C93" s="210"/>
      <c r="D93" s="210"/>
      <c r="E93" s="227"/>
      <c r="F93" s="227"/>
      <c r="G93" s="227"/>
      <c r="H93" s="227"/>
      <c r="I93" s="227"/>
      <c r="J93" s="227"/>
      <c r="K93" s="208" t="s">
        <v>324</v>
      </c>
    </row>
    <row r="94" spans="2:11" ht="13">
      <c r="B94" s="228"/>
      <c r="C94" s="210"/>
      <c r="D94" s="210"/>
      <c r="E94" s="217"/>
      <c r="F94" s="217"/>
      <c r="G94" s="217"/>
      <c r="H94" s="217"/>
      <c r="I94" s="217"/>
      <c r="J94" s="217"/>
    </row>
    <row r="95" spans="2:11" ht="13">
      <c r="B95" s="352" t="s">
        <v>1367</v>
      </c>
      <c r="C95" s="354">
        <f>F95</f>
        <v>7089286.0064248992</v>
      </c>
      <c r="D95" s="354"/>
      <c r="E95" s="354"/>
      <c r="F95" s="354">
        <v>7089286.0064248992</v>
      </c>
      <c r="G95" s="354"/>
      <c r="H95" s="354"/>
      <c r="I95" s="360"/>
      <c r="J95" s="361"/>
      <c r="K95" s="362"/>
    </row>
    <row r="96" spans="2:11" ht="13">
      <c r="B96" s="352" t="s">
        <v>1368</v>
      </c>
      <c r="C96" s="354">
        <f t="shared" ref="C96:C108" si="4">F96</f>
        <v>87895375.312786832</v>
      </c>
      <c r="D96" s="354"/>
      <c r="E96" s="354"/>
      <c r="F96" s="354">
        <v>87895375.312786832</v>
      </c>
      <c r="G96" s="363"/>
      <c r="H96" s="354"/>
      <c r="I96" s="360"/>
      <c r="J96" s="361"/>
      <c r="K96" s="364"/>
    </row>
    <row r="97" spans="2:11" ht="13">
      <c r="B97" s="352" t="s">
        <v>1369</v>
      </c>
      <c r="C97" s="354">
        <f t="shared" si="4"/>
        <v>1992096.8338819924</v>
      </c>
      <c r="D97" s="354"/>
      <c r="E97" s="354"/>
      <c r="F97" s="354">
        <v>1992096.8338819924</v>
      </c>
      <c r="G97" s="354"/>
      <c r="H97" s="354"/>
      <c r="I97" s="360"/>
      <c r="J97" s="361"/>
      <c r="K97" s="364"/>
    </row>
    <row r="98" spans="2:11" ht="13">
      <c r="B98" s="352" t="s">
        <v>1370</v>
      </c>
      <c r="C98" s="354">
        <f t="shared" si="4"/>
        <v>6534079</v>
      </c>
      <c r="D98" s="354"/>
      <c r="E98" s="354"/>
      <c r="F98" s="354">
        <v>6534079</v>
      </c>
      <c r="G98" s="354"/>
      <c r="H98" s="354"/>
      <c r="I98" s="360"/>
      <c r="J98" s="361"/>
      <c r="K98" s="362"/>
    </row>
    <row r="99" spans="2:11" ht="13">
      <c r="B99" s="352" t="s">
        <v>1371</v>
      </c>
      <c r="C99" s="354">
        <f t="shared" si="4"/>
        <v>1582896.3664483207</v>
      </c>
      <c r="D99" s="354"/>
      <c r="E99" s="354"/>
      <c r="F99" s="354">
        <v>1582896.3664483207</v>
      </c>
      <c r="G99" s="354"/>
      <c r="H99" s="354"/>
      <c r="I99" s="360"/>
      <c r="J99" s="361"/>
      <c r="K99" s="362"/>
    </row>
    <row r="100" spans="2:11" ht="13">
      <c r="B100" s="352" t="s">
        <v>1372</v>
      </c>
      <c r="C100" s="354">
        <f t="shared" si="4"/>
        <v>61407.27</v>
      </c>
      <c r="D100" s="354"/>
      <c r="E100" s="354"/>
      <c r="F100" s="354">
        <v>61407.27</v>
      </c>
      <c r="G100" s="354"/>
      <c r="H100" s="354"/>
      <c r="I100" s="360"/>
      <c r="J100" s="361"/>
      <c r="K100" s="362"/>
    </row>
    <row r="101" spans="2:11" ht="13">
      <c r="B101" s="352" t="s">
        <v>1373</v>
      </c>
      <c r="C101" s="354">
        <f t="shared" si="4"/>
        <v>12626.102137250466</v>
      </c>
      <c r="D101" s="354"/>
      <c r="E101" s="354"/>
      <c r="F101" s="354">
        <v>12626.102137250466</v>
      </c>
      <c r="G101" s="354"/>
      <c r="H101" s="354"/>
      <c r="I101" s="360"/>
      <c r="J101" s="361"/>
      <c r="K101" s="362"/>
    </row>
    <row r="102" spans="2:11" ht="13">
      <c r="B102" s="352" t="s">
        <v>1374</v>
      </c>
      <c r="C102" s="354">
        <f t="shared" si="4"/>
        <v>11612.17</v>
      </c>
      <c r="D102" s="354"/>
      <c r="E102" s="354"/>
      <c r="F102" s="354">
        <v>11612.17</v>
      </c>
      <c r="G102" s="354"/>
      <c r="H102" s="354"/>
      <c r="I102" s="360"/>
      <c r="J102" s="361"/>
      <c r="K102" s="362"/>
    </row>
    <row r="103" spans="2:11" ht="13">
      <c r="B103" s="352" t="s">
        <v>1375</v>
      </c>
      <c r="C103" s="354">
        <f t="shared" si="4"/>
        <v>59296.160000000011</v>
      </c>
      <c r="D103" s="354"/>
      <c r="E103" s="354"/>
      <c r="F103" s="354">
        <v>59296.160000000011</v>
      </c>
      <c r="G103" s="354"/>
      <c r="H103" s="354"/>
      <c r="I103" s="360"/>
      <c r="J103" s="361"/>
      <c r="K103" s="362"/>
    </row>
    <row r="104" spans="2:11" ht="13">
      <c r="B104" s="352" t="s">
        <v>1376</v>
      </c>
      <c r="C104" s="354">
        <f t="shared" si="4"/>
        <v>-392573.68051344447</v>
      </c>
      <c r="D104" s="354"/>
      <c r="E104" s="354"/>
      <c r="F104" s="354">
        <v>-392573.68051344447</v>
      </c>
      <c r="G104" s="354"/>
      <c r="H104" s="354"/>
      <c r="I104" s="360"/>
      <c r="J104" s="361"/>
      <c r="K104" s="362"/>
    </row>
    <row r="105" spans="2:11" ht="13">
      <c r="B105" s="352" t="s">
        <v>1377</v>
      </c>
      <c r="C105" s="354">
        <f t="shared" si="4"/>
        <v>540303.26720812323</v>
      </c>
      <c r="D105" s="354"/>
      <c r="E105" s="354"/>
      <c r="F105" s="354">
        <v>540303.26720812323</v>
      </c>
      <c r="G105" s="354"/>
      <c r="H105" s="354"/>
      <c r="I105" s="360"/>
      <c r="J105" s="361"/>
      <c r="K105" s="362"/>
    </row>
    <row r="106" spans="2:11" ht="13">
      <c r="B106" s="352" t="s">
        <v>1378</v>
      </c>
      <c r="C106" s="354">
        <f t="shared" si="4"/>
        <v>14458.09</v>
      </c>
      <c r="D106" s="354"/>
      <c r="E106" s="354"/>
      <c r="F106" s="354">
        <v>14458.09</v>
      </c>
      <c r="G106" s="354"/>
      <c r="H106" s="354"/>
      <c r="I106" s="360"/>
      <c r="J106" s="361"/>
      <c r="K106" s="362"/>
    </row>
    <row r="107" spans="2:11" ht="13">
      <c r="B107" s="352" t="s">
        <v>1379</v>
      </c>
      <c r="C107" s="354">
        <f t="shared" si="4"/>
        <v>24631299.834187724</v>
      </c>
      <c r="D107" s="354"/>
      <c r="E107" s="354"/>
      <c r="F107" s="354">
        <v>24631299.834187724</v>
      </c>
      <c r="G107" s="354"/>
      <c r="H107" s="354"/>
      <c r="I107" s="360"/>
      <c r="J107" s="361"/>
      <c r="K107" s="364"/>
    </row>
    <row r="108" spans="2:11" ht="13">
      <c r="B108" s="352" t="s">
        <v>1380</v>
      </c>
      <c r="C108" s="354">
        <f t="shared" si="4"/>
        <v>-11574932.814755797</v>
      </c>
      <c r="D108" s="354"/>
      <c r="E108" s="354"/>
      <c r="F108" s="354">
        <v>-11574932.814755797</v>
      </c>
      <c r="G108" s="354"/>
      <c r="H108" s="354"/>
      <c r="I108" s="360"/>
      <c r="J108" s="361"/>
      <c r="K108" s="364"/>
    </row>
    <row r="109" spans="2:11" ht="13">
      <c r="B109" s="366"/>
      <c r="C109" s="357"/>
      <c r="D109" s="357"/>
      <c r="E109" s="357"/>
      <c r="F109" s="357"/>
      <c r="G109" s="357"/>
      <c r="H109" s="357"/>
      <c r="I109" s="367"/>
      <c r="J109" s="368"/>
      <c r="K109" s="362"/>
    </row>
    <row r="110" spans="2:11" ht="13">
      <c r="B110" s="216" t="s">
        <v>236</v>
      </c>
      <c r="C110" s="217">
        <f t="shared" ref="C110:H110" si="5">SUM(C95:C109)</f>
        <v>118457229.91780591</v>
      </c>
      <c r="D110" s="217">
        <f t="shared" si="5"/>
        <v>0</v>
      </c>
      <c r="E110" s="217">
        <f t="shared" si="5"/>
        <v>0</v>
      </c>
      <c r="F110" s="217">
        <f t="shared" si="5"/>
        <v>118457229.91780591</v>
      </c>
      <c r="G110" s="217">
        <f t="shared" si="5"/>
        <v>0</v>
      </c>
      <c r="H110" s="217">
        <f t="shared" si="5"/>
        <v>0</v>
      </c>
      <c r="I110" s="217"/>
      <c r="J110" s="217"/>
    </row>
    <row r="111" spans="2:11" ht="13">
      <c r="B111" s="216"/>
      <c r="C111" s="217"/>
      <c r="D111" s="217"/>
      <c r="E111" s="217"/>
      <c r="F111" s="217"/>
      <c r="G111" s="217"/>
      <c r="H111" s="217"/>
      <c r="I111" s="217"/>
      <c r="J111" s="217"/>
    </row>
    <row r="112" spans="2:11" ht="13">
      <c r="B112" s="216"/>
      <c r="C112" s="217"/>
      <c r="D112" s="217"/>
      <c r="E112" s="217"/>
      <c r="F112" s="217"/>
      <c r="G112" s="217"/>
      <c r="H112" s="217"/>
      <c r="I112" s="217"/>
      <c r="J112" s="217"/>
    </row>
    <row r="113" spans="2:22">
      <c r="E113" s="229"/>
      <c r="H113" s="211" t="s">
        <v>3</v>
      </c>
      <c r="I113" s="220"/>
      <c r="J113" s="211"/>
      <c r="K113" s="211"/>
    </row>
    <row r="114" spans="2:22" ht="13">
      <c r="B114" s="219" t="s">
        <v>333</v>
      </c>
      <c r="C114" s="209"/>
      <c r="E114" s="213"/>
      <c r="F114" s="213"/>
      <c r="G114" s="221"/>
      <c r="H114" s="221"/>
      <c r="I114" s="221"/>
    </row>
    <row r="115" spans="2:22" ht="13">
      <c r="B115" s="219"/>
      <c r="C115" s="209"/>
      <c r="E115" s="213"/>
      <c r="F115" s="213"/>
      <c r="G115" s="221"/>
      <c r="H115" s="221"/>
      <c r="I115" s="221"/>
    </row>
    <row r="116" spans="2:22" ht="12.75" customHeight="1">
      <c r="B116" s="1137" t="s">
        <v>326</v>
      </c>
      <c r="C116" s="1137"/>
      <c r="D116" s="1137"/>
      <c r="E116" s="1137"/>
      <c r="F116" s="1137"/>
      <c r="G116" s="1137"/>
      <c r="H116" s="1137"/>
      <c r="I116" s="1137"/>
    </row>
    <row r="117" spans="2:22" ht="12" customHeight="1">
      <c r="B117" s="1137" t="s">
        <v>327</v>
      </c>
      <c r="C117" s="1137"/>
      <c r="D117" s="1137"/>
      <c r="E117" s="1137"/>
      <c r="F117" s="1137"/>
      <c r="G117" s="1137"/>
      <c r="H117" s="1137"/>
      <c r="I117" s="1137"/>
    </row>
    <row r="118" spans="2:22" ht="13">
      <c r="B118" s="689" t="s">
        <v>328</v>
      </c>
      <c r="C118" s="213"/>
      <c r="D118" s="213"/>
      <c r="E118" s="213"/>
      <c r="F118" s="213"/>
      <c r="G118" s="221"/>
      <c r="H118" s="221"/>
      <c r="I118" s="221"/>
    </row>
    <row r="119" spans="2:22" ht="13">
      <c r="B119" s="689" t="s">
        <v>329</v>
      </c>
      <c r="C119" s="213"/>
      <c r="D119" s="213"/>
      <c r="E119" s="213"/>
      <c r="F119" s="213"/>
      <c r="G119" s="221"/>
      <c r="H119" s="221"/>
      <c r="I119" s="221"/>
    </row>
    <row r="120" spans="2:22" ht="13">
      <c r="B120" s="689" t="s">
        <v>330</v>
      </c>
      <c r="C120" s="213"/>
      <c r="D120" s="213"/>
      <c r="E120" s="213"/>
      <c r="F120" s="213"/>
      <c r="G120" s="221"/>
      <c r="H120" s="221"/>
      <c r="I120" s="221"/>
      <c r="V120" s="230"/>
    </row>
    <row r="121" spans="2:22" ht="13">
      <c r="B121" s="215" t="s">
        <v>331</v>
      </c>
      <c r="C121" s="215"/>
      <c r="D121" s="215"/>
      <c r="E121" s="215"/>
      <c r="F121" s="215"/>
      <c r="G121" s="215"/>
      <c r="H121" s="215"/>
      <c r="I121" s="215"/>
    </row>
    <row r="122" spans="2:22" ht="13">
      <c r="B122" s="231"/>
      <c r="C122" s="209"/>
      <c r="D122" s="209"/>
      <c r="E122" s="213"/>
      <c r="F122" s="213"/>
      <c r="G122" s="221"/>
      <c r="H122" s="221"/>
      <c r="I122" s="221"/>
    </row>
    <row r="123" spans="2:22" ht="13">
      <c r="B123" s="231"/>
      <c r="C123" s="209"/>
      <c r="D123" s="209"/>
      <c r="E123" s="213"/>
      <c r="F123" s="213"/>
      <c r="G123" s="221"/>
      <c r="H123" s="221"/>
      <c r="I123" s="221"/>
    </row>
    <row r="124" spans="2:22" ht="15.5">
      <c r="B124" s="232"/>
      <c r="C124" s="209"/>
      <c r="D124" s="209"/>
      <c r="E124" s="213"/>
      <c r="F124" s="213"/>
      <c r="G124" s="221"/>
      <c r="H124" s="221"/>
      <c r="I124" s="221"/>
      <c r="K124" s="3" t="str">
        <f>K1</f>
        <v>Attachment H -11A, Attachment 5a</v>
      </c>
    </row>
    <row r="125" spans="2:22" ht="16" thickBot="1">
      <c r="B125" s="208" t="s">
        <v>101</v>
      </c>
      <c r="C125" s="208" t="s">
        <v>102</v>
      </c>
      <c r="D125" s="208" t="s">
        <v>103</v>
      </c>
      <c r="E125" s="208" t="s">
        <v>104</v>
      </c>
      <c r="F125" s="208" t="s">
        <v>105</v>
      </c>
      <c r="G125" s="208" t="s">
        <v>106</v>
      </c>
      <c r="H125" s="208" t="s">
        <v>107</v>
      </c>
      <c r="I125" s="208"/>
      <c r="J125" s="208"/>
      <c r="K125" s="32" t="s">
        <v>519</v>
      </c>
    </row>
    <row r="126" spans="2:22" ht="16" thickBot="1">
      <c r="B126" s="223"/>
      <c r="C126" s="1138"/>
      <c r="D126" s="1139"/>
      <c r="E126" s="1139"/>
      <c r="F126" s="1139"/>
      <c r="G126" s="1139"/>
      <c r="H126" s="1140"/>
      <c r="I126" s="208"/>
      <c r="J126" s="208"/>
      <c r="K126" s="3" t="str">
        <f>'Attachment H-11A '!K4</f>
        <v>For the 12 months ended 12/31/2025</v>
      </c>
    </row>
    <row r="127" spans="2:22" ht="13">
      <c r="B127" s="210"/>
      <c r="I127" s="227"/>
      <c r="J127" s="227"/>
    </row>
    <row r="128" spans="2:22" ht="13">
      <c r="B128" s="231"/>
      <c r="C128" s="209"/>
      <c r="D128" s="209"/>
      <c r="E128" s="213"/>
      <c r="F128" s="213"/>
      <c r="G128" s="221"/>
      <c r="H128" s="221"/>
      <c r="I128" s="221"/>
    </row>
    <row r="129" spans="2:11" ht="13">
      <c r="B129" s="231"/>
      <c r="C129" s="209"/>
      <c r="D129" s="209"/>
      <c r="E129" s="213"/>
      <c r="F129" s="213"/>
      <c r="G129" s="221"/>
      <c r="H129" s="221"/>
      <c r="I129" s="221"/>
    </row>
    <row r="130" spans="2:11" ht="13">
      <c r="B130" s="226" t="s">
        <v>334</v>
      </c>
      <c r="C130" s="208" t="s">
        <v>318</v>
      </c>
      <c r="D130" s="208" t="s">
        <v>310</v>
      </c>
      <c r="E130" s="208" t="s">
        <v>319</v>
      </c>
      <c r="F130" s="208" t="s">
        <v>320</v>
      </c>
      <c r="G130" s="208"/>
      <c r="H130" s="208"/>
      <c r="I130" s="227"/>
      <c r="J130" s="227"/>
    </row>
    <row r="131" spans="2:11" ht="13">
      <c r="B131" s="210"/>
      <c r="C131" s="208" t="s">
        <v>321</v>
      </c>
      <c r="D131" s="208" t="s">
        <v>313</v>
      </c>
      <c r="E131" s="208" t="s">
        <v>322</v>
      </c>
      <c r="F131" s="208" t="s">
        <v>24</v>
      </c>
      <c r="G131" s="208" t="s">
        <v>311</v>
      </c>
      <c r="H131" s="208" t="s">
        <v>312</v>
      </c>
      <c r="I131" s="227"/>
      <c r="J131" s="227"/>
      <c r="K131" s="208" t="s">
        <v>324</v>
      </c>
    </row>
    <row r="132" spans="2:11" ht="13">
      <c r="B132" s="215" t="s">
        <v>3</v>
      </c>
      <c r="C132" s="208" t="s">
        <v>335</v>
      </c>
      <c r="E132" s="208" t="s">
        <v>313</v>
      </c>
      <c r="F132" s="208" t="s">
        <v>313</v>
      </c>
      <c r="G132" s="208" t="s">
        <v>313</v>
      </c>
      <c r="H132" s="208" t="s">
        <v>313</v>
      </c>
      <c r="I132" s="227"/>
      <c r="J132" s="227"/>
    </row>
    <row r="133" spans="2:11" ht="13">
      <c r="B133" s="228"/>
      <c r="C133" s="217"/>
      <c r="D133" s="217"/>
      <c r="E133" s="217"/>
      <c r="F133" s="217"/>
      <c r="G133" s="217"/>
      <c r="H133" s="217"/>
      <c r="I133" s="369"/>
      <c r="J133" s="370"/>
    </row>
    <row r="134" spans="2:11" ht="13">
      <c r="B134" s="352" t="s">
        <v>1349</v>
      </c>
      <c r="C134" s="365">
        <f>F134</f>
        <v>230886.2569705174</v>
      </c>
      <c r="D134" s="354"/>
      <c r="E134" s="354"/>
      <c r="F134" s="354">
        <v>230886.2569705174</v>
      </c>
      <c r="G134" s="354"/>
      <c r="H134" s="354"/>
      <c r="I134" s="354"/>
      <c r="J134" s="354"/>
      <c r="K134" s="354"/>
    </row>
    <row r="135" spans="2:11" ht="13">
      <c r="B135" s="352" t="s">
        <v>1381</v>
      </c>
      <c r="C135" s="365">
        <f t="shared" ref="C135:C138" si="6">F135</f>
        <v>1227434.722124852</v>
      </c>
      <c r="D135" s="354"/>
      <c r="E135" s="354"/>
      <c r="F135" s="354">
        <v>1227434.722124852</v>
      </c>
      <c r="G135" s="354"/>
      <c r="H135" s="354"/>
      <c r="I135" s="354"/>
      <c r="J135" s="354"/>
      <c r="K135" s="354"/>
    </row>
    <row r="136" spans="2:11" ht="13">
      <c r="B136" s="352" t="s">
        <v>1364</v>
      </c>
      <c r="C136" s="365">
        <f t="shared" si="6"/>
        <v>53258.932276753229</v>
      </c>
      <c r="D136" s="354"/>
      <c r="E136" s="354"/>
      <c r="F136" s="354">
        <v>53258.932276753229</v>
      </c>
      <c r="G136" s="354"/>
      <c r="H136" s="354"/>
      <c r="I136" s="354"/>
      <c r="J136" s="354"/>
      <c r="K136" s="354"/>
    </row>
    <row r="137" spans="2:11" ht="13">
      <c r="B137" s="352" t="s">
        <v>1335</v>
      </c>
      <c r="C137" s="365">
        <f t="shared" si="6"/>
        <v>-192576.90743415488</v>
      </c>
      <c r="D137" s="354"/>
      <c r="E137" s="354"/>
      <c r="F137" s="354">
        <v>-192576.90743415488</v>
      </c>
      <c r="G137" s="354"/>
      <c r="H137" s="354"/>
      <c r="I137" s="354"/>
      <c r="J137" s="354"/>
      <c r="K137" s="354"/>
    </row>
    <row r="138" spans="2:11" ht="13">
      <c r="B138" s="352" t="s">
        <v>1382</v>
      </c>
      <c r="C138" s="365">
        <f t="shared" si="6"/>
        <v>-3810570.3518165848</v>
      </c>
      <c r="D138" s="354"/>
      <c r="E138" s="354"/>
      <c r="F138" s="354">
        <v>-3810570.3518165848</v>
      </c>
      <c r="G138" s="354"/>
      <c r="H138" s="354"/>
      <c r="I138" s="354"/>
      <c r="J138" s="354"/>
      <c r="K138" s="354"/>
    </row>
    <row r="139" spans="2:11" ht="13">
      <c r="B139" s="352"/>
      <c r="C139" s="371"/>
      <c r="D139" s="357"/>
      <c r="E139" s="357"/>
      <c r="F139" s="357"/>
      <c r="G139" s="357"/>
      <c r="H139" s="357"/>
      <c r="I139" s="357"/>
      <c r="J139" s="357"/>
      <c r="K139" s="358"/>
    </row>
    <row r="140" spans="2:11" ht="13">
      <c r="B140" s="216" t="s">
        <v>236</v>
      </c>
      <c r="C140" s="217">
        <f t="shared" ref="C140:H140" si="7">SUM(C134:C139)</f>
        <v>-2491567.3478786172</v>
      </c>
      <c r="D140" s="217">
        <f t="shared" si="7"/>
        <v>0</v>
      </c>
      <c r="E140" s="217">
        <f t="shared" si="7"/>
        <v>0</v>
      </c>
      <c r="F140" s="217">
        <f t="shared" si="7"/>
        <v>-2491567.3478786172</v>
      </c>
      <c r="G140" s="217">
        <f t="shared" si="7"/>
        <v>0</v>
      </c>
      <c r="H140" s="217">
        <f t="shared" si="7"/>
        <v>0</v>
      </c>
      <c r="I140" s="217"/>
      <c r="J140" s="217"/>
    </row>
    <row r="141" spans="2:11" ht="15.5">
      <c r="B141" s="129"/>
      <c r="C141" s="209"/>
      <c r="D141" s="209"/>
      <c r="E141" s="213"/>
      <c r="F141" s="213"/>
      <c r="G141" s="221"/>
      <c r="H141" s="221"/>
      <c r="I141" s="221"/>
    </row>
    <row r="142" spans="2:11" ht="13">
      <c r="B142" s="210"/>
      <c r="C142" s="210"/>
      <c r="D142" s="210"/>
      <c r="E142" s="210"/>
      <c r="F142" s="210"/>
      <c r="G142" s="210"/>
      <c r="H142" s="226"/>
      <c r="I142" s="226"/>
    </row>
    <row r="143" spans="2:11" ht="13">
      <c r="B143" s="219"/>
      <c r="E143" s="213"/>
      <c r="F143" s="213"/>
      <c r="G143" s="213"/>
      <c r="H143" s="213"/>
      <c r="I143" s="217"/>
      <c r="J143" s="213"/>
    </row>
    <row r="144" spans="2:11" ht="13">
      <c r="B144" s="219" t="s">
        <v>336</v>
      </c>
      <c r="C144" s="209"/>
      <c r="D144" s="209"/>
      <c r="E144" s="213"/>
      <c r="F144" s="213"/>
      <c r="G144" s="221"/>
      <c r="H144" s="221"/>
      <c r="I144" s="221"/>
    </row>
    <row r="145" spans="2:11" ht="13">
      <c r="B145" s="231"/>
      <c r="C145" s="209"/>
      <c r="D145" s="209"/>
      <c r="E145" s="209"/>
      <c r="F145" s="209"/>
      <c r="G145" s="209"/>
      <c r="H145" s="209"/>
      <c r="I145" s="209"/>
    </row>
    <row r="146" spans="2:11" ht="13" customHeight="1">
      <c r="B146" s="1137" t="s">
        <v>326</v>
      </c>
      <c r="C146" s="1137"/>
      <c r="D146" s="1137"/>
      <c r="E146" s="1137"/>
      <c r="F146" s="1137"/>
      <c r="G146" s="1137"/>
      <c r="H146" s="1137"/>
      <c r="I146" s="1137"/>
    </row>
    <row r="147" spans="2:11" ht="13" customHeight="1">
      <c r="B147" s="1137" t="s">
        <v>327</v>
      </c>
      <c r="C147" s="1137"/>
      <c r="D147" s="1137"/>
      <c r="E147" s="1137"/>
      <c r="F147" s="1137"/>
      <c r="G147" s="1137"/>
      <c r="H147" s="1137"/>
      <c r="I147" s="1137"/>
    </row>
    <row r="148" spans="2:11" ht="13">
      <c r="B148" s="689" t="s">
        <v>328</v>
      </c>
      <c r="C148" s="213"/>
      <c r="D148" s="213"/>
      <c r="E148" s="213"/>
      <c r="F148" s="213"/>
      <c r="G148" s="221"/>
      <c r="H148" s="221"/>
      <c r="I148" s="221"/>
    </row>
    <row r="149" spans="2:11" ht="13">
      <c r="B149" s="689" t="s">
        <v>329</v>
      </c>
      <c r="C149" s="213"/>
      <c r="D149" s="213"/>
      <c r="E149" s="213"/>
      <c r="F149" s="213"/>
      <c r="G149" s="221"/>
      <c r="H149" s="221"/>
      <c r="I149" s="221"/>
    </row>
    <row r="150" spans="2:11" ht="13">
      <c r="B150" s="689" t="s">
        <v>330</v>
      </c>
      <c r="C150" s="213"/>
      <c r="D150" s="213"/>
      <c r="E150" s="213"/>
      <c r="F150" s="213"/>
      <c r="G150" s="221"/>
      <c r="H150" s="221"/>
      <c r="I150" s="221"/>
    </row>
    <row r="151" spans="2:11" ht="13">
      <c r="B151" s="215" t="s">
        <v>331</v>
      </c>
      <c r="C151" s="215"/>
      <c r="D151" s="215"/>
      <c r="E151" s="215"/>
      <c r="F151" s="215"/>
      <c r="G151" s="215"/>
      <c r="H151" s="215"/>
      <c r="I151" s="215"/>
    </row>
    <row r="152" spans="2:11" ht="13">
      <c r="B152" s="213"/>
      <c r="C152" s="213"/>
      <c r="D152" s="213"/>
      <c r="E152" s="213"/>
      <c r="F152" s="213"/>
      <c r="G152" s="213"/>
      <c r="H152" s="233"/>
      <c r="I152" s="233"/>
    </row>
    <row r="153" spans="2:11">
      <c r="C153" s="209"/>
      <c r="D153" s="209"/>
      <c r="E153" s="213"/>
      <c r="F153" s="213"/>
      <c r="G153" s="221"/>
      <c r="H153" s="221"/>
      <c r="I153" s="221"/>
    </row>
    <row r="154" spans="2:11" ht="13">
      <c r="B154" s="232"/>
      <c r="C154" s="209"/>
      <c r="D154" s="209"/>
      <c r="E154" s="213"/>
      <c r="F154" s="213"/>
      <c r="G154" s="221"/>
      <c r="H154" s="221"/>
      <c r="I154" s="221"/>
    </row>
    <row r="155" spans="2:11" ht="16" thickBot="1">
      <c r="B155" s="208" t="s">
        <v>101</v>
      </c>
      <c r="C155" s="208" t="s">
        <v>102</v>
      </c>
      <c r="D155" s="208" t="s">
        <v>103</v>
      </c>
      <c r="E155" s="208" t="s">
        <v>104</v>
      </c>
      <c r="F155" s="208" t="s">
        <v>105</v>
      </c>
      <c r="G155" s="208" t="s">
        <v>106</v>
      </c>
      <c r="H155" s="208" t="s">
        <v>107</v>
      </c>
      <c r="I155" s="208"/>
      <c r="J155" s="208"/>
      <c r="K155" s="3" t="str">
        <f>K1</f>
        <v>Attachment H -11A, Attachment 5a</v>
      </c>
    </row>
    <row r="156" spans="2:11" ht="16" thickBot="1">
      <c r="B156" s="223"/>
      <c r="C156" s="1138"/>
      <c r="D156" s="1139"/>
      <c r="E156" s="1139"/>
      <c r="F156" s="1139"/>
      <c r="G156" s="1139"/>
      <c r="H156" s="1140"/>
      <c r="I156" s="208"/>
      <c r="J156" s="208"/>
      <c r="K156" s="32" t="s">
        <v>518</v>
      </c>
    </row>
    <row r="157" spans="2:11" ht="15.5">
      <c r="B157" s="210"/>
      <c r="I157" s="227"/>
      <c r="J157" s="227"/>
      <c r="K157" s="3" t="str">
        <f>'Attachment H-11A '!K4</f>
        <v>For the 12 months ended 12/31/2025</v>
      </c>
    </row>
    <row r="158" spans="2:11" ht="13">
      <c r="B158" s="210"/>
      <c r="C158" s="210"/>
      <c r="D158" s="210"/>
      <c r="E158" s="210"/>
      <c r="F158" s="210"/>
      <c r="G158" s="210"/>
      <c r="H158" s="226"/>
      <c r="I158" s="226"/>
    </row>
    <row r="159" spans="2:11" ht="13">
      <c r="B159" s="210"/>
      <c r="C159" s="210"/>
      <c r="D159" s="210"/>
      <c r="E159" s="210"/>
      <c r="F159" s="210"/>
      <c r="G159" s="210"/>
      <c r="H159" s="226"/>
      <c r="I159" s="226"/>
    </row>
    <row r="160" spans="2:11" ht="13">
      <c r="B160" s="226" t="s">
        <v>337</v>
      </c>
      <c r="C160" s="208" t="s">
        <v>318</v>
      </c>
      <c r="D160" s="208" t="s">
        <v>310</v>
      </c>
      <c r="E160" s="208" t="s">
        <v>319</v>
      </c>
      <c r="F160" s="208" t="s">
        <v>320</v>
      </c>
      <c r="G160" s="208"/>
      <c r="H160" s="208"/>
      <c r="I160" s="227"/>
      <c r="J160" s="227"/>
    </row>
    <row r="161" spans="2:11" ht="13">
      <c r="B161" s="210"/>
      <c r="C161" s="208" t="s">
        <v>321</v>
      </c>
      <c r="D161" s="208" t="s">
        <v>313</v>
      </c>
      <c r="E161" s="208" t="s">
        <v>322</v>
      </c>
      <c r="F161" s="208" t="s">
        <v>24</v>
      </c>
      <c r="G161" s="208" t="s">
        <v>311</v>
      </c>
      <c r="H161" s="208" t="s">
        <v>312</v>
      </c>
      <c r="I161" s="227"/>
      <c r="J161" s="227"/>
      <c r="K161" s="208" t="s">
        <v>324</v>
      </c>
    </row>
    <row r="162" spans="2:11" ht="13">
      <c r="B162" s="215" t="s">
        <v>3</v>
      </c>
      <c r="C162" s="208" t="s">
        <v>338</v>
      </c>
      <c r="E162" s="208" t="s">
        <v>313</v>
      </c>
      <c r="F162" s="208" t="s">
        <v>313</v>
      </c>
      <c r="G162" s="208" t="s">
        <v>313</v>
      </c>
      <c r="H162" s="208" t="s">
        <v>313</v>
      </c>
      <c r="I162" s="227"/>
      <c r="J162" s="227"/>
    </row>
    <row r="163" spans="2:11" ht="13">
      <c r="B163" s="228"/>
      <c r="C163" s="217"/>
      <c r="D163" s="217"/>
      <c r="E163" s="217"/>
      <c r="F163" s="217"/>
      <c r="G163" s="217"/>
      <c r="H163" s="217"/>
      <c r="I163" s="369"/>
      <c r="J163" s="370"/>
    </row>
    <row r="164" spans="2:11" ht="13">
      <c r="B164" s="352"/>
      <c r="C164" s="365"/>
      <c r="D164" s="354"/>
      <c r="E164" s="354"/>
      <c r="F164" s="354"/>
      <c r="G164" s="354"/>
      <c r="H164" s="354"/>
      <c r="I164" s="354"/>
      <c r="J164" s="354"/>
      <c r="K164" s="354"/>
    </row>
    <row r="165" spans="2:11" ht="13">
      <c r="B165" s="352"/>
      <c r="C165" s="365"/>
      <c r="D165" s="354"/>
      <c r="E165" s="354"/>
      <c r="F165" s="354"/>
      <c r="G165" s="354"/>
      <c r="H165" s="354"/>
      <c r="I165" s="354"/>
      <c r="J165" s="354"/>
      <c r="K165" s="354"/>
    </row>
    <row r="166" spans="2:11" ht="13">
      <c r="B166" s="352"/>
      <c r="C166" s="365"/>
      <c r="D166" s="354"/>
      <c r="E166" s="354"/>
      <c r="F166" s="354"/>
      <c r="G166" s="354"/>
      <c r="H166" s="354"/>
      <c r="I166" s="354"/>
      <c r="J166" s="354"/>
      <c r="K166" s="354"/>
    </row>
    <row r="167" spans="2:11" ht="13">
      <c r="B167" s="352"/>
      <c r="C167" s="365"/>
      <c r="D167" s="354"/>
      <c r="E167" s="354"/>
      <c r="F167" s="354"/>
      <c r="G167" s="354"/>
      <c r="H167" s="354"/>
      <c r="I167" s="354"/>
      <c r="J167" s="354"/>
      <c r="K167" s="354"/>
    </row>
    <row r="168" spans="2:11" ht="13">
      <c r="B168" s="352"/>
      <c r="C168" s="365"/>
      <c r="D168" s="354"/>
      <c r="E168" s="354"/>
      <c r="F168" s="354"/>
      <c r="G168" s="354"/>
      <c r="H168" s="354"/>
      <c r="I168" s="354"/>
      <c r="J168" s="354"/>
      <c r="K168" s="355"/>
    </row>
    <row r="169" spans="2:11" ht="13">
      <c r="B169" s="352"/>
      <c r="C169" s="365"/>
      <c r="D169" s="354"/>
      <c r="E169" s="354"/>
      <c r="F169" s="354"/>
      <c r="G169" s="354"/>
      <c r="H169" s="354"/>
      <c r="I169" s="354"/>
      <c r="J169" s="354"/>
      <c r="K169" s="355"/>
    </row>
    <row r="170" spans="2:11" ht="13">
      <c r="B170" s="352"/>
      <c r="C170" s="365"/>
      <c r="D170" s="354"/>
      <c r="E170" s="354"/>
      <c r="F170" s="354"/>
      <c r="G170" s="354"/>
      <c r="H170" s="354"/>
      <c r="I170" s="354"/>
      <c r="J170" s="354"/>
      <c r="K170" s="354"/>
    </row>
    <row r="171" spans="2:11" ht="13">
      <c r="B171" s="352"/>
      <c r="C171" s="365"/>
      <c r="D171" s="354"/>
      <c r="E171" s="354"/>
      <c r="F171" s="354"/>
      <c r="G171" s="354"/>
      <c r="H171" s="354"/>
      <c r="I171" s="354"/>
      <c r="J171" s="354"/>
      <c r="K171" s="354"/>
    </row>
    <row r="172" spans="2:11" ht="13">
      <c r="B172" s="352"/>
      <c r="C172" s="371"/>
      <c r="D172" s="357"/>
      <c r="E172" s="357"/>
      <c r="F172" s="357"/>
      <c r="G172" s="357"/>
      <c r="H172" s="357"/>
      <c r="I172" s="357"/>
      <c r="J172" s="357"/>
      <c r="K172" s="358"/>
    </row>
    <row r="173" spans="2:11" ht="13">
      <c r="B173" s="216" t="s">
        <v>236</v>
      </c>
      <c r="C173" s="217">
        <f t="shared" ref="C173:D173" si="8">SUM(C163:C172)</f>
        <v>0</v>
      </c>
      <c r="D173" s="217">
        <f t="shared" si="8"/>
        <v>0</v>
      </c>
      <c r="E173" s="217">
        <f>SUM(E163:E172)</f>
        <v>0</v>
      </c>
      <c r="F173" s="217">
        <f t="shared" ref="F173" si="9">SUM(F163:F172)</f>
        <v>0</v>
      </c>
      <c r="G173" s="217">
        <f t="shared" ref="G173" si="10">SUM(G163:G172)</f>
        <v>0</v>
      </c>
      <c r="H173" s="217">
        <f>SUM(H163:H172)</f>
        <v>0</v>
      </c>
      <c r="I173" s="217"/>
      <c r="J173" s="217"/>
    </row>
    <row r="174" spans="2:11" ht="13">
      <c r="B174" s="210"/>
      <c r="C174" s="210"/>
      <c r="D174" s="210"/>
      <c r="E174" s="210"/>
      <c r="F174" s="210"/>
      <c r="G174" s="210"/>
      <c r="H174" s="226"/>
      <c r="I174" s="226"/>
    </row>
    <row r="175" spans="2:11" ht="13">
      <c r="B175" s="210"/>
      <c r="C175" s="210"/>
      <c r="D175" s="210"/>
      <c r="E175" s="210"/>
      <c r="F175" s="210"/>
      <c r="G175" s="210"/>
      <c r="H175" s="226"/>
      <c r="I175" s="226"/>
    </row>
    <row r="176" spans="2:11" ht="13">
      <c r="B176" s="219"/>
      <c r="E176" s="213"/>
      <c r="F176" s="213"/>
      <c r="G176" s="213"/>
      <c r="H176" s="213"/>
      <c r="I176" s="217"/>
      <c r="J176" s="213"/>
    </row>
    <row r="177" spans="2:11" ht="13">
      <c r="B177" s="219" t="s">
        <v>341</v>
      </c>
      <c r="C177" s="209"/>
      <c r="D177" s="209"/>
      <c r="E177" s="213"/>
      <c r="F177" s="213"/>
      <c r="G177" s="221"/>
      <c r="H177" s="221"/>
      <c r="I177" s="221"/>
    </row>
    <row r="178" spans="2:11" ht="13">
      <c r="B178" s="231"/>
      <c r="C178" s="209"/>
      <c r="D178" s="209"/>
      <c r="E178" s="209"/>
      <c r="F178" s="209"/>
      <c r="G178" s="209"/>
      <c r="H178" s="209"/>
      <c r="I178" s="209"/>
    </row>
    <row r="179" spans="2:11" ht="13" customHeight="1">
      <c r="B179" s="1137" t="s">
        <v>326</v>
      </c>
      <c r="C179" s="1137"/>
      <c r="D179" s="1137"/>
      <c r="E179" s="1137"/>
      <c r="F179" s="1137"/>
      <c r="G179" s="1137"/>
      <c r="H179" s="1137"/>
      <c r="I179" s="1137"/>
    </row>
    <row r="180" spans="2:11" ht="13" customHeight="1">
      <c r="B180" s="1137" t="s">
        <v>327</v>
      </c>
      <c r="C180" s="1137"/>
      <c r="D180" s="1137"/>
      <c r="E180" s="1137"/>
      <c r="F180" s="1137"/>
      <c r="G180" s="1137"/>
      <c r="H180" s="1137"/>
      <c r="I180" s="1137"/>
    </row>
    <row r="181" spans="2:11" ht="13">
      <c r="B181" s="689" t="s">
        <v>328</v>
      </c>
      <c r="C181" s="213"/>
      <c r="D181" s="213"/>
      <c r="E181" s="213"/>
      <c r="F181" s="213"/>
      <c r="G181" s="221"/>
      <c r="H181" s="221"/>
      <c r="I181" s="221"/>
    </row>
    <row r="182" spans="2:11" ht="13">
      <c r="B182" s="689" t="s">
        <v>329</v>
      </c>
      <c r="C182" s="213"/>
      <c r="D182" s="213"/>
      <c r="E182" s="213"/>
      <c r="F182" s="213"/>
      <c r="G182" s="221"/>
      <c r="H182" s="221"/>
      <c r="I182" s="221"/>
    </row>
    <row r="183" spans="2:11" ht="13">
      <c r="B183" s="689" t="s">
        <v>330</v>
      </c>
      <c r="C183" s="213"/>
      <c r="D183" s="213"/>
      <c r="E183" s="213"/>
      <c r="F183" s="213"/>
      <c r="G183" s="221"/>
      <c r="H183" s="221"/>
      <c r="I183" s="221"/>
    </row>
    <row r="184" spans="2:11" ht="13">
      <c r="B184" s="215" t="s">
        <v>331</v>
      </c>
      <c r="C184" s="215"/>
      <c r="D184" s="215"/>
      <c r="E184" s="215"/>
      <c r="F184" s="215"/>
      <c r="G184" s="215"/>
      <c r="H184" s="215"/>
      <c r="I184" s="215"/>
    </row>
    <row r="187" spans="2:11">
      <c r="C187" s="209"/>
      <c r="D187" s="209"/>
      <c r="E187" s="213"/>
      <c r="F187" s="213"/>
      <c r="G187" s="221"/>
      <c r="H187" s="221"/>
      <c r="I187" s="221"/>
    </row>
    <row r="188" spans="2:11" ht="13">
      <c r="B188" s="231"/>
      <c r="C188" s="209"/>
      <c r="D188" s="209"/>
      <c r="E188" s="213"/>
      <c r="F188" s="213"/>
      <c r="G188" s="221"/>
      <c r="H188" s="221"/>
      <c r="I188" s="221"/>
    </row>
    <row r="189" spans="2:11" ht="15.5">
      <c r="B189" s="232"/>
      <c r="C189" s="209"/>
      <c r="D189" s="209"/>
      <c r="E189" s="213"/>
      <c r="F189" s="213"/>
      <c r="G189" s="221"/>
      <c r="H189" s="221"/>
      <c r="I189" s="221"/>
      <c r="K189" s="3" t="str">
        <f>K1</f>
        <v>Attachment H -11A, Attachment 5a</v>
      </c>
    </row>
    <row r="190" spans="2:11" ht="16" thickBot="1">
      <c r="B190" s="208" t="s">
        <v>101</v>
      </c>
      <c r="C190" s="208" t="s">
        <v>102</v>
      </c>
      <c r="D190" s="208" t="s">
        <v>103</v>
      </c>
      <c r="E190" s="208" t="s">
        <v>104</v>
      </c>
      <c r="F190" s="208" t="s">
        <v>105</v>
      </c>
      <c r="G190" s="208" t="s">
        <v>106</v>
      </c>
      <c r="H190" s="208" t="s">
        <v>107</v>
      </c>
      <c r="I190" s="208"/>
      <c r="J190" s="208"/>
      <c r="K190" s="32" t="s">
        <v>517</v>
      </c>
    </row>
    <row r="191" spans="2:11" ht="16" thickBot="1">
      <c r="B191" s="223"/>
      <c r="C191" s="1138"/>
      <c r="D191" s="1139"/>
      <c r="E191" s="1139"/>
      <c r="F191" s="1139"/>
      <c r="G191" s="1139"/>
      <c r="H191" s="1140"/>
      <c r="I191" s="208"/>
      <c r="J191" s="208"/>
      <c r="K191" s="3" t="str">
        <f>'Attachment H-11A '!K4</f>
        <v>For the 12 months ended 12/31/2025</v>
      </c>
    </row>
    <row r="192" spans="2:11" ht="13">
      <c r="B192" s="210"/>
      <c r="I192" s="227"/>
      <c r="J192" s="227"/>
    </row>
    <row r="193" spans="2:11" ht="15.5">
      <c r="B193" s="129"/>
      <c r="C193" s="209"/>
      <c r="D193" s="209"/>
      <c r="E193" s="213"/>
      <c r="F193" s="213"/>
      <c r="G193" s="221"/>
      <c r="H193" s="221"/>
      <c r="I193" s="221"/>
    </row>
    <row r="194" spans="2:11" ht="15.5">
      <c r="B194" s="129"/>
      <c r="C194" s="209"/>
      <c r="D194" s="209"/>
      <c r="E194" s="213"/>
      <c r="F194" s="213"/>
      <c r="G194" s="221"/>
      <c r="H194" s="221"/>
      <c r="I194" s="221"/>
    </row>
    <row r="195" spans="2:11" ht="13">
      <c r="B195" s="226" t="s">
        <v>342</v>
      </c>
      <c r="C195" s="208" t="s">
        <v>318</v>
      </c>
      <c r="D195" s="208" t="s">
        <v>310</v>
      </c>
      <c r="E195" s="208" t="s">
        <v>319</v>
      </c>
      <c r="F195" s="208" t="s">
        <v>320</v>
      </c>
      <c r="G195" s="208"/>
      <c r="H195" s="208"/>
      <c r="I195" s="227"/>
      <c r="J195" s="227"/>
    </row>
    <row r="196" spans="2:11" ht="13">
      <c r="B196" s="210"/>
      <c r="C196" s="208" t="s">
        <v>321</v>
      </c>
      <c r="D196" s="208" t="s">
        <v>313</v>
      </c>
      <c r="E196" s="208" t="s">
        <v>322</v>
      </c>
      <c r="F196" s="208" t="s">
        <v>24</v>
      </c>
      <c r="G196" s="208" t="s">
        <v>311</v>
      </c>
      <c r="H196" s="208" t="s">
        <v>312</v>
      </c>
      <c r="I196" s="227"/>
      <c r="J196" s="227"/>
      <c r="K196" s="208" t="s">
        <v>324</v>
      </c>
    </row>
    <row r="197" spans="2:11" ht="13">
      <c r="B197" s="215" t="s">
        <v>3</v>
      </c>
      <c r="C197" s="208" t="s">
        <v>344</v>
      </c>
      <c r="E197" s="208" t="s">
        <v>313</v>
      </c>
      <c r="F197" s="208" t="s">
        <v>313</v>
      </c>
      <c r="G197" s="208" t="s">
        <v>313</v>
      </c>
      <c r="H197" s="208" t="s">
        <v>313</v>
      </c>
      <c r="I197" s="227"/>
      <c r="J197" s="227"/>
    </row>
    <row r="198" spans="2:11" ht="13">
      <c r="B198" s="228"/>
      <c r="C198" s="217"/>
      <c r="D198" s="217"/>
      <c r="E198" s="217"/>
      <c r="F198" s="217"/>
      <c r="G198" s="217"/>
      <c r="H198" s="217"/>
      <c r="I198" s="369"/>
      <c r="J198" s="370"/>
    </row>
    <row r="199" spans="2:11" ht="13">
      <c r="B199" s="352"/>
      <c r="C199" s="365"/>
      <c r="D199" s="354"/>
      <c r="E199" s="354"/>
      <c r="F199" s="354"/>
      <c r="G199" s="354"/>
      <c r="H199" s="354"/>
      <c r="I199" s="354"/>
      <c r="J199" s="354"/>
      <c r="K199" s="354"/>
    </row>
    <row r="200" spans="2:11" ht="13">
      <c r="B200" s="352"/>
      <c r="C200" s="365"/>
      <c r="D200" s="354"/>
      <c r="E200" s="354"/>
      <c r="F200" s="354"/>
      <c r="G200" s="354"/>
      <c r="H200" s="354"/>
      <c r="I200" s="354"/>
      <c r="J200" s="354"/>
      <c r="K200" s="354"/>
    </row>
    <row r="201" spans="2:11" ht="13">
      <c r="B201" s="352"/>
      <c r="C201" s="365"/>
      <c r="D201" s="354"/>
      <c r="E201" s="354"/>
      <c r="F201" s="354"/>
      <c r="G201" s="354"/>
      <c r="H201" s="354"/>
      <c r="I201" s="354"/>
      <c r="J201" s="354"/>
      <c r="K201" s="354"/>
    </row>
    <row r="202" spans="2:11" ht="13">
      <c r="B202" s="352"/>
      <c r="C202" s="365"/>
      <c r="D202" s="354"/>
      <c r="E202" s="354"/>
      <c r="F202" s="354"/>
      <c r="G202" s="354"/>
      <c r="H202" s="354"/>
      <c r="I202" s="354"/>
      <c r="J202" s="354"/>
      <c r="K202" s="354"/>
    </row>
    <row r="203" spans="2:11" ht="13">
      <c r="B203" s="352"/>
      <c r="C203" s="365"/>
      <c r="D203" s="354"/>
      <c r="E203" s="354"/>
      <c r="F203" s="354"/>
      <c r="G203" s="354"/>
      <c r="H203" s="354"/>
      <c r="I203" s="354"/>
      <c r="J203" s="354"/>
      <c r="K203" s="355"/>
    </row>
    <row r="204" spans="2:11" ht="13">
      <c r="B204" s="352"/>
      <c r="C204" s="365"/>
      <c r="D204" s="354"/>
      <c r="E204" s="354"/>
      <c r="F204" s="354"/>
      <c r="G204" s="354"/>
      <c r="H204" s="354"/>
      <c r="I204" s="354"/>
      <c r="J204" s="354"/>
      <c r="K204" s="355"/>
    </row>
    <row r="205" spans="2:11" ht="13">
      <c r="B205" s="352"/>
      <c r="C205" s="365"/>
      <c r="D205" s="354"/>
      <c r="E205" s="354"/>
      <c r="F205" s="354"/>
      <c r="G205" s="354"/>
      <c r="H205" s="354"/>
      <c r="I205" s="354"/>
      <c r="J205" s="354"/>
      <c r="K205" s="354"/>
    </row>
    <row r="206" spans="2:11" ht="13">
      <c r="B206" s="352"/>
      <c r="C206" s="365"/>
      <c r="D206" s="354"/>
      <c r="E206" s="354"/>
      <c r="F206" s="354"/>
      <c r="G206" s="354"/>
      <c r="H206" s="354"/>
      <c r="I206" s="354"/>
      <c r="J206" s="354"/>
      <c r="K206" s="354"/>
    </row>
    <row r="207" spans="2:11" ht="13">
      <c r="B207" s="352"/>
      <c r="C207" s="371"/>
      <c r="D207" s="357"/>
      <c r="E207" s="357"/>
      <c r="F207" s="357"/>
      <c r="G207" s="357"/>
      <c r="H207" s="357"/>
      <c r="I207" s="357"/>
      <c r="J207" s="357"/>
      <c r="K207" s="358"/>
    </row>
    <row r="208" spans="2:11" ht="13">
      <c r="B208" s="216" t="s">
        <v>236</v>
      </c>
      <c r="C208" s="217">
        <f>SUM(C199:C207)</f>
        <v>0</v>
      </c>
      <c r="D208" s="217">
        <f t="shared" ref="D208:H208" si="11">SUM(D199:D207)</f>
        <v>0</v>
      </c>
      <c r="E208" s="217">
        <f t="shared" si="11"/>
        <v>0</v>
      </c>
      <c r="F208" s="217">
        <f t="shared" si="11"/>
        <v>0</v>
      </c>
      <c r="G208" s="217">
        <f t="shared" si="11"/>
        <v>0</v>
      </c>
      <c r="H208" s="217">
        <f t="shared" si="11"/>
        <v>0</v>
      </c>
      <c r="I208" s="217"/>
      <c r="J208" s="217"/>
    </row>
    <row r="209" spans="2:10" ht="13">
      <c r="B209" s="216"/>
      <c r="C209" s="217"/>
      <c r="D209" s="217"/>
      <c r="E209" s="217"/>
      <c r="F209" s="217"/>
      <c r="G209" s="217"/>
      <c r="H209" s="217"/>
      <c r="I209" s="217"/>
      <c r="J209" s="217"/>
    </row>
    <row r="210" spans="2:10" ht="13">
      <c r="C210" s="208"/>
      <c r="D210" s="208"/>
      <c r="E210" s="208"/>
      <c r="F210" s="208"/>
      <c r="G210" s="208"/>
      <c r="H210" s="208"/>
      <c r="I210" s="207"/>
    </row>
    <row r="211" spans="2:10" ht="13">
      <c r="B211" s="219"/>
      <c r="E211" s="213"/>
      <c r="F211" s="213"/>
      <c r="G211" s="213"/>
      <c r="H211" s="213"/>
      <c r="I211" s="217"/>
      <c r="J211" s="213"/>
    </row>
    <row r="212" spans="2:10" ht="13">
      <c r="B212" s="219" t="s">
        <v>343</v>
      </c>
      <c r="C212" s="209"/>
      <c r="D212" s="209"/>
      <c r="E212" s="213"/>
      <c r="F212" s="213"/>
      <c r="G212" s="221"/>
      <c r="H212" s="221"/>
      <c r="I212" s="221"/>
    </row>
    <row r="213" spans="2:10" ht="13">
      <c r="B213" s="231"/>
      <c r="C213" s="209"/>
      <c r="D213" s="209"/>
      <c r="E213" s="209"/>
      <c r="F213" s="209"/>
      <c r="G213" s="209"/>
      <c r="H213" s="209"/>
      <c r="I213" s="209"/>
    </row>
    <row r="214" spans="2:10" ht="13" customHeight="1">
      <c r="B214" s="1137" t="s">
        <v>326</v>
      </c>
      <c r="C214" s="1137"/>
      <c r="D214" s="1137"/>
      <c r="E214" s="1137"/>
      <c r="F214" s="1137"/>
      <c r="G214" s="1137"/>
      <c r="H214" s="1137"/>
      <c r="I214" s="1137"/>
    </row>
    <row r="215" spans="2:10" ht="13" customHeight="1">
      <c r="B215" s="1137" t="s">
        <v>327</v>
      </c>
      <c r="C215" s="1137"/>
      <c r="D215" s="1137"/>
      <c r="E215" s="1137"/>
      <c r="F215" s="1137"/>
      <c r="G215" s="1137"/>
      <c r="H215" s="1137"/>
      <c r="I215" s="1137"/>
    </row>
    <row r="216" spans="2:10" ht="13">
      <c r="B216" s="689" t="s">
        <v>328</v>
      </c>
      <c r="C216" s="213"/>
      <c r="D216" s="213"/>
      <c r="E216" s="213"/>
      <c r="F216" s="213"/>
      <c r="G216" s="221"/>
      <c r="H216" s="221"/>
      <c r="I216" s="221"/>
    </row>
    <row r="217" spans="2:10" ht="13">
      <c r="B217" s="689" t="s">
        <v>329</v>
      </c>
      <c r="C217" s="213"/>
      <c r="D217" s="213"/>
      <c r="E217" s="213"/>
      <c r="F217" s="213"/>
      <c r="G217" s="221"/>
      <c r="H217" s="221"/>
      <c r="I217" s="221"/>
    </row>
    <row r="218" spans="2:10" ht="13">
      <c r="B218" s="689" t="s">
        <v>330</v>
      </c>
      <c r="C218" s="213"/>
      <c r="D218" s="213"/>
      <c r="E218" s="213"/>
      <c r="F218" s="213"/>
      <c r="G218" s="221"/>
      <c r="H218" s="221"/>
      <c r="I218" s="221"/>
    </row>
    <row r="219" spans="2:10" ht="13">
      <c r="B219" s="215" t="s">
        <v>331</v>
      </c>
      <c r="C219" s="215"/>
      <c r="D219" s="215"/>
      <c r="E219" s="215"/>
      <c r="F219" s="215"/>
      <c r="G219" s="215"/>
      <c r="H219" s="215"/>
      <c r="I219" s="215"/>
    </row>
  </sheetData>
  <mergeCells count="21">
    <mergeCell ref="C191:H191"/>
    <mergeCell ref="B214:I214"/>
    <mergeCell ref="B215:I215"/>
    <mergeCell ref="C156:H156"/>
    <mergeCell ref="B179:I179"/>
    <mergeCell ref="B180:I180"/>
    <mergeCell ref="C1:H1"/>
    <mergeCell ref="C3:H3"/>
    <mergeCell ref="C5:J5"/>
    <mergeCell ref="C6:J6"/>
    <mergeCell ref="B147:I147"/>
    <mergeCell ref="C126:H126"/>
    <mergeCell ref="B146:I146"/>
    <mergeCell ref="C21:J21"/>
    <mergeCell ref="C22:J22"/>
    <mergeCell ref="B116:I116"/>
    <mergeCell ref="B117:I117"/>
    <mergeCell ref="C46:H46"/>
    <mergeCell ref="B78:I78"/>
    <mergeCell ref="B79:I79"/>
    <mergeCell ref="C86:H86"/>
  </mergeCells>
  <printOptions horizontalCentered="1"/>
  <pageMargins left="0.5" right="0" top="1" bottom="0.5" header="0.5" footer="0.5"/>
  <pageSetup scale="37" fitToHeight="0" orientation="landscape" r:id="rId1"/>
  <headerFooter alignWithMargins="0"/>
  <rowBreaks count="5" manualBreakCount="5">
    <brk id="44" max="10" man="1"/>
    <brk id="84" max="10" man="1"/>
    <brk id="123" max="10" man="1"/>
    <brk id="152" max="10" man="1"/>
    <brk id="187" max="10" man="1"/>
  </rowBreaks>
  <ignoredErrors>
    <ignoredError sqref="F6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N55"/>
  <sheetViews>
    <sheetView view="pageBreakPreview" zoomScaleNormal="100" zoomScaleSheetLayoutView="100" workbookViewId="0">
      <selection activeCell="A2" sqref="A2"/>
    </sheetView>
  </sheetViews>
  <sheetFormatPr defaultColWidth="8.84375" defaultRowHeight="14.5"/>
  <cols>
    <col min="1" max="1" width="8.84375" style="265"/>
    <col min="2" max="2" width="9" style="265" customWidth="1"/>
    <col min="3" max="3" width="27.07421875" style="265" customWidth="1"/>
    <col min="4" max="4" width="3.07421875" style="265" customWidth="1"/>
    <col min="5" max="5" width="14.84375" style="265" customWidth="1"/>
    <col min="6" max="6" width="15.3046875" style="265" customWidth="1"/>
    <col min="7" max="8" width="13.84375" style="265" customWidth="1"/>
    <col min="9" max="9" width="13.53515625" style="265" customWidth="1"/>
    <col min="10" max="10" width="16.53515625" style="265" customWidth="1"/>
    <col min="11" max="11" width="15.3046875" style="265" customWidth="1"/>
    <col min="12" max="12" width="12.84375" style="265" customWidth="1"/>
    <col min="13" max="13" width="15.3046875" style="265" customWidth="1"/>
    <col min="14" max="14" width="11" style="265" customWidth="1"/>
    <col min="15" max="16384" width="8.84375" style="265"/>
  </cols>
  <sheetData>
    <row r="1" spans="1:14" ht="15.5">
      <c r="M1" s="3" t="str">
        <f>'Attachment H-11A '!K1&amp;""&amp;", Attachment 5b"</f>
        <v>Attachment H -11A, Attachment 5b</v>
      </c>
    </row>
    <row r="2" spans="1:14" ht="15.5">
      <c r="M2" s="3" t="s">
        <v>168</v>
      </c>
    </row>
    <row r="3" spans="1:14" ht="15.5">
      <c r="M3" s="3" t="str">
        <f>'Attachment 1 - Sched 1A'!$J$3</f>
        <v>For the 12 months ended 12/31/2025</v>
      </c>
    </row>
    <row r="4" spans="1:14" ht="15.5">
      <c r="C4" s="42"/>
    </row>
    <row r="5" spans="1:14" ht="15" thickBot="1">
      <c r="C5" s="619" t="s">
        <v>101</v>
      </c>
      <c r="D5" s="270"/>
      <c r="E5" s="619" t="s">
        <v>102</v>
      </c>
      <c r="F5" s="619" t="s">
        <v>103</v>
      </c>
      <c r="G5" s="619" t="s">
        <v>104</v>
      </c>
      <c r="H5" s="619" t="s">
        <v>105</v>
      </c>
      <c r="I5" s="619" t="s">
        <v>106</v>
      </c>
      <c r="J5" s="619" t="s">
        <v>107</v>
      </c>
      <c r="K5" s="619" t="s">
        <v>109</v>
      </c>
      <c r="L5" s="619" t="s">
        <v>110</v>
      </c>
    </row>
    <row r="6" spans="1:14" ht="15" thickBot="1">
      <c r="A6" s="620" t="s">
        <v>5</v>
      </c>
      <c r="B6" s="620"/>
      <c r="C6" s="621"/>
      <c r="D6" s="622"/>
      <c r="E6" s="1144" t="str">
        <f>MID(M3:M3,31,10)&amp;" "&amp;"Quarterly Activity and Balances"</f>
        <v>2025 Quarterly Activity and Balances</v>
      </c>
      <c r="F6" s="1144"/>
      <c r="G6" s="1144"/>
      <c r="H6" s="1144"/>
      <c r="I6" s="1144"/>
      <c r="J6" s="1144"/>
      <c r="K6" s="1144"/>
      <c r="L6" s="1145"/>
    </row>
    <row r="7" spans="1:14">
      <c r="C7" s="267"/>
      <c r="E7" s="268"/>
      <c r="F7" s="268"/>
      <c r="G7" s="268"/>
      <c r="H7" s="268"/>
      <c r="I7" s="268"/>
      <c r="J7" s="268"/>
      <c r="K7" s="268"/>
      <c r="L7" s="269"/>
    </row>
    <row r="8" spans="1:14" ht="29">
      <c r="C8" s="623" t="s">
        <v>613</v>
      </c>
      <c r="D8" s="624"/>
      <c r="E8" s="625" t="s">
        <v>556</v>
      </c>
      <c r="F8" s="626" t="s">
        <v>557</v>
      </c>
      <c r="G8" s="625" t="s">
        <v>558</v>
      </c>
      <c r="H8" s="626" t="s">
        <v>559</v>
      </c>
      <c r="I8" s="625" t="s">
        <v>560</v>
      </c>
      <c r="J8" s="626" t="s">
        <v>561</v>
      </c>
      <c r="K8" s="625" t="s">
        <v>562</v>
      </c>
      <c r="L8" s="627" t="s">
        <v>563</v>
      </c>
    </row>
    <row r="9" spans="1:14">
      <c r="A9" s="628">
        <v>1</v>
      </c>
      <c r="B9" s="619" t="s">
        <v>583</v>
      </c>
      <c r="C9" s="629">
        <v>17345538.305394035</v>
      </c>
      <c r="D9" s="270"/>
      <c r="E9" s="630">
        <v>-134942.43402626226</v>
      </c>
      <c r="F9" s="270">
        <f>SUM(C9:E9)</f>
        <v>17210595.871367771</v>
      </c>
      <c r="G9" s="630">
        <v>822012.71666927403</v>
      </c>
      <c r="H9" s="270">
        <f>SUM(F9:G9)</f>
        <v>18032608.588037044</v>
      </c>
      <c r="I9" s="630">
        <v>282591.86982680112</v>
      </c>
      <c r="J9" s="270">
        <f>SUM(H9:I9)</f>
        <v>18315200.457863845</v>
      </c>
      <c r="K9" s="630">
        <v>932669.04730783124</v>
      </c>
      <c r="L9" s="273">
        <f>SUM(J9:K9)</f>
        <v>19247869.505171675</v>
      </c>
    </row>
    <row r="10" spans="1:14">
      <c r="C10" s="274"/>
      <c r="D10" s="270"/>
      <c r="E10" s="270"/>
      <c r="F10" s="270"/>
      <c r="G10" s="270"/>
      <c r="H10" s="270"/>
      <c r="I10" s="270"/>
      <c r="J10" s="270"/>
      <c r="K10" s="270"/>
      <c r="L10" s="273"/>
    </row>
    <row r="11" spans="1:14" ht="29">
      <c r="C11" s="631" t="str">
        <f>C8</f>
        <v>Beginning 190 (including adjustments)</v>
      </c>
      <c r="D11" s="270"/>
      <c r="E11" s="271" t="s">
        <v>425</v>
      </c>
      <c r="F11" s="270"/>
      <c r="G11" s="271" t="s">
        <v>426</v>
      </c>
      <c r="H11" s="270"/>
      <c r="I11" s="271" t="s">
        <v>427</v>
      </c>
      <c r="J11" s="270"/>
      <c r="K11" s="271" t="s">
        <v>428</v>
      </c>
      <c r="L11" s="273"/>
    </row>
    <row r="12" spans="1:14">
      <c r="A12" s="628">
        <v>2</v>
      </c>
      <c r="B12" s="619" t="s">
        <v>583</v>
      </c>
      <c r="C12" s="272">
        <f>C9</f>
        <v>17345538.305394035</v>
      </c>
      <c r="D12" s="270"/>
      <c r="E12" s="271">
        <f>(276/365)*E9</f>
        <v>-102038.6624417764</v>
      </c>
      <c r="F12" s="270"/>
      <c r="G12" s="271">
        <f>(185/365)*G9</f>
        <v>416636.58242141287</v>
      </c>
      <c r="H12" s="270"/>
      <c r="I12" s="271">
        <f>(93/365)*I9</f>
        <v>72002.859983267132</v>
      </c>
      <c r="J12" s="270"/>
      <c r="K12" s="271">
        <f>(1/365)*K9</f>
        <v>2555.2576638570717</v>
      </c>
      <c r="L12" s="273"/>
      <c r="M12" s="1096"/>
    </row>
    <row r="13" spans="1:14">
      <c r="C13" s="272"/>
      <c r="D13" s="270"/>
      <c r="E13" s="271"/>
      <c r="F13" s="270"/>
      <c r="G13" s="271"/>
      <c r="H13" s="270"/>
      <c r="I13" s="271"/>
      <c r="J13" s="270"/>
      <c r="K13" s="271"/>
      <c r="L13" s="273"/>
      <c r="M13" s="1096"/>
      <c r="N13" s="1097"/>
    </row>
    <row r="14" spans="1:14" ht="29">
      <c r="C14" s="631" t="s">
        <v>614</v>
      </c>
      <c r="D14" s="270"/>
      <c r="E14" s="625" t="s">
        <v>556</v>
      </c>
      <c r="F14" s="626" t="s">
        <v>557</v>
      </c>
      <c r="G14" s="625" t="s">
        <v>558</v>
      </c>
      <c r="H14" s="626" t="s">
        <v>559</v>
      </c>
      <c r="I14" s="625" t="s">
        <v>560</v>
      </c>
      <c r="J14" s="626" t="s">
        <v>561</v>
      </c>
      <c r="K14" s="625" t="s">
        <v>562</v>
      </c>
      <c r="L14" s="627" t="s">
        <v>563</v>
      </c>
      <c r="M14" s="1096"/>
    </row>
    <row r="15" spans="1:14">
      <c r="A15" s="628">
        <v>3</v>
      </c>
      <c r="B15" s="619" t="s">
        <v>583</v>
      </c>
      <c r="C15" s="629">
        <v>119353347.60528181</v>
      </c>
      <c r="D15" s="270"/>
      <c r="E15" s="630">
        <v>1748866.5671570033</v>
      </c>
      <c r="F15" s="270">
        <f>SUM(C15:E15)</f>
        <v>121102214.17243882</v>
      </c>
      <c r="G15" s="630">
        <v>2731344.9663643823</v>
      </c>
      <c r="H15" s="270">
        <f>SUM(F15:G15)</f>
        <v>123833559.1388032</v>
      </c>
      <c r="I15" s="630">
        <v>1682572.1323893014</v>
      </c>
      <c r="J15" s="270">
        <f>SUM(H15:I15)</f>
        <v>125516131.27119251</v>
      </c>
      <c r="K15" s="630">
        <v>4516032.0248082168</v>
      </c>
      <c r="L15" s="273">
        <f>SUM(J15:K15)</f>
        <v>130032163.29600072</v>
      </c>
      <c r="M15" s="1096"/>
    </row>
    <row r="16" spans="1:14">
      <c r="C16" s="274"/>
      <c r="D16" s="270"/>
      <c r="E16" s="270"/>
      <c r="F16" s="270"/>
      <c r="G16" s="270"/>
      <c r="H16" s="270"/>
      <c r="I16" s="270"/>
      <c r="J16" s="270"/>
      <c r="K16" s="270"/>
      <c r="L16" s="273"/>
      <c r="M16" s="1096"/>
    </row>
    <row r="17" spans="1:14" ht="29">
      <c r="C17" s="631" t="str">
        <f>C14</f>
        <v xml:space="preserve">Beginning 282 (including adjustments) </v>
      </c>
      <c r="D17" s="270"/>
      <c r="E17" s="271" t="s">
        <v>425</v>
      </c>
      <c r="F17" s="270"/>
      <c r="G17" s="271" t="s">
        <v>426</v>
      </c>
      <c r="H17" s="270"/>
      <c r="I17" s="271" t="s">
        <v>427</v>
      </c>
      <c r="J17" s="270"/>
      <c r="K17" s="271" t="s">
        <v>428</v>
      </c>
      <c r="L17" s="273"/>
      <c r="M17" s="1096"/>
    </row>
    <row r="18" spans="1:14">
      <c r="A18" s="628">
        <v>4</v>
      </c>
      <c r="B18" s="619" t="s">
        <v>583</v>
      </c>
      <c r="C18" s="272">
        <f>C15</f>
        <v>119353347.60528181</v>
      </c>
      <c r="D18" s="270"/>
      <c r="E18" s="271">
        <f>(276/365)*E15</f>
        <v>1322430.6096858436</v>
      </c>
      <c r="F18" s="270"/>
      <c r="G18" s="271">
        <f>(185/365)*G15</f>
        <v>1384380.3254175638</v>
      </c>
      <c r="H18" s="270"/>
      <c r="I18" s="271">
        <f>(93/365)*I15</f>
        <v>428710.15975946584</v>
      </c>
      <c r="J18" s="270"/>
      <c r="K18" s="271">
        <f>(1/365)*K15</f>
        <v>12372.690478926621</v>
      </c>
      <c r="L18" s="273"/>
      <c r="M18" s="1096"/>
    </row>
    <row r="19" spans="1:14">
      <c r="C19" s="272"/>
      <c r="D19" s="270"/>
      <c r="E19" s="271"/>
      <c r="F19" s="270"/>
      <c r="G19" s="271"/>
      <c r="H19" s="270"/>
      <c r="I19" s="271"/>
      <c r="J19" s="270"/>
      <c r="K19" s="271"/>
      <c r="L19" s="273"/>
      <c r="M19" s="1096"/>
      <c r="N19" s="1098"/>
    </row>
    <row r="20" spans="1:14" ht="29">
      <c r="C20" s="631" t="s">
        <v>615</v>
      </c>
      <c r="D20" s="270"/>
      <c r="E20" s="625" t="s">
        <v>556</v>
      </c>
      <c r="F20" s="626" t="s">
        <v>557</v>
      </c>
      <c r="G20" s="625" t="s">
        <v>558</v>
      </c>
      <c r="H20" s="626" t="s">
        <v>559</v>
      </c>
      <c r="I20" s="625" t="s">
        <v>560</v>
      </c>
      <c r="J20" s="626" t="s">
        <v>561</v>
      </c>
      <c r="K20" s="625" t="s">
        <v>562</v>
      </c>
      <c r="L20" s="627" t="s">
        <v>563</v>
      </c>
      <c r="M20" s="1096"/>
    </row>
    <row r="21" spans="1:14">
      <c r="A21" s="628">
        <v>5</v>
      </c>
      <c r="B21" s="619" t="s">
        <v>583</v>
      </c>
      <c r="C21" s="629">
        <v>2018425.0009375911</v>
      </c>
      <c r="D21" s="270"/>
      <c r="E21" s="630">
        <v>-78666.734515895965</v>
      </c>
      <c r="F21" s="270">
        <f>SUM(C21:E21)</f>
        <v>1939758.266421695</v>
      </c>
      <c r="G21" s="630">
        <v>-13764.25084486696</v>
      </c>
      <c r="H21" s="270">
        <f>SUM(F21:G21)</f>
        <v>1925994.015576828</v>
      </c>
      <c r="I21" s="630">
        <v>-13647.265846937689</v>
      </c>
      <c r="J21" s="270">
        <f>SUM(H21:I21)</f>
        <v>1912346.7497298904</v>
      </c>
      <c r="K21" s="630">
        <v>-20097.398149129091</v>
      </c>
      <c r="L21" s="273">
        <f>SUM(J21:K21)</f>
        <v>1892249.3515807614</v>
      </c>
      <c r="M21" s="1096"/>
    </row>
    <row r="22" spans="1:14">
      <c r="C22" s="274"/>
      <c r="D22" s="270"/>
      <c r="E22" s="270"/>
      <c r="F22" s="270"/>
      <c r="G22" s="270"/>
      <c r="H22" s="270"/>
      <c r="I22" s="270"/>
      <c r="J22" s="270"/>
      <c r="K22" s="270"/>
      <c r="L22" s="273"/>
      <c r="M22" s="1096"/>
    </row>
    <row r="23" spans="1:14" ht="29">
      <c r="B23" s="632"/>
      <c r="C23" s="631" t="s">
        <v>555</v>
      </c>
      <c r="D23" s="270"/>
      <c r="E23" s="271" t="s">
        <v>425</v>
      </c>
      <c r="F23" s="270"/>
      <c r="G23" s="271" t="s">
        <v>426</v>
      </c>
      <c r="H23" s="270"/>
      <c r="I23" s="271" t="s">
        <v>427</v>
      </c>
      <c r="J23" s="270"/>
      <c r="K23" s="271" t="s">
        <v>428</v>
      </c>
      <c r="L23" s="273"/>
      <c r="M23" s="1096"/>
    </row>
    <row r="24" spans="1:14" ht="15" thickBot="1">
      <c r="A24" s="628">
        <v>6</v>
      </c>
      <c r="B24" s="619" t="s">
        <v>583</v>
      </c>
      <c r="C24" s="403">
        <f>C21</f>
        <v>2018425.0009375911</v>
      </c>
      <c r="D24" s="379"/>
      <c r="E24" s="490">
        <f>(276/365)*E21</f>
        <v>-59484.98281201996</v>
      </c>
      <c r="F24" s="379"/>
      <c r="G24" s="490">
        <f>(185/365)*G21</f>
        <v>-6976.4011131517473</v>
      </c>
      <c r="H24" s="379"/>
      <c r="I24" s="490">
        <f>(93/365)*I21</f>
        <v>-3477.248558260836</v>
      </c>
      <c r="J24" s="379"/>
      <c r="K24" s="490">
        <f>(1/365)*K21</f>
        <v>-55.061364792134498</v>
      </c>
      <c r="L24" s="404"/>
      <c r="M24" s="1096"/>
    </row>
    <row r="25" spans="1:14">
      <c r="M25" s="1096"/>
      <c r="N25" s="1096"/>
    </row>
    <row r="31" spans="1:14" ht="15.5">
      <c r="M31" s="3"/>
    </row>
    <row r="32" spans="1:14" ht="15.5">
      <c r="M32" s="3"/>
    </row>
    <row r="33" spans="1:13" ht="15.5">
      <c r="G33" s="1146" t="str">
        <f>MID(M3:M3,31,10)&amp;" "&amp;"PTRR"</f>
        <v>2025 PTRR</v>
      </c>
      <c r="H33" s="1147"/>
      <c r="M33" s="3"/>
    </row>
    <row r="35" spans="1:13">
      <c r="E35" s="648" t="s">
        <v>111</v>
      </c>
      <c r="F35" s="648" t="s">
        <v>112</v>
      </c>
      <c r="G35" s="648" t="s">
        <v>116</v>
      </c>
      <c r="H35" s="648" t="s">
        <v>117</v>
      </c>
      <c r="I35" s="648" t="s">
        <v>118</v>
      </c>
      <c r="J35" s="648" t="s">
        <v>119</v>
      </c>
      <c r="K35" s="648" t="s">
        <v>121</v>
      </c>
      <c r="L35" s="619"/>
      <c r="M35" s="619"/>
    </row>
    <row r="36" spans="1:13" ht="51" customHeight="1">
      <c r="E36" s="1047" t="s">
        <v>1202</v>
      </c>
      <c r="F36" s="625" t="s">
        <v>584</v>
      </c>
      <c r="G36" s="649" t="s">
        <v>609</v>
      </c>
      <c r="H36" s="648" t="s">
        <v>610</v>
      </c>
      <c r="I36" s="1042" t="s">
        <v>1203</v>
      </c>
      <c r="J36" s="648" t="s">
        <v>611</v>
      </c>
      <c r="K36" s="649" t="s">
        <v>612</v>
      </c>
      <c r="L36" s="619"/>
      <c r="M36" s="619"/>
    </row>
    <row r="37" spans="1:13" ht="61.5" customHeight="1">
      <c r="A37" s="620" t="s">
        <v>5</v>
      </c>
      <c r="B37" s="620"/>
      <c r="C37" s="633" t="s">
        <v>588</v>
      </c>
      <c r="E37" s="898" t="s">
        <v>960</v>
      </c>
      <c r="F37" s="634" t="s">
        <v>589</v>
      </c>
      <c r="G37" s="635" t="s">
        <v>590</v>
      </c>
      <c r="H37" s="635" t="s">
        <v>591</v>
      </c>
      <c r="I37" s="635" t="s">
        <v>592</v>
      </c>
      <c r="J37" s="635" t="s">
        <v>684</v>
      </c>
      <c r="K37" s="635" t="s">
        <v>683</v>
      </c>
    </row>
    <row r="39" spans="1:13">
      <c r="A39" s="628">
        <v>7</v>
      </c>
      <c r="B39" s="628" t="s">
        <v>583</v>
      </c>
      <c r="C39" s="636" t="s">
        <v>593</v>
      </c>
      <c r="E39" s="642">
        <f>'Attachment 5 - ADIT Summary'!H15</f>
        <v>24958729.416114025</v>
      </c>
      <c r="F39" s="270">
        <f>E9+G9+I9+K9</f>
        <v>1902331.1997776441</v>
      </c>
      <c r="G39" s="270">
        <f>C12+E12+G12+I12+K12</f>
        <v>17734694.343020797</v>
      </c>
      <c r="H39" s="383">
        <f>E39-G39</f>
        <v>7224035.073093228</v>
      </c>
      <c r="I39" s="642">
        <f>SUM('Attachment 5 - ADIT Summary'!F32:J32)</f>
        <v>5710859.9109423431</v>
      </c>
      <c r="J39" s="638">
        <f>H39-I39</f>
        <v>1513175.162150885</v>
      </c>
      <c r="K39" s="638">
        <f>E39-I39-J39</f>
        <v>17734694.343020797</v>
      </c>
    </row>
    <row r="40" spans="1:13">
      <c r="H40" s="383"/>
      <c r="I40" s="639"/>
      <c r="J40" s="383"/>
      <c r="K40" s="383"/>
    </row>
    <row r="41" spans="1:13">
      <c r="A41" s="628">
        <v>8</v>
      </c>
      <c r="B41" s="628" t="s">
        <v>583</v>
      </c>
      <c r="C41" s="636" t="s">
        <v>594</v>
      </c>
      <c r="E41" s="642">
        <f>'Attachment 5 - ADIT Summary'!F15</f>
        <v>118457229.91780591</v>
      </c>
      <c r="F41" s="270">
        <f>E15+G15+I15+K15</f>
        <v>10678815.690718904</v>
      </c>
      <c r="G41" s="270">
        <f>C18+E18+G18+I18+K18</f>
        <v>122501241.3906236</v>
      </c>
      <c r="H41" s="383">
        <f>E41-G41</f>
        <v>-4044011.4728176892</v>
      </c>
      <c r="I41" s="642">
        <f>SUM('Attachment 5 - ADIT Summary'!F24:J24)</f>
        <v>-11574932.814755797</v>
      </c>
      <c r="J41" s="638">
        <f>H41-I41</f>
        <v>7530921.3419381082</v>
      </c>
      <c r="K41" s="638">
        <f>-E41+I41+J41</f>
        <v>-122501241.3906236</v>
      </c>
    </row>
    <row r="42" spans="1:13">
      <c r="A42" s="628"/>
      <c r="B42" s="628"/>
      <c r="H42" s="383"/>
      <c r="I42" s="639"/>
      <c r="J42" s="383"/>
      <c r="K42" s="383"/>
    </row>
    <row r="43" spans="1:13">
      <c r="A43" s="628">
        <v>9</v>
      </c>
      <c r="B43" s="628" t="s">
        <v>583</v>
      </c>
      <c r="C43" s="636" t="s">
        <v>595</v>
      </c>
      <c r="E43" s="642">
        <f>'Attachment 5 - ADIT Summary'!G15</f>
        <v>-2491567.3478786172</v>
      </c>
      <c r="F43" s="270">
        <f>E21+G21+I21+K21</f>
        <v>-126175.6493568297</v>
      </c>
      <c r="G43" s="270">
        <f>C24+E24+G24+I24+K24</f>
        <v>1948431.3070893665</v>
      </c>
      <c r="H43" s="383">
        <f>E43-G43</f>
        <v>-4439998.6549679842</v>
      </c>
      <c r="I43" s="642">
        <f>SUM('Attachment 5 - ADIT Summary'!F28:J28)</f>
        <v>-4383816.6994593786</v>
      </c>
      <c r="J43" s="638">
        <f>H43-I43</f>
        <v>-56181.955508605577</v>
      </c>
      <c r="K43" s="638">
        <f>-E43+I43+J43</f>
        <v>-1948431.307089367</v>
      </c>
    </row>
    <row r="44" spans="1:13">
      <c r="A44" s="628"/>
      <c r="B44" s="628"/>
      <c r="H44" s="383"/>
      <c r="I44" s="639"/>
      <c r="J44" s="383"/>
      <c r="K44" s="383"/>
    </row>
    <row r="45" spans="1:13">
      <c r="A45" s="628">
        <v>10</v>
      </c>
      <c r="B45" s="628" t="s">
        <v>583</v>
      </c>
      <c r="C45" s="636" t="s">
        <v>596</v>
      </c>
      <c r="E45" s="383">
        <f>E39-E41-E43</f>
        <v>-91006933.153813258</v>
      </c>
      <c r="F45" s="383">
        <f>F39-F41-F43</f>
        <v>-8650308.841584431</v>
      </c>
      <c r="G45" s="383">
        <f>G39-G41-G43</f>
        <v>-106714978.35469218</v>
      </c>
      <c r="H45" s="383">
        <f>H39-H41-H43</f>
        <v>15708045.200878901</v>
      </c>
      <c r="I45" s="383">
        <f>I39+I41+I43</f>
        <v>-10247889.603272833</v>
      </c>
      <c r="J45" s="383">
        <f>J39+J41+J43</f>
        <v>8987914.5485803895</v>
      </c>
      <c r="K45" s="383">
        <f>K39+K41+K43</f>
        <v>-106714978.35469218</v>
      </c>
    </row>
    <row r="46" spans="1:13">
      <c r="A46" s="628"/>
      <c r="B46" s="628"/>
    </row>
    <row r="47" spans="1:13">
      <c r="A47" s="628"/>
      <c r="B47" s="628"/>
    </row>
    <row r="48" spans="1:13">
      <c r="A48" s="628"/>
      <c r="B48" s="628"/>
    </row>
    <row r="49" spans="1:13">
      <c r="A49" s="628"/>
      <c r="B49" s="628"/>
      <c r="K49" s="383"/>
      <c r="M49" s="383"/>
    </row>
    <row r="50" spans="1:13">
      <c r="A50" s="628"/>
      <c r="B50" s="266" t="s">
        <v>597</v>
      </c>
    </row>
    <row r="51" spans="1:13">
      <c r="A51" s="628"/>
      <c r="B51" s="1149" t="s">
        <v>628</v>
      </c>
      <c r="C51" s="1149"/>
      <c r="D51" s="1149"/>
      <c r="E51" s="1149"/>
      <c r="F51" s="1149"/>
      <c r="G51" s="1149"/>
    </row>
    <row r="52" spans="1:13">
      <c r="A52" s="628"/>
      <c r="B52" s="1148"/>
      <c r="C52" s="1148"/>
      <c r="D52" s="1148"/>
      <c r="E52" s="1148"/>
      <c r="F52" s="1148"/>
      <c r="G52" s="1148"/>
    </row>
    <row r="53" spans="1:13">
      <c r="A53" s="628"/>
    </row>
    <row r="54" spans="1:13">
      <c r="A54" s="628"/>
    </row>
    <row r="55" spans="1:13">
      <c r="A55" s="628"/>
    </row>
  </sheetData>
  <mergeCells count="4">
    <mergeCell ref="E6:L6"/>
    <mergeCell ref="G33:H33"/>
    <mergeCell ref="B52:G52"/>
    <mergeCell ref="B51:G51"/>
  </mergeCells>
  <pageMargins left="0.7" right="0.7" top="0.75" bottom="0.75" header="0.3" footer="0.3"/>
  <pageSetup scale="53" orientation="landscape" r:id="rId1"/>
  <colBreaks count="1" manualBreakCount="1">
    <brk id="13" max="3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13A6-6361-4A33-AE08-D396E3741D29}">
  <sheetPr codeName="Sheet14"/>
  <dimension ref="A1:O77"/>
  <sheetViews>
    <sheetView view="pageBreakPreview" zoomScale="80" zoomScaleNormal="100" zoomScaleSheetLayoutView="80" workbookViewId="0"/>
  </sheetViews>
  <sheetFormatPr defaultColWidth="8.84375" defaultRowHeight="14.5"/>
  <cols>
    <col min="1" max="1" width="9.53515625" style="265" customWidth="1"/>
    <col min="2" max="2" width="9" style="265" customWidth="1"/>
    <col min="3" max="3" width="27.07421875" style="265" customWidth="1"/>
    <col min="4" max="4" width="3.07421875" style="265" customWidth="1"/>
    <col min="5" max="5" width="14.84375" style="265" customWidth="1"/>
    <col min="6" max="6" width="15.3046875" style="265" customWidth="1"/>
    <col min="7" max="8" width="13.84375" style="265" customWidth="1"/>
    <col min="9" max="9" width="13.53515625" style="265" customWidth="1"/>
    <col min="10" max="10" width="16.53515625" style="265" customWidth="1"/>
    <col min="11" max="11" width="15.3046875" style="265" customWidth="1"/>
    <col min="12" max="12" width="12.84375" style="265" customWidth="1"/>
    <col min="13" max="13" width="17.07421875" style="265" customWidth="1"/>
    <col min="14" max="14" width="9.53515625" style="265" bestFit="1" customWidth="1"/>
    <col min="15" max="15" width="10.765625" style="265" bestFit="1" customWidth="1"/>
    <col min="16" max="16384" width="8.84375" style="265"/>
  </cols>
  <sheetData>
    <row r="1" spans="1:15" ht="15.5">
      <c r="M1" s="3" t="str">
        <f>'Attachment H-11A '!K1&amp;""&amp;", Attachment 5c"</f>
        <v>Attachment H -11A, Attachment 5c</v>
      </c>
    </row>
    <row r="2" spans="1:15" ht="15.5">
      <c r="M2" s="3" t="s">
        <v>171</v>
      </c>
    </row>
    <row r="3" spans="1:15" ht="15.5">
      <c r="M3" s="3" t="str">
        <f>'Attachment H-11A '!K4</f>
        <v>For the 12 months ended 12/31/2025</v>
      </c>
    </row>
    <row r="4" spans="1:15" ht="15.5">
      <c r="C4" s="42"/>
    </row>
    <row r="5" spans="1:15" ht="15" thickBot="1">
      <c r="C5" s="619" t="s">
        <v>101</v>
      </c>
      <c r="D5" s="270"/>
      <c r="E5" s="619" t="s">
        <v>102</v>
      </c>
      <c r="F5" s="619" t="s">
        <v>103</v>
      </c>
      <c r="G5" s="619" t="s">
        <v>104</v>
      </c>
      <c r="H5" s="619" t="s">
        <v>105</v>
      </c>
      <c r="I5" s="619" t="s">
        <v>106</v>
      </c>
      <c r="J5" s="619" t="s">
        <v>107</v>
      </c>
      <c r="K5" s="619" t="s">
        <v>109</v>
      </c>
      <c r="L5" s="619" t="s">
        <v>110</v>
      </c>
    </row>
    <row r="6" spans="1:15" ht="15" thickBot="1">
      <c r="A6" s="620" t="s">
        <v>5</v>
      </c>
      <c r="B6" s="620"/>
      <c r="C6" s="621"/>
      <c r="D6" s="622"/>
      <c r="E6" s="1144" t="str">
        <f>MID(M3:M3,31,10)&amp;" "&amp;"Quarterly Activity and Balances"</f>
        <v>2025 Quarterly Activity and Balances</v>
      </c>
      <c r="F6" s="1144"/>
      <c r="G6" s="1144"/>
      <c r="H6" s="1144"/>
      <c r="I6" s="1144"/>
      <c r="J6" s="1144"/>
      <c r="K6" s="1144"/>
      <c r="L6" s="1145"/>
      <c r="M6" s="1057"/>
    </row>
    <row r="7" spans="1:15">
      <c r="C7" s="267"/>
      <c r="E7" s="268"/>
      <c r="F7" s="268"/>
      <c r="G7" s="268"/>
      <c r="H7" s="268"/>
      <c r="I7" s="268"/>
      <c r="J7" s="268"/>
      <c r="K7" s="268"/>
      <c r="L7" s="269"/>
    </row>
    <row r="8" spans="1:15" ht="29">
      <c r="C8" s="623" t="s">
        <v>616</v>
      </c>
      <c r="D8" s="624"/>
      <c r="E8" s="625" t="s">
        <v>556</v>
      </c>
      <c r="F8" s="626" t="s">
        <v>557</v>
      </c>
      <c r="G8" s="625" t="s">
        <v>558</v>
      </c>
      <c r="H8" s="626" t="s">
        <v>559</v>
      </c>
      <c r="I8" s="625" t="s">
        <v>560</v>
      </c>
      <c r="J8" s="626" t="s">
        <v>561</v>
      </c>
      <c r="K8" s="625" t="s">
        <v>562</v>
      </c>
      <c r="L8" s="627" t="s">
        <v>563</v>
      </c>
    </row>
    <row r="9" spans="1:15">
      <c r="A9" s="628">
        <v>1</v>
      </c>
      <c r="B9" s="619" t="s">
        <v>583</v>
      </c>
      <c r="C9" s="629"/>
      <c r="D9" s="270"/>
      <c r="E9" s="630"/>
      <c r="F9" s="270">
        <f>SUM(C9:E9)</f>
        <v>0</v>
      </c>
      <c r="G9" s="630"/>
      <c r="H9" s="270">
        <f>SUM(F9:G9)</f>
        <v>0</v>
      </c>
      <c r="I9" s="630"/>
      <c r="J9" s="270">
        <f>SUM(H9:I9)</f>
        <v>0</v>
      </c>
      <c r="K9" s="630"/>
      <c r="L9" s="273">
        <f>SUM(J9:K9)</f>
        <v>0</v>
      </c>
    </row>
    <row r="10" spans="1:15">
      <c r="A10" s="628">
        <v>2</v>
      </c>
      <c r="B10" s="619" t="s">
        <v>598</v>
      </c>
      <c r="C10" s="629"/>
      <c r="D10" s="270"/>
      <c r="E10" s="630"/>
      <c r="F10" s="270">
        <f>SUM(C10:E10)</f>
        <v>0</v>
      </c>
      <c r="G10" s="630"/>
      <c r="H10" s="270">
        <f>SUM(F10:G10)</f>
        <v>0</v>
      </c>
      <c r="I10" s="630"/>
      <c r="J10" s="270">
        <f>SUM(H10:I10)</f>
        <v>0</v>
      </c>
      <c r="K10" s="630"/>
      <c r="L10" s="273">
        <f>SUM(J10:K10)</f>
        <v>0</v>
      </c>
      <c r="M10" s="1058"/>
    </row>
    <row r="11" spans="1:15">
      <c r="C11" s="274"/>
      <c r="D11" s="270"/>
      <c r="E11" s="270"/>
      <c r="F11" s="270"/>
      <c r="G11" s="270"/>
      <c r="H11" s="270"/>
      <c r="I11" s="270"/>
      <c r="J11" s="270"/>
      <c r="K11" s="270"/>
      <c r="L11" s="273"/>
    </row>
    <row r="12" spans="1:15" ht="29">
      <c r="C12" s="631" t="str">
        <f>C8</f>
        <v xml:space="preserve">Beginning 190 (including adjustments) </v>
      </c>
      <c r="D12" s="270"/>
      <c r="E12" s="271" t="s">
        <v>425</v>
      </c>
      <c r="F12" s="270"/>
      <c r="G12" s="271" t="s">
        <v>426</v>
      </c>
      <c r="H12" s="270"/>
      <c r="I12" s="271" t="s">
        <v>427</v>
      </c>
      <c r="J12" s="270"/>
      <c r="K12" s="271" t="s">
        <v>428</v>
      </c>
      <c r="L12" s="273"/>
    </row>
    <row r="13" spans="1:15">
      <c r="A13" s="628">
        <v>3</v>
      </c>
      <c r="B13" s="619" t="s">
        <v>583</v>
      </c>
      <c r="C13" s="272">
        <f>C9</f>
        <v>0</v>
      </c>
      <c r="D13" s="270"/>
      <c r="E13" s="271">
        <f>(276/365)*E9</f>
        <v>0</v>
      </c>
      <c r="F13" s="270"/>
      <c r="G13" s="271">
        <f>(185/365)*G9</f>
        <v>0</v>
      </c>
      <c r="H13" s="270"/>
      <c r="I13" s="271">
        <f>(93/365)*I9</f>
        <v>0</v>
      </c>
      <c r="J13" s="270"/>
      <c r="K13" s="271">
        <f>(1/365)*K9</f>
        <v>0</v>
      </c>
      <c r="L13" s="273"/>
      <c r="M13" s="671"/>
      <c r="N13" s="383"/>
      <c r="O13" s="383"/>
    </row>
    <row r="14" spans="1:15">
      <c r="A14" s="628">
        <v>4</v>
      </c>
      <c r="B14" s="619" t="s">
        <v>598</v>
      </c>
      <c r="C14" s="272">
        <f>C10</f>
        <v>0</v>
      </c>
      <c r="D14" s="270"/>
      <c r="E14" s="271">
        <f>(276/365)*E10</f>
        <v>0</v>
      </c>
      <c r="F14" s="270"/>
      <c r="G14" s="271">
        <f>(185/365)*G10</f>
        <v>0</v>
      </c>
      <c r="H14" s="270"/>
      <c r="I14" s="271">
        <f>(93/365)*I10</f>
        <v>0</v>
      </c>
      <c r="J14" s="270"/>
      <c r="K14" s="271">
        <f>(1/365)*K10</f>
        <v>0</v>
      </c>
      <c r="L14" s="273"/>
      <c r="M14" s="671"/>
      <c r="N14" s="1059"/>
      <c r="O14" s="1059"/>
    </row>
    <row r="15" spans="1:15">
      <c r="C15" s="272"/>
      <c r="D15" s="270"/>
      <c r="E15" s="271"/>
      <c r="F15" s="270"/>
      <c r="G15" s="271"/>
      <c r="H15" s="270"/>
      <c r="I15" s="271"/>
      <c r="J15" s="270"/>
      <c r="K15" s="271"/>
      <c r="L15" s="273"/>
      <c r="M15" s="671"/>
    </row>
    <row r="16" spans="1:15" ht="29">
      <c r="C16" s="631" t="s">
        <v>614</v>
      </c>
      <c r="D16" s="270"/>
      <c r="E16" s="625" t="s">
        <v>556</v>
      </c>
      <c r="F16" s="626" t="s">
        <v>557</v>
      </c>
      <c r="G16" s="625" t="s">
        <v>558</v>
      </c>
      <c r="H16" s="626" t="s">
        <v>559</v>
      </c>
      <c r="I16" s="625" t="s">
        <v>560</v>
      </c>
      <c r="J16" s="626" t="s">
        <v>561</v>
      </c>
      <c r="K16" s="625" t="s">
        <v>562</v>
      </c>
      <c r="L16" s="627" t="s">
        <v>563</v>
      </c>
      <c r="M16" s="671"/>
    </row>
    <row r="17" spans="1:13">
      <c r="A17" s="628">
        <v>5</v>
      </c>
      <c r="B17" s="619" t="s">
        <v>583</v>
      </c>
      <c r="C17" s="629"/>
      <c r="D17" s="270"/>
      <c r="E17" s="630"/>
      <c r="F17" s="270">
        <f>SUM(C17:E17)</f>
        <v>0</v>
      </c>
      <c r="G17" s="630"/>
      <c r="H17" s="270">
        <f>SUM(F17:G17)</f>
        <v>0</v>
      </c>
      <c r="I17" s="630"/>
      <c r="J17" s="270">
        <f>SUM(H17:I17)</f>
        <v>0</v>
      </c>
      <c r="K17" s="630"/>
      <c r="L17" s="273">
        <f>SUM(J17:K17)</f>
        <v>0</v>
      </c>
      <c r="M17" s="671"/>
    </row>
    <row r="18" spans="1:13">
      <c r="A18" s="628">
        <v>6</v>
      </c>
      <c r="B18" s="619" t="s">
        <v>598</v>
      </c>
      <c r="C18" s="629"/>
      <c r="D18" s="270"/>
      <c r="E18" s="630"/>
      <c r="F18" s="270">
        <f>SUM(C18:E18)</f>
        <v>0</v>
      </c>
      <c r="G18" s="630"/>
      <c r="H18" s="270">
        <f>SUM(F18:G18)</f>
        <v>0</v>
      </c>
      <c r="I18" s="630"/>
      <c r="J18" s="270">
        <f>SUM(H18:I18)</f>
        <v>0</v>
      </c>
      <c r="K18" s="630"/>
      <c r="L18" s="273">
        <f>SUM(J18:K18)</f>
        <v>0</v>
      </c>
      <c r="M18" s="1058"/>
    </row>
    <row r="19" spans="1:13">
      <c r="C19" s="274"/>
      <c r="D19" s="270"/>
      <c r="E19" s="270"/>
      <c r="F19" s="270"/>
      <c r="G19" s="270"/>
      <c r="H19" s="270"/>
      <c r="I19" s="270"/>
      <c r="J19" s="270"/>
      <c r="K19" s="270"/>
      <c r="L19" s="273"/>
      <c r="M19" s="671"/>
    </row>
    <row r="20" spans="1:13" ht="29">
      <c r="C20" s="631" t="str">
        <f>C16</f>
        <v xml:space="preserve">Beginning 282 (including adjustments) </v>
      </c>
      <c r="D20" s="270"/>
      <c r="E20" s="271" t="s">
        <v>425</v>
      </c>
      <c r="F20" s="270"/>
      <c r="G20" s="271" t="s">
        <v>426</v>
      </c>
      <c r="H20" s="270"/>
      <c r="I20" s="271" t="s">
        <v>427</v>
      </c>
      <c r="J20" s="270"/>
      <c r="K20" s="271" t="s">
        <v>428</v>
      </c>
      <c r="L20" s="273"/>
      <c r="M20" s="671"/>
    </row>
    <row r="21" spans="1:13">
      <c r="A21" s="628">
        <v>7</v>
      </c>
      <c r="B21" s="619" t="s">
        <v>583</v>
      </c>
      <c r="C21" s="272">
        <f>C17</f>
        <v>0</v>
      </c>
      <c r="D21" s="270"/>
      <c r="E21" s="271">
        <f>(276/365)*E17</f>
        <v>0</v>
      </c>
      <c r="F21" s="270"/>
      <c r="G21" s="271">
        <f>(185/365)*G17</f>
        <v>0</v>
      </c>
      <c r="H21" s="270"/>
      <c r="I21" s="271">
        <f>(93/365)*I17</f>
        <v>0</v>
      </c>
      <c r="J21" s="270"/>
      <c r="K21" s="271">
        <f>(1/365)*K17</f>
        <v>0</v>
      </c>
      <c r="L21" s="273"/>
      <c r="M21" s="671"/>
    </row>
    <row r="22" spans="1:13">
      <c r="A22" s="628">
        <v>8</v>
      </c>
      <c r="B22" s="619" t="s">
        <v>598</v>
      </c>
      <c r="C22" s="272">
        <f>C18</f>
        <v>0</v>
      </c>
      <c r="D22" s="270"/>
      <c r="E22" s="271">
        <f>(276/365)*E18</f>
        <v>0</v>
      </c>
      <c r="F22" s="270"/>
      <c r="G22" s="271">
        <f>(185/365)*G18</f>
        <v>0</v>
      </c>
      <c r="H22" s="270"/>
      <c r="I22" s="271">
        <f>(93/365)*I18</f>
        <v>0</v>
      </c>
      <c r="J22" s="270"/>
      <c r="K22" s="271">
        <f>(1/365)*K18</f>
        <v>0</v>
      </c>
      <c r="L22" s="273"/>
      <c r="M22" s="671"/>
    </row>
    <row r="23" spans="1:13">
      <c r="C23" s="272"/>
      <c r="D23" s="270"/>
      <c r="E23" s="271"/>
      <c r="F23" s="270"/>
      <c r="G23" s="271"/>
      <c r="H23" s="270"/>
      <c r="I23" s="271"/>
      <c r="J23" s="270"/>
      <c r="K23" s="271"/>
      <c r="L23" s="273"/>
      <c r="M23" s="671"/>
    </row>
    <row r="24" spans="1:13" ht="29">
      <c r="C24" s="631" t="s">
        <v>615</v>
      </c>
      <c r="D24" s="270"/>
      <c r="E24" s="625" t="s">
        <v>556</v>
      </c>
      <c r="F24" s="626" t="s">
        <v>557</v>
      </c>
      <c r="G24" s="625" t="s">
        <v>558</v>
      </c>
      <c r="H24" s="626" t="s">
        <v>559</v>
      </c>
      <c r="I24" s="625" t="s">
        <v>560</v>
      </c>
      <c r="J24" s="626" t="s">
        <v>561</v>
      </c>
      <c r="K24" s="625" t="s">
        <v>562</v>
      </c>
      <c r="L24" s="627" t="s">
        <v>563</v>
      </c>
      <c r="M24" s="671"/>
    </row>
    <row r="25" spans="1:13">
      <c r="A25" s="628">
        <v>9</v>
      </c>
      <c r="B25" s="619" t="s">
        <v>583</v>
      </c>
      <c r="C25" s="629"/>
      <c r="D25" s="270"/>
      <c r="E25" s="630"/>
      <c r="F25" s="270">
        <f>SUM(C25:E25)</f>
        <v>0</v>
      </c>
      <c r="G25" s="630"/>
      <c r="H25" s="270">
        <f>SUM(F25:G25)</f>
        <v>0</v>
      </c>
      <c r="I25" s="630"/>
      <c r="J25" s="270">
        <f>SUM(H25:I25)</f>
        <v>0</v>
      </c>
      <c r="K25" s="630"/>
      <c r="L25" s="273">
        <f>SUM(J25:K25)</f>
        <v>0</v>
      </c>
      <c r="M25" s="671"/>
    </row>
    <row r="26" spans="1:13">
      <c r="A26" s="628">
        <v>10</v>
      </c>
      <c r="B26" s="619" t="s">
        <v>598</v>
      </c>
      <c r="C26" s="629"/>
      <c r="D26" s="270"/>
      <c r="E26" s="630"/>
      <c r="F26" s="270">
        <f>SUM(C26:E26)</f>
        <v>0</v>
      </c>
      <c r="G26" s="640"/>
      <c r="H26" s="270">
        <f>SUM(F26:G26)</f>
        <v>0</v>
      </c>
      <c r="I26" s="630"/>
      <c r="J26" s="270">
        <f>SUM(H26:I26)</f>
        <v>0</v>
      </c>
      <c r="K26" s="630"/>
      <c r="L26" s="273">
        <f>SUM(J26:K26)</f>
        <v>0</v>
      </c>
      <c r="M26" s="1058"/>
    </row>
    <row r="27" spans="1:13">
      <c r="C27" s="274"/>
      <c r="D27" s="270"/>
      <c r="E27" s="270"/>
      <c r="F27" s="270"/>
      <c r="G27" s="270"/>
      <c r="H27" s="270"/>
      <c r="I27" s="270"/>
      <c r="J27" s="270"/>
      <c r="K27" s="270"/>
      <c r="L27" s="273"/>
      <c r="M27" s="671"/>
    </row>
    <row r="28" spans="1:13" ht="29">
      <c r="B28" s="632"/>
      <c r="C28" s="631" t="s">
        <v>555</v>
      </c>
      <c r="D28" s="270"/>
      <c r="E28" s="271" t="s">
        <v>425</v>
      </c>
      <c r="F28" s="270"/>
      <c r="G28" s="271" t="s">
        <v>426</v>
      </c>
      <c r="H28" s="270"/>
      <c r="I28" s="271" t="s">
        <v>427</v>
      </c>
      <c r="J28" s="270"/>
      <c r="K28" s="271" t="s">
        <v>428</v>
      </c>
      <c r="L28" s="273"/>
      <c r="M28" s="671"/>
    </row>
    <row r="29" spans="1:13">
      <c r="A29" s="628">
        <v>11</v>
      </c>
      <c r="B29" s="619" t="s">
        <v>583</v>
      </c>
      <c r="C29" s="272">
        <f>C25</f>
        <v>0</v>
      </c>
      <c r="D29" s="270"/>
      <c r="E29" s="271">
        <f>(276/365)*E25</f>
        <v>0</v>
      </c>
      <c r="F29" s="270"/>
      <c r="G29" s="271">
        <f>(185/365)*G25</f>
        <v>0</v>
      </c>
      <c r="H29" s="270"/>
      <c r="I29" s="271">
        <f>(93/365)*I25</f>
        <v>0</v>
      </c>
      <c r="J29" s="270"/>
      <c r="K29" s="271">
        <f>(1/365)*K25</f>
        <v>0</v>
      </c>
      <c r="L29" s="273"/>
      <c r="M29" s="671"/>
    </row>
    <row r="30" spans="1:13" ht="15" thickBot="1">
      <c r="A30" s="628">
        <v>12</v>
      </c>
      <c r="B30" s="619" t="s">
        <v>598</v>
      </c>
      <c r="C30" s="403">
        <f>C26</f>
        <v>0</v>
      </c>
      <c r="D30" s="379"/>
      <c r="E30" s="490">
        <f>(276/365)*E26</f>
        <v>0</v>
      </c>
      <c r="F30" s="379"/>
      <c r="G30" s="490">
        <f>(185/365)*G26</f>
        <v>0</v>
      </c>
      <c r="H30" s="379"/>
      <c r="I30" s="490">
        <f>(93/365)*I26</f>
        <v>0</v>
      </c>
      <c r="J30" s="379"/>
      <c r="K30" s="490">
        <f>(1/365)*K26</f>
        <v>0</v>
      </c>
      <c r="L30" s="641"/>
    </row>
    <row r="35" spans="1:13" ht="15.5">
      <c r="M35" s="3" t="str">
        <f>'Attachment H-11A '!K1&amp;""&amp;", Attachment 5c"</f>
        <v>Attachment H -11A, Attachment 5c</v>
      </c>
    </row>
    <row r="36" spans="1:13" ht="15.5">
      <c r="M36" s="3" t="s">
        <v>174</v>
      </c>
    </row>
    <row r="37" spans="1:13" ht="15.5">
      <c r="M37" s="3" t="str">
        <f>'Attachment H-11A '!K4</f>
        <v>For the 12 months ended 12/31/2025</v>
      </c>
    </row>
    <row r="40" spans="1:13" ht="15.5">
      <c r="M40" s="3"/>
    </row>
    <row r="41" spans="1:13" ht="15.5">
      <c r="M41" s="3"/>
    </row>
    <row r="42" spans="1:13" ht="15.5">
      <c r="G42" s="1150" t="str">
        <f>'Attachment 5b - ADIT Norm PTRR'!G33:H33</f>
        <v>2025 PTRR</v>
      </c>
      <c r="H42" s="1147"/>
      <c r="M42" s="3"/>
    </row>
    <row r="44" spans="1:13">
      <c r="E44" s="619" t="s">
        <v>101</v>
      </c>
      <c r="F44" s="619" t="s">
        <v>102</v>
      </c>
      <c r="G44" s="619" t="s">
        <v>103</v>
      </c>
      <c r="H44" s="619" t="s">
        <v>104</v>
      </c>
      <c r="I44" s="619" t="s">
        <v>105</v>
      </c>
      <c r="J44" s="619" t="s">
        <v>106</v>
      </c>
      <c r="K44" s="619" t="s">
        <v>107</v>
      </c>
      <c r="L44" s="619"/>
      <c r="M44" s="619"/>
    </row>
    <row r="45" spans="1:13" ht="43" customHeight="1">
      <c r="E45" s="619"/>
      <c r="F45" s="625" t="s">
        <v>584</v>
      </c>
      <c r="G45" s="625" t="s">
        <v>585</v>
      </c>
      <c r="H45" s="619" t="s">
        <v>586</v>
      </c>
      <c r="I45" s="619"/>
      <c r="J45" s="619" t="s">
        <v>587</v>
      </c>
      <c r="K45" s="679" t="s">
        <v>639</v>
      </c>
      <c r="L45" s="619"/>
      <c r="M45" s="619"/>
    </row>
    <row r="46" spans="1:13" ht="61.5" customHeight="1">
      <c r="A46" s="620" t="s">
        <v>5</v>
      </c>
      <c r="B46" s="620"/>
      <c r="C46" s="633" t="s">
        <v>588</v>
      </c>
      <c r="E46" s="898" t="s">
        <v>960</v>
      </c>
      <c r="F46" s="634" t="s">
        <v>589</v>
      </c>
      <c r="G46" s="635" t="s">
        <v>590</v>
      </c>
      <c r="H46" s="635" t="s">
        <v>591</v>
      </c>
      <c r="I46" s="635" t="s">
        <v>592</v>
      </c>
      <c r="J46" s="635" t="s">
        <v>684</v>
      </c>
      <c r="K46" s="635" t="s">
        <v>683</v>
      </c>
    </row>
    <row r="48" spans="1:13">
      <c r="A48" s="628">
        <v>1</v>
      </c>
      <c r="B48" s="628" t="s">
        <v>583</v>
      </c>
      <c r="C48" s="636" t="s">
        <v>593</v>
      </c>
      <c r="E48" s="637"/>
      <c r="F48" s="270">
        <f>E9+G9+I9+K9</f>
        <v>0</v>
      </c>
      <c r="G48" s="270">
        <f>C13+E13+G13+I13+K13</f>
        <v>0</v>
      </c>
      <c r="H48" s="383">
        <f>E48-G48</f>
        <v>0</v>
      </c>
      <c r="I48" s="637"/>
      <c r="J48" s="638">
        <f>H48-I48</f>
        <v>0</v>
      </c>
      <c r="K48" s="638">
        <f>E48-I48-J48</f>
        <v>0</v>
      </c>
    </row>
    <row r="49" spans="1:13">
      <c r="H49" s="383"/>
      <c r="I49" s="639"/>
      <c r="J49" s="383"/>
      <c r="K49" s="383"/>
    </row>
    <row r="50" spans="1:13">
      <c r="A50" s="628">
        <v>2</v>
      </c>
      <c r="B50" s="628" t="s">
        <v>583</v>
      </c>
      <c r="C50" s="636" t="s">
        <v>594</v>
      </c>
      <c r="E50" s="637"/>
      <c r="F50" s="270">
        <f>E17+G17+I17+K17</f>
        <v>0</v>
      </c>
      <c r="G50" s="270">
        <f>C21+E21+G21+I21+K21</f>
        <v>0</v>
      </c>
      <c r="H50" s="383">
        <f>E50-G50</f>
        <v>0</v>
      </c>
      <c r="I50" s="637"/>
      <c r="J50" s="638">
        <f>H50-I50</f>
        <v>0</v>
      </c>
      <c r="K50" s="638">
        <f>-E50+I50+J50</f>
        <v>0</v>
      </c>
    </row>
    <row r="51" spans="1:13">
      <c r="A51" s="628"/>
      <c r="B51" s="628"/>
      <c r="H51" s="383"/>
      <c r="I51" s="639"/>
      <c r="J51" s="383"/>
      <c r="K51" s="383"/>
    </row>
    <row r="52" spans="1:13">
      <c r="A52" s="628">
        <v>3</v>
      </c>
      <c r="B52" s="628" t="s">
        <v>583</v>
      </c>
      <c r="C52" s="636" t="s">
        <v>595</v>
      </c>
      <c r="E52" s="637"/>
      <c r="F52" s="270">
        <f>E25+G25+I25+K25</f>
        <v>0</v>
      </c>
      <c r="G52" s="270">
        <f>C29+E29+G29+I29+K29</f>
        <v>0</v>
      </c>
      <c r="H52" s="383">
        <f>E52-G52</f>
        <v>0</v>
      </c>
      <c r="I52" s="637"/>
      <c r="J52" s="638">
        <f>H52-I52</f>
        <v>0</v>
      </c>
      <c r="K52" s="638">
        <f>-E52+I52+J52</f>
        <v>0</v>
      </c>
    </row>
    <row r="53" spans="1:13">
      <c r="A53" s="628"/>
      <c r="B53" s="628"/>
      <c r="H53" s="383"/>
      <c r="I53" s="639"/>
      <c r="J53" s="383"/>
      <c r="K53" s="383"/>
    </row>
    <row r="54" spans="1:13">
      <c r="A54" s="628">
        <v>4</v>
      </c>
      <c r="B54" s="628" t="s">
        <v>583</v>
      </c>
      <c r="C54" s="636" t="s">
        <v>596</v>
      </c>
      <c r="E54" s="383">
        <f>E48-E50-E52</f>
        <v>0</v>
      </c>
      <c r="F54" s="383">
        <f>F48-F50-F52</f>
        <v>0</v>
      </c>
      <c r="G54" s="383">
        <f>G48-G50-G52</f>
        <v>0</v>
      </c>
      <c r="H54" s="383">
        <f>H48-H50-H52</f>
        <v>0</v>
      </c>
      <c r="I54" s="383">
        <f>I48+I50+I52</f>
        <v>0</v>
      </c>
      <c r="J54" s="383">
        <f>J48+J50+J52</f>
        <v>0</v>
      </c>
      <c r="K54" s="383">
        <f>K48+K50+K52</f>
        <v>0</v>
      </c>
    </row>
    <row r="55" spans="1:13">
      <c r="A55" s="628"/>
      <c r="B55" s="628"/>
    </row>
    <row r="56" spans="1:13">
      <c r="A56" s="628"/>
      <c r="B56" s="628"/>
    </row>
    <row r="57" spans="1:13">
      <c r="A57" s="628"/>
      <c r="B57" s="628"/>
    </row>
    <row r="58" spans="1:13">
      <c r="A58" s="628"/>
      <c r="B58" s="628"/>
      <c r="K58" s="383"/>
      <c r="M58" s="383"/>
    </row>
    <row r="59" spans="1:13">
      <c r="A59" s="628"/>
      <c r="B59" s="628"/>
      <c r="G59" s="1150" t="str">
        <f>MID(M3:M3,31,10)&amp;" "&amp;"ATRR"</f>
        <v>2025 ATRR</v>
      </c>
      <c r="H59" s="1147"/>
    </row>
    <row r="60" spans="1:13">
      <c r="A60" s="628"/>
      <c r="B60" s="628"/>
    </row>
    <row r="61" spans="1:13">
      <c r="A61" s="628"/>
      <c r="B61" s="628"/>
      <c r="E61" s="619" t="s">
        <v>109</v>
      </c>
      <c r="F61" s="619" t="s">
        <v>110</v>
      </c>
      <c r="G61" s="619" t="s">
        <v>111</v>
      </c>
      <c r="H61" s="619" t="s">
        <v>112</v>
      </c>
      <c r="I61" s="619" t="s">
        <v>116</v>
      </c>
      <c r="J61" s="619" t="s">
        <v>117</v>
      </c>
      <c r="K61" s="619" t="s">
        <v>118</v>
      </c>
      <c r="L61" s="619" t="s">
        <v>119</v>
      </c>
      <c r="M61" s="619" t="s">
        <v>121</v>
      </c>
    </row>
    <row r="62" spans="1:13" ht="45" customHeight="1">
      <c r="A62" s="628"/>
      <c r="B62" s="628"/>
      <c r="E62" s="625" t="s">
        <v>1202</v>
      </c>
      <c r="F62" s="625" t="s">
        <v>584</v>
      </c>
      <c r="G62" s="625" t="s">
        <v>599</v>
      </c>
      <c r="H62" s="619" t="s">
        <v>600</v>
      </c>
      <c r="I62" s="625" t="s">
        <v>601</v>
      </c>
      <c r="J62" s="625" t="s">
        <v>1203</v>
      </c>
      <c r="K62" s="619" t="s">
        <v>602</v>
      </c>
      <c r="L62" s="619" t="s">
        <v>603</v>
      </c>
      <c r="M62" s="679" t="s">
        <v>640</v>
      </c>
    </row>
    <row r="63" spans="1:13" ht="59.5" customHeight="1">
      <c r="A63" s="628"/>
      <c r="B63" s="628"/>
      <c r="C63" s="633" t="s">
        <v>588</v>
      </c>
      <c r="E63" s="898" t="s">
        <v>961</v>
      </c>
      <c r="F63" s="635" t="s">
        <v>604</v>
      </c>
      <c r="G63" s="635" t="s">
        <v>590</v>
      </c>
      <c r="H63" s="635" t="s">
        <v>605</v>
      </c>
      <c r="I63" s="635" t="s">
        <v>606</v>
      </c>
      <c r="J63" s="635" t="s">
        <v>592</v>
      </c>
      <c r="K63" s="635" t="s">
        <v>607</v>
      </c>
      <c r="L63" s="635" t="s">
        <v>684</v>
      </c>
      <c r="M63" s="635" t="s">
        <v>683</v>
      </c>
    </row>
    <row r="64" spans="1:13">
      <c r="A64" s="628"/>
      <c r="B64" s="628"/>
    </row>
    <row r="65" spans="1:13">
      <c r="A65" s="628">
        <v>5</v>
      </c>
      <c r="B65" s="628" t="s">
        <v>598</v>
      </c>
      <c r="C65" s="636" t="s">
        <v>593</v>
      </c>
      <c r="E65" s="642">
        <f>'Attachment 5 - ADIT Summary'!H15</f>
        <v>24958729.416114025</v>
      </c>
      <c r="F65" s="270">
        <f>E10+G10+I10+K10</f>
        <v>0</v>
      </c>
      <c r="G65" s="270">
        <f>C14+E14+G14+I14+K14</f>
        <v>0</v>
      </c>
      <c r="H65" s="383">
        <f>E65-G65</f>
        <v>24958729.416114025</v>
      </c>
      <c r="I65" s="642">
        <f>H48-H65</f>
        <v>-24958729.416114025</v>
      </c>
      <c r="J65" s="642">
        <f>SUM('Attachment 5 - ADIT Summary'!F32:J32)</f>
        <v>5710859.9109423431</v>
      </c>
      <c r="K65" s="383">
        <f>I48-J65</f>
        <v>-5710859.9109423431</v>
      </c>
      <c r="L65" s="638">
        <f>H65+I65-J65-K65</f>
        <v>0</v>
      </c>
      <c r="M65" s="638">
        <f>E65-J65-L65</f>
        <v>19247869.505171683</v>
      </c>
    </row>
    <row r="66" spans="1:13">
      <c r="A66" s="628"/>
      <c r="B66" s="628"/>
      <c r="H66" s="383"/>
      <c r="I66" s="639"/>
      <c r="J66" s="639"/>
      <c r="L66" s="383"/>
      <c r="M66" s="638"/>
    </row>
    <row r="67" spans="1:13">
      <c r="A67" s="628">
        <v>6</v>
      </c>
      <c r="B67" s="628" t="s">
        <v>598</v>
      </c>
      <c r="C67" s="636" t="s">
        <v>594</v>
      </c>
      <c r="E67" s="642">
        <f>'Attachment 5 - ADIT Summary'!F15</f>
        <v>118457229.91780591</v>
      </c>
      <c r="F67" s="270">
        <f>E18+G18+I18+K18</f>
        <v>0</v>
      </c>
      <c r="G67" s="270">
        <f>C22+E22+G22+I22+K22</f>
        <v>0</v>
      </c>
      <c r="H67" s="383">
        <f>E67-G67</f>
        <v>118457229.91780591</v>
      </c>
      <c r="I67" s="642">
        <f>H50-H67</f>
        <v>-118457229.91780591</v>
      </c>
      <c r="J67" s="642">
        <f>SUM('Attachment 5 - ADIT Summary'!F24:J24)</f>
        <v>-11574932.814755797</v>
      </c>
      <c r="K67" s="383">
        <f>I50-J67</f>
        <v>11574932.814755797</v>
      </c>
      <c r="L67" s="638">
        <f>H67+I67-J67-K67</f>
        <v>0</v>
      </c>
      <c r="M67" s="638">
        <f>-E67+J67+L67</f>
        <v>-130032162.73256171</v>
      </c>
    </row>
    <row r="68" spans="1:13">
      <c r="A68" s="628"/>
      <c r="B68" s="628"/>
      <c r="H68" s="383"/>
      <c r="I68" s="639"/>
      <c r="J68" s="639"/>
      <c r="L68" s="383"/>
      <c r="M68" s="638"/>
    </row>
    <row r="69" spans="1:13">
      <c r="A69" s="628">
        <v>7</v>
      </c>
      <c r="B69" s="628" t="s">
        <v>598</v>
      </c>
      <c r="C69" s="636" t="s">
        <v>595</v>
      </c>
      <c r="E69" s="642">
        <f>'Attachment 5 - ADIT Summary'!G15</f>
        <v>-2491567.3478786172</v>
      </c>
      <c r="F69" s="270">
        <f>E26+G26+I26+K26</f>
        <v>0</v>
      </c>
      <c r="G69" s="270">
        <f>C30+E30+G30+I30+K30</f>
        <v>0</v>
      </c>
      <c r="H69" s="383">
        <f>E69-G69</f>
        <v>-2491567.3478786172</v>
      </c>
      <c r="I69" s="642">
        <f>H52-H69</f>
        <v>2491567.3478786172</v>
      </c>
      <c r="J69" s="642">
        <f>SUM('Attachment 5 - ADIT Summary'!F28:J28)</f>
        <v>-4383816.6994593786</v>
      </c>
      <c r="K69" s="383">
        <f>I52-J69</f>
        <v>4383816.6994593786</v>
      </c>
      <c r="L69" s="638">
        <f>H69+I69-J69-K69</f>
        <v>0</v>
      </c>
      <c r="M69" s="638">
        <f>-E69+J69+L69</f>
        <v>-1892249.3515807614</v>
      </c>
    </row>
    <row r="70" spans="1:13">
      <c r="A70" s="628"/>
      <c r="B70" s="628"/>
      <c r="H70" s="383"/>
      <c r="I70" s="639"/>
      <c r="J70" s="639"/>
      <c r="L70" s="383"/>
      <c r="M70" s="383"/>
    </row>
    <row r="71" spans="1:13">
      <c r="A71" s="628">
        <v>8</v>
      </c>
      <c r="B71" s="628" t="s">
        <v>598</v>
      </c>
      <c r="C71" s="636" t="s">
        <v>596</v>
      </c>
      <c r="E71" s="383">
        <f>E65-E67-E69</f>
        <v>-91006933.153813258</v>
      </c>
      <c r="F71" s="383">
        <f>F65-F67-F69</f>
        <v>0</v>
      </c>
      <c r="G71" s="383">
        <f>G65-G67-G69</f>
        <v>0</v>
      </c>
      <c r="H71" s="383">
        <f>H65-H67-H69</f>
        <v>-91006933.153813258</v>
      </c>
      <c r="I71" s="383">
        <f>I65+I67+I69</f>
        <v>-140924391.98604134</v>
      </c>
      <c r="J71" s="383">
        <f>J65+J67+J69</f>
        <v>-10247889.603272833</v>
      </c>
      <c r="K71" s="383">
        <f>K65+K67+K69</f>
        <v>10247889.603272833</v>
      </c>
      <c r="L71" s="383">
        <f>L65+L67+L69</f>
        <v>0</v>
      </c>
      <c r="M71" s="383">
        <f>M65+M67+M69</f>
        <v>-112676542.57897079</v>
      </c>
    </row>
    <row r="72" spans="1:13">
      <c r="A72" s="628"/>
      <c r="B72" s="628"/>
    </row>
    <row r="73" spans="1:13">
      <c r="A73" s="628"/>
      <c r="B73" s="628"/>
    </row>
    <row r="74" spans="1:13">
      <c r="A74" s="628"/>
      <c r="B74" s="628"/>
    </row>
    <row r="75" spans="1:13">
      <c r="A75" s="628"/>
      <c r="B75" s="266" t="s">
        <v>597</v>
      </c>
    </row>
    <row r="76" spans="1:13" ht="14.5" customHeight="1">
      <c r="A76" s="628"/>
      <c r="B76" s="1148" t="s">
        <v>608</v>
      </c>
      <c r="C76" s="1148"/>
      <c r="D76" s="1148"/>
      <c r="E76" s="1148"/>
      <c r="F76" s="1148"/>
      <c r="G76" s="1148"/>
      <c r="K76" s="643"/>
    </row>
    <row r="77" spans="1:13">
      <c r="B77" s="1148"/>
      <c r="C77" s="1148"/>
      <c r="D77" s="1148"/>
      <c r="E77" s="1148"/>
      <c r="F77" s="1148"/>
      <c r="G77" s="1148"/>
    </row>
  </sheetData>
  <mergeCells count="5">
    <mergeCell ref="E6:L6"/>
    <mergeCell ref="G42:H42"/>
    <mergeCell ref="G59:H59"/>
    <mergeCell ref="B76:G76"/>
    <mergeCell ref="B77:G77"/>
  </mergeCells>
  <pageMargins left="0.7" right="0.7" top="0.75" bottom="0.75" header="0.3" footer="0.3"/>
  <pageSetup scale="39" orientation="portrait" horizontalDpi="1200" verticalDpi="1200" r:id="rId1"/>
  <rowBreaks count="1" manualBreakCount="1">
    <brk id="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J23"/>
  <sheetViews>
    <sheetView view="pageBreakPreview" zoomScaleNormal="100" zoomScaleSheetLayoutView="100" workbookViewId="0"/>
  </sheetViews>
  <sheetFormatPr defaultRowHeight="15.5"/>
  <cols>
    <col min="1" max="1" width="3" customWidth="1"/>
    <col min="2" max="2" width="1.84375" customWidth="1"/>
    <col min="3" max="3" width="47.84375" customWidth="1"/>
    <col min="5" max="7" width="14" customWidth="1"/>
    <col min="8" max="8" width="5.07421875" customWidth="1"/>
  </cols>
  <sheetData>
    <row r="1" spans="1:10">
      <c r="H1" s="3" t="str">
        <f>'Attachment H-11A '!K1&amp;""&amp;", Attachment 6"</f>
        <v>Attachment H -11A, Attachment 6</v>
      </c>
    </row>
    <row r="2" spans="1:10">
      <c r="H2" s="3" t="s">
        <v>168</v>
      </c>
    </row>
    <row r="3" spans="1:10">
      <c r="A3" s="42"/>
      <c r="B3" s="95"/>
      <c r="F3" s="95"/>
      <c r="G3" s="95"/>
      <c r="H3" s="3" t="str">
        <f>'Attachment H-11A '!K4</f>
        <v>For the 12 months ended 12/31/2025</v>
      </c>
    </row>
    <row r="4" spans="1:10">
      <c r="A4" s="42"/>
      <c r="B4" s="95"/>
      <c r="D4" s="95"/>
      <c r="E4" s="95"/>
      <c r="F4" s="95"/>
      <c r="G4" s="95"/>
    </row>
    <row r="5" spans="1:10">
      <c r="A5" s="187">
        <v>1</v>
      </c>
      <c r="B5" s="185"/>
      <c r="C5" s="186" t="s">
        <v>292</v>
      </c>
      <c r="D5" s="185"/>
      <c r="E5" s="187"/>
      <c r="F5" s="187"/>
      <c r="G5" s="187"/>
    </row>
    <row r="6" spans="1:10">
      <c r="A6" s="187"/>
      <c r="B6" s="185"/>
      <c r="C6" s="186"/>
      <c r="D6" s="185"/>
      <c r="E6" s="187"/>
      <c r="F6" s="187"/>
      <c r="G6" s="187"/>
    </row>
    <row r="7" spans="1:10">
      <c r="A7" s="187">
        <f>+A5+1</f>
        <v>2</v>
      </c>
      <c r="B7" s="185"/>
      <c r="C7" s="900"/>
      <c r="D7" s="188"/>
      <c r="E7" s="618" t="s">
        <v>8</v>
      </c>
      <c r="F7" s="617" t="s">
        <v>280</v>
      </c>
    </row>
    <row r="8" spans="1:10">
      <c r="A8" s="187">
        <f>+A7+1</f>
        <v>3</v>
      </c>
      <c r="B8" s="185"/>
      <c r="C8" s="189" t="s">
        <v>623</v>
      </c>
      <c r="D8" s="189"/>
      <c r="E8" s="278">
        <f>'Attach 9 - Stated-value Inputs'!C17</f>
        <v>-15646300</v>
      </c>
      <c r="F8" s="189" t="s">
        <v>801</v>
      </c>
    </row>
    <row r="9" spans="1:10">
      <c r="A9" s="187">
        <f>+A8+1</f>
        <v>4</v>
      </c>
      <c r="B9" s="185"/>
      <c r="C9" s="189" t="s">
        <v>546</v>
      </c>
      <c r="D9" s="189"/>
      <c r="E9" s="278">
        <f>'Attach 9 - Stated-value Inputs'!C18</f>
        <v>2161999525</v>
      </c>
      <c r="F9" s="189" t="s">
        <v>802</v>
      </c>
    </row>
    <row r="10" spans="1:10">
      <c r="A10" s="187">
        <f t="shared" ref="A10:A12" si="0">+A9+1</f>
        <v>5</v>
      </c>
      <c r="B10" s="187"/>
      <c r="C10" s="189" t="s">
        <v>529</v>
      </c>
      <c r="D10" s="189"/>
      <c r="E10" s="194">
        <f>'Attach 9 - Stated-value Inputs'!C19</f>
        <v>-7.2369581117276149E-3</v>
      </c>
      <c r="F10" s="189"/>
    </row>
    <row r="11" spans="1:10">
      <c r="A11" s="187">
        <f t="shared" si="0"/>
        <v>6</v>
      </c>
      <c r="B11" s="187"/>
      <c r="C11" s="189" t="s">
        <v>622</v>
      </c>
      <c r="D11" s="189"/>
      <c r="E11" s="279">
        <v>3996377.9900000021</v>
      </c>
      <c r="F11" s="849" t="s">
        <v>965</v>
      </c>
      <c r="G11" s="849"/>
      <c r="H11" s="849"/>
      <c r="I11" s="849"/>
    </row>
    <row r="12" spans="1:10">
      <c r="A12" s="187">
        <f t="shared" si="0"/>
        <v>7</v>
      </c>
      <c r="B12" s="187"/>
      <c r="C12" s="189" t="s">
        <v>530</v>
      </c>
      <c r="D12" s="190"/>
      <c r="E12" s="191">
        <f>E10*E11</f>
        <v>-28921.620112260218</v>
      </c>
    </row>
    <row r="14" spans="1:10">
      <c r="A14" s="187">
        <f>+A12+1</f>
        <v>8</v>
      </c>
      <c r="B14" s="187"/>
      <c r="C14" s="189" t="s">
        <v>624</v>
      </c>
      <c r="D14" s="189"/>
      <c r="E14" s="279">
        <v>-329885.69999999995</v>
      </c>
      <c r="F14" s="849" t="s">
        <v>966</v>
      </c>
      <c r="G14" s="849"/>
      <c r="H14" s="849"/>
      <c r="I14" s="849"/>
      <c r="J14" s="849"/>
    </row>
    <row r="15" spans="1:10">
      <c r="A15" s="187">
        <f>+A14+1</f>
        <v>9</v>
      </c>
      <c r="B15" s="187"/>
      <c r="C15" s="189" t="s">
        <v>625</v>
      </c>
      <c r="D15" s="189"/>
      <c r="E15" s="672">
        <f>'Attachment H-11A '!I213</f>
        <v>3.3378594941179174E-2</v>
      </c>
    </row>
    <row r="16" spans="1:10">
      <c r="A16" s="187">
        <v>10</v>
      </c>
      <c r="B16" s="187"/>
      <c r="C16" s="189" t="s">
        <v>626</v>
      </c>
      <c r="D16" s="189"/>
      <c r="E16" s="193">
        <f>E14*E15</f>
        <v>-11011.121157187348</v>
      </c>
    </row>
    <row r="17" spans="1:7">
      <c r="D17" s="189"/>
      <c r="E17" s="193"/>
    </row>
    <row r="18" spans="1:7">
      <c r="A18" s="187">
        <v>11</v>
      </c>
      <c r="B18" s="187"/>
      <c r="C18" s="189" t="s">
        <v>1146</v>
      </c>
      <c r="D18" s="189"/>
      <c r="E18" s="193">
        <f>E12-E16</f>
        <v>-17910.498955072871</v>
      </c>
    </row>
    <row r="19" spans="1:7">
      <c r="A19" s="187"/>
      <c r="B19" s="187"/>
      <c r="D19" s="189"/>
      <c r="E19" s="193"/>
    </row>
    <row r="20" spans="1:7">
      <c r="A20" s="187"/>
      <c r="B20" s="187"/>
      <c r="C20" s="189"/>
      <c r="D20" s="189"/>
      <c r="E20" s="193"/>
    </row>
    <row r="21" spans="1:7">
      <c r="A21" s="187"/>
      <c r="B21" s="187"/>
      <c r="C21" s="189"/>
      <c r="D21" s="189"/>
      <c r="E21" s="195"/>
      <c r="F21" s="195"/>
      <c r="G21" s="195"/>
    </row>
    <row r="22" spans="1:7">
      <c r="A22" s="187"/>
      <c r="B22" s="187"/>
      <c r="C22" s="189"/>
      <c r="D22" s="189"/>
      <c r="E22" s="193"/>
      <c r="F22" s="193"/>
      <c r="G22" s="193"/>
    </row>
    <row r="23" spans="1:7">
      <c r="A23" s="187">
        <v>12</v>
      </c>
      <c r="B23" s="187"/>
      <c r="C23" s="189" t="s">
        <v>573</v>
      </c>
      <c r="D23" s="189"/>
      <c r="E23" s="189"/>
    </row>
  </sheetData>
  <pageMargins left="0.7" right="0.7" top="0.75" bottom="0.75" header="0.3" footer="0.3"/>
  <pageSetup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I48"/>
  <sheetViews>
    <sheetView view="pageBreakPreview" zoomScale="90" zoomScaleNormal="100" zoomScaleSheetLayoutView="90" workbookViewId="0"/>
  </sheetViews>
  <sheetFormatPr defaultColWidth="8.84375" defaultRowHeight="20.149999999999999" customHeight="1"/>
  <cols>
    <col min="1" max="1" width="3.84375" style="39" customWidth="1"/>
    <col min="2" max="2" width="71.4609375" style="831" customWidth="1"/>
    <col min="3" max="3" width="10.84375" style="38" customWidth="1"/>
    <col min="4" max="4" width="16.07421875" style="48" customWidth="1"/>
    <col min="5" max="5" width="13.23046875" style="502" customWidth="1"/>
    <col min="6" max="6" width="12.84375" style="39" customWidth="1"/>
    <col min="7" max="7" width="52.23046875" style="681" customWidth="1"/>
    <col min="8" max="16384" width="8.84375" style="33"/>
  </cols>
  <sheetData>
    <row r="1" spans="1:9" ht="20.149999999999999" customHeight="1">
      <c r="D1" s="3" t="str">
        <f>'Attachment H-11A '!K1&amp;""&amp;", Attachment 7"</f>
        <v>Attachment H -11A, Attachment 7</v>
      </c>
    </row>
    <row r="2" spans="1:9" ht="20.149999999999999" customHeight="1">
      <c r="B2" s="681"/>
      <c r="D2" s="3" t="s">
        <v>168</v>
      </c>
    </row>
    <row r="3" spans="1:9" ht="20.149999999999999" customHeight="1">
      <c r="D3" s="3" t="str">
        <f>'Attachment H-11A '!K4</f>
        <v>For the 12 months ended 12/31/2025</v>
      </c>
    </row>
    <row r="4" spans="1:9" ht="20.149999999999999" customHeight="1">
      <c r="A4" s="42"/>
      <c r="B4" s="859" t="s">
        <v>498</v>
      </c>
    </row>
    <row r="5" spans="1:9" ht="20.149999999999999" customHeight="1">
      <c r="E5" s="1074"/>
      <c r="F5" s="41"/>
    </row>
    <row r="6" spans="1:9" ht="20.149999999999999" customHeight="1">
      <c r="B6" s="860"/>
      <c r="C6" s="40" t="s">
        <v>205</v>
      </c>
      <c r="D6" s="850" t="str">
        <f>MID(D3:D3,25,10)</f>
        <v>12/31/2025</v>
      </c>
      <c r="E6" s="1072"/>
      <c r="F6" s="1073"/>
      <c r="G6" s="859"/>
      <c r="I6" s="41"/>
    </row>
    <row r="7" spans="1:9" ht="20.149999999999999" customHeight="1">
      <c r="A7" s="51">
        <v>1</v>
      </c>
      <c r="B7" s="861" t="s">
        <v>221</v>
      </c>
      <c r="C7" s="48"/>
      <c r="D7" s="41"/>
      <c r="F7" s="41"/>
      <c r="G7" s="859"/>
    </row>
    <row r="8" spans="1:9" ht="20.149999999999999" customHeight="1">
      <c r="A8" s="830" t="s">
        <v>464</v>
      </c>
      <c r="B8" s="862" t="s">
        <v>1303</v>
      </c>
      <c r="C8" s="48" t="s">
        <v>55</v>
      </c>
      <c r="D8" s="86">
        <v>5167401.5199999996</v>
      </c>
      <c r="G8" s="859"/>
    </row>
    <row r="9" spans="1:9" ht="20.149999999999999" customHeight="1">
      <c r="A9" s="830" t="s">
        <v>465</v>
      </c>
      <c r="B9" s="862" t="s">
        <v>1304</v>
      </c>
      <c r="C9" s="48" t="s">
        <v>55</v>
      </c>
      <c r="D9" s="86">
        <v>48347</v>
      </c>
      <c r="G9" s="859"/>
    </row>
    <row r="10" spans="1:9" ht="20.149999999999999" customHeight="1">
      <c r="A10" s="830" t="s">
        <v>466</v>
      </c>
      <c r="B10" s="862" t="s">
        <v>1305</v>
      </c>
      <c r="C10" s="48" t="s">
        <v>55</v>
      </c>
      <c r="D10" s="86"/>
      <c r="G10" s="859"/>
    </row>
    <row r="11" spans="1:9" ht="20.149999999999999" customHeight="1" thickBot="1">
      <c r="A11" s="830" t="s">
        <v>509</v>
      </c>
      <c r="B11" s="862" t="s">
        <v>1306</v>
      </c>
      <c r="C11" s="48" t="s">
        <v>55</v>
      </c>
      <c r="D11" s="92"/>
      <c r="F11" s="40"/>
      <c r="G11" s="1075"/>
    </row>
    <row r="12" spans="1:9" ht="20.149999999999999" customHeight="1">
      <c r="A12" s="51" t="s">
        <v>473</v>
      </c>
      <c r="B12" s="863" t="s">
        <v>223</v>
      </c>
      <c r="C12" s="48"/>
      <c r="D12" s="93">
        <f>SUM(D8:D11)</f>
        <v>5215748.5199999996</v>
      </c>
      <c r="E12" s="400"/>
      <c r="F12" s="400"/>
      <c r="I12" s="34"/>
    </row>
    <row r="13" spans="1:9" ht="20.149999999999999" customHeight="1">
      <c r="A13" s="51"/>
      <c r="B13" s="861"/>
      <c r="C13" s="48"/>
      <c r="D13" s="93"/>
    </row>
    <row r="14" spans="1:9" ht="20.149999999999999" customHeight="1">
      <c r="A14" s="51" t="s">
        <v>467</v>
      </c>
      <c r="B14" s="861" t="s">
        <v>220</v>
      </c>
      <c r="C14" s="48"/>
      <c r="D14" s="93"/>
      <c r="F14" s="1064"/>
      <c r="G14" s="1076"/>
      <c r="H14" s="1065"/>
      <c r="I14" s="45"/>
    </row>
    <row r="15" spans="1:9" ht="20.149999999999999" customHeight="1">
      <c r="A15" s="830" t="s">
        <v>433</v>
      </c>
      <c r="B15" s="862" t="s">
        <v>1307</v>
      </c>
      <c r="C15" s="48" t="s">
        <v>55</v>
      </c>
      <c r="D15" s="86">
        <v>1800</v>
      </c>
      <c r="F15" s="1064"/>
      <c r="G15" s="1076"/>
      <c r="H15" s="1065"/>
      <c r="I15" s="45"/>
    </row>
    <row r="16" spans="1:9" ht="20.149999999999999" customHeight="1" thickBot="1">
      <c r="A16" s="830" t="s">
        <v>434</v>
      </c>
      <c r="B16" s="865" t="s">
        <v>1308</v>
      </c>
      <c r="C16" s="48" t="s">
        <v>55</v>
      </c>
      <c r="D16" s="92"/>
      <c r="F16" s="1064"/>
      <c r="G16" s="1076"/>
      <c r="H16" s="1065"/>
      <c r="I16" s="45"/>
    </row>
    <row r="17" spans="1:9" ht="20.149999999999999" customHeight="1">
      <c r="A17" s="51" t="s">
        <v>474</v>
      </c>
      <c r="B17" s="864" t="s">
        <v>220</v>
      </c>
      <c r="C17" s="48"/>
      <c r="D17" s="93">
        <f>SUM(D15:D16)</f>
        <v>1800</v>
      </c>
      <c r="E17" s="400"/>
      <c r="F17" s="400"/>
      <c r="G17" s="1076"/>
      <c r="H17" s="1065"/>
      <c r="I17" s="45"/>
    </row>
    <row r="18" spans="1:9" ht="20.149999999999999" customHeight="1">
      <c r="A18" s="51"/>
      <c r="B18" s="861"/>
      <c r="C18" s="48"/>
      <c r="D18" s="93"/>
      <c r="F18" s="1064"/>
      <c r="G18" s="1076"/>
      <c r="H18" s="1065"/>
      <c r="I18" s="45"/>
    </row>
    <row r="19" spans="1:9" ht="20.149999999999999" customHeight="1">
      <c r="A19" s="51" t="s">
        <v>191</v>
      </c>
      <c r="B19" s="861" t="s">
        <v>219</v>
      </c>
      <c r="C19" s="48"/>
      <c r="D19" s="93"/>
      <c r="F19" s="1064"/>
      <c r="G19" s="1076"/>
      <c r="H19" s="1065"/>
      <c r="I19" s="45"/>
    </row>
    <row r="20" spans="1:9" ht="20.149999999999999" customHeight="1">
      <c r="A20" s="830" t="s">
        <v>507</v>
      </c>
      <c r="B20" s="862" t="s">
        <v>1309</v>
      </c>
      <c r="C20" s="48" t="s">
        <v>55</v>
      </c>
      <c r="D20" s="378">
        <v>300</v>
      </c>
      <c r="F20" s="1064"/>
      <c r="G20" s="1076"/>
      <c r="H20" s="1065"/>
      <c r="I20" s="45"/>
    </row>
    <row r="21" spans="1:9" ht="20.149999999999999" customHeight="1">
      <c r="A21" s="830" t="s">
        <v>468</v>
      </c>
      <c r="B21" s="862" t="s">
        <v>1310</v>
      </c>
      <c r="C21" s="48" t="s">
        <v>55</v>
      </c>
      <c r="D21" s="86">
        <v>5412</v>
      </c>
      <c r="F21" s="1064"/>
      <c r="G21" s="1076"/>
      <c r="H21" s="1065"/>
      <c r="I21" s="45"/>
    </row>
    <row r="22" spans="1:9" ht="20.149999999999999" customHeight="1" thickBot="1">
      <c r="A22" s="830" t="s">
        <v>469</v>
      </c>
      <c r="B22" s="862" t="s">
        <v>1389</v>
      </c>
      <c r="C22" s="48" t="s">
        <v>55</v>
      </c>
      <c r="D22" s="92">
        <v>25447980</v>
      </c>
      <c r="F22" s="1064"/>
      <c r="G22" s="1076"/>
      <c r="H22" s="1065"/>
      <c r="I22" s="45"/>
    </row>
    <row r="23" spans="1:9" ht="20.149999999999999" customHeight="1">
      <c r="A23" s="51" t="s">
        <v>475</v>
      </c>
      <c r="B23" s="864" t="s">
        <v>219</v>
      </c>
      <c r="C23" s="48"/>
      <c r="D23" s="93">
        <f>SUM(D20:D22)</f>
        <v>25453692</v>
      </c>
      <c r="E23" s="400"/>
      <c r="F23" s="400"/>
      <c r="G23" s="1076"/>
      <c r="H23" s="1065"/>
      <c r="I23" s="45"/>
    </row>
    <row r="24" spans="1:9" ht="20.149999999999999" customHeight="1">
      <c r="A24" s="51"/>
      <c r="B24" s="861"/>
      <c r="C24" s="48"/>
      <c r="D24" s="93"/>
      <c r="F24" s="1064"/>
      <c r="G24" s="1076"/>
      <c r="H24" s="1065"/>
      <c r="I24" s="45"/>
    </row>
    <row r="25" spans="1:9" ht="30.75" customHeight="1">
      <c r="A25" s="51" t="s">
        <v>192</v>
      </c>
      <c r="B25" s="861" t="s">
        <v>872</v>
      </c>
      <c r="C25" s="33"/>
      <c r="D25" s="93"/>
      <c r="F25" s="1064"/>
      <c r="G25" s="1076"/>
      <c r="H25" s="1065"/>
      <c r="I25" s="45"/>
    </row>
    <row r="26" spans="1:9" ht="20.149999999999999" customHeight="1">
      <c r="A26" s="51"/>
      <c r="B26" s="861" t="s">
        <v>867</v>
      </c>
      <c r="C26" s="33"/>
      <c r="D26" s="93"/>
      <c r="F26" s="1064"/>
      <c r="G26" s="1076"/>
      <c r="H26" s="1065"/>
      <c r="I26" s="45"/>
    </row>
    <row r="27" spans="1:9" ht="20.149999999999999" customHeight="1">
      <c r="A27" s="830" t="s">
        <v>439</v>
      </c>
      <c r="B27" s="862" t="s">
        <v>1311</v>
      </c>
      <c r="C27" s="48" t="s">
        <v>55</v>
      </c>
      <c r="D27" s="1052">
        <v>9053000</v>
      </c>
      <c r="E27" s="1071"/>
      <c r="F27" s="1064"/>
      <c r="G27" s="1076"/>
      <c r="H27" s="1065"/>
      <c r="I27" s="45"/>
    </row>
    <row r="28" spans="1:9" ht="20.149999999999999" customHeight="1">
      <c r="A28" s="43"/>
      <c r="B28" s="861" t="s">
        <v>870</v>
      </c>
      <c r="C28" s="48"/>
      <c r="D28" s="857"/>
      <c r="F28" s="1064"/>
      <c r="G28" s="1077"/>
      <c r="H28" s="1064"/>
      <c r="I28" s="858"/>
    </row>
    <row r="29" spans="1:9" ht="20.149999999999999" customHeight="1">
      <c r="A29" s="830" t="s">
        <v>868</v>
      </c>
      <c r="B29" s="862" t="s">
        <v>1312</v>
      </c>
      <c r="C29" s="48" t="s">
        <v>55</v>
      </c>
      <c r="D29" s="89">
        <v>13645321.4</v>
      </c>
      <c r="E29" s="1071"/>
      <c r="F29" s="1064"/>
      <c r="G29" s="1076"/>
      <c r="H29" s="1065"/>
      <c r="I29" s="45"/>
    </row>
    <row r="30" spans="1:9" ht="20.149999999999999" customHeight="1" thickBot="1">
      <c r="A30" s="830" t="s">
        <v>869</v>
      </c>
      <c r="B30" s="862"/>
      <c r="C30" s="48" t="s">
        <v>55</v>
      </c>
      <c r="D30" s="92"/>
      <c r="F30" s="1064"/>
      <c r="G30" s="1076"/>
      <c r="H30" s="1065"/>
      <c r="I30" s="45"/>
    </row>
    <row r="31" spans="1:9" ht="20.149999999999999" customHeight="1">
      <c r="A31" s="43" t="s">
        <v>476</v>
      </c>
      <c r="B31" s="864" t="s">
        <v>872</v>
      </c>
      <c r="C31" s="33"/>
      <c r="D31" s="87">
        <f>SUM(D27:D27,D29:D30)</f>
        <v>22698321.399999999</v>
      </c>
      <c r="E31" s="87"/>
      <c r="F31" s="87"/>
      <c r="G31" s="1076"/>
      <c r="H31" s="1065"/>
      <c r="I31" s="45"/>
    </row>
    <row r="32" spans="1:9" ht="20.149999999999999" customHeight="1">
      <c r="A32" s="51"/>
      <c r="B32" s="861"/>
      <c r="C32" s="48"/>
      <c r="D32" s="93"/>
      <c r="F32" s="1064"/>
      <c r="G32" s="1076"/>
      <c r="H32" s="1065"/>
      <c r="I32" s="45"/>
    </row>
    <row r="33" spans="1:9" ht="20.149999999999999" customHeight="1">
      <c r="A33" s="51" t="s">
        <v>144</v>
      </c>
      <c r="B33" s="861" t="s">
        <v>222</v>
      </c>
      <c r="C33" s="48"/>
      <c r="D33" s="93"/>
      <c r="F33" s="1064"/>
      <c r="G33" s="1076"/>
      <c r="H33" s="1065"/>
      <c r="I33" s="45"/>
    </row>
    <row r="34" spans="1:9" ht="20.149999999999999" customHeight="1">
      <c r="A34" s="830" t="s">
        <v>470</v>
      </c>
      <c r="B34" s="865" t="s">
        <v>1313</v>
      </c>
      <c r="C34" s="48" t="s">
        <v>55</v>
      </c>
      <c r="D34" s="86"/>
      <c r="F34" s="1064"/>
      <c r="G34" s="1076"/>
      <c r="H34" s="1065"/>
      <c r="I34" s="45"/>
    </row>
    <row r="35" spans="1:9" ht="20.149999999999999" customHeight="1">
      <c r="A35" s="830" t="s">
        <v>471</v>
      </c>
      <c r="B35" s="865" t="s">
        <v>1314</v>
      </c>
      <c r="C35" s="48" t="s">
        <v>55</v>
      </c>
      <c r="D35" s="86">
        <v>6999.96</v>
      </c>
      <c r="F35" s="1064"/>
      <c r="G35" s="1076"/>
      <c r="H35" s="1065"/>
      <c r="I35" s="45"/>
    </row>
    <row r="36" spans="1:9" ht="20.149999999999999" customHeight="1">
      <c r="A36" s="830" t="s">
        <v>472</v>
      </c>
      <c r="B36" s="865" t="s">
        <v>222</v>
      </c>
      <c r="C36" s="48" t="s">
        <v>55</v>
      </c>
      <c r="D36" s="86">
        <v>6060</v>
      </c>
      <c r="F36" s="1064"/>
      <c r="G36" s="1076"/>
      <c r="H36" s="1065"/>
      <c r="I36" s="45"/>
    </row>
    <row r="37" spans="1:9" ht="20.149999999999999" customHeight="1" thickBot="1">
      <c r="A37" s="830"/>
      <c r="B37" s="865"/>
      <c r="C37" s="48"/>
      <c r="D37" s="92"/>
      <c r="F37" s="1064"/>
      <c r="G37" s="1076"/>
      <c r="H37" s="1065"/>
      <c r="I37" s="45"/>
    </row>
    <row r="38" spans="1:9" ht="20.149999999999999" customHeight="1">
      <c r="A38" s="51" t="s">
        <v>477</v>
      </c>
      <c r="B38" s="864" t="s">
        <v>222</v>
      </c>
      <c r="C38" s="48"/>
      <c r="D38" s="93">
        <f>SUM(D34:D37)</f>
        <v>13059.96</v>
      </c>
      <c r="E38" s="400"/>
      <c r="F38" s="400"/>
    </row>
    <row r="39" spans="1:9" ht="20.149999999999999" customHeight="1">
      <c r="A39" s="51"/>
      <c r="B39" s="860"/>
      <c r="C39" s="48"/>
      <c r="D39" s="93"/>
    </row>
    <row r="40" spans="1:9" ht="20.149999999999999" customHeight="1">
      <c r="A40" s="51" t="s">
        <v>478</v>
      </c>
      <c r="B40" s="861" t="s">
        <v>224</v>
      </c>
      <c r="C40" s="48"/>
      <c r="D40" s="86"/>
    </row>
    <row r="42" spans="1:9" ht="31.5" customHeight="1">
      <c r="A42" s="51" t="s">
        <v>147</v>
      </c>
      <c r="B42" s="1151" t="s">
        <v>479</v>
      </c>
      <c r="C42" s="1151"/>
      <c r="D42" s="37">
        <f>D12+D17+D23+D31+D38+D40</f>
        <v>53382621.880000003</v>
      </c>
      <c r="E42" s="38"/>
      <c r="F42" s="38"/>
    </row>
    <row r="46" spans="1:9" ht="20.149999999999999" customHeight="1">
      <c r="A46" s="33" t="s">
        <v>206</v>
      </c>
      <c r="B46" s="860"/>
    </row>
    <row r="47" spans="1:9" s="48" customFormat="1" ht="20.149999999999999" customHeight="1">
      <c r="A47" s="39" t="s">
        <v>205</v>
      </c>
      <c r="B47" s="831" t="s">
        <v>207</v>
      </c>
      <c r="E47" s="502"/>
      <c r="F47" s="39"/>
      <c r="G47" s="681"/>
      <c r="H47" s="33"/>
      <c r="I47" s="33"/>
    </row>
    <row r="48" spans="1:9" ht="20.149999999999999" customHeight="1">
      <c r="A48" s="39" t="s">
        <v>218</v>
      </c>
      <c r="B48" s="831" t="s">
        <v>871</v>
      </c>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42:C42"/>
  </mergeCells>
  <pageMargins left="0.7" right="0.7" top="0.75" bottom="0.75" header="0.3" footer="0.3"/>
  <pageSetup scale="60" orientation="portrait" r:id="rId2"/>
  <headerFooter alignWithMargins="0"/>
  <ignoredErrors>
    <ignoredError sqref="A2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O29"/>
  <sheetViews>
    <sheetView view="pageBreakPreview" zoomScale="70" zoomScaleNormal="100" zoomScaleSheetLayoutView="70" workbookViewId="0"/>
  </sheetViews>
  <sheetFormatPr defaultColWidth="8.84375" defaultRowHeight="20.149999999999999" customHeight="1"/>
  <cols>
    <col min="1" max="1" width="2.84375" style="39" customWidth="1"/>
    <col min="2" max="2" width="11.3046875" style="33" customWidth="1"/>
    <col min="3" max="3" width="6.4609375" style="33" customWidth="1"/>
    <col min="4" max="4" width="2.84375" style="33" customWidth="1"/>
    <col min="5" max="5" width="12.84375" style="39" customWidth="1"/>
    <col min="6" max="6" width="17.3046875" style="39" customWidth="1"/>
    <col min="7" max="7" width="17.69140625" style="39" customWidth="1"/>
    <col min="8" max="8" width="16.53515625" style="39" bestFit="1" customWidth="1"/>
    <col min="9" max="9" width="16.53515625" style="39" customWidth="1"/>
    <col min="10" max="10" width="14.84375" style="39" customWidth="1"/>
    <col min="11" max="11" width="11.4609375" style="39" customWidth="1"/>
    <col min="12" max="12" width="21.84375" style="39" customWidth="1"/>
    <col min="13" max="13" width="17.69140625" style="39" customWidth="1"/>
    <col min="14" max="14" width="16.84375" style="33" bestFit="1" customWidth="1"/>
    <col min="15" max="15" width="8.84375" style="33"/>
    <col min="16" max="17" width="13.53515625" style="33" bestFit="1" customWidth="1"/>
    <col min="18" max="16384" width="8.84375" style="33"/>
  </cols>
  <sheetData>
    <row r="1" spans="1:15" ht="20.149999999999999" customHeight="1">
      <c r="O1" s="3" t="str">
        <f>'Attachment H-11A '!K1&amp;""&amp;", Attachment 8"</f>
        <v>Attachment H -11A, Attachment 8</v>
      </c>
    </row>
    <row r="2" spans="1:15" ht="20.149999999999999" customHeight="1">
      <c r="O2" s="3" t="s">
        <v>168</v>
      </c>
    </row>
    <row r="3" spans="1:15" ht="20.149999999999999" customHeight="1">
      <c r="I3" s="41" t="s">
        <v>499</v>
      </c>
      <c r="O3" s="3" t="str">
        <f>'Attachment H-11A '!K4</f>
        <v>For the 12 months ended 12/31/2025</v>
      </c>
    </row>
    <row r="4" spans="1:15" ht="20.149999999999999" customHeight="1">
      <c r="A4" s="42"/>
    </row>
    <row r="5" spans="1:15" ht="20.149999999999999" customHeight="1">
      <c r="E5" s="50" t="s">
        <v>457</v>
      </c>
      <c r="F5" s="50" t="s">
        <v>458</v>
      </c>
      <c r="G5" s="50" t="s">
        <v>459</v>
      </c>
      <c r="H5" s="50" t="s">
        <v>460</v>
      </c>
      <c r="I5" s="50" t="s">
        <v>461</v>
      </c>
      <c r="J5" s="50" t="s">
        <v>462</v>
      </c>
      <c r="K5" s="50" t="s">
        <v>463</v>
      </c>
      <c r="L5" s="50" t="s">
        <v>765</v>
      </c>
      <c r="M5" s="50" t="s">
        <v>925</v>
      </c>
    </row>
    <row r="6" spans="1:15" ht="24" customHeight="1">
      <c r="E6" s="41" t="s">
        <v>225</v>
      </c>
      <c r="F6" s="41" t="s">
        <v>924</v>
      </c>
      <c r="G6" s="41" t="s">
        <v>227</v>
      </c>
      <c r="H6" s="41" t="s">
        <v>228</v>
      </c>
      <c r="I6" s="41" t="s">
        <v>228</v>
      </c>
      <c r="J6" s="41" t="s">
        <v>420</v>
      </c>
      <c r="K6" s="41" t="s">
        <v>445</v>
      </c>
      <c r="L6" s="41" t="s">
        <v>88</v>
      </c>
      <c r="M6" s="41" t="s">
        <v>229</v>
      </c>
    </row>
    <row r="7" spans="1:15" ht="20.149999999999999" customHeight="1">
      <c r="E7" s="41" t="s">
        <v>226</v>
      </c>
      <c r="F7" s="41" t="s">
        <v>926</v>
      </c>
      <c r="G7" s="41"/>
      <c r="H7" s="41"/>
      <c r="I7" s="41" t="s">
        <v>927</v>
      </c>
      <c r="J7" s="41"/>
      <c r="K7" s="41"/>
      <c r="L7" s="41"/>
      <c r="M7" s="41"/>
    </row>
    <row r="8" spans="1:15" ht="20.149999999999999" customHeight="1">
      <c r="D8" s="37" t="s">
        <v>205</v>
      </c>
      <c r="E8" s="40" t="s">
        <v>230</v>
      </c>
      <c r="F8" s="40" t="s">
        <v>547</v>
      </c>
      <c r="G8" s="40" t="s">
        <v>510</v>
      </c>
      <c r="H8" s="40" t="s">
        <v>231</v>
      </c>
      <c r="I8" s="40" t="s">
        <v>547</v>
      </c>
      <c r="J8" s="40" t="s">
        <v>419</v>
      </c>
      <c r="K8" s="40" t="s">
        <v>446</v>
      </c>
      <c r="L8" s="40" t="s">
        <v>928</v>
      </c>
      <c r="M8" s="43" t="s">
        <v>1264</v>
      </c>
    </row>
    <row r="9" spans="1:15" ht="20.149999999999999" customHeight="1">
      <c r="A9" s="43">
        <v>1</v>
      </c>
      <c r="B9" s="33" t="str">
        <f>'Attachment 3 - Gross Plant'!B8</f>
        <v>December</v>
      </c>
      <c r="C9" s="35">
        <f>'Attachment 3 - Gross Plant'!C8</f>
        <v>2024</v>
      </c>
      <c r="D9" s="37"/>
      <c r="E9" s="86">
        <v>1896588447.1605101</v>
      </c>
      <c r="F9" s="86">
        <v>43482178.307266504</v>
      </c>
      <c r="G9" s="86"/>
      <c r="H9" s="86">
        <v>219814532</v>
      </c>
      <c r="I9" s="86">
        <v>-210519686</v>
      </c>
      <c r="J9" s="86">
        <v>-144905.99574381599</v>
      </c>
      <c r="K9" s="86"/>
      <c r="L9" s="93">
        <f>E9-G9-H9-J9-K9-F9-I9</f>
        <v>1843956328.8489873</v>
      </c>
      <c r="M9" s="86">
        <v>1649999999.9999926</v>
      </c>
      <c r="N9" s="502"/>
    </row>
    <row r="10" spans="1:15" ht="20.149999999999999" customHeight="1">
      <c r="A10" s="43">
        <v>2</v>
      </c>
      <c r="B10" s="33" t="str">
        <f>'Attachment 3 - Gross Plant'!B9</f>
        <v>January</v>
      </c>
      <c r="C10" s="35">
        <f>C9+1</f>
        <v>2025</v>
      </c>
      <c r="E10" s="86">
        <v>1917599451.6270499</v>
      </c>
      <c r="F10" s="86">
        <v>43881532.534515999</v>
      </c>
      <c r="G10" s="86"/>
      <c r="H10" s="86">
        <v>219814532</v>
      </c>
      <c r="I10" s="86">
        <v>-210519686</v>
      </c>
      <c r="J10" s="86">
        <v>-140107.73889258</v>
      </c>
      <c r="K10" s="86"/>
      <c r="L10" s="93">
        <f t="shared" ref="L10:L21" si="0">E10-G10-H10-J10-K10-F10-I10</f>
        <v>1864563180.8314264</v>
      </c>
      <c r="M10" s="86">
        <v>1649999999.9999931</v>
      </c>
      <c r="N10" s="502"/>
    </row>
    <row r="11" spans="1:15" ht="20.149999999999999" customHeight="1">
      <c r="A11" s="43">
        <v>3</v>
      </c>
      <c r="B11" s="33" t="str">
        <f>'Attachment 3 - Gross Plant'!B10</f>
        <v>February</v>
      </c>
      <c r="C11" s="35">
        <f>C10</f>
        <v>2025</v>
      </c>
      <c r="E11" s="86">
        <v>1935172153.3875201</v>
      </c>
      <c r="F11" s="86">
        <v>44290361.939361103</v>
      </c>
      <c r="G11" s="86"/>
      <c r="H11" s="86">
        <v>219814532</v>
      </c>
      <c r="I11" s="86">
        <v>-210519686</v>
      </c>
      <c r="J11" s="86">
        <v>-135309.482041343</v>
      </c>
      <c r="K11" s="86"/>
      <c r="L11" s="93">
        <f t="shared" si="0"/>
        <v>1881722254.9302003</v>
      </c>
      <c r="M11" s="86">
        <v>1649999999.9999936</v>
      </c>
      <c r="N11" s="502"/>
    </row>
    <row r="12" spans="1:15" ht="20.149999999999999" customHeight="1">
      <c r="A12" s="43">
        <v>4</v>
      </c>
      <c r="B12" s="33" t="str">
        <f>'Attachment 3 - Gross Plant'!B11</f>
        <v>March</v>
      </c>
      <c r="C12" s="35">
        <f t="shared" ref="C12:C21" si="1">C11</f>
        <v>2025</v>
      </c>
      <c r="E12" s="86">
        <v>1930563897.5652299</v>
      </c>
      <c r="F12" s="86">
        <v>43706163.908641599</v>
      </c>
      <c r="G12" s="86"/>
      <c r="H12" s="86">
        <v>219814532</v>
      </c>
      <c r="I12" s="86">
        <v>-210519686</v>
      </c>
      <c r="J12" s="86">
        <v>-130511.22519010599</v>
      </c>
      <c r="K12" s="86"/>
      <c r="L12" s="93">
        <f t="shared" si="0"/>
        <v>1877693398.8817785</v>
      </c>
      <c r="M12" s="86">
        <v>1649999999.999994</v>
      </c>
      <c r="N12" s="502"/>
    </row>
    <row r="13" spans="1:15" ht="20.149999999999999" customHeight="1">
      <c r="A13" s="43">
        <v>5</v>
      </c>
      <c r="B13" s="33" t="str">
        <f>'Attachment 3 - Gross Plant'!B12</f>
        <v>April</v>
      </c>
      <c r="C13" s="35">
        <f t="shared" si="1"/>
        <v>2025</v>
      </c>
      <c r="E13" s="86">
        <v>1939794569.39469</v>
      </c>
      <c r="F13" s="86">
        <v>44117257.175884098</v>
      </c>
      <c r="G13" s="86"/>
      <c r="H13" s="86">
        <v>219814532</v>
      </c>
      <c r="I13" s="86">
        <v>-210519686</v>
      </c>
      <c r="J13" s="86">
        <v>-125712.96833887001</v>
      </c>
      <c r="K13" s="86"/>
      <c r="L13" s="93">
        <f t="shared" si="0"/>
        <v>1886508179.187145</v>
      </c>
      <c r="M13" s="86">
        <v>1649999999.9999945</v>
      </c>
      <c r="N13" s="502"/>
    </row>
    <row r="14" spans="1:15" ht="20.149999999999999" customHeight="1">
      <c r="A14" s="43">
        <v>6</v>
      </c>
      <c r="B14" s="33" t="str">
        <f>'Attachment 3 - Gross Plant'!B13</f>
        <v>May</v>
      </c>
      <c r="C14" s="35">
        <f t="shared" si="1"/>
        <v>2025</v>
      </c>
      <c r="E14" s="86">
        <v>1947180582.7065399</v>
      </c>
      <c r="F14" s="86">
        <v>44534160.027419098</v>
      </c>
      <c r="G14" s="86"/>
      <c r="H14" s="86">
        <v>219814532</v>
      </c>
      <c r="I14" s="86">
        <v>-210519686</v>
      </c>
      <c r="J14" s="86">
        <v>-120914.711487633</v>
      </c>
      <c r="K14" s="86"/>
      <c r="L14" s="93">
        <f t="shared" si="0"/>
        <v>1893472491.3906083</v>
      </c>
      <c r="M14" s="86">
        <v>1649999999.999995</v>
      </c>
      <c r="N14" s="502"/>
    </row>
    <row r="15" spans="1:15" ht="20.149999999999999" customHeight="1">
      <c r="A15" s="43">
        <v>7</v>
      </c>
      <c r="B15" s="33" t="str">
        <f>'Attachment 3 - Gross Plant'!B14</f>
        <v>June</v>
      </c>
      <c r="C15" s="35">
        <f t="shared" si="1"/>
        <v>2025</v>
      </c>
      <c r="E15" s="86">
        <v>1937188441.2685099</v>
      </c>
      <c r="F15" s="86">
        <v>43968364.6288203</v>
      </c>
      <c r="G15" s="86"/>
      <c r="H15" s="86">
        <v>219814532</v>
      </c>
      <c r="I15" s="86">
        <v>-210519686</v>
      </c>
      <c r="J15" s="86">
        <v>-116116.454636396</v>
      </c>
      <c r="K15" s="86"/>
      <c r="L15" s="93">
        <f t="shared" si="0"/>
        <v>1884041347.094326</v>
      </c>
      <c r="M15" s="86">
        <v>1649999999.9999955</v>
      </c>
      <c r="N15" s="502"/>
    </row>
    <row r="16" spans="1:15" ht="20.149999999999999" customHeight="1">
      <c r="A16" s="43">
        <v>8</v>
      </c>
      <c r="B16" s="33" t="str">
        <f>'Attachment 3 - Gross Plant'!B15</f>
        <v>July</v>
      </c>
      <c r="C16" s="35">
        <f t="shared" si="1"/>
        <v>2025</v>
      </c>
      <c r="E16" s="86">
        <v>1952733805.4179699</v>
      </c>
      <c r="F16" s="86">
        <v>44373737.1250351</v>
      </c>
      <c r="G16" s="86"/>
      <c r="H16" s="86">
        <v>219814532</v>
      </c>
      <c r="I16" s="86">
        <v>-210519686</v>
      </c>
      <c r="J16" s="86">
        <v>-111318.19778515999</v>
      </c>
      <c r="K16" s="86"/>
      <c r="L16" s="93">
        <f t="shared" si="0"/>
        <v>1899176540.49072</v>
      </c>
      <c r="M16" s="86">
        <v>1649999999.9999962</v>
      </c>
      <c r="N16" s="502"/>
    </row>
    <row r="17" spans="1:14" ht="20.149999999999999" customHeight="1">
      <c r="A17" s="43">
        <v>9</v>
      </c>
      <c r="B17" s="33" t="str">
        <f>'Attachment 3 - Gross Plant'!B16</f>
        <v>August</v>
      </c>
      <c r="C17" s="35">
        <f t="shared" si="1"/>
        <v>2025</v>
      </c>
      <c r="E17" s="86">
        <v>1970407040.93765</v>
      </c>
      <c r="F17" s="86">
        <v>44798592.798650898</v>
      </c>
      <c r="G17" s="86"/>
      <c r="H17" s="86">
        <v>219814532</v>
      </c>
      <c r="I17" s="86">
        <v>-210519686</v>
      </c>
      <c r="J17" s="86">
        <v>-106519.940933923</v>
      </c>
      <c r="K17" s="86"/>
      <c r="L17" s="93">
        <f t="shared" si="0"/>
        <v>1916420122.0799329</v>
      </c>
      <c r="M17" s="86">
        <v>1649999999.9999967</v>
      </c>
      <c r="N17" s="502"/>
    </row>
    <row r="18" spans="1:14" ht="20.149999999999999" customHeight="1">
      <c r="A18" s="43">
        <v>10</v>
      </c>
      <c r="B18" s="33" t="str">
        <f>'Attachment 3 - Gross Plant'!B17</f>
        <v>September</v>
      </c>
      <c r="C18" s="35">
        <f t="shared" si="1"/>
        <v>2025</v>
      </c>
      <c r="E18" s="86">
        <v>1960550045.5933399</v>
      </c>
      <c r="F18" s="86">
        <v>44225396.022844501</v>
      </c>
      <c r="G18" s="86"/>
      <c r="H18" s="86">
        <v>219814532</v>
      </c>
      <c r="I18" s="86">
        <v>-210519686</v>
      </c>
      <c r="J18" s="86">
        <v>-101721.684082686</v>
      </c>
      <c r="K18" s="86"/>
      <c r="L18" s="93">
        <f t="shared" si="0"/>
        <v>1907131525.2545781</v>
      </c>
      <c r="M18" s="86">
        <v>1649999999.9999971</v>
      </c>
      <c r="N18" s="502"/>
    </row>
    <row r="19" spans="1:14" ht="20.149999999999999" customHeight="1">
      <c r="A19" s="43">
        <v>11</v>
      </c>
      <c r="B19" s="33" t="str">
        <f>'Attachment 3 - Gross Plant'!B18</f>
        <v>October</v>
      </c>
      <c r="C19" s="35">
        <f t="shared" si="1"/>
        <v>2025</v>
      </c>
      <c r="E19" s="86">
        <v>1967988190.2858999</v>
      </c>
      <c r="F19" s="86">
        <v>44625541.748379096</v>
      </c>
      <c r="G19" s="86"/>
      <c r="H19" s="86">
        <v>219814532</v>
      </c>
      <c r="I19" s="86">
        <v>-210519686</v>
      </c>
      <c r="J19" s="86">
        <v>-96923.427231449998</v>
      </c>
      <c r="K19" s="86"/>
      <c r="L19" s="93">
        <f t="shared" si="0"/>
        <v>1914164725.9647524</v>
      </c>
      <c r="M19" s="86">
        <v>1649999999.9999976</v>
      </c>
      <c r="N19" s="502"/>
    </row>
    <row r="20" spans="1:14" ht="20.149999999999999" customHeight="1">
      <c r="A20" s="43">
        <v>12</v>
      </c>
      <c r="B20" s="33" t="str">
        <f>'Attachment 3 - Gross Plant'!B19</f>
        <v>November</v>
      </c>
      <c r="C20" s="35">
        <f t="shared" si="1"/>
        <v>2025</v>
      </c>
      <c r="E20" s="86">
        <v>1978664765.17574</v>
      </c>
      <c r="F20" s="86">
        <v>45037718.5496803</v>
      </c>
      <c r="G20" s="86"/>
      <c r="H20" s="86">
        <v>219814532</v>
      </c>
      <c r="I20" s="86">
        <v>-210519686</v>
      </c>
      <c r="J20" s="86">
        <v>-92125.170380213298</v>
      </c>
      <c r="K20" s="86"/>
      <c r="L20" s="93">
        <f t="shared" si="0"/>
        <v>1924424325.7964399</v>
      </c>
      <c r="M20" s="86">
        <v>1649999999.9999981</v>
      </c>
      <c r="N20" s="502"/>
    </row>
    <row r="21" spans="1:14" ht="20.149999999999999" customHeight="1">
      <c r="A21" s="43">
        <v>13</v>
      </c>
      <c r="B21" s="33" t="str">
        <f>'Attachment 3 - Gross Plant'!B20</f>
        <v>December</v>
      </c>
      <c r="C21" s="35">
        <f t="shared" si="1"/>
        <v>2025</v>
      </c>
      <c r="E21" s="86">
        <v>1979544528.5246499</v>
      </c>
      <c r="F21" s="86">
        <v>44468094.589479901</v>
      </c>
      <c r="G21" s="86"/>
      <c r="H21" s="86">
        <v>219814532</v>
      </c>
      <c r="I21" s="86">
        <v>-210519686</v>
      </c>
      <c r="J21" s="86">
        <v>-87326.913528976598</v>
      </c>
      <c r="K21" s="86"/>
      <c r="L21" s="93">
        <f t="shared" si="0"/>
        <v>1925868914.8486989</v>
      </c>
      <c r="M21" s="86">
        <v>1649999999.9999986</v>
      </c>
      <c r="N21" s="502"/>
    </row>
    <row r="22" spans="1:14" ht="20.149999999999999" customHeight="1">
      <c r="A22" s="33"/>
      <c r="E22" s="88"/>
      <c r="F22" s="93"/>
      <c r="G22" s="88"/>
      <c r="H22" s="88"/>
      <c r="I22" s="93"/>
      <c r="J22" s="88"/>
      <c r="K22" s="88"/>
      <c r="L22" s="88"/>
      <c r="M22" s="88"/>
    </row>
    <row r="23" spans="1:14" ht="20.149999999999999" customHeight="1">
      <c r="A23" s="43">
        <v>14</v>
      </c>
      <c r="B23" s="33" t="s">
        <v>204</v>
      </c>
      <c r="E23" s="88">
        <f t="shared" ref="E23:M23" si="2">SUM(E9:E21)/13</f>
        <v>1947228916.8496387</v>
      </c>
      <c r="F23" s="93">
        <f t="shared" si="2"/>
        <v>44269930.719690651</v>
      </c>
      <c r="G23" s="88">
        <f t="shared" si="2"/>
        <v>0</v>
      </c>
      <c r="H23" s="88">
        <f t="shared" si="2"/>
        <v>219814532</v>
      </c>
      <c r="I23" s="93">
        <f t="shared" si="2"/>
        <v>-210519686</v>
      </c>
      <c r="J23" s="88">
        <f t="shared" si="2"/>
        <v>-116116.45463639637</v>
      </c>
      <c r="K23" s="88">
        <f t="shared" si="2"/>
        <v>0</v>
      </c>
      <c r="L23" s="88">
        <f t="shared" si="2"/>
        <v>1893780256.5845842</v>
      </c>
      <c r="M23" s="88">
        <f t="shared" si="2"/>
        <v>1649999999.9999952</v>
      </c>
    </row>
    <row r="24" spans="1:14" ht="20.149999999999999" customHeight="1">
      <c r="A24" s="43"/>
    </row>
    <row r="25" spans="1:14" ht="20.149999999999999" customHeight="1">
      <c r="K25" s="93"/>
    </row>
    <row r="26" spans="1:14" ht="20.149999999999999" customHeight="1">
      <c r="A26" s="33" t="s">
        <v>206</v>
      </c>
    </row>
    <row r="27" spans="1:14" ht="20.149999999999999" customHeight="1">
      <c r="A27" s="39" t="s">
        <v>205</v>
      </c>
      <c r="B27" s="33" t="s">
        <v>207</v>
      </c>
      <c r="L27" s="52"/>
    </row>
    <row r="28" spans="1:14" ht="20.149999999999999" customHeight="1">
      <c r="A28" s="39" t="s">
        <v>218</v>
      </c>
      <c r="B28" s="33" t="s">
        <v>929</v>
      </c>
      <c r="E28" s="33"/>
      <c r="F28" s="33"/>
      <c r="G28" s="33"/>
    </row>
    <row r="29" spans="1:14" ht="35.25" customHeight="1">
      <c r="A29" s="39" t="s">
        <v>257</v>
      </c>
      <c r="B29" s="1151" t="s">
        <v>930</v>
      </c>
      <c r="C29" s="1151"/>
      <c r="D29" s="1151"/>
      <c r="E29" s="1151"/>
      <c r="F29" s="1151"/>
      <c r="G29" s="1151"/>
      <c r="H29" s="1151"/>
      <c r="I29" s="1151"/>
      <c r="J29" s="1151"/>
      <c r="K29" s="1151"/>
      <c r="L29" s="1151"/>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29:L29"/>
  </mergeCells>
  <pageMargins left="0.7" right="0.7" top="0.75" bottom="0.75" header="0.3" footer="0.3"/>
  <pageSetup scale="37"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N88"/>
  <sheetViews>
    <sheetView view="pageBreakPreview" zoomScale="90" zoomScaleNormal="80" zoomScaleSheetLayoutView="90" workbookViewId="0"/>
  </sheetViews>
  <sheetFormatPr defaultColWidth="8.84375" defaultRowHeight="12.5"/>
  <cols>
    <col min="1" max="1" width="12.3046875" style="95" customWidth="1"/>
    <col min="2" max="2" width="36.84375" style="95" customWidth="1"/>
    <col min="3" max="3" width="11.84375" style="95" customWidth="1"/>
    <col min="4" max="4" width="10.53515625" style="95" customWidth="1"/>
    <col min="5" max="5" width="10.84375" style="95" customWidth="1"/>
    <col min="6" max="6" width="13.07421875" style="95" customWidth="1"/>
    <col min="7" max="16384" width="8.84375" style="95"/>
  </cols>
  <sheetData>
    <row r="1" spans="1:8" ht="15.5">
      <c r="A1" s="42"/>
      <c r="H1" s="3" t="str">
        <f>'Attachment H-11A '!K1&amp;""&amp;", Attachment 9"</f>
        <v>Attachment H -11A, Attachment 9</v>
      </c>
    </row>
    <row r="2" spans="1:8" ht="15.5">
      <c r="A2" s="42"/>
      <c r="H2" s="3" t="s">
        <v>168</v>
      </c>
    </row>
    <row r="3" spans="1:8" ht="15.5">
      <c r="A3" s="42"/>
      <c r="D3" s="96" t="s">
        <v>500</v>
      </c>
      <c r="H3" s="3" t="str">
        <f>'Attachment H-11A '!K4</f>
        <v>For the 12 months ended 12/31/2025</v>
      </c>
    </row>
    <row r="4" spans="1:8" ht="15.5">
      <c r="A4" s="42"/>
    </row>
    <row r="5" spans="1:8" ht="13">
      <c r="A5" s="96"/>
    </row>
    <row r="6" spans="1:8" ht="13">
      <c r="A6" s="96" t="s">
        <v>258</v>
      </c>
    </row>
    <row r="7" spans="1:8" ht="13">
      <c r="A7" s="105" t="s">
        <v>270</v>
      </c>
    </row>
    <row r="8" spans="1:8" ht="13">
      <c r="A8" s="96"/>
    </row>
    <row r="10" spans="1:8" ht="13">
      <c r="A10" s="96" t="s">
        <v>259</v>
      </c>
    </row>
    <row r="12" spans="1:8" ht="18" customHeight="1">
      <c r="A12" s="1152" t="s">
        <v>943</v>
      </c>
      <c r="B12" s="1152"/>
      <c r="C12" s="1152"/>
      <c r="D12" s="891">
        <f>'Attachment H-11A '!G247</f>
        <v>0.1045</v>
      </c>
      <c r="E12" s="892"/>
      <c r="F12" s="892"/>
      <c r="G12" s="892"/>
      <c r="H12" s="892"/>
    </row>
    <row r="15" spans="1:8" ht="13">
      <c r="A15" s="96" t="s">
        <v>260</v>
      </c>
    </row>
    <row r="16" spans="1:8" ht="13">
      <c r="A16" s="96"/>
      <c r="B16" s="402" t="s">
        <v>962</v>
      </c>
    </row>
    <row r="17" spans="1:14" s="97" customFormat="1" ht="15" customHeight="1">
      <c r="A17" s="189" t="s">
        <v>545</v>
      </c>
      <c r="B17" s="189"/>
      <c r="C17" s="278">
        <v>-15646300</v>
      </c>
      <c r="D17" s="189"/>
      <c r="E17" s="189"/>
      <c r="F17" s="189"/>
      <c r="G17" s="189"/>
      <c r="H17" s="278"/>
      <c r="I17" s="98"/>
      <c r="J17" s="98"/>
      <c r="K17" s="114"/>
      <c r="L17" s="98"/>
      <c r="M17" s="98"/>
      <c r="N17" s="98"/>
    </row>
    <row r="18" spans="1:14">
      <c r="A18" s="189" t="s">
        <v>546</v>
      </c>
      <c r="B18" s="189"/>
      <c r="C18" s="278">
        <v>2161999525</v>
      </c>
      <c r="D18" s="189"/>
      <c r="E18" s="189"/>
      <c r="F18" s="189"/>
      <c r="G18" s="189"/>
      <c r="H18" s="278"/>
    </row>
    <row r="19" spans="1:14">
      <c r="A19" s="189" t="s">
        <v>682</v>
      </c>
      <c r="B19" s="189"/>
      <c r="C19" s="867">
        <f>C17/C18</f>
        <v>-7.2369581117276149E-3</v>
      </c>
      <c r="D19" s="189"/>
      <c r="E19" s="189"/>
      <c r="F19" s="189"/>
      <c r="G19" s="189"/>
      <c r="H19" s="278"/>
    </row>
    <row r="21" spans="1:14" ht="13">
      <c r="A21" s="96" t="s">
        <v>938</v>
      </c>
    </row>
    <row r="22" spans="1:14" ht="6.75" customHeight="1">
      <c r="A22" s="96"/>
    </row>
    <row r="23" spans="1:14" ht="23.25" customHeight="1">
      <c r="A23" s="95" t="s">
        <v>261</v>
      </c>
      <c r="C23" s="895" t="s">
        <v>944</v>
      </c>
    </row>
    <row r="24" spans="1:14">
      <c r="A24" s="374">
        <v>350.2</v>
      </c>
      <c r="B24" s="95" t="s">
        <v>1256</v>
      </c>
      <c r="C24" s="896"/>
      <c r="F24" s="386"/>
      <c r="G24" s="373"/>
    </row>
    <row r="25" spans="1:14">
      <c r="A25" s="374">
        <v>352</v>
      </c>
      <c r="B25" s="95" t="s">
        <v>1232</v>
      </c>
      <c r="C25" s="896">
        <v>2.4E-2</v>
      </c>
      <c r="F25" s="386"/>
      <c r="G25" s="373"/>
    </row>
    <row r="26" spans="1:14">
      <c r="A26" s="374">
        <v>353.1</v>
      </c>
      <c r="B26" s="95" t="s">
        <v>1233</v>
      </c>
      <c r="C26" s="896">
        <v>1.9400000000000001E-2</v>
      </c>
      <c r="F26" s="386"/>
      <c r="G26" s="373"/>
    </row>
    <row r="27" spans="1:14">
      <c r="A27" s="374">
        <v>353.4</v>
      </c>
      <c r="B27" s="95" t="s">
        <v>1234</v>
      </c>
      <c r="C27" s="896">
        <v>9.5000000000000001E-2</v>
      </c>
      <c r="F27" s="386"/>
      <c r="G27" s="373"/>
    </row>
    <row r="28" spans="1:14">
      <c r="A28" s="374">
        <v>354</v>
      </c>
      <c r="B28" s="95" t="s">
        <v>1235</v>
      </c>
      <c r="C28" s="896">
        <v>1.4200000000000001E-2</v>
      </c>
      <c r="F28" s="386"/>
      <c r="G28" s="373"/>
    </row>
    <row r="29" spans="1:14">
      <c r="A29" s="374">
        <v>355</v>
      </c>
      <c r="B29" s="95" t="s">
        <v>1236</v>
      </c>
      <c r="C29" s="896">
        <v>2.3099999999999999E-2</v>
      </c>
      <c r="F29" s="386"/>
      <c r="G29" s="373"/>
    </row>
    <row r="30" spans="1:14">
      <c r="A30" s="374">
        <v>356.1</v>
      </c>
      <c r="B30" s="95" t="s">
        <v>1237</v>
      </c>
      <c r="C30" s="896">
        <v>2.7E-2</v>
      </c>
      <c r="F30" s="386"/>
      <c r="G30" s="373"/>
    </row>
    <row r="31" spans="1:14">
      <c r="A31" s="385">
        <v>356.2</v>
      </c>
      <c r="B31" s="95" t="s">
        <v>1238</v>
      </c>
      <c r="C31" s="896">
        <v>9.4999999999999998E-3</v>
      </c>
      <c r="F31" s="386"/>
      <c r="G31" s="373"/>
    </row>
    <row r="32" spans="1:14">
      <c r="A32" s="385">
        <v>390.1</v>
      </c>
      <c r="B32" s="95" t="s">
        <v>1239</v>
      </c>
      <c r="C32" s="893"/>
    </row>
    <row r="33" spans="1:3">
      <c r="A33" s="385"/>
      <c r="B33" s="385" t="s">
        <v>1269</v>
      </c>
      <c r="C33" s="893">
        <v>5.5500000000000001E-2</v>
      </c>
    </row>
    <row r="34" spans="1:3">
      <c r="A34" s="385"/>
      <c r="B34" s="385" t="s">
        <v>1270</v>
      </c>
      <c r="C34" s="893">
        <v>3.7600000000000001E-2</v>
      </c>
    </row>
    <row r="35" spans="1:3">
      <c r="A35" s="385"/>
      <c r="B35" s="385" t="s">
        <v>1271</v>
      </c>
      <c r="C35" s="893">
        <v>1.5599999999999999E-2</v>
      </c>
    </row>
    <row r="36" spans="1:3">
      <c r="A36" s="385"/>
      <c r="B36" s="385" t="s">
        <v>1272</v>
      </c>
      <c r="C36" s="893">
        <v>7.8200000000000006E-2</v>
      </c>
    </row>
    <row r="37" spans="1:3">
      <c r="A37" s="385"/>
      <c r="B37" s="385" t="s">
        <v>1273</v>
      </c>
      <c r="C37" s="893">
        <v>8.8300000000000003E-2</v>
      </c>
    </row>
    <row r="38" spans="1:3">
      <c r="A38" s="385"/>
      <c r="B38" s="385" t="s">
        <v>1274</v>
      </c>
      <c r="C38" s="893">
        <v>7.3899999999999993E-2</v>
      </c>
    </row>
    <row r="39" spans="1:3">
      <c r="A39" s="385"/>
      <c r="B39" s="385" t="s">
        <v>1275</v>
      </c>
      <c r="C39" s="893">
        <v>6.1800000000000001E-2</v>
      </c>
    </row>
    <row r="40" spans="1:3">
      <c r="A40" s="385"/>
      <c r="B40" s="385" t="s">
        <v>1276</v>
      </c>
      <c r="C40" s="893">
        <v>4.07E-2</v>
      </c>
    </row>
    <row r="41" spans="1:3">
      <c r="A41" s="385"/>
      <c r="B41" s="385" t="s">
        <v>1277</v>
      </c>
      <c r="C41" s="893">
        <v>4.2799999999999998E-2</v>
      </c>
    </row>
    <row r="42" spans="1:3">
      <c r="A42" s="385"/>
      <c r="B42" s="385" t="s">
        <v>1278</v>
      </c>
      <c r="C42" s="893">
        <v>3.9699999999999999E-2</v>
      </c>
    </row>
    <row r="43" spans="1:3">
      <c r="A43" s="385"/>
      <c r="B43" s="385" t="s">
        <v>1279</v>
      </c>
      <c r="C43" s="893">
        <v>2.8000000000000001E-2</v>
      </c>
    </row>
    <row r="44" spans="1:3">
      <c r="A44" s="385"/>
      <c r="B44" s="385" t="s">
        <v>1280</v>
      </c>
      <c r="C44" s="893">
        <v>4.8899999999999999E-2</v>
      </c>
    </row>
    <row r="45" spans="1:3">
      <c r="A45" s="385"/>
      <c r="B45" s="385" t="s">
        <v>1281</v>
      </c>
      <c r="C45" s="893">
        <v>7.7299999999999994E-2</v>
      </c>
    </row>
    <row r="46" spans="1:3">
      <c r="A46" s="385"/>
      <c r="B46" s="385" t="s">
        <v>1282</v>
      </c>
      <c r="C46" s="893">
        <v>6.9500000000000006E-2</v>
      </c>
    </row>
    <row r="47" spans="1:3">
      <c r="A47" s="385"/>
      <c r="B47" s="385" t="s">
        <v>1283</v>
      </c>
      <c r="C47" s="893">
        <v>5.6399999999999999E-2</v>
      </c>
    </row>
    <row r="48" spans="1:3">
      <c r="A48" s="385"/>
      <c r="B48" s="385" t="s">
        <v>1284</v>
      </c>
      <c r="C48" s="893">
        <v>3.7999999999999999E-2</v>
      </c>
    </row>
    <row r="49" spans="1:5">
      <c r="A49" s="385"/>
      <c r="B49" s="385" t="s">
        <v>1285</v>
      </c>
      <c r="C49" s="893">
        <v>3.0599999999999999E-2</v>
      </c>
    </row>
    <row r="50" spans="1:5">
      <c r="A50" s="385"/>
      <c r="B50" s="385" t="s">
        <v>1286</v>
      </c>
      <c r="C50" s="893">
        <v>4.6899999999999997E-2</v>
      </c>
    </row>
    <row r="51" spans="1:5">
      <c r="A51" s="385"/>
      <c r="B51" s="385" t="s">
        <v>1287</v>
      </c>
      <c r="C51" s="893">
        <v>6.3799999999999996E-2</v>
      </c>
    </row>
    <row r="52" spans="1:5">
      <c r="A52" s="385"/>
      <c r="B52" s="385" t="s">
        <v>1288</v>
      </c>
      <c r="C52" s="893">
        <v>0</v>
      </c>
    </row>
    <row r="53" spans="1:5">
      <c r="A53" s="385"/>
      <c r="B53" s="385" t="s">
        <v>1289</v>
      </c>
      <c r="C53" s="893">
        <v>4.0899999999999999E-2</v>
      </c>
    </row>
    <row r="54" spans="1:5">
      <c r="A54" s="385"/>
      <c r="B54" s="385" t="s">
        <v>1290</v>
      </c>
      <c r="C54" s="893">
        <v>4.87E-2</v>
      </c>
    </row>
    <row r="55" spans="1:5">
      <c r="A55" s="385"/>
      <c r="B55" s="385" t="s">
        <v>1291</v>
      </c>
      <c r="C55" s="893">
        <v>6.1600000000000002E-2</v>
      </c>
    </row>
    <row r="56" spans="1:5">
      <c r="A56" s="385"/>
      <c r="B56" s="385" t="s">
        <v>1184</v>
      </c>
      <c r="C56" s="893">
        <v>0</v>
      </c>
    </row>
    <row r="57" spans="1:5" ht="12.75" customHeight="1">
      <c r="A57" s="385">
        <v>390.2</v>
      </c>
      <c r="B57" s="95" t="s">
        <v>1266</v>
      </c>
      <c r="C57" s="894"/>
      <c r="D57" s="405"/>
      <c r="E57" s="405"/>
    </row>
    <row r="58" spans="1:5" ht="12.75" customHeight="1">
      <c r="A58" s="385"/>
      <c r="B58" s="385" t="s">
        <v>1292</v>
      </c>
      <c r="C58" s="894">
        <v>0</v>
      </c>
      <c r="D58" s="405"/>
      <c r="E58" s="405"/>
    </row>
    <row r="59" spans="1:5" ht="12.75" customHeight="1">
      <c r="A59" s="385"/>
      <c r="B59" s="385" t="s">
        <v>1281</v>
      </c>
      <c r="C59" s="894">
        <v>0</v>
      </c>
      <c r="D59" s="405"/>
      <c r="E59" s="405"/>
    </row>
    <row r="60" spans="1:5" ht="12.75" customHeight="1">
      <c r="A60" s="385"/>
      <c r="B60" s="385" t="s">
        <v>1293</v>
      </c>
      <c r="C60" s="894">
        <v>8.0000000000000002E-3</v>
      </c>
      <c r="D60" s="405"/>
      <c r="E60" s="405"/>
    </row>
    <row r="61" spans="1:5" ht="12.75" customHeight="1">
      <c r="A61" s="385"/>
      <c r="B61" s="385" t="s">
        <v>1294</v>
      </c>
      <c r="C61" s="894">
        <v>4.0000000000000001E-3</v>
      </c>
      <c r="D61" s="405"/>
      <c r="E61" s="405"/>
    </row>
    <row r="62" spans="1:5" ht="12.75" customHeight="1">
      <c r="A62" s="385"/>
      <c r="B62" s="385" t="s">
        <v>1295</v>
      </c>
      <c r="C62" s="894">
        <v>3.6400000000000002E-2</v>
      </c>
      <c r="D62" s="405"/>
      <c r="E62" s="405"/>
    </row>
    <row r="63" spans="1:5" ht="12.75" customHeight="1">
      <c r="A63" s="385"/>
      <c r="B63" s="385" t="s">
        <v>1296</v>
      </c>
      <c r="C63" s="894">
        <v>6.4600000000000005E-2</v>
      </c>
      <c r="D63" s="405"/>
      <c r="E63" s="405"/>
    </row>
    <row r="64" spans="1:5" ht="12.75" customHeight="1">
      <c r="A64" s="385"/>
      <c r="B64" s="385" t="s">
        <v>1297</v>
      </c>
      <c r="C64" s="894">
        <v>6.1000000000000004E-3</v>
      </c>
      <c r="D64" s="405"/>
      <c r="E64" s="405"/>
    </row>
    <row r="65" spans="1:5" ht="12.75" customHeight="1">
      <c r="A65" s="385"/>
      <c r="B65" s="385" t="s">
        <v>1298</v>
      </c>
      <c r="C65" s="894">
        <v>0</v>
      </c>
      <c r="D65" s="405"/>
      <c r="E65" s="405"/>
    </row>
    <row r="66" spans="1:5" ht="12.75" customHeight="1">
      <c r="A66" s="406">
        <v>391.1</v>
      </c>
      <c r="B66" s="95" t="s">
        <v>1240</v>
      </c>
      <c r="C66" s="894">
        <v>4.19E-2</v>
      </c>
      <c r="D66" s="405"/>
      <c r="E66" s="405"/>
    </row>
    <row r="67" spans="1:5">
      <c r="A67" s="385">
        <v>391.2</v>
      </c>
      <c r="B67" s="95" t="s">
        <v>1241</v>
      </c>
      <c r="C67" s="896">
        <v>0.1091</v>
      </c>
    </row>
    <row r="68" spans="1:5">
      <c r="A68" s="385">
        <v>391.3</v>
      </c>
      <c r="B68" s="95" t="s">
        <v>1242</v>
      </c>
      <c r="C68" s="896">
        <v>5.0299999999999997E-2</v>
      </c>
    </row>
    <row r="69" spans="1:5">
      <c r="A69" s="385">
        <v>391.4</v>
      </c>
      <c r="B69" s="95" t="s">
        <v>1243</v>
      </c>
      <c r="C69" s="896">
        <v>0.1091</v>
      </c>
    </row>
    <row r="70" spans="1:5">
      <c r="A70" s="385">
        <v>392.1</v>
      </c>
      <c r="B70" s="95" t="s">
        <v>1244</v>
      </c>
      <c r="C70" s="896">
        <v>0.1143</v>
      </c>
    </row>
    <row r="71" spans="1:5">
      <c r="A71" s="385">
        <v>392.2</v>
      </c>
      <c r="B71" s="95" t="s">
        <v>1245</v>
      </c>
      <c r="C71" s="896">
        <v>6.9599999999999995E-2</v>
      </c>
    </row>
    <row r="72" spans="1:5">
      <c r="A72" s="385">
        <v>392.3</v>
      </c>
      <c r="B72" s="95" t="s">
        <v>1246</v>
      </c>
      <c r="C72" s="896">
        <v>1.12E-2</v>
      </c>
    </row>
    <row r="73" spans="1:5">
      <c r="A73" s="385">
        <v>392.4</v>
      </c>
      <c r="B73" s="95" t="s">
        <v>1247</v>
      </c>
      <c r="C73" s="896">
        <v>4.4400000000000002E-2</v>
      </c>
    </row>
    <row r="74" spans="1:5">
      <c r="A74" s="385">
        <v>392.5</v>
      </c>
      <c r="B74" s="95" t="s">
        <v>1248</v>
      </c>
      <c r="C74" s="896" t="s">
        <v>1255</v>
      </c>
    </row>
    <row r="75" spans="1:5">
      <c r="A75" s="385">
        <v>392.6</v>
      </c>
      <c r="B75" s="95" t="s">
        <v>1249</v>
      </c>
      <c r="C75" s="896">
        <v>5.33E-2</v>
      </c>
    </row>
    <row r="76" spans="1:5">
      <c r="A76" s="385">
        <v>393</v>
      </c>
      <c r="B76" s="95" t="s">
        <v>1250</v>
      </c>
      <c r="C76" s="896">
        <v>5.3400000000000003E-2</v>
      </c>
    </row>
    <row r="77" spans="1:5">
      <c r="A77" s="385">
        <v>394</v>
      </c>
      <c r="B77" s="95" t="s">
        <v>1251</v>
      </c>
      <c r="C77" s="896">
        <v>3.8399999999999997E-2</v>
      </c>
    </row>
    <row r="78" spans="1:5">
      <c r="A78" s="385">
        <v>395</v>
      </c>
      <c r="B78" s="95" t="s">
        <v>1261</v>
      </c>
      <c r="C78" s="896">
        <v>3.2300000000000002E-2</v>
      </c>
    </row>
    <row r="79" spans="1:5">
      <c r="A79" s="385">
        <v>396</v>
      </c>
      <c r="B79" s="95" t="s">
        <v>1252</v>
      </c>
      <c r="C79" s="896">
        <v>4.1700000000000001E-2</v>
      </c>
    </row>
    <row r="80" spans="1:5">
      <c r="A80" s="385">
        <v>397</v>
      </c>
      <c r="B80" s="95" t="s">
        <v>1253</v>
      </c>
      <c r="C80" s="896">
        <v>6.88E-2</v>
      </c>
    </row>
    <row r="81" spans="1:8">
      <c r="A81" s="385">
        <v>398</v>
      </c>
      <c r="B81" s="95" t="s">
        <v>1254</v>
      </c>
      <c r="C81" s="896">
        <v>4.8899999999999999E-2</v>
      </c>
    </row>
    <row r="82" spans="1:8">
      <c r="A82" s="385"/>
      <c r="C82" s="893"/>
    </row>
    <row r="83" spans="1:8">
      <c r="A83" s="385"/>
      <c r="C83" s="893"/>
    </row>
    <row r="84" spans="1:8" ht="27.65" customHeight="1">
      <c r="A84" s="1051" t="s">
        <v>681</v>
      </c>
      <c r="B84" s="1153" t="s">
        <v>1301</v>
      </c>
      <c r="C84" s="1153"/>
      <c r="D84" s="1153"/>
      <c r="E84" s="1153"/>
      <c r="F84" s="1153"/>
      <c r="G84" s="1153"/>
      <c r="H84" s="1153"/>
    </row>
    <row r="85" spans="1:8" ht="13.5" customHeight="1">
      <c r="A85" s="897"/>
    </row>
    <row r="88" spans="1:8" ht="14">
      <c r="E88" s="1050"/>
    </row>
  </sheetData>
  <mergeCells count="2">
    <mergeCell ref="A12:C12"/>
    <mergeCell ref="B84:H84"/>
  </mergeCells>
  <pageMargins left="0.7" right="0.7" top="0.75" bottom="0.75" header="0.3" footer="0.3"/>
  <pageSetup scale="6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AU135"/>
  <sheetViews>
    <sheetView zoomScale="60" zoomScaleNormal="60" workbookViewId="0"/>
  </sheetViews>
  <sheetFormatPr defaultColWidth="13.3046875" defaultRowHeight="15.5"/>
  <cols>
    <col min="1" max="1" width="3.07421875" style="407" customWidth="1"/>
    <col min="2" max="2" width="35.84375" style="407" customWidth="1"/>
    <col min="3" max="3" width="12.3046875" style="407" bestFit="1" customWidth="1"/>
    <col min="4" max="4" width="16.4609375" style="407" customWidth="1"/>
    <col min="5" max="6" width="3.07421875" style="407" customWidth="1"/>
    <col min="7" max="7" width="13.53515625" style="407" bestFit="1" customWidth="1"/>
    <col min="8" max="8" width="1.07421875" style="407" customWidth="1"/>
    <col min="9" max="9" width="20.3046875" style="407" customWidth="1"/>
    <col min="10" max="10" width="1.4609375" style="407" customWidth="1"/>
    <col min="11" max="11" width="20.84375" style="407" customWidth="1"/>
    <col min="12" max="12" width="1.84375" style="407" customWidth="1"/>
    <col min="13" max="13" width="19.84375" style="407" customWidth="1"/>
    <col min="14" max="14" width="1.84375" style="407" customWidth="1"/>
    <col min="15" max="15" width="13.53515625" style="407" bestFit="1" customWidth="1"/>
    <col min="16" max="16" width="1.84375" style="407" customWidth="1"/>
    <col min="17" max="17" width="21.84375" style="407" customWidth="1"/>
    <col min="18" max="18" width="1.53515625" style="407" customWidth="1"/>
    <col min="19" max="19" width="20.84375" style="407" customWidth="1"/>
    <col min="20" max="20" width="1.84375" style="407" customWidth="1"/>
    <col min="21" max="21" width="14.84375" style="407" customWidth="1"/>
    <col min="22" max="22" width="1.84375" style="407" customWidth="1"/>
    <col min="23" max="23" width="15.07421875" style="407" customWidth="1"/>
    <col min="24" max="24" width="1.4609375" style="407" customWidth="1"/>
    <col min="25" max="25" width="20.07421875" style="407" customWidth="1"/>
    <col min="26" max="26" width="4.4609375" style="407" customWidth="1"/>
    <col min="27" max="27" width="19.3046875" style="407" customWidth="1"/>
    <col min="28" max="257" width="13.3046875" style="407"/>
    <col min="258" max="258" width="14.4609375" style="407" customWidth="1"/>
    <col min="259" max="259" width="13.4609375" style="407" bestFit="1" customWidth="1"/>
    <col min="260" max="260" width="14.3046875" style="407" bestFit="1" customWidth="1"/>
    <col min="261" max="262" width="13.3046875" style="407"/>
    <col min="263" max="263" width="13.4609375" style="407" bestFit="1" customWidth="1"/>
    <col min="264" max="264" width="13.3046875" style="407"/>
    <col min="265" max="265" width="13.4609375" style="407" bestFit="1" customWidth="1"/>
    <col min="266" max="266" width="13.3046875" style="407"/>
    <col min="267" max="269" width="13.4609375" style="407" bestFit="1" customWidth="1"/>
    <col min="270" max="270" width="13.3046875" style="407"/>
    <col min="271" max="271" width="13.4609375" style="407" bestFit="1" customWidth="1"/>
    <col min="272" max="272" width="13.3046875" style="407"/>
    <col min="273" max="273" width="14.07421875" style="407" bestFit="1" customWidth="1"/>
    <col min="274" max="274" width="13.3046875" style="407"/>
    <col min="275" max="275" width="13.4609375" style="407" bestFit="1" customWidth="1"/>
    <col min="276" max="513" width="13.3046875" style="407"/>
    <col min="514" max="514" width="14.4609375" style="407" customWidth="1"/>
    <col min="515" max="515" width="13.4609375" style="407" bestFit="1" customWidth="1"/>
    <col min="516" max="516" width="14.3046875" style="407" bestFit="1" customWidth="1"/>
    <col min="517" max="518" width="13.3046875" style="407"/>
    <col min="519" max="519" width="13.4609375" style="407" bestFit="1" customWidth="1"/>
    <col min="520" max="520" width="13.3046875" style="407"/>
    <col min="521" max="521" width="13.4609375" style="407" bestFit="1" customWidth="1"/>
    <col min="522" max="522" width="13.3046875" style="407"/>
    <col min="523" max="525" width="13.4609375" style="407" bestFit="1" customWidth="1"/>
    <col min="526" max="526" width="13.3046875" style="407"/>
    <col min="527" max="527" width="13.4609375" style="407" bestFit="1" customWidth="1"/>
    <col min="528" max="528" width="13.3046875" style="407"/>
    <col min="529" max="529" width="14.07421875" style="407" bestFit="1" customWidth="1"/>
    <col min="530" max="530" width="13.3046875" style="407"/>
    <col min="531" max="531" width="13.4609375" style="407" bestFit="1" customWidth="1"/>
    <col min="532" max="769" width="13.3046875" style="407"/>
    <col min="770" max="770" width="14.4609375" style="407" customWidth="1"/>
    <col min="771" max="771" width="13.4609375" style="407" bestFit="1" customWidth="1"/>
    <col min="772" max="772" width="14.3046875" style="407" bestFit="1" customWidth="1"/>
    <col min="773" max="774" width="13.3046875" style="407"/>
    <col min="775" max="775" width="13.4609375" style="407" bestFit="1" customWidth="1"/>
    <col min="776" max="776" width="13.3046875" style="407"/>
    <col min="777" max="777" width="13.4609375" style="407" bestFit="1" customWidth="1"/>
    <col min="778" max="778" width="13.3046875" style="407"/>
    <col min="779" max="781" width="13.4609375" style="407" bestFit="1" customWidth="1"/>
    <col min="782" max="782" width="13.3046875" style="407"/>
    <col min="783" max="783" width="13.4609375" style="407" bestFit="1" customWidth="1"/>
    <col min="784" max="784" width="13.3046875" style="407"/>
    <col min="785" max="785" width="14.07421875" style="407" bestFit="1" customWidth="1"/>
    <col min="786" max="786" width="13.3046875" style="407"/>
    <col min="787" max="787" width="13.4609375" style="407" bestFit="1" customWidth="1"/>
    <col min="788" max="1025" width="13.3046875" style="407"/>
    <col min="1026" max="1026" width="14.4609375" style="407" customWidth="1"/>
    <col min="1027" max="1027" width="13.4609375" style="407" bestFit="1" customWidth="1"/>
    <col min="1028" max="1028" width="14.3046875" style="407" bestFit="1" customWidth="1"/>
    <col min="1029" max="1030" width="13.3046875" style="407"/>
    <col min="1031" max="1031" width="13.4609375" style="407" bestFit="1" customWidth="1"/>
    <col min="1032" max="1032" width="13.3046875" style="407"/>
    <col min="1033" max="1033" width="13.4609375" style="407" bestFit="1" customWidth="1"/>
    <col min="1034" max="1034" width="13.3046875" style="407"/>
    <col min="1035" max="1037" width="13.4609375" style="407" bestFit="1" customWidth="1"/>
    <col min="1038" max="1038" width="13.3046875" style="407"/>
    <col min="1039" max="1039" width="13.4609375" style="407" bestFit="1" customWidth="1"/>
    <col min="1040" max="1040" width="13.3046875" style="407"/>
    <col min="1041" max="1041" width="14.07421875" style="407" bestFit="1" customWidth="1"/>
    <col min="1042" max="1042" width="13.3046875" style="407"/>
    <col min="1043" max="1043" width="13.4609375" style="407" bestFit="1" customWidth="1"/>
    <col min="1044" max="1281" width="13.3046875" style="407"/>
    <col min="1282" max="1282" width="14.4609375" style="407" customWidth="1"/>
    <col min="1283" max="1283" width="13.4609375" style="407" bestFit="1" customWidth="1"/>
    <col min="1284" max="1284" width="14.3046875" style="407" bestFit="1" customWidth="1"/>
    <col min="1285" max="1286" width="13.3046875" style="407"/>
    <col min="1287" max="1287" width="13.4609375" style="407" bestFit="1" customWidth="1"/>
    <col min="1288" max="1288" width="13.3046875" style="407"/>
    <col min="1289" max="1289" width="13.4609375" style="407" bestFit="1" customWidth="1"/>
    <col min="1290" max="1290" width="13.3046875" style="407"/>
    <col min="1291" max="1293" width="13.4609375" style="407" bestFit="1" customWidth="1"/>
    <col min="1294" max="1294" width="13.3046875" style="407"/>
    <col min="1295" max="1295" width="13.4609375" style="407" bestFit="1" customWidth="1"/>
    <col min="1296" max="1296" width="13.3046875" style="407"/>
    <col min="1297" max="1297" width="14.07421875" style="407" bestFit="1" customWidth="1"/>
    <col min="1298" max="1298" width="13.3046875" style="407"/>
    <col min="1299" max="1299" width="13.4609375" style="407" bestFit="1" customWidth="1"/>
    <col min="1300" max="1537" width="13.3046875" style="407"/>
    <col min="1538" max="1538" width="14.4609375" style="407" customWidth="1"/>
    <col min="1539" max="1539" width="13.4609375" style="407" bestFit="1" customWidth="1"/>
    <col min="1540" max="1540" width="14.3046875" style="407" bestFit="1" customWidth="1"/>
    <col min="1541" max="1542" width="13.3046875" style="407"/>
    <col min="1543" max="1543" width="13.4609375" style="407" bestFit="1" customWidth="1"/>
    <col min="1544" max="1544" width="13.3046875" style="407"/>
    <col min="1545" max="1545" width="13.4609375" style="407" bestFit="1" customWidth="1"/>
    <col min="1546" max="1546" width="13.3046875" style="407"/>
    <col min="1547" max="1549" width="13.4609375" style="407" bestFit="1" customWidth="1"/>
    <col min="1550" max="1550" width="13.3046875" style="407"/>
    <col min="1551" max="1551" width="13.4609375" style="407" bestFit="1" customWidth="1"/>
    <col min="1552" max="1552" width="13.3046875" style="407"/>
    <col min="1553" max="1553" width="14.07421875" style="407" bestFit="1" customWidth="1"/>
    <col min="1554" max="1554" width="13.3046875" style="407"/>
    <col min="1555" max="1555" width="13.4609375" style="407" bestFit="1" customWidth="1"/>
    <col min="1556" max="1793" width="13.3046875" style="407"/>
    <col min="1794" max="1794" width="14.4609375" style="407" customWidth="1"/>
    <col min="1795" max="1795" width="13.4609375" style="407" bestFit="1" customWidth="1"/>
    <col min="1796" max="1796" width="14.3046875" style="407" bestFit="1" customWidth="1"/>
    <col min="1797" max="1798" width="13.3046875" style="407"/>
    <col min="1799" max="1799" width="13.4609375" style="407" bestFit="1" customWidth="1"/>
    <col min="1800" max="1800" width="13.3046875" style="407"/>
    <col min="1801" max="1801" width="13.4609375" style="407" bestFit="1" customWidth="1"/>
    <col min="1802" max="1802" width="13.3046875" style="407"/>
    <col min="1803" max="1805" width="13.4609375" style="407" bestFit="1" customWidth="1"/>
    <col min="1806" max="1806" width="13.3046875" style="407"/>
    <col min="1807" max="1807" width="13.4609375" style="407" bestFit="1" customWidth="1"/>
    <col min="1808" max="1808" width="13.3046875" style="407"/>
    <col min="1809" max="1809" width="14.07421875" style="407" bestFit="1" customWidth="1"/>
    <col min="1810" max="1810" width="13.3046875" style="407"/>
    <col min="1811" max="1811" width="13.4609375" style="407" bestFit="1" customWidth="1"/>
    <col min="1812" max="2049" width="13.3046875" style="407"/>
    <col min="2050" max="2050" width="14.4609375" style="407" customWidth="1"/>
    <col min="2051" max="2051" width="13.4609375" style="407" bestFit="1" customWidth="1"/>
    <col min="2052" max="2052" width="14.3046875" style="407" bestFit="1" customWidth="1"/>
    <col min="2053" max="2054" width="13.3046875" style="407"/>
    <col min="2055" max="2055" width="13.4609375" style="407" bestFit="1" customWidth="1"/>
    <col min="2056" max="2056" width="13.3046875" style="407"/>
    <col min="2057" max="2057" width="13.4609375" style="407" bestFit="1" customWidth="1"/>
    <col min="2058" max="2058" width="13.3046875" style="407"/>
    <col min="2059" max="2061" width="13.4609375" style="407" bestFit="1" customWidth="1"/>
    <col min="2062" max="2062" width="13.3046875" style="407"/>
    <col min="2063" max="2063" width="13.4609375" style="407" bestFit="1" customWidth="1"/>
    <col min="2064" max="2064" width="13.3046875" style="407"/>
    <col min="2065" max="2065" width="14.07421875" style="407" bestFit="1" customWidth="1"/>
    <col min="2066" max="2066" width="13.3046875" style="407"/>
    <col min="2067" max="2067" width="13.4609375" style="407" bestFit="1" customWidth="1"/>
    <col min="2068" max="2305" width="13.3046875" style="407"/>
    <col min="2306" max="2306" width="14.4609375" style="407" customWidth="1"/>
    <col min="2307" max="2307" width="13.4609375" style="407" bestFit="1" customWidth="1"/>
    <col min="2308" max="2308" width="14.3046875" style="407" bestFit="1" customWidth="1"/>
    <col min="2309" max="2310" width="13.3046875" style="407"/>
    <col min="2311" max="2311" width="13.4609375" style="407" bestFit="1" customWidth="1"/>
    <col min="2312" max="2312" width="13.3046875" style="407"/>
    <col min="2313" max="2313" width="13.4609375" style="407" bestFit="1" customWidth="1"/>
    <col min="2314" max="2314" width="13.3046875" style="407"/>
    <col min="2315" max="2317" width="13.4609375" style="407" bestFit="1" customWidth="1"/>
    <col min="2318" max="2318" width="13.3046875" style="407"/>
    <col min="2319" max="2319" width="13.4609375" style="407" bestFit="1" customWidth="1"/>
    <col min="2320" max="2320" width="13.3046875" style="407"/>
    <col min="2321" max="2321" width="14.07421875" style="407" bestFit="1" customWidth="1"/>
    <col min="2322" max="2322" width="13.3046875" style="407"/>
    <col min="2323" max="2323" width="13.4609375" style="407" bestFit="1" customWidth="1"/>
    <col min="2324" max="2561" width="13.3046875" style="407"/>
    <col min="2562" max="2562" width="14.4609375" style="407" customWidth="1"/>
    <col min="2563" max="2563" width="13.4609375" style="407" bestFit="1" customWidth="1"/>
    <col min="2564" max="2564" width="14.3046875" style="407" bestFit="1" customWidth="1"/>
    <col min="2565" max="2566" width="13.3046875" style="407"/>
    <col min="2567" max="2567" width="13.4609375" style="407" bestFit="1" customWidth="1"/>
    <col min="2568" max="2568" width="13.3046875" style="407"/>
    <col min="2569" max="2569" width="13.4609375" style="407" bestFit="1" customWidth="1"/>
    <col min="2570" max="2570" width="13.3046875" style="407"/>
    <col min="2571" max="2573" width="13.4609375" style="407" bestFit="1" customWidth="1"/>
    <col min="2574" max="2574" width="13.3046875" style="407"/>
    <col min="2575" max="2575" width="13.4609375" style="407" bestFit="1" customWidth="1"/>
    <col min="2576" max="2576" width="13.3046875" style="407"/>
    <col min="2577" max="2577" width="14.07421875" style="407" bestFit="1" customWidth="1"/>
    <col min="2578" max="2578" width="13.3046875" style="407"/>
    <col min="2579" max="2579" width="13.4609375" style="407" bestFit="1" customWidth="1"/>
    <col min="2580" max="2817" width="13.3046875" style="407"/>
    <col min="2818" max="2818" width="14.4609375" style="407" customWidth="1"/>
    <col min="2819" max="2819" width="13.4609375" style="407" bestFit="1" customWidth="1"/>
    <col min="2820" max="2820" width="14.3046875" style="407" bestFit="1" customWidth="1"/>
    <col min="2821" max="2822" width="13.3046875" style="407"/>
    <col min="2823" max="2823" width="13.4609375" style="407" bestFit="1" customWidth="1"/>
    <col min="2824" max="2824" width="13.3046875" style="407"/>
    <col min="2825" max="2825" width="13.4609375" style="407" bestFit="1" customWidth="1"/>
    <col min="2826" max="2826" width="13.3046875" style="407"/>
    <col min="2827" max="2829" width="13.4609375" style="407" bestFit="1" customWidth="1"/>
    <col min="2830" max="2830" width="13.3046875" style="407"/>
    <col min="2831" max="2831" width="13.4609375" style="407" bestFit="1" customWidth="1"/>
    <col min="2832" max="2832" width="13.3046875" style="407"/>
    <col min="2833" max="2833" width="14.07421875" style="407" bestFit="1" customWidth="1"/>
    <col min="2834" max="2834" width="13.3046875" style="407"/>
    <col min="2835" max="2835" width="13.4609375" style="407" bestFit="1" customWidth="1"/>
    <col min="2836" max="3073" width="13.3046875" style="407"/>
    <col min="3074" max="3074" width="14.4609375" style="407" customWidth="1"/>
    <col min="3075" max="3075" width="13.4609375" style="407" bestFit="1" customWidth="1"/>
    <col min="3076" max="3076" width="14.3046875" style="407" bestFit="1" customWidth="1"/>
    <col min="3077" max="3078" width="13.3046875" style="407"/>
    <col min="3079" max="3079" width="13.4609375" style="407" bestFit="1" customWidth="1"/>
    <col min="3080" max="3080" width="13.3046875" style="407"/>
    <col min="3081" max="3081" width="13.4609375" style="407" bestFit="1" customWidth="1"/>
    <col min="3082" max="3082" width="13.3046875" style="407"/>
    <col min="3083" max="3085" width="13.4609375" style="407" bestFit="1" customWidth="1"/>
    <col min="3086" max="3086" width="13.3046875" style="407"/>
    <col min="3087" max="3087" width="13.4609375" style="407" bestFit="1" customWidth="1"/>
    <col min="3088" max="3088" width="13.3046875" style="407"/>
    <col min="3089" max="3089" width="14.07421875" style="407" bestFit="1" customWidth="1"/>
    <col min="3090" max="3090" width="13.3046875" style="407"/>
    <col min="3091" max="3091" width="13.4609375" style="407" bestFit="1" customWidth="1"/>
    <col min="3092" max="3329" width="13.3046875" style="407"/>
    <col min="3330" max="3330" width="14.4609375" style="407" customWidth="1"/>
    <col min="3331" max="3331" width="13.4609375" style="407" bestFit="1" customWidth="1"/>
    <col min="3332" max="3332" width="14.3046875" style="407" bestFit="1" customWidth="1"/>
    <col min="3333" max="3334" width="13.3046875" style="407"/>
    <col min="3335" max="3335" width="13.4609375" style="407" bestFit="1" customWidth="1"/>
    <col min="3336" max="3336" width="13.3046875" style="407"/>
    <col min="3337" max="3337" width="13.4609375" style="407" bestFit="1" customWidth="1"/>
    <col min="3338" max="3338" width="13.3046875" style="407"/>
    <col min="3339" max="3341" width="13.4609375" style="407" bestFit="1" customWidth="1"/>
    <col min="3342" max="3342" width="13.3046875" style="407"/>
    <col min="3343" max="3343" width="13.4609375" style="407" bestFit="1" customWidth="1"/>
    <col min="3344" max="3344" width="13.3046875" style="407"/>
    <col min="3345" max="3345" width="14.07421875" style="407" bestFit="1" customWidth="1"/>
    <col min="3346" max="3346" width="13.3046875" style="407"/>
    <col min="3347" max="3347" width="13.4609375" style="407" bestFit="1" customWidth="1"/>
    <col min="3348" max="3585" width="13.3046875" style="407"/>
    <col min="3586" max="3586" width="14.4609375" style="407" customWidth="1"/>
    <col min="3587" max="3587" width="13.4609375" style="407" bestFit="1" customWidth="1"/>
    <col min="3588" max="3588" width="14.3046875" style="407" bestFit="1" customWidth="1"/>
    <col min="3589" max="3590" width="13.3046875" style="407"/>
    <col min="3591" max="3591" width="13.4609375" style="407" bestFit="1" customWidth="1"/>
    <col min="3592" max="3592" width="13.3046875" style="407"/>
    <col min="3593" max="3593" width="13.4609375" style="407" bestFit="1" customWidth="1"/>
    <col min="3594" max="3594" width="13.3046875" style="407"/>
    <col min="3595" max="3597" width="13.4609375" style="407" bestFit="1" customWidth="1"/>
    <col min="3598" max="3598" width="13.3046875" style="407"/>
    <col min="3599" max="3599" width="13.4609375" style="407" bestFit="1" customWidth="1"/>
    <col min="3600" max="3600" width="13.3046875" style="407"/>
    <col min="3601" max="3601" width="14.07421875" style="407" bestFit="1" customWidth="1"/>
    <col min="3602" max="3602" width="13.3046875" style="407"/>
    <col min="3603" max="3603" width="13.4609375" style="407" bestFit="1" customWidth="1"/>
    <col min="3604" max="3841" width="13.3046875" style="407"/>
    <col min="3842" max="3842" width="14.4609375" style="407" customWidth="1"/>
    <col min="3843" max="3843" width="13.4609375" style="407" bestFit="1" customWidth="1"/>
    <col min="3844" max="3844" width="14.3046875" style="407" bestFit="1" customWidth="1"/>
    <col min="3845" max="3846" width="13.3046875" style="407"/>
    <col min="3847" max="3847" width="13.4609375" style="407" bestFit="1" customWidth="1"/>
    <col min="3848" max="3848" width="13.3046875" style="407"/>
    <col min="3849" max="3849" width="13.4609375" style="407" bestFit="1" customWidth="1"/>
    <col min="3850" max="3850" width="13.3046875" style="407"/>
    <col min="3851" max="3853" width="13.4609375" style="407" bestFit="1" customWidth="1"/>
    <col min="3854" max="3854" width="13.3046875" style="407"/>
    <col min="3855" max="3855" width="13.4609375" style="407" bestFit="1" customWidth="1"/>
    <col min="3856" max="3856" width="13.3046875" style="407"/>
    <col min="3857" max="3857" width="14.07421875" style="407" bestFit="1" customWidth="1"/>
    <col min="3858" max="3858" width="13.3046875" style="407"/>
    <col min="3859" max="3859" width="13.4609375" style="407" bestFit="1" customWidth="1"/>
    <col min="3860" max="4097" width="13.3046875" style="407"/>
    <col min="4098" max="4098" width="14.4609375" style="407" customWidth="1"/>
    <col min="4099" max="4099" width="13.4609375" style="407" bestFit="1" customWidth="1"/>
    <col min="4100" max="4100" width="14.3046875" style="407" bestFit="1" customWidth="1"/>
    <col min="4101" max="4102" width="13.3046875" style="407"/>
    <col min="4103" max="4103" width="13.4609375" style="407" bestFit="1" customWidth="1"/>
    <col min="4104" max="4104" width="13.3046875" style="407"/>
    <col min="4105" max="4105" width="13.4609375" style="407" bestFit="1" customWidth="1"/>
    <col min="4106" max="4106" width="13.3046875" style="407"/>
    <col min="4107" max="4109" width="13.4609375" style="407" bestFit="1" customWidth="1"/>
    <col min="4110" max="4110" width="13.3046875" style="407"/>
    <col min="4111" max="4111" width="13.4609375" style="407" bestFit="1" customWidth="1"/>
    <col min="4112" max="4112" width="13.3046875" style="407"/>
    <col min="4113" max="4113" width="14.07421875" style="407" bestFit="1" customWidth="1"/>
    <col min="4114" max="4114" width="13.3046875" style="407"/>
    <col min="4115" max="4115" width="13.4609375" style="407" bestFit="1" customWidth="1"/>
    <col min="4116" max="4353" width="13.3046875" style="407"/>
    <col min="4354" max="4354" width="14.4609375" style="407" customWidth="1"/>
    <col min="4355" max="4355" width="13.4609375" style="407" bestFit="1" customWidth="1"/>
    <col min="4356" max="4356" width="14.3046875" style="407" bestFit="1" customWidth="1"/>
    <col min="4357" max="4358" width="13.3046875" style="407"/>
    <col min="4359" max="4359" width="13.4609375" style="407" bestFit="1" customWidth="1"/>
    <col min="4360" max="4360" width="13.3046875" style="407"/>
    <col min="4361" max="4361" width="13.4609375" style="407" bestFit="1" customWidth="1"/>
    <col min="4362" max="4362" width="13.3046875" style="407"/>
    <col min="4363" max="4365" width="13.4609375" style="407" bestFit="1" customWidth="1"/>
    <col min="4366" max="4366" width="13.3046875" style="407"/>
    <col min="4367" max="4367" width="13.4609375" style="407" bestFit="1" customWidth="1"/>
    <col min="4368" max="4368" width="13.3046875" style="407"/>
    <col min="4369" max="4369" width="14.07421875" style="407" bestFit="1" customWidth="1"/>
    <col min="4370" max="4370" width="13.3046875" style="407"/>
    <col min="4371" max="4371" width="13.4609375" style="407" bestFit="1" customWidth="1"/>
    <col min="4372" max="4609" width="13.3046875" style="407"/>
    <col min="4610" max="4610" width="14.4609375" style="407" customWidth="1"/>
    <col min="4611" max="4611" width="13.4609375" style="407" bestFit="1" customWidth="1"/>
    <col min="4612" max="4612" width="14.3046875" style="407" bestFit="1" customWidth="1"/>
    <col min="4613" max="4614" width="13.3046875" style="407"/>
    <col min="4615" max="4615" width="13.4609375" style="407" bestFit="1" customWidth="1"/>
    <col min="4616" max="4616" width="13.3046875" style="407"/>
    <col min="4617" max="4617" width="13.4609375" style="407" bestFit="1" customWidth="1"/>
    <col min="4618" max="4618" width="13.3046875" style="407"/>
    <col min="4619" max="4621" width="13.4609375" style="407" bestFit="1" customWidth="1"/>
    <col min="4622" max="4622" width="13.3046875" style="407"/>
    <col min="4623" max="4623" width="13.4609375" style="407" bestFit="1" customWidth="1"/>
    <col min="4624" max="4624" width="13.3046875" style="407"/>
    <col min="4625" max="4625" width="14.07421875" style="407" bestFit="1" customWidth="1"/>
    <col min="4626" max="4626" width="13.3046875" style="407"/>
    <col min="4627" max="4627" width="13.4609375" style="407" bestFit="1" customWidth="1"/>
    <col min="4628" max="4865" width="13.3046875" style="407"/>
    <col min="4866" max="4866" width="14.4609375" style="407" customWidth="1"/>
    <col min="4867" max="4867" width="13.4609375" style="407" bestFit="1" customWidth="1"/>
    <col min="4868" max="4868" width="14.3046875" style="407" bestFit="1" customWidth="1"/>
    <col min="4869" max="4870" width="13.3046875" style="407"/>
    <col min="4871" max="4871" width="13.4609375" style="407" bestFit="1" customWidth="1"/>
    <col min="4872" max="4872" width="13.3046875" style="407"/>
    <col min="4873" max="4873" width="13.4609375" style="407" bestFit="1" customWidth="1"/>
    <col min="4874" max="4874" width="13.3046875" style="407"/>
    <col min="4875" max="4877" width="13.4609375" style="407" bestFit="1" customWidth="1"/>
    <col min="4878" max="4878" width="13.3046875" style="407"/>
    <col min="4879" max="4879" width="13.4609375" style="407" bestFit="1" customWidth="1"/>
    <col min="4880" max="4880" width="13.3046875" style="407"/>
    <col min="4881" max="4881" width="14.07421875" style="407" bestFit="1" customWidth="1"/>
    <col min="4882" max="4882" width="13.3046875" style="407"/>
    <col min="4883" max="4883" width="13.4609375" style="407" bestFit="1" customWidth="1"/>
    <col min="4884" max="5121" width="13.3046875" style="407"/>
    <col min="5122" max="5122" width="14.4609375" style="407" customWidth="1"/>
    <col min="5123" max="5123" width="13.4609375" style="407" bestFit="1" customWidth="1"/>
    <col min="5124" max="5124" width="14.3046875" style="407" bestFit="1" customWidth="1"/>
    <col min="5125" max="5126" width="13.3046875" style="407"/>
    <col min="5127" max="5127" width="13.4609375" style="407" bestFit="1" customWidth="1"/>
    <col min="5128" max="5128" width="13.3046875" style="407"/>
    <col min="5129" max="5129" width="13.4609375" style="407" bestFit="1" customWidth="1"/>
    <col min="5130" max="5130" width="13.3046875" style="407"/>
    <col min="5131" max="5133" width="13.4609375" style="407" bestFit="1" customWidth="1"/>
    <col min="5134" max="5134" width="13.3046875" style="407"/>
    <col min="5135" max="5135" width="13.4609375" style="407" bestFit="1" customWidth="1"/>
    <col min="5136" max="5136" width="13.3046875" style="407"/>
    <col min="5137" max="5137" width="14.07421875" style="407" bestFit="1" customWidth="1"/>
    <col min="5138" max="5138" width="13.3046875" style="407"/>
    <col min="5139" max="5139" width="13.4609375" style="407" bestFit="1" customWidth="1"/>
    <col min="5140" max="5377" width="13.3046875" style="407"/>
    <col min="5378" max="5378" width="14.4609375" style="407" customWidth="1"/>
    <col min="5379" max="5379" width="13.4609375" style="407" bestFit="1" customWidth="1"/>
    <col min="5380" max="5380" width="14.3046875" style="407" bestFit="1" customWidth="1"/>
    <col min="5381" max="5382" width="13.3046875" style="407"/>
    <col min="5383" max="5383" width="13.4609375" style="407" bestFit="1" customWidth="1"/>
    <col min="5384" max="5384" width="13.3046875" style="407"/>
    <col min="5385" max="5385" width="13.4609375" style="407" bestFit="1" customWidth="1"/>
    <col min="5386" max="5386" width="13.3046875" style="407"/>
    <col min="5387" max="5389" width="13.4609375" style="407" bestFit="1" customWidth="1"/>
    <col min="5390" max="5390" width="13.3046875" style="407"/>
    <col min="5391" max="5391" width="13.4609375" style="407" bestFit="1" customWidth="1"/>
    <col min="5392" max="5392" width="13.3046875" style="407"/>
    <col min="5393" max="5393" width="14.07421875" style="407" bestFit="1" customWidth="1"/>
    <col min="5394" max="5394" width="13.3046875" style="407"/>
    <col min="5395" max="5395" width="13.4609375" style="407" bestFit="1" customWidth="1"/>
    <col min="5396" max="5633" width="13.3046875" style="407"/>
    <col min="5634" max="5634" width="14.4609375" style="407" customWidth="1"/>
    <col min="5635" max="5635" width="13.4609375" style="407" bestFit="1" customWidth="1"/>
    <col min="5636" max="5636" width="14.3046875" style="407" bestFit="1" customWidth="1"/>
    <col min="5637" max="5638" width="13.3046875" style="407"/>
    <col min="5639" max="5639" width="13.4609375" style="407" bestFit="1" customWidth="1"/>
    <col min="5640" max="5640" width="13.3046875" style="407"/>
    <col min="5641" max="5641" width="13.4609375" style="407" bestFit="1" customWidth="1"/>
    <col min="5642" max="5642" width="13.3046875" style="407"/>
    <col min="5643" max="5645" width="13.4609375" style="407" bestFit="1" customWidth="1"/>
    <col min="5646" max="5646" width="13.3046875" style="407"/>
    <col min="5647" max="5647" width="13.4609375" style="407" bestFit="1" customWidth="1"/>
    <col min="5648" max="5648" width="13.3046875" style="407"/>
    <col min="5649" max="5649" width="14.07421875" style="407" bestFit="1" customWidth="1"/>
    <col min="5650" max="5650" width="13.3046875" style="407"/>
    <col min="5651" max="5651" width="13.4609375" style="407" bestFit="1" customWidth="1"/>
    <col min="5652" max="5889" width="13.3046875" style="407"/>
    <col min="5890" max="5890" width="14.4609375" style="407" customWidth="1"/>
    <col min="5891" max="5891" width="13.4609375" style="407" bestFit="1" customWidth="1"/>
    <col min="5892" max="5892" width="14.3046875" style="407" bestFit="1" customWidth="1"/>
    <col min="5893" max="5894" width="13.3046875" style="407"/>
    <col min="5895" max="5895" width="13.4609375" style="407" bestFit="1" customWidth="1"/>
    <col min="5896" max="5896" width="13.3046875" style="407"/>
    <col min="5897" max="5897" width="13.4609375" style="407" bestFit="1" customWidth="1"/>
    <col min="5898" max="5898" width="13.3046875" style="407"/>
    <col min="5899" max="5901" width="13.4609375" style="407" bestFit="1" customWidth="1"/>
    <col min="5902" max="5902" width="13.3046875" style="407"/>
    <col min="5903" max="5903" width="13.4609375" style="407" bestFit="1" customWidth="1"/>
    <col min="5904" max="5904" width="13.3046875" style="407"/>
    <col min="5905" max="5905" width="14.07421875" style="407" bestFit="1" customWidth="1"/>
    <col min="5906" max="5906" width="13.3046875" style="407"/>
    <col min="5907" max="5907" width="13.4609375" style="407" bestFit="1" customWidth="1"/>
    <col min="5908" max="6145" width="13.3046875" style="407"/>
    <col min="6146" max="6146" width="14.4609375" style="407" customWidth="1"/>
    <col min="6147" max="6147" width="13.4609375" style="407" bestFit="1" customWidth="1"/>
    <col min="6148" max="6148" width="14.3046875" style="407" bestFit="1" customWidth="1"/>
    <col min="6149" max="6150" width="13.3046875" style="407"/>
    <col min="6151" max="6151" width="13.4609375" style="407" bestFit="1" customWidth="1"/>
    <col min="6152" max="6152" width="13.3046875" style="407"/>
    <col min="6153" max="6153" width="13.4609375" style="407" bestFit="1" customWidth="1"/>
    <col min="6154" max="6154" width="13.3046875" style="407"/>
    <col min="6155" max="6157" width="13.4609375" style="407" bestFit="1" customWidth="1"/>
    <col min="6158" max="6158" width="13.3046875" style="407"/>
    <col min="6159" max="6159" width="13.4609375" style="407" bestFit="1" customWidth="1"/>
    <col min="6160" max="6160" width="13.3046875" style="407"/>
    <col min="6161" max="6161" width="14.07421875" style="407" bestFit="1" customWidth="1"/>
    <col min="6162" max="6162" width="13.3046875" style="407"/>
    <col min="6163" max="6163" width="13.4609375" style="407" bestFit="1" customWidth="1"/>
    <col min="6164" max="6401" width="13.3046875" style="407"/>
    <col min="6402" max="6402" width="14.4609375" style="407" customWidth="1"/>
    <col min="6403" max="6403" width="13.4609375" style="407" bestFit="1" customWidth="1"/>
    <col min="6404" max="6404" width="14.3046875" style="407" bestFit="1" customWidth="1"/>
    <col min="6405" max="6406" width="13.3046875" style="407"/>
    <col min="6407" max="6407" width="13.4609375" style="407" bestFit="1" customWidth="1"/>
    <col min="6408" max="6408" width="13.3046875" style="407"/>
    <col min="6409" max="6409" width="13.4609375" style="407" bestFit="1" customWidth="1"/>
    <col min="6410" max="6410" width="13.3046875" style="407"/>
    <col min="6411" max="6413" width="13.4609375" style="407" bestFit="1" customWidth="1"/>
    <col min="6414" max="6414" width="13.3046875" style="407"/>
    <col min="6415" max="6415" width="13.4609375" style="407" bestFit="1" customWidth="1"/>
    <col min="6416" max="6416" width="13.3046875" style="407"/>
    <col min="6417" max="6417" width="14.07421875" style="407" bestFit="1" customWidth="1"/>
    <col min="6418" max="6418" width="13.3046875" style="407"/>
    <col min="6419" max="6419" width="13.4609375" style="407" bestFit="1" customWidth="1"/>
    <col min="6420" max="6657" width="13.3046875" style="407"/>
    <col min="6658" max="6658" width="14.4609375" style="407" customWidth="1"/>
    <col min="6659" max="6659" width="13.4609375" style="407" bestFit="1" customWidth="1"/>
    <col min="6660" max="6660" width="14.3046875" style="407" bestFit="1" customWidth="1"/>
    <col min="6661" max="6662" width="13.3046875" style="407"/>
    <col min="6663" max="6663" width="13.4609375" style="407" bestFit="1" customWidth="1"/>
    <col min="6664" max="6664" width="13.3046875" style="407"/>
    <col min="6665" max="6665" width="13.4609375" style="407" bestFit="1" customWidth="1"/>
    <col min="6666" max="6666" width="13.3046875" style="407"/>
    <col min="6667" max="6669" width="13.4609375" style="407" bestFit="1" customWidth="1"/>
    <col min="6670" max="6670" width="13.3046875" style="407"/>
    <col min="6671" max="6671" width="13.4609375" style="407" bestFit="1" customWidth="1"/>
    <col min="6672" max="6672" width="13.3046875" style="407"/>
    <col min="6673" max="6673" width="14.07421875" style="407" bestFit="1" customWidth="1"/>
    <col min="6674" max="6674" width="13.3046875" style="407"/>
    <col min="6675" max="6675" width="13.4609375" style="407" bestFit="1" customWidth="1"/>
    <col min="6676" max="6913" width="13.3046875" style="407"/>
    <col min="6914" max="6914" width="14.4609375" style="407" customWidth="1"/>
    <col min="6915" max="6915" width="13.4609375" style="407" bestFit="1" customWidth="1"/>
    <col min="6916" max="6916" width="14.3046875" style="407" bestFit="1" customWidth="1"/>
    <col min="6917" max="6918" width="13.3046875" style="407"/>
    <col min="6919" max="6919" width="13.4609375" style="407" bestFit="1" customWidth="1"/>
    <col min="6920" max="6920" width="13.3046875" style="407"/>
    <col min="6921" max="6921" width="13.4609375" style="407" bestFit="1" customWidth="1"/>
    <col min="6922" max="6922" width="13.3046875" style="407"/>
    <col min="6923" max="6925" width="13.4609375" style="407" bestFit="1" customWidth="1"/>
    <col min="6926" max="6926" width="13.3046875" style="407"/>
    <col min="6927" max="6927" width="13.4609375" style="407" bestFit="1" customWidth="1"/>
    <col min="6928" max="6928" width="13.3046875" style="407"/>
    <col min="6929" max="6929" width="14.07421875" style="407" bestFit="1" customWidth="1"/>
    <col min="6930" max="6930" width="13.3046875" style="407"/>
    <col min="6931" max="6931" width="13.4609375" style="407" bestFit="1" customWidth="1"/>
    <col min="6932" max="7169" width="13.3046875" style="407"/>
    <col min="7170" max="7170" width="14.4609375" style="407" customWidth="1"/>
    <col min="7171" max="7171" width="13.4609375" style="407" bestFit="1" customWidth="1"/>
    <col min="7172" max="7172" width="14.3046875" style="407" bestFit="1" customWidth="1"/>
    <col min="7173" max="7174" width="13.3046875" style="407"/>
    <col min="7175" max="7175" width="13.4609375" style="407" bestFit="1" customWidth="1"/>
    <col min="7176" max="7176" width="13.3046875" style="407"/>
    <col min="7177" max="7177" width="13.4609375" style="407" bestFit="1" customWidth="1"/>
    <col min="7178" max="7178" width="13.3046875" style="407"/>
    <col min="7179" max="7181" width="13.4609375" style="407" bestFit="1" customWidth="1"/>
    <col min="7182" max="7182" width="13.3046875" style="407"/>
    <col min="7183" max="7183" width="13.4609375" style="407" bestFit="1" customWidth="1"/>
    <col min="7184" max="7184" width="13.3046875" style="407"/>
    <col min="7185" max="7185" width="14.07421875" style="407" bestFit="1" customWidth="1"/>
    <col min="7186" max="7186" width="13.3046875" style="407"/>
    <col min="7187" max="7187" width="13.4609375" style="407" bestFit="1" customWidth="1"/>
    <col min="7188" max="7425" width="13.3046875" style="407"/>
    <col min="7426" max="7426" width="14.4609375" style="407" customWidth="1"/>
    <col min="7427" max="7427" width="13.4609375" style="407" bestFit="1" customWidth="1"/>
    <col min="7428" max="7428" width="14.3046875" style="407" bestFit="1" customWidth="1"/>
    <col min="7429" max="7430" width="13.3046875" style="407"/>
    <col min="7431" max="7431" width="13.4609375" style="407" bestFit="1" customWidth="1"/>
    <col min="7432" max="7432" width="13.3046875" style="407"/>
    <col min="7433" max="7433" width="13.4609375" style="407" bestFit="1" customWidth="1"/>
    <col min="7434" max="7434" width="13.3046875" style="407"/>
    <col min="7435" max="7437" width="13.4609375" style="407" bestFit="1" customWidth="1"/>
    <col min="7438" max="7438" width="13.3046875" style="407"/>
    <col min="7439" max="7439" width="13.4609375" style="407" bestFit="1" customWidth="1"/>
    <col min="7440" max="7440" width="13.3046875" style="407"/>
    <col min="7441" max="7441" width="14.07421875" style="407" bestFit="1" customWidth="1"/>
    <col min="7442" max="7442" width="13.3046875" style="407"/>
    <col min="7443" max="7443" width="13.4609375" style="407" bestFit="1" customWidth="1"/>
    <col min="7444" max="7681" width="13.3046875" style="407"/>
    <col min="7682" max="7682" width="14.4609375" style="407" customWidth="1"/>
    <col min="7683" max="7683" width="13.4609375" style="407" bestFit="1" customWidth="1"/>
    <col min="7684" max="7684" width="14.3046875" style="407" bestFit="1" customWidth="1"/>
    <col min="7685" max="7686" width="13.3046875" style="407"/>
    <col min="7687" max="7687" width="13.4609375" style="407" bestFit="1" customWidth="1"/>
    <col min="7688" max="7688" width="13.3046875" style="407"/>
    <col min="7689" max="7689" width="13.4609375" style="407" bestFit="1" customWidth="1"/>
    <col min="7690" max="7690" width="13.3046875" style="407"/>
    <col min="7691" max="7693" width="13.4609375" style="407" bestFit="1" customWidth="1"/>
    <col min="7694" max="7694" width="13.3046875" style="407"/>
    <col min="7695" max="7695" width="13.4609375" style="407" bestFit="1" customWidth="1"/>
    <col min="7696" max="7696" width="13.3046875" style="407"/>
    <col min="7697" max="7697" width="14.07421875" style="407" bestFit="1" customWidth="1"/>
    <col min="7698" max="7698" width="13.3046875" style="407"/>
    <col min="7699" max="7699" width="13.4609375" style="407" bestFit="1" customWidth="1"/>
    <col min="7700" max="7937" width="13.3046875" style="407"/>
    <col min="7938" max="7938" width="14.4609375" style="407" customWidth="1"/>
    <col min="7939" max="7939" width="13.4609375" style="407" bestFit="1" customWidth="1"/>
    <col min="7940" max="7940" width="14.3046875" style="407" bestFit="1" customWidth="1"/>
    <col min="7941" max="7942" width="13.3046875" style="407"/>
    <col min="7943" max="7943" width="13.4609375" style="407" bestFit="1" customWidth="1"/>
    <col min="7944" max="7944" width="13.3046875" style="407"/>
    <col min="7945" max="7945" width="13.4609375" style="407" bestFit="1" customWidth="1"/>
    <col min="7946" max="7946" width="13.3046875" style="407"/>
    <col min="7947" max="7949" width="13.4609375" style="407" bestFit="1" customWidth="1"/>
    <col min="7950" max="7950" width="13.3046875" style="407"/>
    <col min="7951" max="7951" width="13.4609375" style="407" bestFit="1" customWidth="1"/>
    <col min="7952" max="7952" width="13.3046875" style="407"/>
    <col min="7953" max="7953" width="14.07421875" style="407" bestFit="1" customWidth="1"/>
    <col min="7954" max="7954" width="13.3046875" style="407"/>
    <col min="7955" max="7955" width="13.4609375" style="407" bestFit="1" customWidth="1"/>
    <col min="7956" max="8193" width="13.3046875" style="407"/>
    <col min="8194" max="8194" width="14.4609375" style="407" customWidth="1"/>
    <col min="8195" max="8195" width="13.4609375" style="407" bestFit="1" customWidth="1"/>
    <col min="8196" max="8196" width="14.3046875" style="407" bestFit="1" customWidth="1"/>
    <col min="8197" max="8198" width="13.3046875" style="407"/>
    <col min="8199" max="8199" width="13.4609375" style="407" bestFit="1" customWidth="1"/>
    <col min="8200" max="8200" width="13.3046875" style="407"/>
    <col min="8201" max="8201" width="13.4609375" style="407" bestFit="1" customWidth="1"/>
    <col min="8202" max="8202" width="13.3046875" style="407"/>
    <col min="8203" max="8205" width="13.4609375" style="407" bestFit="1" customWidth="1"/>
    <col min="8206" max="8206" width="13.3046875" style="407"/>
    <col min="8207" max="8207" width="13.4609375" style="407" bestFit="1" customWidth="1"/>
    <col min="8208" max="8208" width="13.3046875" style="407"/>
    <col min="8209" max="8209" width="14.07421875" style="407" bestFit="1" customWidth="1"/>
    <col min="8210" max="8210" width="13.3046875" style="407"/>
    <col min="8211" max="8211" width="13.4609375" style="407" bestFit="1" customWidth="1"/>
    <col min="8212" max="8449" width="13.3046875" style="407"/>
    <col min="8450" max="8450" width="14.4609375" style="407" customWidth="1"/>
    <col min="8451" max="8451" width="13.4609375" style="407" bestFit="1" customWidth="1"/>
    <col min="8452" max="8452" width="14.3046875" style="407" bestFit="1" customWidth="1"/>
    <col min="8453" max="8454" width="13.3046875" style="407"/>
    <col min="8455" max="8455" width="13.4609375" style="407" bestFit="1" customWidth="1"/>
    <col min="8456" max="8456" width="13.3046875" style="407"/>
    <col min="8457" max="8457" width="13.4609375" style="407" bestFit="1" customWidth="1"/>
    <col min="8458" max="8458" width="13.3046875" style="407"/>
    <col min="8459" max="8461" width="13.4609375" style="407" bestFit="1" customWidth="1"/>
    <col min="8462" max="8462" width="13.3046875" style="407"/>
    <col min="8463" max="8463" width="13.4609375" style="407" bestFit="1" customWidth="1"/>
    <col min="8464" max="8464" width="13.3046875" style="407"/>
    <col min="8465" max="8465" width="14.07421875" style="407" bestFit="1" customWidth="1"/>
    <col min="8466" max="8466" width="13.3046875" style="407"/>
    <col min="8467" max="8467" width="13.4609375" style="407" bestFit="1" customWidth="1"/>
    <col min="8468" max="8705" width="13.3046875" style="407"/>
    <col min="8706" max="8706" width="14.4609375" style="407" customWidth="1"/>
    <col min="8707" max="8707" width="13.4609375" style="407" bestFit="1" customWidth="1"/>
    <col min="8708" max="8708" width="14.3046875" style="407" bestFit="1" customWidth="1"/>
    <col min="8709" max="8710" width="13.3046875" style="407"/>
    <col min="8711" max="8711" width="13.4609375" style="407" bestFit="1" customWidth="1"/>
    <col min="8712" max="8712" width="13.3046875" style="407"/>
    <col min="8713" max="8713" width="13.4609375" style="407" bestFit="1" customWidth="1"/>
    <col min="8714" max="8714" width="13.3046875" style="407"/>
    <col min="8715" max="8717" width="13.4609375" style="407" bestFit="1" customWidth="1"/>
    <col min="8718" max="8718" width="13.3046875" style="407"/>
    <col min="8719" max="8719" width="13.4609375" style="407" bestFit="1" customWidth="1"/>
    <col min="8720" max="8720" width="13.3046875" style="407"/>
    <col min="8721" max="8721" width="14.07421875" style="407" bestFit="1" customWidth="1"/>
    <col min="8722" max="8722" width="13.3046875" style="407"/>
    <col min="8723" max="8723" width="13.4609375" style="407" bestFit="1" customWidth="1"/>
    <col min="8724" max="8961" width="13.3046875" style="407"/>
    <col min="8962" max="8962" width="14.4609375" style="407" customWidth="1"/>
    <col min="8963" max="8963" width="13.4609375" style="407" bestFit="1" customWidth="1"/>
    <col min="8964" max="8964" width="14.3046875" style="407" bestFit="1" customWidth="1"/>
    <col min="8965" max="8966" width="13.3046875" style="407"/>
    <col min="8967" max="8967" width="13.4609375" style="407" bestFit="1" customWidth="1"/>
    <col min="8968" max="8968" width="13.3046875" style="407"/>
    <col min="8969" max="8969" width="13.4609375" style="407" bestFit="1" customWidth="1"/>
    <col min="8970" max="8970" width="13.3046875" style="407"/>
    <col min="8971" max="8973" width="13.4609375" style="407" bestFit="1" customWidth="1"/>
    <col min="8974" max="8974" width="13.3046875" style="407"/>
    <col min="8975" max="8975" width="13.4609375" style="407" bestFit="1" customWidth="1"/>
    <col min="8976" max="8976" width="13.3046875" style="407"/>
    <col min="8977" max="8977" width="14.07421875" style="407" bestFit="1" customWidth="1"/>
    <col min="8978" max="8978" width="13.3046875" style="407"/>
    <col min="8979" max="8979" width="13.4609375" style="407" bestFit="1" customWidth="1"/>
    <col min="8980" max="9217" width="13.3046875" style="407"/>
    <col min="9218" max="9218" width="14.4609375" style="407" customWidth="1"/>
    <col min="9219" max="9219" width="13.4609375" style="407" bestFit="1" customWidth="1"/>
    <col min="9220" max="9220" width="14.3046875" style="407" bestFit="1" customWidth="1"/>
    <col min="9221" max="9222" width="13.3046875" style="407"/>
    <col min="9223" max="9223" width="13.4609375" style="407" bestFit="1" customWidth="1"/>
    <col min="9224" max="9224" width="13.3046875" style="407"/>
    <col min="9225" max="9225" width="13.4609375" style="407" bestFit="1" customWidth="1"/>
    <col min="9226" max="9226" width="13.3046875" style="407"/>
    <col min="9227" max="9229" width="13.4609375" style="407" bestFit="1" customWidth="1"/>
    <col min="9230" max="9230" width="13.3046875" style="407"/>
    <col min="9231" max="9231" width="13.4609375" style="407" bestFit="1" customWidth="1"/>
    <col min="9232" max="9232" width="13.3046875" style="407"/>
    <col min="9233" max="9233" width="14.07421875" style="407" bestFit="1" customWidth="1"/>
    <col min="9234" max="9234" width="13.3046875" style="407"/>
    <col min="9235" max="9235" width="13.4609375" style="407" bestFit="1" customWidth="1"/>
    <col min="9236" max="9473" width="13.3046875" style="407"/>
    <col min="9474" max="9474" width="14.4609375" style="407" customWidth="1"/>
    <col min="9475" max="9475" width="13.4609375" style="407" bestFit="1" customWidth="1"/>
    <col min="9476" max="9476" width="14.3046875" style="407" bestFit="1" customWidth="1"/>
    <col min="9477" max="9478" width="13.3046875" style="407"/>
    <col min="9479" max="9479" width="13.4609375" style="407" bestFit="1" customWidth="1"/>
    <col min="9480" max="9480" width="13.3046875" style="407"/>
    <col min="9481" max="9481" width="13.4609375" style="407" bestFit="1" customWidth="1"/>
    <col min="9482" max="9482" width="13.3046875" style="407"/>
    <col min="9483" max="9485" width="13.4609375" style="407" bestFit="1" customWidth="1"/>
    <col min="9486" max="9486" width="13.3046875" style="407"/>
    <col min="9487" max="9487" width="13.4609375" style="407" bestFit="1" customWidth="1"/>
    <col min="9488" max="9488" width="13.3046875" style="407"/>
    <col min="9489" max="9489" width="14.07421875" style="407" bestFit="1" customWidth="1"/>
    <col min="9490" max="9490" width="13.3046875" style="407"/>
    <col min="9491" max="9491" width="13.4609375" style="407" bestFit="1" customWidth="1"/>
    <col min="9492" max="9729" width="13.3046875" style="407"/>
    <col min="9730" max="9730" width="14.4609375" style="407" customWidth="1"/>
    <col min="9731" max="9731" width="13.4609375" style="407" bestFit="1" customWidth="1"/>
    <col min="9732" max="9732" width="14.3046875" style="407" bestFit="1" customWidth="1"/>
    <col min="9733" max="9734" width="13.3046875" style="407"/>
    <col min="9735" max="9735" width="13.4609375" style="407" bestFit="1" customWidth="1"/>
    <col min="9736" max="9736" width="13.3046875" style="407"/>
    <col min="9737" max="9737" width="13.4609375" style="407" bestFit="1" customWidth="1"/>
    <col min="9738" max="9738" width="13.3046875" style="407"/>
    <col min="9739" max="9741" width="13.4609375" style="407" bestFit="1" customWidth="1"/>
    <col min="9742" max="9742" width="13.3046875" style="407"/>
    <col min="9743" max="9743" width="13.4609375" style="407" bestFit="1" customWidth="1"/>
    <col min="9744" max="9744" width="13.3046875" style="407"/>
    <col min="9745" max="9745" width="14.07421875" style="407" bestFit="1" customWidth="1"/>
    <col min="9746" max="9746" width="13.3046875" style="407"/>
    <col min="9747" max="9747" width="13.4609375" style="407" bestFit="1" customWidth="1"/>
    <col min="9748" max="9985" width="13.3046875" style="407"/>
    <col min="9986" max="9986" width="14.4609375" style="407" customWidth="1"/>
    <col min="9987" max="9987" width="13.4609375" style="407" bestFit="1" customWidth="1"/>
    <col min="9988" max="9988" width="14.3046875" style="407" bestFit="1" customWidth="1"/>
    <col min="9989" max="9990" width="13.3046875" style="407"/>
    <col min="9991" max="9991" width="13.4609375" style="407" bestFit="1" customWidth="1"/>
    <col min="9992" max="9992" width="13.3046875" style="407"/>
    <col min="9993" max="9993" width="13.4609375" style="407" bestFit="1" customWidth="1"/>
    <col min="9994" max="9994" width="13.3046875" style="407"/>
    <col min="9995" max="9997" width="13.4609375" style="407" bestFit="1" customWidth="1"/>
    <col min="9998" max="9998" width="13.3046875" style="407"/>
    <col min="9999" max="9999" width="13.4609375" style="407" bestFit="1" customWidth="1"/>
    <col min="10000" max="10000" width="13.3046875" style="407"/>
    <col min="10001" max="10001" width="14.07421875" style="407" bestFit="1" customWidth="1"/>
    <col min="10002" max="10002" width="13.3046875" style="407"/>
    <col min="10003" max="10003" width="13.4609375" style="407" bestFit="1" customWidth="1"/>
    <col min="10004" max="10241" width="13.3046875" style="407"/>
    <col min="10242" max="10242" width="14.4609375" style="407" customWidth="1"/>
    <col min="10243" max="10243" width="13.4609375" style="407" bestFit="1" customWidth="1"/>
    <col min="10244" max="10244" width="14.3046875" style="407" bestFit="1" customWidth="1"/>
    <col min="10245" max="10246" width="13.3046875" style="407"/>
    <col min="10247" max="10247" width="13.4609375" style="407" bestFit="1" customWidth="1"/>
    <col min="10248" max="10248" width="13.3046875" style="407"/>
    <col min="10249" max="10249" width="13.4609375" style="407" bestFit="1" customWidth="1"/>
    <col min="10250" max="10250" width="13.3046875" style="407"/>
    <col min="10251" max="10253" width="13.4609375" style="407" bestFit="1" customWidth="1"/>
    <col min="10254" max="10254" width="13.3046875" style="407"/>
    <col min="10255" max="10255" width="13.4609375" style="407" bestFit="1" customWidth="1"/>
    <col min="10256" max="10256" width="13.3046875" style="407"/>
    <col min="10257" max="10257" width="14.07421875" style="407" bestFit="1" customWidth="1"/>
    <col min="10258" max="10258" width="13.3046875" style="407"/>
    <col min="10259" max="10259" width="13.4609375" style="407" bestFit="1" customWidth="1"/>
    <col min="10260" max="10497" width="13.3046875" style="407"/>
    <col min="10498" max="10498" width="14.4609375" style="407" customWidth="1"/>
    <col min="10499" max="10499" width="13.4609375" style="407" bestFit="1" customWidth="1"/>
    <col min="10500" max="10500" width="14.3046875" style="407" bestFit="1" customWidth="1"/>
    <col min="10501" max="10502" width="13.3046875" style="407"/>
    <col min="10503" max="10503" width="13.4609375" style="407" bestFit="1" customWidth="1"/>
    <col min="10504" max="10504" width="13.3046875" style="407"/>
    <col min="10505" max="10505" width="13.4609375" style="407" bestFit="1" customWidth="1"/>
    <col min="10506" max="10506" width="13.3046875" style="407"/>
    <col min="10507" max="10509" width="13.4609375" style="407" bestFit="1" customWidth="1"/>
    <col min="10510" max="10510" width="13.3046875" style="407"/>
    <col min="10511" max="10511" width="13.4609375" style="407" bestFit="1" customWidth="1"/>
    <col min="10512" max="10512" width="13.3046875" style="407"/>
    <col min="10513" max="10513" width="14.07421875" style="407" bestFit="1" customWidth="1"/>
    <col min="10514" max="10514" width="13.3046875" style="407"/>
    <col min="10515" max="10515" width="13.4609375" style="407" bestFit="1" customWidth="1"/>
    <col min="10516" max="10753" width="13.3046875" style="407"/>
    <col min="10754" max="10754" width="14.4609375" style="407" customWidth="1"/>
    <col min="10755" max="10755" width="13.4609375" style="407" bestFit="1" customWidth="1"/>
    <col min="10756" max="10756" width="14.3046875" style="407" bestFit="1" customWidth="1"/>
    <col min="10757" max="10758" width="13.3046875" style="407"/>
    <col min="10759" max="10759" width="13.4609375" style="407" bestFit="1" customWidth="1"/>
    <col min="10760" max="10760" width="13.3046875" style="407"/>
    <col min="10761" max="10761" width="13.4609375" style="407" bestFit="1" customWidth="1"/>
    <col min="10762" max="10762" width="13.3046875" style="407"/>
    <col min="10763" max="10765" width="13.4609375" style="407" bestFit="1" customWidth="1"/>
    <col min="10766" max="10766" width="13.3046875" style="407"/>
    <col min="10767" max="10767" width="13.4609375" style="407" bestFit="1" customWidth="1"/>
    <col min="10768" max="10768" width="13.3046875" style="407"/>
    <col min="10769" max="10769" width="14.07421875" style="407" bestFit="1" customWidth="1"/>
    <col min="10770" max="10770" width="13.3046875" style="407"/>
    <col min="10771" max="10771" width="13.4609375" style="407" bestFit="1" customWidth="1"/>
    <col min="10772" max="11009" width="13.3046875" style="407"/>
    <col min="11010" max="11010" width="14.4609375" style="407" customWidth="1"/>
    <col min="11011" max="11011" width="13.4609375" style="407" bestFit="1" customWidth="1"/>
    <col min="11012" max="11012" width="14.3046875" style="407" bestFit="1" customWidth="1"/>
    <col min="11013" max="11014" width="13.3046875" style="407"/>
    <col min="11015" max="11015" width="13.4609375" style="407" bestFit="1" customWidth="1"/>
    <col min="11016" max="11016" width="13.3046875" style="407"/>
    <col min="11017" max="11017" width="13.4609375" style="407" bestFit="1" customWidth="1"/>
    <col min="11018" max="11018" width="13.3046875" style="407"/>
    <col min="11019" max="11021" width="13.4609375" style="407" bestFit="1" customWidth="1"/>
    <col min="11022" max="11022" width="13.3046875" style="407"/>
    <col min="11023" max="11023" width="13.4609375" style="407" bestFit="1" customWidth="1"/>
    <col min="11024" max="11024" width="13.3046875" style="407"/>
    <col min="11025" max="11025" width="14.07421875" style="407" bestFit="1" customWidth="1"/>
    <col min="11026" max="11026" width="13.3046875" style="407"/>
    <col min="11027" max="11027" width="13.4609375" style="407" bestFit="1" customWidth="1"/>
    <col min="11028" max="11265" width="13.3046875" style="407"/>
    <col min="11266" max="11266" width="14.4609375" style="407" customWidth="1"/>
    <col min="11267" max="11267" width="13.4609375" style="407" bestFit="1" customWidth="1"/>
    <col min="11268" max="11268" width="14.3046875" style="407" bestFit="1" customWidth="1"/>
    <col min="11269" max="11270" width="13.3046875" style="407"/>
    <col min="11271" max="11271" width="13.4609375" style="407" bestFit="1" customWidth="1"/>
    <col min="11272" max="11272" width="13.3046875" style="407"/>
    <col min="11273" max="11273" width="13.4609375" style="407" bestFit="1" customWidth="1"/>
    <col min="11274" max="11274" width="13.3046875" style="407"/>
    <col min="11275" max="11277" width="13.4609375" style="407" bestFit="1" customWidth="1"/>
    <col min="11278" max="11278" width="13.3046875" style="407"/>
    <col min="11279" max="11279" width="13.4609375" style="407" bestFit="1" customWidth="1"/>
    <col min="11280" max="11280" width="13.3046875" style="407"/>
    <col min="11281" max="11281" width="14.07421875" style="407" bestFit="1" customWidth="1"/>
    <col min="11282" max="11282" width="13.3046875" style="407"/>
    <col min="11283" max="11283" width="13.4609375" style="407" bestFit="1" customWidth="1"/>
    <col min="11284" max="11521" width="13.3046875" style="407"/>
    <col min="11522" max="11522" width="14.4609375" style="407" customWidth="1"/>
    <col min="11523" max="11523" width="13.4609375" style="407" bestFit="1" customWidth="1"/>
    <col min="11524" max="11524" width="14.3046875" style="407" bestFit="1" customWidth="1"/>
    <col min="11525" max="11526" width="13.3046875" style="407"/>
    <col min="11527" max="11527" width="13.4609375" style="407" bestFit="1" customWidth="1"/>
    <col min="11528" max="11528" width="13.3046875" style="407"/>
    <col min="11529" max="11529" width="13.4609375" style="407" bestFit="1" customWidth="1"/>
    <col min="11530" max="11530" width="13.3046875" style="407"/>
    <col min="11531" max="11533" width="13.4609375" style="407" bestFit="1" customWidth="1"/>
    <col min="11534" max="11534" width="13.3046875" style="407"/>
    <col min="11535" max="11535" width="13.4609375" style="407" bestFit="1" customWidth="1"/>
    <col min="11536" max="11536" width="13.3046875" style="407"/>
    <col min="11537" max="11537" width="14.07421875" style="407" bestFit="1" customWidth="1"/>
    <col min="11538" max="11538" width="13.3046875" style="407"/>
    <col min="11539" max="11539" width="13.4609375" style="407" bestFit="1" customWidth="1"/>
    <col min="11540" max="11777" width="13.3046875" style="407"/>
    <col min="11778" max="11778" width="14.4609375" style="407" customWidth="1"/>
    <col min="11779" max="11779" width="13.4609375" style="407" bestFit="1" customWidth="1"/>
    <col min="11780" max="11780" width="14.3046875" style="407" bestFit="1" customWidth="1"/>
    <col min="11781" max="11782" width="13.3046875" style="407"/>
    <col min="11783" max="11783" width="13.4609375" style="407" bestFit="1" customWidth="1"/>
    <col min="11784" max="11784" width="13.3046875" style="407"/>
    <col min="11785" max="11785" width="13.4609375" style="407" bestFit="1" customWidth="1"/>
    <col min="11786" max="11786" width="13.3046875" style="407"/>
    <col min="11787" max="11789" width="13.4609375" style="407" bestFit="1" customWidth="1"/>
    <col min="11790" max="11790" width="13.3046875" style="407"/>
    <col min="11791" max="11791" width="13.4609375" style="407" bestFit="1" customWidth="1"/>
    <col min="11792" max="11792" width="13.3046875" style="407"/>
    <col min="11793" max="11793" width="14.07421875" style="407" bestFit="1" customWidth="1"/>
    <col min="11794" max="11794" width="13.3046875" style="407"/>
    <col min="11795" max="11795" width="13.4609375" style="407" bestFit="1" customWidth="1"/>
    <col min="11796" max="12033" width="13.3046875" style="407"/>
    <col min="12034" max="12034" width="14.4609375" style="407" customWidth="1"/>
    <col min="12035" max="12035" width="13.4609375" style="407" bestFit="1" customWidth="1"/>
    <col min="12036" max="12036" width="14.3046875" style="407" bestFit="1" customWidth="1"/>
    <col min="12037" max="12038" width="13.3046875" style="407"/>
    <col min="12039" max="12039" width="13.4609375" style="407" bestFit="1" customWidth="1"/>
    <col min="12040" max="12040" width="13.3046875" style="407"/>
    <col min="12041" max="12041" width="13.4609375" style="407" bestFit="1" customWidth="1"/>
    <col min="12042" max="12042" width="13.3046875" style="407"/>
    <col min="12043" max="12045" width="13.4609375" style="407" bestFit="1" customWidth="1"/>
    <col min="12046" max="12046" width="13.3046875" style="407"/>
    <col min="12047" max="12047" width="13.4609375" style="407" bestFit="1" customWidth="1"/>
    <col min="12048" max="12048" width="13.3046875" style="407"/>
    <col min="12049" max="12049" width="14.07421875" style="407" bestFit="1" customWidth="1"/>
    <col min="12050" max="12050" width="13.3046875" style="407"/>
    <col min="12051" max="12051" width="13.4609375" style="407" bestFit="1" customWidth="1"/>
    <col min="12052" max="12289" width="13.3046875" style="407"/>
    <col min="12290" max="12290" width="14.4609375" style="407" customWidth="1"/>
    <col min="12291" max="12291" width="13.4609375" style="407" bestFit="1" customWidth="1"/>
    <col min="12292" max="12292" width="14.3046875" style="407" bestFit="1" customWidth="1"/>
    <col min="12293" max="12294" width="13.3046875" style="407"/>
    <col min="12295" max="12295" width="13.4609375" style="407" bestFit="1" customWidth="1"/>
    <col min="12296" max="12296" width="13.3046875" style="407"/>
    <col min="12297" max="12297" width="13.4609375" style="407" bestFit="1" customWidth="1"/>
    <col min="12298" max="12298" width="13.3046875" style="407"/>
    <col min="12299" max="12301" width="13.4609375" style="407" bestFit="1" customWidth="1"/>
    <col min="12302" max="12302" width="13.3046875" style="407"/>
    <col min="12303" max="12303" width="13.4609375" style="407" bestFit="1" customWidth="1"/>
    <col min="12304" max="12304" width="13.3046875" style="407"/>
    <col min="12305" max="12305" width="14.07421875" style="407" bestFit="1" customWidth="1"/>
    <col min="12306" max="12306" width="13.3046875" style="407"/>
    <col min="12307" max="12307" width="13.4609375" style="407" bestFit="1" customWidth="1"/>
    <col min="12308" max="12545" width="13.3046875" style="407"/>
    <col min="12546" max="12546" width="14.4609375" style="407" customWidth="1"/>
    <col min="12547" max="12547" width="13.4609375" style="407" bestFit="1" customWidth="1"/>
    <col min="12548" max="12548" width="14.3046875" style="407" bestFit="1" customWidth="1"/>
    <col min="12549" max="12550" width="13.3046875" style="407"/>
    <col min="12551" max="12551" width="13.4609375" style="407" bestFit="1" customWidth="1"/>
    <col min="12552" max="12552" width="13.3046875" style="407"/>
    <col min="12553" max="12553" width="13.4609375" style="407" bestFit="1" customWidth="1"/>
    <col min="12554" max="12554" width="13.3046875" style="407"/>
    <col min="12555" max="12557" width="13.4609375" style="407" bestFit="1" customWidth="1"/>
    <col min="12558" max="12558" width="13.3046875" style="407"/>
    <col min="12559" max="12559" width="13.4609375" style="407" bestFit="1" customWidth="1"/>
    <col min="12560" max="12560" width="13.3046875" style="407"/>
    <col min="12561" max="12561" width="14.07421875" style="407" bestFit="1" customWidth="1"/>
    <col min="12562" max="12562" width="13.3046875" style="407"/>
    <col min="12563" max="12563" width="13.4609375" style="407" bestFit="1" customWidth="1"/>
    <col min="12564" max="12801" width="13.3046875" style="407"/>
    <col min="12802" max="12802" width="14.4609375" style="407" customWidth="1"/>
    <col min="12803" max="12803" width="13.4609375" style="407" bestFit="1" customWidth="1"/>
    <col min="12804" max="12804" width="14.3046875" style="407" bestFit="1" customWidth="1"/>
    <col min="12805" max="12806" width="13.3046875" style="407"/>
    <col min="12807" max="12807" width="13.4609375" style="407" bestFit="1" customWidth="1"/>
    <col min="12808" max="12808" width="13.3046875" style="407"/>
    <col min="12809" max="12809" width="13.4609375" style="407" bestFit="1" customWidth="1"/>
    <col min="12810" max="12810" width="13.3046875" style="407"/>
    <col min="12811" max="12813" width="13.4609375" style="407" bestFit="1" customWidth="1"/>
    <col min="12814" max="12814" width="13.3046875" style="407"/>
    <col min="12815" max="12815" width="13.4609375" style="407" bestFit="1" customWidth="1"/>
    <col min="12816" max="12816" width="13.3046875" style="407"/>
    <col min="12817" max="12817" width="14.07421875" style="407" bestFit="1" customWidth="1"/>
    <col min="12818" max="12818" width="13.3046875" style="407"/>
    <col min="12819" max="12819" width="13.4609375" style="407" bestFit="1" customWidth="1"/>
    <col min="12820" max="13057" width="13.3046875" style="407"/>
    <col min="13058" max="13058" width="14.4609375" style="407" customWidth="1"/>
    <col min="13059" max="13059" width="13.4609375" style="407" bestFit="1" customWidth="1"/>
    <col min="13060" max="13060" width="14.3046875" style="407" bestFit="1" customWidth="1"/>
    <col min="13061" max="13062" width="13.3046875" style="407"/>
    <col min="13063" max="13063" width="13.4609375" style="407" bestFit="1" customWidth="1"/>
    <col min="13064" max="13064" width="13.3046875" style="407"/>
    <col min="13065" max="13065" width="13.4609375" style="407" bestFit="1" customWidth="1"/>
    <col min="13066" max="13066" width="13.3046875" style="407"/>
    <col min="13067" max="13069" width="13.4609375" style="407" bestFit="1" customWidth="1"/>
    <col min="13070" max="13070" width="13.3046875" style="407"/>
    <col min="13071" max="13071" width="13.4609375" style="407" bestFit="1" customWidth="1"/>
    <col min="13072" max="13072" width="13.3046875" style="407"/>
    <col min="13073" max="13073" width="14.07421875" style="407" bestFit="1" customWidth="1"/>
    <col min="13074" max="13074" width="13.3046875" style="407"/>
    <col min="13075" max="13075" width="13.4609375" style="407" bestFit="1" customWidth="1"/>
    <col min="13076" max="13313" width="13.3046875" style="407"/>
    <col min="13314" max="13314" width="14.4609375" style="407" customWidth="1"/>
    <col min="13315" max="13315" width="13.4609375" style="407" bestFit="1" customWidth="1"/>
    <col min="13316" max="13316" width="14.3046875" style="407" bestFit="1" customWidth="1"/>
    <col min="13317" max="13318" width="13.3046875" style="407"/>
    <col min="13319" max="13319" width="13.4609375" style="407" bestFit="1" customWidth="1"/>
    <col min="13320" max="13320" width="13.3046875" style="407"/>
    <col min="13321" max="13321" width="13.4609375" style="407" bestFit="1" customWidth="1"/>
    <col min="13322" max="13322" width="13.3046875" style="407"/>
    <col min="13323" max="13325" width="13.4609375" style="407" bestFit="1" customWidth="1"/>
    <col min="13326" max="13326" width="13.3046875" style="407"/>
    <col min="13327" max="13327" width="13.4609375" style="407" bestFit="1" customWidth="1"/>
    <col min="13328" max="13328" width="13.3046875" style="407"/>
    <col min="13329" max="13329" width="14.07421875" style="407" bestFit="1" customWidth="1"/>
    <col min="13330" max="13330" width="13.3046875" style="407"/>
    <col min="13331" max="13331" width="13.4609375" style="407" bestFit="1" customWidth="1"/>
    <col min="13332" max="13569" width="13.3046875" style="407"/>
    <col min="13570" max="13570" width="14.4609375" style="407" customWidth="1"/>
    <col min="13571" max="13571" width="13.4609375" style="407" bestFit="1" customWidth="1"/>
    <col min="13572" max="13572" width="14.3046875" style="407" bestFit="1" customWidth="1"/>
    <col min="13573" max="13574" width="13.3046875" style="407"/>
    <col min="13575" max="13575" width="13.4609375" style="407" bestFit="1" customWidth="1"/>
    <col min="13576" max="13576" width="13.3046875" style="407"/>
    <col min="13577" max="13577" width="13.4609375" style="407" bestFit="1" customWidth="1"/>
    <col min="13578" max="13578" width="13.3046875" style="407"/>
    <col min="13579" max="13581" width="13.4609375" style="407" bestFit="1" customWidth="1"/>
    <col min="13582" max="13582" width="13.3046875" style="407"/>
    <col min="13583" max="13583" width="13.4609375" style="407" bestFit="1" customWidth="1"/>
    <col min="13584" max="13584" width="13.3046875" style="407"/>
    <col min="13585" max="13585" width="14.07421875" style="407" bestFit="1" customWidth="1"/>
    <col min="13586" max="13586" width="13.3046875" style="407"/>
    <col min="13587" max="13587" width="13.4609375" style="407" bestFit="1" customWidth="1"/>
    <col min="13588" max="13825" width="13.3046875" style="407"/>
    <col min="13826" max="13826" width="14.4609375" style="407" customWidth="1"/>
    <col min="13827" max="13827" width="13.4609375" style="407" bestFit="1" customWidth="1"/>
    <col min="13828" max="13828" width="14.3046875" style="407" bestFit="1" customWidth="1"/>
    <col min="13829" max="13830" width="13.3046875" style="407"/>
    <col min="13831" max="13831" width="13.4609375" style="407" bestFit="1" customWidth="1"/>
    <col min="13832" max="13832" width="13.3046875" style="407"/>
    <col min="13833" max="13833" width="13.4609375" style="407" bestFit="1" customWidth="1"/>
    <col min="13834" max="13834" width="13.3046875" style="407"/>
    <col min="13835" max="13837" width="13.4609375" style="407" bestFit="1" customWidth="1"/>
    <col min="13838" max="13838" width="13.3046875" style="407"/>
    <col min="13839" max="13839" width="13.4609375" style="407" bestFit="1" customWidth="1"/>
    <col min="13840" max="13840" width="13.3046875" style="407"/>
    <col min="13841" max="13841" width="14.07421875" style="407" bestFit="1" customWidth="1"/>
    <col min="13842" max="13842" width="13.3046875" style="407"/>
    <col min="13843" max="13843" width="13.4609375" style="407" bestFit="1" customWidth="1"/>
    <col min="13844" max="14081" width="13.3046875" style="407"/>
    <col min="14082" max="14082" width="14.4609375" style="407" customWidth="1"/>
    <col min="14083" max="14083" width="13.4609375" style="407" bestFit="1" customWidth="1"/>
    <col min="14084" max="14084" width="14.3046875" style="407" bestFit="1" customWidth="1"/>
    <col min="14085" max="14086" width="13.3046875" style="407"/>
    <col min="14087" max="14087" width="13.4609375" style="407" bestFit="1" customWidth="1"/>
    <col min="14088" max="14088" width="13.3046875" style="407"/>
    <col min="14089" max="14089" width="13.4609375" style="407" bestFit="1" customWidth="1"/>
    <col min="14090" max="14090" width="13.3046875" style="407"/>
    <col min="14091" max="14093" width="13.4609375" style="407" bestFit="1" customWidth="1"/>
    <col min="14094" max="14094" width="13.3046875" style="407"/>
    <col min="14095" max="14095" width="13.4609375" style="407" bestFit="1" customWidth="1"/>
    <col min="14096" max="14096" width="13.3046875" style="407"/>
    <col min="14097" max="14097" width="14.07421875" style="407" bestFit="1" customWidth="1"/>
    <col min="14098" max="14098" width="13.3046875" style="407"/>
    <col min="14099" max="14099" width="13.4609375" style="407" bestFit="1" customWidth="1"/>
    <col min="14100" max="14337" width="13.3046875" style="407"/>
    <col min="14338" max="14338" width="14.4609375" style="407" customWidth="1"/>
    <col min="14339" max="14339" width="13.4609375" style="407" bestFit="1" customWidth="1"/>
    <col min="14340" max="14340" width="14.3046875" style="407" bestFit="1" customWidth="1"/>
    <col min="14341" max="14342" width="13.3046875" style="407"/>
    <col min="14343" max="14343" width="13.4609375" style="407" bestFit="1" customWidth="1"/>
    <col min="14344" max="14344" width="13.3046875" style="407"/>
    <col min="14345" max="14345" width="13.4609375" style="407" bestFit="1" customWidth="1"/>
    <col min="14346" max="14346" width="13.3046875" style="407"/>
    <col min="14347" max="14349" width="13.4609375" style="407" bestFit="1" customWidth="1"/>
    <col min="14350" max="14350" width="13.3046875" style="407"/>
    <col min="14351" max="14351" width="13.4609375" style="407" bestFit="1" customWidth="1"/>
    <col min="14352" max="14352" width="13.3046875" style="407"/>
    <col min="14353" max="14353" width="14.07421875" style="407" bestFit="1" customWidth="1"/>
    <col min="14354" max="14354" width="13.3046875" style="407"/>
    <col min="14355" max="14355" width="13.4609375" style="407" bestFit="1" customWidth="1"/>
    <col min="14356" max="14593" width="13.3046875" style="407"/>
    <col min="14594" max="14594" width="14.4609375" style="407" customWidth="1"/>
    <col min="14595" max="14595" width="13.4609375" style="407" bestFit="1" customWidth="1"/>
    <col min="14596" max="14596" width="14.3046875" style="407" bestFit="1" customWidth="1"/>
    <col min="14597" max="14598" width="13.3046875" style="407"/>
    <col min="14599" max="14599" width="13.4609375" style="407" bestFit="1" customWidth="1"/>
    <col min="14600" max="14600" width="13.3046875" style="407"/>
    <col min="14601" max="14601" width="13.4609375" style="407" bestFit="1" customWidth="1"/>
    <col min="14602" max="14602" width="13.3046875" style="407"/>
    <col min="14603" max="14605" width="13.4609375" style="407" bestFit="1" customWidth="1"/>
    <col min="14606" max="14606" width="13.3046875" style="407"/>
    <col min="14607" max="14607" width="13.4609375" style="407" bestFit="1" customWidth="1"/>
    <col min="14608" max="14608" width="13.3046875" style="407"/>
    <col min="14609" max="14609" width="14.07421875" style="407" bestFit="1" customWidth="1"/>
    <col min="14610" max="14610" width="13.3046875" style="407"/>
    <col min="14611" max="14611" width="13.4609375" style="407" bestFit="1" customWidth="1"/>
    <col min="14612" max="14849" width="13.3046875" style="407"/>
    <col min="14850" max="14850" width="14.4609375" style="407" customWidth="1"/>
    <col min="14851" max="14851" width="13.4609375" style="407" bestFit="1" customWidth="1"/>
    <col min="14852" max="14852" width="14.3046875" style="407" bestFit="1" customWidth="1"/>
    <col min="14853" max="14854" width="13.3046875" style="407"/>
    <col min="14855" max="14855" width="13.4609375" style="407" bestFit="1" customWidth="1"/>
    <col min="14856" max="14856" width="13.3046875" style="407"/>
    <col min="14857" max="14857" width="13.4609375" style="407" bestFit="1" customWidth="1"/>
    <col min="14858" max="14858" width="13.3046875" style="407"/>
    <col min="14859" max="14861" width="13.4609375" style="407" bestFit="1" customWidth="1"/>
    <col min="14862" max="14862" width="13.3046875" style="407"/>
    <col min="14863" max="14863" width="13.4609375" style="407" bestFit="1" customWidth="1"/>
    <col min="14864" max="14864" width="13.3046875" style="407"/>
    <col min="14865" max="14865" width="14.07421875" style="407" bestFit="1" customWidth="1"/>
    <col min="14866" max="14866" width="13.3046875" style="407"/>
    <col min="14867" max="14867" width="13.4609375" style="407" bestFit="1" customWidth="1"/>
    <col min="14868" max="15105" width="13.3046875" style="407"/>
    <col min="15106" max="15106" width="14.4609375" style="407" customWidth="1"/>
    <col min="15107" max="15107" width="13.4609375" style="407" bestFit="1" customWidth="1"/>
    <col min="15108" max="15108" width="14.3046875" style="407" bestFit="1" customWidth="1"/>
    <col min="15109" max="15110" width="13.3046875" style="407"/>
    <col min="15111" max="15111" width="13.4609375" style="407" bestFit="1" customWidth="1"/>
    <col min="15112" max="15112" width="13.3046875" style="407"/>
    <col min="15113" max="15113" width="13.4609375" style="407" bestFit="1" customWidth="1"/>
    <col min="15114" max="15114" width="13.3046875" style="407"/>
    <col min="15115" max="15117" width="13.4609375" style="407" bestFit="1" customWidth="1"/>
    <col min="15118" max="15118" width="13.3046875" style="407"/>
    <col min="15119" max="15119" width="13.4609375" style="407" bestFit="1" customWidth="1"/>
    <col min="15120" max="15120" width="13.3046875" style="407"/>
    <col min="15121" max="15121" width="14.07421875" style="407" bestFit="1" customWidth="1"/>
    <col min="15122" max="15122" width="13.3046875" style="407"/>
    <col min="15123" max="15123" width="13.4609375" style="407" bestFit="1" customWidth="1"/>
    <col min="15124" max="15361" width="13.3046875" style="407"/>
    <col min="15362" max="15362" width="14.4609375" style="407" customWidth="1"/>
    <col min="15363" max="15363" width="13.4609375" style="407" bestFit="1" customWidth="1"/>
    <col min="15364" max="15364" width="14.3046875" style="407" bestFit="1" customWidth="1"/>
    <col min="15365" max="15366" width="13.3046875" style="407"/>
    <col min="15367" max="15367" width="13.4609375" style="407" bestFit="1" customWidth="1"/>
    <col min="15368" max="15368" width="13.3046875" style="407"/>
    <col min="15369" max="15369" width="13.4609375" style="407" bestFit="1" customWidth="1"/>
    <col min="15370" max="15370" width="13.3046875" style="407"/>
    <col min="15371" max="15373" width="13.4609375" style="407" bestFit="1" customWidth="1"/>
    <col min="15374" max="15374" width="13.3046875" style="407"/>
    <col min="15375" max="15375" width="13.4609375" style="407" bestFit="1" customWidth="1"/>
    <col min="15376" max="15376" width="13.3046875" style="407"/>
    <col min="15377" max="15377" width="14.07421875" style="407" bestFit="1" customWidth="1"/>
    <col min="15378" max="15378" width="13.3046875" style="407"/>
    <col min="15379" max="15379" width="13.4609375" style="407" bestFit="1" customWidth="1"/>
    <col min="15380" max="15617" width="13.3046875" style="407"/>
    <col min="15618" max="15618" width="14.4609375" style="407" customWidth="1"/>
    <col min="15619" max="15619" width="13.4609375" style="407" bestFit="1" customWidth="1"/>
    <col min="15620" max="15620" width="14.3046875" style="407" bestFit="1" customWidth="1"/>
    <col min="15621" max="15622" width="13.3046875" style="407"/>
    <col min="15623" max="15623" width="13.4609375" style="407" bestFit="1" customWidth="1"/>
    <col min="15624" max="15624" width="13.3046875" style="407"/>
    <col min="15625" max="15625" width="13.4609375" style="407" bestFit="1" customWidth="1"/>
    <col min="15626" max="15626" width="13.3046875" style="407"/>
    <col min="15627" max="15629" width="13.4609375" style="407" bestFit="1" customWidth="1"/>
    <col min="15630" max="15630" width="13.3046875" style="407"/>
    <col min="15631" max="15631" width="13.4609375" style="407" bestFit="1" customWidth="1"/>
    <col min="15632" max="15632" width="13.3046875" style="407"/>
    <col min="15633" max="15633" width="14.07421875" style="407" bestFit="1" customWidth="1"/>
    <col min="15634" max="15634" width="13.3046875" style="407"/>
    <col min="15635" max="15635" width="13.4609375" style="407" bestFit="1" customWidth="1"/>
    <col min="15636" max="15873" width="13.3046875" style="407"/>
    <col min="15874" max="15874" width="14.4609375" style="407" customWidth="1"/>
    <col min="15875" max="15875" width="13.4609375" style="407" bestFit="1" customWidth="1"/>
    <col min="15876" max="15876" width="14.3046875" style="407" bestFit="1" customWidth="1"/>
    <col min="15877" max="15878" width="13.3046875" style="407"/>
    <col min="15879" max="15879" width="13.4609375" style="407" bestFit="1" customWidth="1"/>
    <col min="15880" max="15880" width="13.3046875" style="407"/>
    <col min="15881" max="15881" width="13.4609375" style="407" bestFit="1" customWidth="1"/>
    <col min="15882" max="15882" width="13.3046875" style="407"/>
    <col min="15883" max="15885" width="13.4609375" style="407" bestFit="1" customWidth="1"/>
    <col min="15886" max="15886" width="13.3046875" style="407"/>
    <col min="15887" max="15887" width="13.4609375" style="407" bestFit="1" customWidth="1"/>
    <col min="15888" max="15888" width="13.3046875" style="407"/>
    <col min="15889" max="15889" width="14.07421875" style="407" bestFit="1" customWidth="1"/>
    <col min="15890" max="15890" width="13.3046875" style="407"/>
    <col min="15891" max="15891" width="13.4609375" style="407" bestFit="1" customWidth="1"/>
    <col min="15892" max="16129" width="13.3046875" style="407"/>
    <col min="16130" max="16130" width="14.4609375" style="407" customWidth="1"/>
    <col min="16131" max="16131" width="13.4609375" style="407" bestFit="1" customWidth="1"/>
    <col min="16132" max="16132" width="14.3046875" style="407" bestFit="1" customWidth="1"/>
    <col min="16133" max="16134" width="13.3046875" style="407"/>
    <col min="16135" max="16135" width="13.4609375" style="407" bestFit="1" customWidth="1"/>
    <col min="16136" max="16136" width="13.3046875" style="407"/>
    <col min="16137" max="16137" width="13.4609375" style="407" bestFit="1" customWidth="1"/>
    <col min="16138" max="16138" width="13.3046875" style="407"/>
    <col min="16139" max="16141" width="13.4609375" style="407" bestFit="1" customWidth="1"/>
    <col min="16142" max="16142" width="13.3046875" style="407"/>
    <col min="16143" max="16143" width="13.4609375" style="407" bestFit="1" customWidth="1"/>
    <col min="16144" max="16144" width="13.3046875" style="407"/>
    <col min="16145" max="16145" width="14.07421875" style="407" bestFit="1" customWidth="1"/>
    <col min="16146" max="16146" width="13.3046875" style="407"/>
    <col min="16147" max="16147" width="13.4609375" style="407" bestFit="1" customWidth="1"/>
    <col min="16148" max="16384" width="13.3046875" style="407"/>
  </cols>
  <sheetData>
    <row r="1" spans="1:47">
      <c r="B1" s="257"/>
      <c r="AA1" s="3" t="str">
        <f>'Attachment H-11A '!K1&amp;""&amp;", Attachment 10"</f>
        <v>Attachment H -11A, Attachment 10</v>
      </c>
    </row>
    <row r="2" spans="1:47">
      <c r="B2" s="257"/>
      <c r="AA2" s="16" t="s">
        <v>168</v>
      </c>
    </row>
    <row r="3" spans="1:47" ht="18">
      <c r="B3" s="257"/>
      <c r="M3" s="256" t="s">
        <v>501</v>
      </c>
      <c r="AA3" s="16" t="str">
        <f>'Attachment H-11A '!K4</f>
        <v>For the 12 months ended 12/31/2025</v>
      </c>
    </row>
    <row r="4" spans="1:47">
      <c r="B4" s="258"/>
    </row>
    <row r="5" spans="1:47">
      <c r="A5" s="408"/>
      <c r="B5" s="259" t="s">
        <v>353</v>
      </c>
      <c r="C5" s="259"/>
      <c r="D5" s="259"/>
      <c r="E5" s="259"/>
      <c r="F5" s="259"/>
      <c r="G5" s="259"/>
      <c r="H5" s="259"/>
      <c r="I5" s="259"/>
      <c r="J5" s="259"/>
      <c r="K5" s="259"/>
      <c r="L5" s="259"/>
      <c r="M5" s="259"/>
      <c r="N5" s="259"/>
      <c r="O5" s="259"/>
      <c r="P5" s="259"/>
      <c r="Q5" s="259"/>
      <c r="R5" s="259"/>
      <c r="S5" s="259"/>
      <c r="T5" s="259"/>
      <c r="U5" s="259"/>
      <c r="V5" s="259"/>
      <c r="W5" s="259"/>
      <c r="X5" s="259"/>
      <c r="Y5" s="409"/>
      <c r="Z5" s="258"/>
    </row>
    <row r="6" spans="1:47">
      <c r="A6" s="410"/>
      <c r="C6" s="258"/>
      <c r="D6" s="258"/>
      <c r="E6" s="258"/>
      <c r="F6" s="258"/>
      <c r="G6" s="411"/>
      <c r="H6" s="411"/>
      <c r="I6" s="411"/>
      <c r="J6" s="411"/>
      <c r="K6" s="258"/>
      <c r="L6" s="258"/>
      <c r="M6" s="258"/>
      <c r="N6" s="258"/>
      <c r="O6" s="258"/>
      <c r="P6" s="258"/>
      <c r="Q6" s="258"/>
      <c r="R6" s="258"/>
      <c r="S6" s="258"/>
      <c r="T6" s="258"/>
      <c r="U6" s="258"/>
      <c r="V6" s="258"/>
      <c r="W6" s="258"/>
      <c r="X6" s="258"/>
      <c r="Y6" s="412"/>
      <c r="Z6" s="258"/>
    </row>
    <row r="7" spans="1:47">
      <c r="A7" s="410"/>
      <c r="B7" s="258" t="s">
        <v>354</v>
      </c>
      <c r="C7" s="258"/>
      <c r="D7" s="258"/>
      <c r="E7" s="258"/>
      <c r="F7" s="258"/>
      <c r="G7" s="411"/>
      <c r="H7" s="411"/>
      <c r="I7" s="411"/>
      <c r="J7" s="411"/>
      <c r="K7" s="258"/>
      <c r="L7" s="258"/>
      <c r="M7" s="258"/>
      <c r="N7" s="258"/>
      <c r="O7" s="258"/>
      <c r="P7" s="258"/>
      <c r="Q7" s="258"/>
      <c r="R7" s="258"/>
      <c r="S7" s="258"/>
      <c r="T7" s="258"/>
      <c r="U7" s="258"/>
      <c r="V7" s="258"/>
      <c r="W7" s="258"/>
      <c r="X7" s="258"/>
      <c r="Y7" s="412"/>
      <c r="Z7" s="258"/>
    </row>
    <row r="8" spans="1:47" ht="16" thickBot="1">
      <c r="A8" s="410"/>
      <c r="D8" s="258"/>
      <c r="E8" s="258"/>
      <c r="F8" s="258"/>
      <c r="G8" s="411"/>
      <c r="H8" s="411"/>
      <c r="I8" s="411"/>
      <c r="J8" s="411"/>
      <c r="K8" s="258"/>
      <c r="L8" s="258"/>
      <c r="M8" s="258"/>
      <c r="N8" s="258"/>
      <c r="O8" s="258"/>
      <c r="P8" s="258"/>
      <c r="Q8" s="258"/>
      <c r="R8" s="258"/>
      <c r="S8" s="258"/>
      <c r="T8" s="258"/>
      <c r="U8" s="258"/>
      <c r="V8" s="258"/>
      <c r="W8" s="258"/>
      <c r="X8" s="258"/>
      <c r="Y8" s="412"/>
      <c r="Z8" s="258"/>
    </row>
    <row r="9" spans="1:47" ht="16" thickBot="1">
      <c r="A9" s="410"/>
      <c r="B9" s="413" t="s">
        <v>355</v>
      </c>
      <c r="C9" s="414" t="str">
        <f>MID(AA3,25,10)</f>
        <v>12/31/2025</v>
      </c>
      <c r="D9" s="258"/>
      <c r="E9" s="258"/>
      <c r="F9" s="258"/>
      <c r="G9" s="258"/>
      <c r="H9" s="258"/>
      <c r="J9" s="258"/>
      <c r="K9" s="415"/>
      <c r="L9" s="258"/>
      <c r="M9" s="258"/>
      <c r="N9" s="258"/>
      <c r="O9" s="258"/>
      <c r="P9" s="258"/>
      <c r="Q9" s="258"/>
      <c r="R9" s="258"/>
      <c r="S9" s="258"/>
      <c r="T9" s="258"/>
      <c r="U9" s="258"/>
      <c r="V9" s="258"/>
      <c r="W9" s="258"/>
      <c r="X9" s="258"/>
      <c r="Y9" s="412"/>
      <c r="Z9" s="258"/>
    </row>
    <row r="10" spans="1:47">
      <c r="A10" s="410"/>
      <c r="B10" s="411"/>
      <c r="C10" s="258"/>
      <c r="E10" s="258"/>
      <c r="F10" s="258"/>
      <c r="H10" s="258"/>
      <c r="I10" s="258"/>
      <c r="J10" s="258"/>
      <c r="K10" s="415"/>
      <c r="L10" s="258"/>
      <c r="M10" s="258"/>
      <c r="N10" s="258"/>
      <c r="O10" s="258"/>
      <c r="P10" s="258"/>
      <c r="Q10" s="258"/>
      <c r="R10" s="258"/>
      <c r="S10" s="258"/>
      <c r="T10" s="258"/>
      <c r="U10" s="258"/>
      <c r="V10" s="258"/>
      <c r="W10" s="258"/>
      <c r="X10" s="258"/>
      <c r="Y10" s="412"/>
      <c r="Z10" s="258"/>
    </row>
    <row r="11" spans="1:47" s="260" customFormat="1">
      <c r="A11" s="416"/>
      <c r="D11" s="260" t="s">
        <v>237</v>
      </c>
      <c r="G11" s="260" t="s">
        <v>238</v>
      </c>
      <c r="I11" s="260" t="s">
        <v>356</v>
      </c>
      <c r="K11" s="260" t="s">
        <v>240</v>
      </c>
      <c r="M11" s="417" t="s">
        <v>241</v>
      </c>
      <c r="O11" s="417" t="s">
        <v>242</v>
      </c>
      <c r="Q11" s="260" t="s">
        <v>243</v>
      </c>
      <c r="S11" s="260" t="s">
        <v>244</v>
      </c>
      <c r="U11" s="260" t="s">
        <v>245</v>
      </c>
      <c r="W11" s="260" t="s">
        <v>246</v>
      </c>
      <c r="Y11" s="418"/>
    </row>
    <row r="12" spans="1:47">
      <c r="A12" s="410"/>
      <c r="B12" s="419"/>
      <c r="N12" s="419"/>
      <c r="S12" s="420"/>
      <c r="X12" s="420"/>
      <c r="Y12" s="421"/>
      <c r="AE12" s="422"/>
      <c r="AK12" s="423"/>
      <c r="AL12" s="419"/>
      <c r="AM12" s="419"/>
      <c r="AN12" s="419"/>
      <c r="AO12" s="419"/>
      <c r="AP12" s="419"/>
      <c r="AQ12" s="419"/>
      <c r="AR12" s="419"/>
      <c r="AS12" s="419"/>
      <c r="AT12" s="1154"/>
      <c r="AU12" s="1154"/>
    </row>
    <row r="13" spans="1:47">
      <c r="A13" s="410"/>
      <c r="M13" s="419" t="s">
        <v>357</v>
      </c>
      <c r="N13" s="419"/>
      <c r="Q13" s="419" t="s">
        <v>358</v>
      </c>
      <c r="S13" s="420"/>
      <c r="W13" s="419" t="s">
        <v>92</v>
      </c>
      <c r="X13" s="420"/>
      <c r="Y13" s="421"/>
      <c r="AE13" s="422"/>
      <c r="AK13" s="423"/>
      <c r="AL13" s="419"/>
      <c r="AM13" s="419"/>
      <c r="AN13" s="419"/>
      <c r="AO13" s="419"/>
      <c r="AP13" s="419"/>
      <c r="AQ13" s="419"/>
      <c r="AR13" s="419"/>
      <c r="AS13" s="419"/>
      <c r="AT13" s="419"/>
      <c r="AU13" s="419"/>
    </row>
    <row r="14" spans="1:47">
      <c r="A14" s="410"/>
      <c r="B14" s="258"/>
      <c r="G14" s="419"/>
      <c r="H14" s="419"/>
      <c r="I14" s="419"/>
      <c r="J14" s="419"/>
      <c r="K14" s="419"/>
      <c r="L14" s="419"/>
      <c r="M14" s="419" t="s">
        <v>8</v>
      </c>
      <c r="N14" s="419"/>
      <c r="O14" s="419" t="s">
        <v>253</v>
      </c>
      <c r="P14" s="419"/>
      <c r="Q14" s="419" t="s">
        <v>359</v>
      </c>
      <c r="R14" s="419"/>
      <c r="S14" s="419" t="s">
        <v>92</v>
      </c>
      <c r="T14" s="419"/>
      <c r="U14" s="419" t="s">
        <v>360</v>
      </c>
      <c r="V14" s="419"/>
      <c r="W14" s="419" t="s">
        <v>361</v>
      </c>
      <c r="Y14" s="421"/>
      <c r="AE14" s="422"/>
      <c r="AK14" s="424"/>
      <c r="AL14" s="425"/>
      <c r="AM14" s="425"/>
      <c r="AN14" s="425"/>
      <c r="AO14" s="425"/>
      <c r="AP14" s="425"/>
      <c r="AQ14" s="425"/>
      <c r="AR14" s="425"/>
      <c r="AS14" s="425"/>
      <c r="AT14" s="425"/>
      <c r="AU14" s="425"/>
    </row>
    <row r="15" spans="1:47">
      <c r="A15" s="410"/>
      <c r="B15" s="258"/>
      <c r="E15" s="419"/>
      <c r="F15" s="419"/>
      <c r="G15" s="419"/>
      <c r="H15" s="419"/>
      <c r="I15" s="419" t="s">
        <v>362</v>
      </c>
      <c r="J15" s="419"/>
      <c r="K15" s="419" t="s">
        <v>363</v>
      </c>
      <c r="L15" s="419"/>
      <c r="M15" s="419" t="s">
        <v>359</v>
      </c>
      <c r="N15" s="419"/>
      <c r="O15" s="419" t="s">
        <v>359</v>
      </c>
      <c r="P15" s="419"/>
      <c r="Q15" s="419" t="s">
        <v>364</v>
      </c>
      <c r="R15" s="419"/>
      <c r="S15" s="419" t="s">
        <v>359</v>
      </c>
      <c r="T15" s="419"/>
      <c r="U15" s="419" t="s">
        <v>365</v>
      </c>
      <c r="V15" s="419"/>
      <c r="W15" s="419" t="s">
        <v>366</v>
      </c>
      <c r="Y15" s="421"/>
      <c r="AE15" s="422"/>
      <c r="AK15" s="426"/>
      <c r="AL15" s="427"/>
      <c r="AM15" s="427"/>
      <c r="AN15" s="427"/>
      <c r="AO15" s="427"/>
      <c r="AP15" s="427"/>
      <c r="AQ15" s="427"/>
      <c r="AR15" s="427"/>
      <c r="AS15" s="427"/>
      <c r="AT15" s="427"/>
      <c r="AU15" s="427"/>
    </row>
    <row r="16" spans="1:47">
      <c r="A16" s="410"/>
      <c r="C16" s="260" t="s">
        <v>367</v>
      </c>
      <c r="D16" s="419" t="s">
        <v>368</v>
      </c>
      <c r="E16" s="419"/>
      <c r="F16" s="419"/>
      <c r="G16" s="419" t="s">
        <v>369</v>
      </c>
      <c r="H16" s="419"/>
      <c r="I16" s="419" t="s">
        <v>370</v>
      </c>
      <c r="J16" s="419"/>
      <c r="K16" s="419" t="s">
        <v>371</v>
      </c>
      <c r="L16" s="419"/>
      <c r="M16" s="419" t="s">
        <v>372</v>
      </c>
      <c r="N16" s="419"/>
      <c r="O16" s="419" t="s">
        <v>372</v>
      </c>
      <c r="P16" s="419"/>
      <c r="Q16" s="419" t="s">
        <v>373</v>
      </c>
      <c r="R16" s="419"/>
      <c r="S16" s="419" t="s">
        <v>374</v>
      </c>
      <c r="T16" s="419"/>
      <c r="U16" s="407" t="s">
        <v>1148</v>
      </c>
      <c r="V16" s="419"/>
      <c r="W16" s="419" t="s">
        <v>375</v>
      </c>
      <c r="Y16" s="421"/>
      <c r="AK16" s="426"/>
      <c r="AL16" s="427"/>
      <c r="AM16" s="427"/>
      <c r="AN16" s="427"/>
      <c r="AO16" s="427"/>
      <c r="AP16" s="427"/>
      <c r="AQ16" s="427"/>
      <c r="AR16" s="427"/>
      <c r="AS16" s="427"/>
      <c r="AT16" s="427"/>
      <c r="AU16" s="427"/>
    </row>
    <row r="17" spans="1:47">
      <c r="A17" s="410"/>
      <c r="B17" s="261" t="s">
        <v>376</v>
      </c>
      <c r="C17" s="428" t="str">
        <f>C39</f>
        <v>12/31/2025</v>
      </c>
      <c r="E17" s="419"/>
      <c r="F17" s="419"/>
      <c r="G17" s="419"/>
      <c r="H17" s="419"/>
      <c r="I17" s="419" t="s">
        <v>523</v>
      </c>
      <c r="J17" s="419"/>
      <c r="K17" s="419" t="s">
        <v>1147</v>
      </c>
      <c r="L17" s="419"/>
      <c r="M17" s="419"/>
      <c r="N17" s="419"/>
      <c r="O17" s="419"/>
      <c r="P17" s="419"/>
      <c r="Q17" s="419" t="s">
        <v>525</v>
      </c>
      <c r="R17" s="419"/>
      <c r="S17" s="419" t="s">
        <v>524</v>
      </c>
      <c r="T17" s="419"/>
      <c r="U17" s="419"/>
      <c r="V17" s="419"/>
      <c r="Y17" s="421"/>
      <c r="AK17" s="426"/>
      <c r="AL17" s="427"/>
      <c r="AM17" s="427"/>
      <c r="AN17" s="427"/>
      <c r="AO17" s="427"/>
      <c r="AP17" s="427"/>
      <c r="AQ17" s="427"/>
      <c r="AR17" s="427"/>
      <c r="AS17" s="427"/>
      <c r="AT17" s="427"/>
      <c r="AU17" s="427"/>
    </row>
    <row r="18" spans="1:47">
      <c r="A18" s="410"/>
      <c r="B18" s="429" t="s">
        <v>377</v>
      </c>
      <c r="E18" s="430"/>
      <c r="F18" s="430"/>
      <c r="G18" s="430"/>
      <c r="H18" s="430"/>
      <c r="I18" s="430"/>
      <c r="J18" s="430"/>
      <c r="K18" s="430"/>
      <c r="L18" s="430"/>
      <c r="M18" s="430"/>
      <c r="N18" s="430"/>
      <c r="O18" s="419"/>
      <c r="P18" s="430"/>
      <c r="Q18" s="430"/>
      <c r="R18" s="430"/>
      <c r="S18" s="419"/>
      <c r="T18" s="419"/>
      <c r="U18" s="419"/>
      <c r="V18" s="419"/>
      <c r="Y18" s="421"/>
      <c r="AK18" s="426"/>
      <c r="AL18" s="427"/>
      <c r="AM18" s="427"/>
      <c r="AN18" s="427"/>
      <c r="AO18" s="427"/>
      <c r="AP18" s="427"/>
      <c r="AQ18" s="427"/>
      <c r="AR18" s="427"/>
      <c r="AS18" s="427"/>
      <c r="AT18" s="427"/>
      <c r="AU18" s="427"/>
    </row>
    <row r="19" spans="1:47">
      <c r="A19" s="670" t="s">
        <v>18</v>
      </c>
      <c r="B19" s="486" t="s">
        <v>1385</v>
      </c>
      <c r="C19" s="496"/>
      <c r="D19" s="494">
        <v>41605</v>
      </c>
      <c r="E19" s="497"/>
      <c r="F19" s="497"/>
      <c r="G19" s="494">
        <v>52580</v>
      </c>
      <c r="H19" s="430"/>
      <c r="I19" s="432">
        <f t="shared" ref="I19:I24" si="0">I46</f>
        <v>600000000</v>
      </c>
      <c r="J19" s="432"/>
      <c r="K19" s="432">
        <f t="shared" ref="K19:K24" si="1">S46</f>
        <v>592832162</v>
      </c>
      <c r="L19" s="432"/>
      <c r="M19" s="433">
        <v>595705147.9848057</v>
      </c>
      <c r="N19" s="497"/>
      <c r="O19" s="987">
        <v>12</v>
      </c>
      <c r="P19" s="430"/>
      <c r="Q19" s="434">
        <f>M19*O19/12</f>
        <v>595705147.9848057</v>
      </c>
      <c r="R19" s="430"/>
      <c r="S19" s="435">
        <f t="shared" ref="S19:S24" si="2">+Q19/$Q$25</f>
        <v>0.36230668417693029</v>
      </c>
      <c r="U19" s="435">
        <f t="shared" ref="U19:U24" si="3">AA46</f>
        <v>5.4813132823697153E-2</v>
      </c>
      <c r="W19" s="435">
        <f>+S19*U19</f>
        <v>1.9859164402703376E-2</v>
      </c>
      <c r="Y19" s="421"/>
      <c r="Z19" s="436"/>
      <c r="AK19" s="426"/>
      <c r="AL19" s="427"/>
      <c r="AM19" s="427"/>
      <c r="AN19" s="427"/>
      <c r="AO19" s="427"/>
      <c r="AP19" s="427"/>
      <c r="AQ19" s="427"/>
      <c r="AR19" s="427"/>
      <c r="AS19" s="427"/>
      <c r="AT19" s="427"/>
      <c r="AU19" s="427"/>
    </row>
    <row r="20" spans="1:47">
      <c r="A20" s="670" t="s">
        <v>19</v>
      </c>
      <c r="B20" s="486" t="s">
        <v>1386</v>
      </c>
      <c r="C20" s="498"/>
      <c r="D20" s="494">
        <v>42871</v>
      </c>
      <c r="E20" s="438"/>
      <c r="F20" s="438"/>
      <c r="G20" s="494">
        <v>46522</v>
      </c>
      <c r="H20" s="438"/>
      <c r="I20" s="442">
        <f t="shared" si="0"/>
        <v>250000000</v>
      </c>
      <c r="J20" s="442"/>
      <c r="K20" s="432">
        <f t="shared" si="1"/>
        <v>247368784</v>
      </c>
      <c r="L20" s="442"/>
      <c r="M20" s="501">
        <v>249639658.17584223</v>
      </c>
      <c r="N20" s="499"/>
      <c r="O20" s="987">
        <v>12</v>
      </c>
      <c r="P20" s="439"/>
      <c r="Q20" s="434">
        <f t="shared" ref="Q20:Q24" si="4">M20*O20/12</f>
        <v>249639658.1758422</v>
      </c>
      <c r="R20" s="439"/>
      <c r="S20" s="435">
        <f t="shared" si="2"/>
        <v>0.15183034274375393</v>
      </c>
      <c r="T20" s="437"/>
      <c r="U20" s="435">
        <f t="shared" si="3"/>
        <v>3.6767525709496547E-2</v>
      </c>
      <c r="V20" s="437"/>
      <c r="W20" s="435">
        <f t="shared" ref="W20:W24" si="5">+S20*U20</f>
        <v>5.5824260303126453E-3</v>
      </c>
      <c r="X20" s="437"/>
      <c r="Y20" s="421"/>
      <c r="Z20" s="436"/>
      <c r="AK20" s="426"/>
      <c r="AL20" s="427"/>
      <c r="AM20" s="427"/>
      <c r="AN20" s="427"/>
      <c r="AO20" s="427"/>
      <c r="AP20" s="427"/>
      <c r="AQ20" s="427"/>
      <c r="AR20" s="427"/>
      <c r="AS20" s="427"/>
      <c r="AT20" s="427"/>
      <c r="AU20" s="427"/>
    </row>
    <row r="21" spans="1:47">
      <c r="A21" s="670" t="s">
        <v>20</v>
      </c>
      <c r="B21" s="486" t="s">
        <v>1387</v>
      </c>
      <c r="C21" s="493"/>
      <c r="D21" s="494">
        <v>43783</v>
      </c>
      <c r="E21" s="493"/>
      <c r="F21" s="493"/>
      <c r="G21" s="494">
        <v>47437</v>
      </c>
      <c r="H21" s="441"/>
      <c r="I21" s="442">
        <f t="shared" si="0"/>
        <v>155000000</v>
      </c>
      <c r="J21" s="442"/>
      <c r="K21" s="432">
        <f t="shared" si="1"/>
        <v>154413237</v>
      </c>
      <c r="L21" s="442"/>
      <c r="M21" s="433">
        <v>154772777.87493157</v>
      </c>
      <c r="N21" s="497"/>
      <c r="O21" s="987">
        <v>12</v>
      </c>
      <c r="P21" s="443"/>
      <c r="Q21" s="434">
        <f t="shared" si="4"/>
        <v>154772777.87493157</v>
      </c>
      <c r="R21" s="443"/>
      <c r="S21" s="435">
        <f t="shared" si="2"/>
        <v>9.4132495148672612E-2</v>
      </c>
      <c r="U21" s="435">
        <f t="shared" si="3"/>
        <v>3.2746788845760377E-2</v>
      </c>
      <c r="W21" s="435">
        <f t="shared" si="5"/>
        <v>3.0825369421581452E-3</v>
      </c>
      <c r="Y21" s="421"/>
      <c r="AK21" s="426"/>
      <c r="AL21" s="427"/>
      <c r="AM21" s="427"/>
      <c r="AN21" s="427"/>
      <c r="AO21" s="427"/>
      <c r="AP21" s="427"/>
      <c r="AQ21" s="427"/>
      <c r="AR21" s="427"/>
      <c r="AS21" s="427"/>
      <c r="AT21" s="427"/>
      <c r="AU21" s="427"/>
    </row>
    <row r="22" spans="1:47">
      <c r="A22" s="670" t="s">
        <v>21</v>
      </c>
      <c r="B22" s="486" t="s">
        <v>1388</v>
      </c>
      <c r="C22" s="493"/>
      <c r="D22" s="494">
        <v>43783</v>
      </c>
      <c r="E22" s="493"/>
      <c r="F22" s="493"/>
      <c r="G22" s="494">
        <v>54742</v>
      </c>
      <c r="H22" s="436"/>
      <c r="I22" s="442">
        <f t="shared" si="0"/>
        <v>45000000</v>
      </c>
      <c r="J22" s="442"/>
      <c r="K22" s="432">
        <f t="shared" si="1"/>
        <v>44413237</v>
      </c>
      <c r="L22" s="442"/>
      <c r="M22" s="433">
        <v>44533116.766128294</v>
      </c>
      <c r="N22" s="499"/>
      <c r="O22" s="987">
        <v>12</v>
      </c>
      <c r="P22" s="430"/>
      <c r="Q22" s="434">
        <f t="shared" si="4"/>
        <v>44533116.766128294</v>
      </c>
      <c r="R22" s="430"/>
      <c r="S22" s="435">
        <f t="shared" si="2"/>
        <v>2.7084952893527019E-2</v>
      </c>
      <c r="U22" s="435">
        <f t="shared" si="3"/>
        <v>4.0050582378275183E-2</v>
      </c>
      <c r="W22" s="435">
        <f t="shared" si="5"/>
        <v>1.0847681370739068E-3</v>
      </c>
      <c r="Y22" s="421"/>
      <c r="AK22" s="426"/>
      <c r="AL22" s="427"/>
      <c r="AM22" s="427"/>
      <c r="AN22" s="427"/>
      <c r="AO22" s="427"/>
      <c r="AP22" s="427"/>
      <c r="AQ22" s="427"/>
      <c r="AR22" s="427"/>
      <c r="AS22" s="427"/>
      <c r="AT22" s="427"/>
      <c r="AU22" s="427"/>
    </row>
    <row r="23" spans="1:47">
      <c r="A23" s="670" t="s">
        <v>22</v>
      </c>
      <c r="B23" s="486" t="s">
        <v>1386</v>
      </c>
      <c r="C23" s="493"/>
      <c r="D23" s="494">
        <v>44295</v>
      </c>
      <c r="E23" s="493"/>
      <c r="F23" s="493"/>
      <c r="G23" s="494">
        <v>46522</v>
      </c>
      <c r="H23" s="436"/>
      <c r="I23" s="442">
        <f t="shared" si="0"/>
        <v>200000000</v>
      </c>
      <c r="J23" s="442"/>
      <c r="K23" s="432">
        <f t="shared" si="1"/>
        <v>214302219</v>
      </c>
      <c r="L23" s="442"/>
      <c r="M23" s="433">
        <v>203211095.41984734</v>
      </c>
      <c r="N23" s="499"/>
      <c r="O23" s="987">
        <v>12</v>
      </c>
      <c r="P23" s="430"/>
      <c r="Q23" s="434">
        <f t="shared" si="4"/>
        <v>203211095.41984734</v>
      </c>
      <c r="R23" s="430"/>
      <c r="S23" s="435">
        <f t="shared" si="2"/>
        <v>0.12359258337550003</v>
      </c>
      <c r="U23" s="435">
        <f t="shared" si="3"/>
        <v>2.2870468120259928E-2</v>
      </c>
      <c r="W23" s="435">
        <f t="shared" si="5"/>
        <v>2.8266202379899404E-3</v>
      </c>
      <c r="Y23" s="421"/>
      <c r="AK23" s="426"/>
      <c r="AL23" s="427"/>
      <c r="AM23" s="427"/>
      <c r="AN23" s="427"/>
      <c r="AO23" s="427"/>
      <c r="AP23" s="427"/>
      <c r="AQ23" s="427"/>
      <c r="AR23" s="427"/>
      <c r="AS23" s="427"/>
      <c r="AT23" s="427"/>
      <c r="AU23" s="427"/>
    </row>
    <row r="24" spans="1:47">
      <c r="A24" s="670" t="s">
        <v>23</v>
      </c>
      <c r="B24" s="486" t="s">
        <v>1394</v>
      </c>
      <c r="C24" s="493"/>
      <c r="D24" s="494">
        <v>45184</v>
      </c>
      <c r="E24" s="493"/>
      <c r="F24" s="493"/>
      <c r="G24" s="494">
        <v>48990</v>
      </c>
      <c r="H24" s="436"/>
      <c r="I24" s="442">
        <f t="shared" si="0"/>
        <v>400000000</v>
      </c>
      <c r="J24" s="442"/>
      <c r="K24" s="432">
        <f t="shared" si="1"/>
        <v>395306076</v>
      </c>
      <c r="L24" s="442"/>
      <c r="M24" s="433">
        <v>396339577.92117709</v>
      </c>
      <c r="N24" s="499"/>
      <c r="O24" s="987">
        <v>12</v>
      </c>
      <c r="P24" s="430"/>
      <c r="Q24" s="434">
        <f t="shared" si="4"/>
        <v>396339577.92117709</v>
      </c>
      <c r="R24" s="430"/>
      <c r="S24" s="435">
        <f t="shared" si="2"/>
        <v>0.24105294166161614</v>
      </c>
      <c r="U24" s="435">
        <f t="shared" si="3"/>
        <v>6.0023666951105691E-2</v>
      </c>
      <c r="W24" s="435">
        <f t="shared" si="5"/>
        <v>1.4468881487881157E-2</v>
      </c>
      <c r="Y24" s="421"/>
      <c r="AK24" s="426"/>
      <c r="AL24" s="427"/>
      <c r="AM24" s="427"/>
      <c r="AN24" s="427"/>
      <c r="AO24" s="427"/>
      <c r="AP24" s="427"/>
      <c r="AQ24" s="427"/>
      <c r="AR24" s="427"/>
      <c r="AS24" s="427"/>
      <c r="AT24" s="427"/>
      <c r="AU24" s="427"/>
    </row>
    <row r="25" spans="1:47" ht="16" thickBot="1">
      <c r="A25" s="431"/>
      <c r="B25" s="485"/>
      <c r="C25" s="436"/>
      <c r="E25" s="436"/>
      <c r="F25" s="436"/>
      <c r="G25" s="422"/>
      <c r="H25" s="436"/>
      <c r="I25" s="1083">
        <f>SUM(I19:I24)</f>
        <v>1650000000</v>
      </c>
      <c r="J25" s="444"/>
      <c r="K25" s="444"/>
      <c r="L25" s="444"/>
      <c r="M25" s="1083">
        <f>SUM(M19:M24)</f>
        <v>1644201374.1427321</v>
      </c>
      <c r="N25" s="422"/>
      <c r="O25" s="436"/>
      <c r="P25" s="422"/>
      <c r="Q25" s="1084">
        <f>SUM(Q19:Q24)</f>
        <v>1644201374.1427321</v>
      </c>
      <c r="R25" s="422"/>
      <c r="S25" s="1085">
        <f>SUM(S19:S24)</f>
        <v>1</v>
      </c>
      <c r="T25" s="436"/>
      <c r="V25" s="436"/>
      <c r="W25" s="1095">
        <f>ROUND(SUM(W19:W24),4)</f>
        <v>4.6899999999999997E-2</v>
      </c>
      <c r="X25" s="677" t="s">
        <v>378</v>
      </c>
      <c r="Y25" s="421"/>
      <c r="AQ25" s="427"/>
      <c r="AS25" s="427"/>
    </row>
    <row r="26" spans="1:47" ht="16" thickTop="1">
      <c r="A26" s="410"/>
      <c r="C26" s="436"/>
      <c r="D26" s="436"/>
      <c r="E26" s="436"/>
      <c r="F26" s="436"/>
      <c r="G26" s="436"/>
      <c r="H26" s="436"/>
      <c r="I26" s="436"/>
      <c r="J26" s="436"/>
      <c r="K26" s="436"/>
      <c r="L26" s="436"/>
      <c r="M26" s="436"/>
      <c r="N26" s="436"/>
      <c r="O26" s="436"/>
      <c r="P26" s="436"/>
      <c r="Q26" s="446"/>
      <c r="R26" s="436"/>
      <c r="S26" s="436"/>
      <c r="T26" s="436"/>
      <c r="U26" s="436"/>
      <c r="V26" s="436"/>
      <c r="W26" s="445"/>
      <c r="X26" s="436"/>
      <c r="Y26" s="447"/>
      <c r="Z26" s="436"/>
      <c r="AQ26" s="427"/>
      <c r="AS26" s="427"/>
    </row>
    <row r="27" spans="1:47">
      <c r="A27" s="410"/>
      <c r="C27" s="436"/>
      <c r="D27" s="436"/>
      <c r="E27" s="436"/>
      <c r="F27" s="436"/>
      <c r="G27" s="436"/>
      <c r="H27" s="436"/>
      <c r="I27" s="436"/>
      <c r="J27" s="436"/>
      <c r="K27" s="436"/>
      <c r="L27" s="436"/>
      <c r="M27" s="436"/>
      <c r="N27" s="436"/>
      <c r="O27" s="436"/>
      <c r="P27" s="436"/>
      <c r="Q27" s="446"/>
      <c r="R27" s="436"/>
      <c r="S27" s="436"/>
      <c r="T27" s="436"/>
      <c r="U27" s="436"/>
      <c r="V27" s="436"/>
      <c r="W27" s="445"/>
      <c r="X27" s="436"/>
      <c r="Y27" s="447"/>
      <c r="Z27" s="436"/>
      <c r="AQ27" s="427"/>
      <c r="AS27" s="427"/>
    </row>
    <row r="28" spans="1:47">
      <c r="A28" s="410"/>
      <c r="B28" s="262" t="s">
        <v>379</v>
      </c>
      <c r="C28" s="436"/>
      <c r="D28" s="436"/>
      <c r="E28" s="436"/>
      <c r="F28" s="436"/>
      <c r="G28" s="436"/>
      <c r="H28" s="436"/>
      <c r="I28" s="436"/>
      <c r="J28" s="436"/>
      <c r="K28" s="436"/>
      <c r="L28" s="436"/>
      <c r="M28" s="436"/>
      <c r="N28" s="436"/>
      <c r="O28" s="436"/>
      <c r="P28" s="436"/>
      <c r="Q28" s="436"/>
      <c r="R28" s="436"/>
      <c r="S28" s="436"/>
      <c r="T28" s="436"/>
      <c r="U28" s="436"/>
      <c r="V28" s="436"/>
      <c r="W28" s="445"/>
      <c r="X28" s="436"/>
      <c r="Y28" s="447"/>
      <c r="Z28" s="436"/>
      <c r="AQ28" s="427"/>
      <c r="AS28" s="427"/>
    </row>
    <row r="29" spans="1:47">
      <c r="A29" s="410"/>
      <c r="B29" s="262" t="s">
        <v>380</v>
      </c>
      <c r="C29" s="436"/>
      <c r="D29" s="436"/>
      <c r="E29" s="436"/>
      <c r="F29" s="436"/>
      <c r="G29" s="436"/>
      <c r="H29" s="436"/>
      <c r="I29" s="436"/>
      <c r="J29" s="436"/>
      <c r="K29" s="436"/>
      <c r="L29" s="436"/>
      <c r="M29" s="436"/>
      <c r="N29" s="436"/>
      <c r="O29" s="436"/>
      <c r="P29" s="436"/>
      <c r="Q29" s="436"/>
      <c r="R29" s="436"/>
      <c r="S29" s="436"/>
      <c r="T29" s="436"/>
      <c r="U29" s="436"/>
      <c r="V29" s="436"/>
      <c r="W29" s="445"/>
      <c r="X29" s="436"/>
      <c r="Y29" s="447"/>
      <c r="Z29" s="436"/>
      <c r="AQ29" s="427"/>
      <c r="AS29" s="427"/>
    </row>
    <row r="30" spans="1:47">
      <c r="A30" s="410"/>
      <c r="B30" s="483" t="s">
        <v>381</v>
      </c>
      <c r="C30" s="436"/>
      <c r="D30" s="436"/>
      <c r="E30" s="436"/>
      <c r="F30" s="436"/>
      <c r="G30" s="436"/>
      <c r="H30" s="436"/>
      <c r="I30" s="436"/>
      <c r="J30" s="436"/>
      <c r="K30" s="436"/>
      <c r="L30" s="436"/>
      <c r="M30" s="436"/>
      <c r="N30" s="436"/>
      <c r="O30" s="436"/>
      <c r="P30" s="436"/>
      <c r="Q30" s="436"/>
      <c r="R30" s="436"/>
      <c r="S30" s="436"/>
      <c r="T30" s="436"/>
      <c r="U30" s="436"/>
      <c r="V30" s="436"/>
      <c r="W30" s="436"/>
      <c r="X30" s="436"/>
      <c r="Y30" s="447"/>
      <c r="Z30" s="436"/>
    </row>
    <row r="31" spans="1:47">
      <c r="A31" s="410"/>
      <c r="B31" s="483" t="s">
        <v>916</v>
      </c>
      <c r="C31" s="436"/>
      <c r="D31" s="436"/>
      <c r="E31" s="436"/>
      <c r="F31" s="436"/>
      <c r="G31" s="436"/>
      <c r="H31" s="436"/>
      <c r="I31" s="436"/>
      <c r="J31" s="436"/>
      <c r="K31" s="436"/>
      <c r="L31" s="436"/>
      <c r="M31" s="436"/>
      <c r="N31" s="436"/>
      <c r="O31" s="436"/>
      <c r="P31" s="436"/>
      <c r="Q31" s="436"/>
      <c r="R31" s="436"/>
      <c r="S31" s="436"/>
      <c r="T31" s="436"/>
      <c r="U31" s="436"/>
      <c r="V31" s="436"/>
      <c r="W31" s="436"/>
      <c r="X31" s="436"/>
      <c r="Y31" s="447"/>
      <c r="Z31" s="436"/>
    </row>
    <row r="32" spans="1:47">
      <c r="A32" s="448"/>
      <c r="B32" s="484" t="s">
        <v>382</v>
      </c>
      <c r="C32" s="449"/>
      <c r="D32" s="449"/>
      <c r="E32" s="449"/>
      <c r="F32" s="449"/>
      <c r="G32" s="449"/>
      <c r="H32" s="449"/>
      <c r="I32" s="449"/>
      <c r="J32" s="449"/>
      <c r="K32" s="449"/>
      <c r="L32" s="449"/>
      <c r="M32" s="449"/>
      <c r="N32" s="449"/>
      <c r="O32" s="449"/>
      <c r="P32" s="449"/>
      <c r="Q32" s="449"/>
      <c r="R32" s="449"/>
      <c r="S32" s="449"/>
      <c r="T32" s="449"/>
      <c r="U32" s="449"/>
      <c r="V32" s="449"/>
      <c r="W32" s="449"/>
      <c r="X32" s="449"/>
      <c r="Y32" s="450"/>
      <c r="Z32" s="436"/>
    </row>
    <row r="33" spans="1:45">
      <c r="A33" s="448"/>
      <c r="B33" s="484" t="s">
        <v>903</v>
      </c>
      <c r="C33" s="449"/>
      <c r="D33" s="449"/>
      <c r="E33" s="449"/>
      <c r="F33" s="449"/>
      <c r="G33" s="449"/>
      <c r="H33" s="449"/>
      <c r="I33" s="449"/>
      <c r="J33" s="449"/>
      <c r="K33" s="449"/>
      <c r="L33" s="449"/>
      <c r="M33" s="449"/>
      <c r="N33" s="449"/>
      <c r="O33" s="449"/>
      <c r="P33" s="449"/>
      <c r="Q33" s="449"/>
      <c r="R33" s="449"/>
      <c r="S33" s="449"/>
      <c r="T33" s="449"/>
      <c r="U33" s="449"/>
      <c r="V33" s="449"/>
      <c r="W33" s="449"/>
      <c r="X33" s="449"/>
      <c r="Y33" s="450"/>
      <c r="Z33" s="436"/>
    </row>
    <row r="34" spans="1:45">
      <c r="B34" s="445"/>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row>
    <row r="35" spans="1:45">
      <c r="B35" s="445"/>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row>
    <row r="36" spans="1:45">
      <c r="B36" s="263"/>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49"/>
      <c r="AA36" s="451"/>
    </row>
    <row r="37" spans="1:45">
      <c r="A37" s="408"/>
      <c r="B37" s="264" t="s">
        <v>383</v>
      </c>
      <c r="C37" s="452"/>
      <c r="D37" s="452"/>
      <c r="E37" s="452"/>
      <c r="F37" s="452"/>
      <c r="G37" s="452"/>
      <c r="H37" s="452"/>
      <c r="I37" s="452"/>
      <c r="J37" s="452"/>
      <c r="K37" s="452"/>
      <c r="L37" s="452"/>
      <c r="M37" s="452"/>
      <c r="N37" s="452"/>
      <c r="O37" s="452"/>
      <c r="P37" s="452"/>
      <c r="Q37" s="452"/>
      <c r="R37" s="452"/>
      <c r="S37" s="453"/>
      <c r="T37" s="452"/>
      <c r="U37" s="452"/>
      <c r="V37" s="452"/>
      <c r="W37" s="452"/>
      <c r="X37" s="452"/>
      <c r="Y37" s="452"/>
      <c r="Z37" s="436"/>
      <c r="AA37" s="454"/>
    </row>
    <row r="38" spans="1:45" ht="16" thickBot="1">
      <c r="A38" s="410"/>
      <c r="B38" s="261"/>
      <c r="C38" s="436"/>
      <c r="D38" s="436"/>
      <c r="E38" s="436"/>
      <c r="F38" s="436"/>
      <c r="G38" s="436"/>
      <c r="H38" s="436"/>
      <c r="I38" s="436"/>
      <c r="J38" s="436"/>
      <c r="K38" s="436"/>
      <c r="L38" s="436"/>
      <c r="M38" s="436"/>
      <c r="N38" s="436"/>
      <c r="O38" s="436"/>
      <c r="P38" s="436"/>
      <c r="Q38" s="436"/>
      <c r="R38" s="436"/>
      <c r="S38" s="447"/>
      <c r="T38" s="436"/>
      <c r="U38" s="436"/>
      <c r="V38" s="436"/>
      <c r="W38" s="436"/>
      <c r="X38" s="436"/>
      <c r="Y38" s="436"/>
      <c r="Z38" s="436"/>
      <c r="AA38" s="421"/>
    </row>
    <row r="39" spans="1:45" ht="16" thickBot="1">
      <c r="A39" s="410"/>
      <c r="B39" s="413" t="s">
        <v>355</v>
      </c>
      <c r="C39" s="414" t="str">
        <f>C9</f>
        <v>12/31/2025</v>
      </c>
      <c r="D39" s="436"/>
      <c r="E39" s="436"/>
      <c r="F39" s="436"/>
      <c r="G39" s="436"/>
      <c r="H39" s="436"/>
      <c r="I39" s="436"/>
      <c r="J39" s="436"/>
      <c r="K39" s="436"/>
      <c r="L39" s="436"/>
      <c r="M39" s="436"/>
      <c r="N39" s="436"/>
      <c r="O39" s="436"/>
      <c r="P39" s="436"/>
      <c r="Q39" s="436"/>
      <c r="R39" s="436"/>
      <c r="S39" s="1023"/>
      <c r="T39" s="1024"/>
      <c r="U39" s="1024"/>
      <c r="V39" s="1024"/>
      <c r="W39" s="1024"/>
      <c r="X39" s="1024"/>
      <c r="Y39" s="1024"/>
      <c r="Z39" s="1024"/>
      <c r="AA39" s="418"/>
    </row>
    <row r="40" spans="1:45" s="260" customFormat="1">
      <c r="A40" s="416"/>
      <c r="D40" s="417" t="s">
        <v>384</v>
      </c>
      <c r="G40" s="417" t="s">
        <v>385</v>
      </c>
      <c r="I40" s="417" t="s">
        <v>386</v>
      </c>
      <c r="K40" s="417" t="s">
        <v>387</v>
      </c>
      <c r="M40" s="417" t="s">
        <v>388</v>
      </c>
      <c r="O40" s="417" t="s">
        <v>389</v>
      </c>
      <c r="Q40" s="1021"/>
      <c r="S40" s="418" t="s">
        <v>390</v>
      </c>
      <c r="T40" s="1021"/>
      <c r="U40" s="417" t="s">
        <v>391</v>
      </c>
      <c r="V40" s="1021"/>
      <c r="W40" s="417" t="s">
        <v>392</v>
      </c>
      <c r="X40" s="1021"/>
      <c r="Y40" s="260" t="s">
        <v>393</v>
      </c>
      <c r="Z40" s="1021"/>
      <c r="AA40" s="418" t="s">
        <v>1162</v>
      </c>
      <c r="AQ40" s="455"/>
      <c r="AS40" s="455"/>
    </row>
    <row r="41" spans="1:45">
      <c r="A41" s="410"/>
      <c r="B41" s="263"/>
      <c r="K41" s="419" t="s">
        <v>394</v>
      </c>
      <c r="L41" s="419"/>
      <c r="O41" s="419" t="s">
        <v>395</v>
      </c>
      <c r="Q41" s="1022"/>
      <c r="S41" s="421"/>
      <c r="U41" s="419" t="s">
        <v>357</v>
      </c>
      <c r="AA41" s="456" t="s">
        <v>396</v>
      </c>
      <c r="AB41" s="419"/>
      <c r="AD41" s="419"/>
      <c r="AE41" s="419"/>
      <c r="AF41" s="419"/>
      <c r="AG41" s="419"/>
    </row>
    <row r="42" spans="1:45">
      <c r="A42" s="410"/>
      <c r="D42" s="419" t="s">
        <v>397</v>
      </c>
      <c r="E42" s="419"/>
      <c r="F42" s="419"/>
      <c r="G42" s="419" t="s">
        <v>398</v>
      </c>
      <c r="H42" s="419"/>
      <c r="I42" s="419" t="s">
        <v>8</v>
      </c>
      <c r="J42" s="419"/>
      <c r="K42" s="419" t="s">
        <v>399</v>
      </c>
      <c r="L42" s="419"/>
      <c r="M42" s="419" t="s">
        <v>400</v>
      </c>
      <c r="N42" s="419"/>
      <c r="O42" s="419" t="s">
        <v>401</v>
      </c>
      <c r="P42" s="419"/>
      <c r="Q42" s="1022"/>
      <c r="S42" s="456" t="s">
        <v>357</v>
      </c>
      <c r="T42" s="419"/>
      <c r="U42" s="419" t="s">
        <v>402</v>
      </c>
      <c r="V42" s="419"/>
      <c r="W42" s="419" t="s">
        <v>403</v>
      </c>
      <c r="X42" s="419"/>
      <c r="Y42" s="419" t="s">
        <v>404</v>
      </c>
      <c r="Z42" s="419"/>
      <c r="AA42" s="456" t="s">
        <v>405</v>
      </c>
      <c r="AB42" s="419"/>
      <c r="AD42" s="419"/>
      <c r="AF42" s="419"/>
      <c r="AG42" s="420"/>
      <c r="AH42" s="419"/>
    </row>
    <row r="43" spans="1:45">
      <c r="A43" s="410"/>
      <c r="B43" s="261" t="s">
        <v>406</v>
      </c>
      <c r="C43" s="407" t="s">
        <v>407</v>
      </c>
      <c r="D43" s="419" t="s">
        <v>408</v>
      </c>
      <c r="E43" s="425"/>
      <c r="F43" s="425"/>
      <c r="G43" s="419" t="s">
        <v>408</v>
      </c>
      <c r="H43" s="425"/>
      <c r="I43" s="419" t="s">
        <v>409</v>
      </c>
      <c r="J43" s="425"/>
      <c r="K43" s="419" t="s">
        <v>410</v>
      </c>
      <c r="L43" s="425"/>
      <c r="M43" s="419" t="s">
        <v>411</v>
      </c>
      <c r="N43" s="419"/>
      <c r="O43" s="419" t="s">
        <v>412</v>
      </c>
      <c r="P43" s="419"/>
      <c r="Q43" s="419"/>
      <c r="S43" s="456" t="s">
        <v>402</v>
      </c>
      <c r="T43" s="419"/>
      <c r="U43" s="419" t="s">
        <v>413</v>
      </c>
      <c r="V43" s="425"/>
      <c r="W43" s="419" t="s">
        <v>414</v>
      </c>
      <c r="X43" s="425"/>
      <c r="Y43" s="419" t="s">
        <v>415</v>
      </c>
      <c r="Z43" s="425"/>
      <c r="AA43" s="456" t="s">
        <v>416</v>
      </c>
      <c r="AB43" s="419"/>
      <c r="AD43" s="419"/>
      <c r="AF43" s="419"/>
      <c r="AG43" s="420"/>
      <c r="AH43" s="419"/>
    </row>
    <row r="44" spans="1:45" ht="37.5" customHeight="1">
      <c r="A44" s="410"/>
      <c r="D44" s="419"/>
      <c r="E44" s="425"/>
      <c r="F44" s="425"/>
      <c r="G44" s="419"/>
      <c r="H44" s="425"/>
      <c r="I44" s="419"/>
      <c r="J44" s="425"/>
      <c r="K44" s="419"/>
      <c r="L44" s="425"/>
      <c r="M44" s="419"/>
      <c r="N44" s="419"/>
      <c r="O44" s="419"/>
      <c r="P44" s="419"/>
      <c r="S44" s="1043" t="s">
        <v>1204</v>
      </c>
      <c r="T44" s="419"/>
      <c r="U44" s="1025" t="s">
        <v>1149</v>
      </c>
      <c r="V44" s="425"/>
      <c r="W44" s="419"/>
      <c r="X44" s="425"/>
      <c r="Y44" s="419" t="s">
        <v>1161</v>
      </c>
      <c r="Z44" s="425"/>
      <c r="AA44" s="456"/>
      <c r="AB44" s="419"/>
      <c r="AD44" s="419"/>
      <c r="AF44" s="419"/>
      <c r="AG44" s="420"/>
      <c r="AH44" s="419"/>
    </row>
    <row r="45" spans="1:45">
      <c r="A45" s="410"/>
      <c r="B45" s="440"/>
      <c r="D45" s="419"/>
      <c r="E45" s="425"/>
      <c r="F45" s="425"/>
      <c r="G45" s="419"/>
      <c r="H45" s="425"/>
      <c r="I45" s="419"/>
      <c r="J45" s="425"/>
      <c r="K45" s="419"/>
      <c r="L45" s="425"/>
      <c r="M45" s="419"/>
      <c r="N45" s="419"/>
      <c r="O45" s="419"/>
      <c r="P45" s="419"/>
      <c r="S45" s="457"/>
      <c r="T45" s="419"/>
      <c r="U45" s="419"/>
      <c r="V45" s="425"/>
      <c r="W45" s="419"/>
      <c r="X45" s="425"/>
      <c r="Y45" s="419"/>
      <c r="Z45" s="425"/>
      <c r="AA45" s="456"/>
      <c r="AB45" s="419"/>
      <c r="AD45" s="419"/>
      <c r="AF45" s="419"/>
      <c r="AG45" s="419"/>
      <c r="AH45" s="419"/>
    </row>
    <row r="46" spans="1:45">
      <c r="A46" s="458" t="str">
        <f>A19</f>
        <v>(1)</v>
      </c>
      <c r="B46" s="680" t="str">
        <f>B19</f>
        <v>5.40%, Senior Unsecured Note</v>
      </c>
      <c r="C46" s="493"/>
      <c r="D46" s="494">
        <f>D19</f>
        <v>41605</v>
      </c>
      <c r="E46" s="493"/>
      <c r="F46" s="493"/>
      <c r="G46" s="494">
        <f>G19</f>
        <v>52580</v>
      </c>
      <c r="H46" s="493"/>
      <c r="I46" s="433">
        <v>600000000</v>
      </c>
      <c r="J46" s="493"/>
      <c r="K46" s="433">
        <v>-1086000</v>
      </c>
      <c r="L46" s="493"/>
      <c r="M46" s="433">
        <v>6081838</v>
      </c>
      <c r="N46" s="459"/>
      <c r="O46" s="441">
        <v>0</v>
      </c>
      <c r="P46" s="459"/>
      <c r="Q46" s="419"/>
      <c r="S46" s="460">
        <f>+I46+K46-M46-O46</f>
        <v>592832162</v>
      </c>
      <c r="T46" s="459"/>
      <c r="U46" s="461">
        <f>(S46/I46)*100</f>
        <v>98.80536033333334</v>
      </c>
      <c r="W46" s="495">
        <v>5.3999999999999999E-2</v>
      </c>
      <c r="Y46" s="422">
        <f>W46*I46</f>
        <v>32400000</v>
      </c>
      <c r="AA46" s="462">
        <f>YIELD(D46,G46,W46,U46,100,2,0)</f>
        <v>5.4813132823697153E-2</v>
      </c>
      <c r="AB46" s="463"/>
      <c r="AD46" s="463"/>
      <c r="AF46" s="464"/>
      <c r="AG46" s="445"/>
      <c r="AH46" s="445"/>
    </row>
    <row r="47" spans="1:45">
      <c r="A47" s="458" t="str">
        <f t="shared" ref="A47:B51" si="6">A20</f>
        <v>(2)</v>
      </c>
      <c r="B47" s="680" t="str">
        <f t="shared" si="6"/>
        <v>3.55%, Senior Unsecured Note</v>
      </c>
      <c r="C47" s="493"/>
      <c r="D47" s="494">
        <f t="shared" ref="D47:D51" si="7">D20</f>
        <v>42871</v>
      </c>
      <c r="E47" s="493"/>
      <c r="F47" s="493"/>
      <c r="G47" s="494">
        <f t="shared" ref="G47:G51" si="8">G20</f>
        <v>46522</v>
      </c>
      <c r="H47" s="493"/>
      <c r="I47" s="433">
        <v>250000000</v>
      </c>
      <c r="J47" s="493"/>
      <c r="K47" s="433">
        <v>-105000</v>
      </c>
      <c r="L47" s="493"/>
      <c r="M47" s="433">
        <v>2526216</v>
      </c>
      <c r="S47" s="460">
        <f>+I47+K47-M47-O47</f>
        <v>247368784</v>
      </c>
      <c r="U47" s="461">
        <f>(S47/I47)*100</f>
        <v>98.947513600000008</v>
      </c>
      <c r="W47" s="495">
        <v>3.5499999999999997E-2</v>
      </c>
      <c r="Y47" s="422">
        <f>W47*I47</f>
        <v>8875000</v>
      </c>
      <c r="AA47" s="462">
        <f t="shared" ref="AA47:AA51" si="9">YIELD(D47,G47,W47,U47,100,2,0)</f>
        <v>3.6767525709496547E-2</v>
      </c>
    </row>
    <row r="48" spans="1:45">
      <c r="A48" s="458" t="str">
        <f t="shared" si="6"/>
        <v>(3)</v>
      </c>
      <c r="B48" s="680" t="str">
        <f t="shared" si="6"/>
        <v>3.23%, Senior Unsecured Note</v>
      </c>
      <c r="C48" s="493"/>
      <c r="D48" s="494">
        <f t="shared" si="7"/>
        <v>43783</v>
      </c>
      <c r="E48" s="493"/>
      <c r="F48" s="493"/>
      <c r="G48" s="494">
        <f t="shared" si="8"/>
        <v>47437</v>
      </c>
      <c r="H48" s="493"/>
      <c r="I48" s="433">
        <v>155000000</v>
      </c>
      <c r="J48" s="493"/>
      <c r="K48" s="433"/>
      <c r="L48" s="493"/>
      <c r="M48" s="433">
        <v>586763</v>
      </c>
      <c r="S48" s="460">
        <f t="shared" ref="S48" si="10">+I48+K48-M48-O48</f>
        <v>154413237</v>
      </c>
      <c r="U48" s="461">
        <f t="shared" ref="U48:U51" si="11">(S48/I48)*100</f>
        <v>99.621443225806445</v>
      </c>
      <c r="W48" s="495">
        <v>3.2300000000000002E-2</v>
      </c>
      <c r="Y48" s="422">
        <f t="shared" ref="Y48" si="12">W48*I48</f>
        <v>5006500</v>
      </c>
      <c r="AA48" s="462">
        <f t="shared" si="9"/>
        <v>3.2746788845760377E-2</v>
      </c>
    </row>
    <row r="49" spans="1:35">
      <c r="A49" s="458" t="str">
        <f t="shared" si="6"/>
        <v>(4)</v>
      </c>
      <c r="B49" s="680" t="str">
        <f t="shared" si="6"/>
        <v>3.93%, Senior Unsecured Note</v>
      </c>
      <c r="C49" s="493"/>
      <c r="D49" s="494">
        <f t="shared" si="7"/>
        <v>43783</v>
      </c>
      <c r="E49" s="493"/>
      <c r="F49" s="493"/>
      <c r="G49" s="494">
        <f t="shared" si="8"/>
        <v>54742</v>
      </c>
      <c r="H49" s="493"/>
      <c r="I49" s="433">
        <v>45000000</v>
      </c>
      <c r="J49" s="493"/>
      <c r="K49" s="433"/>
      <c r="L49" s="493"/>
      <c r="M49" s="433">
        <v>586763</v>
      </c>
      <c r="N49" s="465"/>
      <c r="O49" s="465"/>
      <c r="P49" s="465"/>
      <c r="S49" s="460">
        <f>+I49+K49-M49-O49</f>
        <v>44413237</v>
      </c>
      <c r="T49" s="465"/>
      <c r="U49" s="461">
        <f t="shared" si="11"/>
        <v>98.69608222222223</v>
      </c>
      <c r="W49" s="495">
        <v>3.9300000000000002E-2</v>
      </c>
      <c r="Y49" s="422">
        <f>W49*I49</f>
        <v>1768500</v>
      </c>
      <c r="AA49" s="462">
        <f t="shared" si="9"/>
        <v>4.0050582378275183E-2</v>
      </c>
      <c r="AG49" s="445"/>
    </row>
    <row r="50" spans="1:35">
      <c r="A50" s="458" t="str">
        <f t="shared" si="6"/>
        <v>(5)</v>
      </c>
      <c r="B50" s="680" t="str">
        <f t="shared" si="6"/>
        <v>3.55%, Senior Unsecured Note</v>
      </c>
      <c r="C50" s="493"/>
      <c r="D50" s="494">
        <f t="shared" si="7"/>
        <v>44295</v>
      </c>
      <c r="E50" s="493"/>
      <c r="F50" s="493"/>
      <c r="G50" s="494">
        <f t="shared" si="8"/>
        <v>46522</v>
      </c>
      <c r="H50" s="493"/>
      <c r="I50" s="433">
        <v>200000000</v>
      </c>
      <c r="J50" s="493"/>
      <c r="K50" s="433">
        <v>16358000</v>
      </c>
      <c r="L50" s="493"/>
      <c r="M50" s="433">
        <v>2055781</v>
      </c>
      <c r="N50" s="465"/>
      <c r="O50" s="465"/>
      <c r="P50" s="465"/>
      <c r="S50" s="460">
        <f t="shared" ref="S50:S51" si="13">+I50+K50-M50-O50</f>
        <v>214302219</v>
      </c>
      <c r="T50" s="465"/>
      <c r="U50" s="461">
        <f t="shared" si="11"/>
        <v>107.15110949999999</v>
      </c>
      <c r="W50" s="495">
        <v>3.5499999999999997E-2</v>
      </c>
      <c r="Y50" s="422">
        <f t="shared" ref="Y50:Y51" si="14">W50*I50</f>
        <v>7099999.9999999991</v>
      </c>
      <c r="AA50" s="462">
        <f t="shared" si="9"/>
        <v>2.2870468120259928E-2</v>
      </c>
      <c r="AG50" s="445"/>
    </row>
    <row r="51" spans="1:35">
      <c r="A51" s="458" t="str">
        <f t="shared" si="6"/>
        <v>(6)</v>
      </c>
      <c r="B51" s="680" t="str">
        <f t="shared" si="6"/>
        <v>5.85%, Senior Unsecured Note</v>
      </c>
      <c r="C51" s="493"/>
      <c r="D51" s="494">
        <f t="shared" si="7"/>
        <v>45184</v>
      </c>
      <c r="E51" s="493"/>
      <c r="F51" s="493"/>
      <c r="G51" s="494">
        <f t="shared" si="8"/>
        <v>48990</v>
      </c>
      <c r="H51" s="493"/>
      <c r="I51" s="433">
        <v>400000000</v>
      </c>
      <c r="J51" s="493"/>
      <c r="K51" s="433">
        <v>-716000</v>
      </c>
      <c r="L51" s="493"/>
      <c r="M51" s="433">
        <v>3977924</v>
      </c>
      <c r="N51" s="465"/>
      <c r="O51" s="465"/>
      <c r="P51" s="465"/>
      <c r="S51" s="460">
        <f t="shared" si="13"/>
        <v>395306076</v>
      </c>
      <c r="T51" s="465"/>
      <c r="U51" s="461">
        <f t="shared" si="11"/>
        <v>98.826519000000005</v>
      </c>
      <c r="W51" s="495">
        <v>5.8500000000000003E-2</v>
      </c>
      <c r="Y51" s="422">
        <f t="shared" si="14"/>
        <v>23400000</v>
      </c>
      <c r="AA51" s="462">
        <f t="shared" si="9"/>
        <v>6.0023666951105691E-2</v>
      </c>
      <c r="AG51" s="445"/>
    </row>
    <row r="52" spans="1:35" s="493" customFormat="1">
      <c r="A52" s="1086"/>
      <c r="B52" s="1087" t="s">
        <v>417</v>
      </c>
      <c r="D52" s="1088"/>
      <c r="G52" s="1089"/>
      <c r="I52" s="1090">
        <f>SUM(I46:I51)</f>
        <v>1650000000</v>
      </c>
      <c r="K52" s="1091">
        <f>SUM(K46:K51)</f>
        <v>14451000</v>
      </c>
      <c r="M52" s="1090">
        <f>SUM(M46:M51)</f>
        <v>15815285</v>
      </c>
      <c r="N52" s="468"/>
      <c r="O52" s="465">
        <f>SUM(O46:O51)</f>
        <v>0</v>
      </c>
      <c r="P52" s="468"/>
      <c r="Q52" s="1092"/>
      <c r="S52" s="1093">
        <f>SUM(S46:S51)</f>
        <v>1648635715</v>
      </c>
      <c r="T52" s="468"/>
      <c r="Y52" s="1090">
        <f>SUM(Y46:Y51)</f>
        <v>78550000</v>
      </c>
      <c r="AA52" s="462"/>
      <c r="AE52" s="1094"/>
    </row>
    <row r="53" spans="1:35">
      <c r="A53" s="410"/>
      <c r="B53" s="262" t="s">
        <v>418</v>
      </c>
      <c r="D53" s="466"/>
      <c r="G53" s="467"/>
      <c r="I53" s="465"/>
      <c r="K53" s="465"/>
      <c r="M53" s="465"/>
      <c r="N53" s="465"/>
      <c r="O53" s="465"/>
      <c r="P53" s="465"/>
      <c r="Q53" s="465"/>
      <c r="R53" s="465"/>
      <c r="S53" s="421"/>
      <c r="W53" s="465"/>
      <c r="Y53" s="465"/>
      <c r="AA53" s="469"/>
      <c r="AE53" s="464"/>
      <c r="AG53" s="445"/>
      <c r="AI53" s="422"/>
    </row>
    <row r="54" spans="1:35" ht="16">
      <c r="A54" s="448"/>
      <c r="B54" s="484" t="s">
        <v>564</v>
      </c>
      <c r="C54" s="451"/>
      <c r="D54" s="451"/>
      <c r="E54" s="451"/>
      <c r="F54" s="451"/>
      <c r="G54" s="451"/>
      <c r="H54" s="451"/>
      <c r="I54" s="451"/>
      <c r="J54" s="451"/>
      <c r="K54" s="451"/>
      <c r="L54" s="451"/>
      <c r="M54" s="470"/>
      <c r="N54" s="470"/>
      <c r="O54" s="470"/>
      <c r="P54" s="470"/>
      <c r="Q54" s="470"/>
      <c r="R54" s="470"/>
      <c r="S54" s="471"/>
      <c r="T54" s="451"/>
      <c r="U54" s="451"/>
      <c r="V54" s="451"/>
      <c r="W54" s="451"/>
      <c r="X54" s="451"/>
      <c r="Y54" s="451"/>
      <c r="Z54" s="451"/>
      <c r="AA54" s="472"/>
    </row>
    <row r="55" spans="1:35">
      <c r="A55" s="448"/>
      <c r="B55" s="484"/>
      <c r="C55" s="451"/>
      <c r="D55" s="451"/>
      <c r="E55" s="451"/>
      <c r="F55" s="451"/>
      <c r="G55" s="451"/>
      <c r="H55" s="451"/>
      <c r="I55" s="451"/>
      <c r="J55" s="451"/>
      <c r="K55" s="451"/>
      <c r="L55" s="451"/>
      <c r="M55" s="470"/>
      <c r="N55" s="470"/>
      <c r="O55" s="470"/>
      <c r="P55" s="470"/>
      <c r="Q55" s="470"/>
      <c r="R55" s="470"/>
      <c r="S55" s="471"/>
      <c r="AA55" s="463"/>
    </row>
    <row r="56" spans="1:35">
      <c r="B56" s="445"/>
      <c r="M56" s="473"/>
      <c r="N56" s="473"/>
      <c r="O56" s="473"/>
      <c r="P56" s="473"/>
      <c r="Q56" s="473"/>
      <c r="R56" s="473"/>
      <c r="Y56" s="443"/>
    </row>
    <row r="57" spans="1:35" ht="18.5">
      <c r="B57" s="474"/>
      <c r="M57" s="475"/>
      <c r="N57" s="475"/>
      <c r="O57" s="475"/>
      <c r="P57" s="475"/>
      <c r="Q57" s="475"/>
      <c r="R57" s="475"/>
      <c r="Y57" s="465"/>
    </row>
    <row r="58" spans="1:35">
      <c r="Y58" s="465"/>
      <c r="AA58" s="443"/>
    </row>
    <row r="59" spans="1:35">
      <c r="D59" s="465"/>
      <c r="G59" s="465"/>
      <c r="M59" s="465"/>
      <c r="N59" s="465"/>
      <c r="O59" s="465"/>
      <c r="P59" s="465"/>
      <c r="Q59" s="465"/>
      <c r="R59" s="465"/>
      <c r="W59" s="476"/>
      <c r="Y59" s="465"/>
    </row>
    <row r="60" spans="1:35">
      <c r="W60" s="476"/>
    </row>
    <row r="61" spans="1:35">
      <c r="D61" s="477"/>
      <c r="G61" s="477"/>
      <c r="M61" s="477"/>
      <c r="N61" s="477"/>
      <c r="O61" s="477"/>
      <c r="P61" s="477"/>
      <c r="Q61" s="477"/>
      <c r="R61" s="477"/>
      <c r="W61" s="476"/>
      <c r="Y61" s="477"/>
    </row>
    <row r="62" spans="1:35">
      <c r="B62" s="445"/>
    </row>
    <row r="63" spans="1:35">
      <c r="B63" s="445"/>
    </row>
    <row r="65" spans="2:26">
      <c r="B65" s="478"/>
      <c r="D65" s="459"/>
    </row>
    <row r="66" spans="2:26">
      <c r="B66" s="478"/>
      <c r="D66" s="459"/>
    </row>
    <row r="67" spans="2:26">
      <c r="B67" s="479"/>
      <c r="C67" s="258"/>
      <c r="D67" s="258"/>
      <c r="E67" s="258"/>
      <c r="F67" s="258"/>
      <c r="G67" s="258"/>
      <c r="H67" s="258"/>
      <c r="I67" s="258"/>
      <c r="J67" s="258"/>
      <c r="K67" s="258"/>
    </row>
    <row r="68" spans="2:26">
      <c r="D68" s="419"/>
      <c r="G68" s="419"/>
      <c r="I68" s="419"/>
      <c r="K68" s="419"/>
    </row>
    <row r="69" spans="2:26">
      <c r="D69" s="419"/>
      <c r="G69" s="419"/>
      <c r="I69" s="419"/>
      <c r="K69" s="419"/>
    </row>
    <row r="70" spans="2:26">
      <c r="D70" s="459"/>
      <c r="G70" s="480"/>
      <c r="I70" s="480"/>
      <c r="K70" s="480"/>
    </row>
    <row r="71" spans="2:26">
      <c r="D71" s="459"/>
      <c r="G71" s="480"/>
      <c r="I71" s="480"/>
    </row>
    <row r="72" spans="2:26">
      <c r="D72" s="459"/>
      <c r="G72" s="480"/>
      <c r="I72" s="480"/>
      <c r="K72" s="480"/>
    </row>
    <row r="73" spans="2:26">
      <c r="D73" s="459"/>
      <c r="G73" s="480"/>
      <c r="I73" s="480"/>
    </row>
    <row r="74" spans="2:26">
      <c r="D74" s="459"/>
      <c r="G74" s="480"/>
      <c r="I74" s="480"/>
      <c r="K74" s="480"/>
    </row>
    <row r="75" spans="2:26">
      <c r="D75" s="459"/>
      <c r="G75" s="480"/>
      <c r="I75" s="480"/>
    </row>
    <row r="76" spans="2:26">
      <c r="D76" s="459"/>
      <c r="G76" s="480"/>
      <c r="K76" s="480"/>
      <c r="L76" s="258"/>
      <c r="M76" s="258"/>
      <c r="N76" s="258"/>
      <c r="O76" s="258"/>
      <c r="P76" s="258"/>
      <c r="Q76" s="258"/>
      <c r="R76" s="258"/>
      <c r="S76" s="258"/>
      <c r="T76" s="258"/>
      <c r="U76" s="258"/>
      <c r="V76" s="258"/>
      <c r="W76" s="258"/>
      <c r="X76" s="258"/>
      <c r="Y76" s="258"/>
      <c r="Z76" s="258"/>
    </row>
    <row r="77" spans="2:26">
      <c r="D77" s="459"/>
      <c r="G77" s="480"/>
      <c r="K77" s="480"/>
      <c r="L77" s="258"/>
      <c r="M77" s="258"/>
      <c r="N77" s="258"/>
      <c r="O77" s="258"/>
      <c r="P77" s="258"/>
      <c r="Q77" s="258"/>
      <c r="R77" s="258"/>
      <c r="S77" s="258"/>
      <c r="T77" s="258"/>
      <c r="U77" s="258"/>
      <c r="V77" s="258"/>
      <c r="W77" s="258"/>
      <c r="X77" s="258"/>
      <c r="Y77" s="258"/>
      <c r="Z77" s="258"/>
    </row>
    <row r="78" spans="2:26">
      <c r="D78" s="459"/>
      <c r="G78" s="480"/>
      <c r="K78" s="480"/>
      <c r="L78" s="258"/>
      <c r="M78" s="258"/>
      <c r="N78" s="258"/>
      <c r="O78" s="258"/>
      <c r="P78" s="258"/>
      <c r="Q78" s="258"/>
      <c r="R78" s="258"/>
      <c r="S78" s="258"/>
      <c r="T78" s="258"/>
      <c r="U78" s="258"/>
      <c r="V78" s="258"/>
      <c r="W78" s="258"/>
      <c r="X78" s="258"/>
      <c r="Y78" s="258"/>
      <c r="Z78" s="258"/>
    </row>
    <row r="79" spans="2:26">
      <c r="D79" s="459"/>
      <c r="G79" s="480"/>
      <c r="K79" s="480"/>
      <c r="L79" s="258"/>
      <c r="M79" s="258"/>
      <c r="N79" s="258"/>
      <c r="O79" s="258"/>
      <c r="P79" s="258"/>
      <c r="Q79" s="258"/>
      <c r="R79" s="258"/>
      <c r="S79" s="258"/>
      <c r="T79" s="258"/>
      <c r="U79" s="258"/>
      <c r="V79" s="258"/>
      <c r="W79" s="258"/>
      <c r="X79" s="258"/>
      <c r="Y79" s="258"/>
      <c r="Z79" s="258"/>
    </row>
    <row r="80" spans="2:26">
      <c r="B80" s="258"/>
      <c r="C80" s="258"/>
      <c r="D80" s="258"/>
      <c r="E80" s="258"/>
      <c r="F80" s="258"/>
      <c r="G80" s="258"/>
      <c r="H80" s="258"/>
      <c r="I80" s="258"/>
      <c r="J80" s="258"/>
      <c r="K80" s="258"/>
      <c r="L80" s="258"/>
      <c r="M80" s="258"/>
      <c r="N80" s="258"/>
      <c r="O80" s="258"/>
      <c r="P80" s="258"/>
      <c r="Q80" s="258"/>
      <c r="R80" s="258"/>
      <c r="S80" s="258"/>
      <c r="T80" s="258"/>
      <c r="U80" s="258"/>
      <c r="V80" s="258"/>
      <c r="W80" s="258"/>
      <c r="X80" s="258"/>
      <c r="Y80" s="258"/>
      <c r="Z80" s="258"/>
    </row>
    <row r="81" spans="2:26">
      <c r="B81" s="257"/>
    </row>
    <row r="82" spans="2:26">
      <c r="B82" s="261"/>
      <c r="G82" s="419"/>
      <c r="H82" s="419"/>
      <c r="I82" s="419"/>
      <c r="J82" s="419"/>
      <c r="K82" s="419"/>
      <c r="L82" s="419"/>
      <c r="M82" s="419"/>
      <c r="N82" s="419"/>
      <c r="O82" s="419"/>
      <c r="P82" s="419"/>
      <c r="Q82" s="419"/>
      <c r="R82" s="419"/>
      <c r="S82" s="419"/>
      <c r="T82" s="419"/>
      <c r="U82" s="419"/>
      <c r="V82" s="419"/>
    </row>
    <row r="83" spans="2:26">
      <c r="D83" s="419"/>
      <c r="E83" s="419"/>
      <c r="F83" s="419"/>
      <c r="G83" s="419"/>
      <c r="H83" s="419"/>
      <c r="I83" s="419"/>
      <c r="J83" s="419"/>
      <c r="K83" s="419"/>
      <c r="L83" s="419"/>
      <c r="M83" s="419"/>
      <c r="N83" s="419"/>
      <c r="O83" s="419"/>
      <c r="P83" s="419"/>
      <c r="Q83" s="419"/>
      <c r="R83" s="419"/>
      <c r="S83" s="419"/>
      <c r="T83" s="419"/>
      <c r="U83" s="419"/>
      <c r="V83" s="419"/>
      <c r="W83" s="419"/>
      <c r="Y83" s="419"/>
      <c r="Z83" s="419"/>
    </row>
    <row r="84" spans="2:26">
      <c r="B84" s="429"/>
      <c r="D84" s="419"/>
      <c r="E84" s="419"/>
      <c r="F84" s="419"/>
      <c r="G84" s="419"/>
      <c r="H84" s="419"/>
      <c r="I84" s="419"/>
      <c r="J84" s="419"/>
      <c r="K84" s="419"/>
      <c r="L84" s="419"/>
      <c r="M84" s="419"/>
      <c r="N84" s="419"/>
      <c r="O84" s="419"/>
      <c r="P84" s="419"/>
      <c r="Q84" s="419"/>
      <c r="R84" s="419"/>
      <c r="S84" s="419"/>
      <c r="T84" s="419"/>
      <c r="U84" s="419"/>
      <c r="V84" s="419"/>
      <c r="W84" s="419"/>
      <c r="Y84" s="419"/>
      <c r="Z84" s="419"/>
    </row>
    <row r="85" spans="2:26">
      <c r="B85" s="429"/>
      <c r="D85" s="419"/>
      <c r="E85" s="419"/>
      <c r="F85" s="419"/>
      <c r="G85" s="419"/>
      <c r="H85" s="419"/>
      <c r="I85" s="419"/>
      <c r="J85" s="419"/>
      <c r="K85" s="419"/>
      <c r="L85" s="419"/>
      <c r="M85" s="419"/>
      <c r="N85" s="419"/>
      <c r="O85" s="419"/>
      <c r="P85" s="419"/>
      <c r="Q85" s="419"/>
      <c r="R85" s="419"/>
      <c r="S85" s="419"/>
      <c r="T85" s="419"/>
      <c r="U85" s="419"/>
      <c r="V85" s="419"/>
      <c r="W85" s="419"/>
      <c r="Y85" s="419"/>
      <c r="Z85" s="419"/>
    </row>
    <row r="86" spans="2:26">
      <c r="B86" s="445"/>
      <c r="D86" s="422"/>
      <c r="E86" s="422"/>
      <c r="F86" s="422"/>
      <c r="G86" s="422"/>
      <c r="H86" s="436"/>
      <c r="I86" s="422"/>
      <c r="J86" s="436"/>
      <c r="K86" s="436"/>
      <c r="L86" s="436"/>
      <c r="M86" s="436"/>
      <c r="N86" s="436"/>
      <c r="O86" s="436"/>
      <c r="P86" s="436"/>
      <c r="Q86" s="436"/>
      <c r="R86" s="436"/>
      <c r="W86" s="445"/>
      <c r="Y86" s="436"/>
      <c r="Z86" s="419"/>
    </row>
    <row r="87" spans="2:26">
      <c r="B87" s="445"/>
      <c r="D87" s="422"/>
      <c r="E87" s="422"/>
      <c r="F87" s="422"/>
      <c r="G87" s="422"/>
      <c r="H87" s="436"/>
      <c r="I87" s="422"/>
      <c r="J87" s="436"/>
      <c r="K87" s="436"/>
      <c r="L87" s="436"/>
      <c r="M87" s="436"/>
      <c r="N87" s="436"/>
      <c r="O87" s="436"/>
      <c r="P87" s="436"/>
      <c r="Q87" s="436"/>
      <c r="R87" s="436"/>
      <c r="W87" s="445"/>
      <c r="Y87" s="436"/>
      <c r="Z87" s="419"/>
    </row>
    <row r="88" spans="2:26">
      <c r="B88" s="445"/>
      <c r="D88" s="422"/>
      <c r="E88" s="422"/>
      <c r="F88" s="422"/>
      <c r="G88" s="422"/>
      <c r="H88" s="436"/>
      <c r="I88" s="422"/>
      <c r="J88" s="436"/>
      <c r="K88" s="436"/>
      <c r="L88" s="436"/>
      <c r="M88" s="436"/>
      <c r="N88" s="436"/>
      <c r="O88" s="436"/>
      <c r="P88" s="436"/>
      <c r="Q88" s="436"/>
      <c r="R88" s="436"/>
      <c r="W88" s="445"/>
      <c r="Y88" s="436"/>
      <c r="Z88" s="419"/>
    </row>
    <row r="89" spans="2:26">
      <c r="B89" s="415"/>
      <c r="D89" s="422"/>
      <c r="E89" s="422"/>
      <c r="F89" s="422"/>
      <c r="G89" s="422"/>
      <c r="H89" s="436"/>
      <c r="I89" s="422"/>
      <c r="J89" s="436"/>
      <c r="K89" s="436"/>
      <c r="L89" s="436"/>
      <c r="M89" s="436"/>
      <c r="N89" s="436"/>
      <c r="O89" s="436"/>
      <c r="P89" s="436"/>
      <c r="Q89" s="436"/>
      <c r="R89" s="436"/>
      <c r="W89" s="445"/>
      <c r="Y89" s="436"/>
      <c r="Z89" s="419"/>
    </row>
    <row r="90" spans="2:26">
      <c r="B90" s="415"/>
      <c r="D90" s="422"/>
      <c r="E90" s="422"/>
      <c r="F90" s="422"/>
      <c r="G90" s="422"/>
      <c r="H90" s="436"/>
      <c r="I90" s="422"/>
      <c r="J90" s="436"/>
      <c r="K90" s="436"/>
      <c r="L90" s="436"/>
      <c r="M90" s="436"/>
      <c r="N90" s="436"/>
      <c r="O90" s="436"/>
      <c r="P90" s="436"/>
      <c r="Q90" s="436"/>
      <c r="R90" s="436"/>
      <c r="W90" s="445"/>
      <c r="Y90" s="436"/>
      <c r="Z90" s="419"/>
    </row>
    <row r="91" spans="2:26">
      <c r="B91" s="440"/>
      <c r="D91" s="422"/>
      <c r="E91" s="422"/>
      <c r="F91" s="422"/>
      <c r="G91" s="422"/>
      <c r="H91" s="436"/>
      <c r="I91" s="422"/>
      <c r="J91" s="436"/>
      <c r="K91" s="436"/>
      <c r="L91" s="436"/>
      <c r="M91" s="436"/>
      <c r="N91" s="436"/>
      <c r="O91" s="436"/>
      <c r="P91" s="436"/>
      <c r="Q91" s="436"/>
      <c r="R91" s="436"/>
      <c r="W91" s="445"/>
      <c r="Y91" s="436"/>
      <c r="Z91" s="419"/>
    </row>
    <row r="92" spans="2:26">
      <c r="B92" s="445"/>
      <c r="D92" s="422"/>
      <c r="E92" s="422"/>
      <c r="F92" s="422"/>
      <c r="G92" s="422"/>
      <c r="H92" s="436"/>
      <c r="I92" s="422"/>
      <c r="J92" s="436"/>
      <c r="K92" s="436"/>
      <c r="L92" s="436"/>
      <c r="M92" s="436"/>
      <c r="N92" s="436"/>
      <c r="O92" s="436"/>
      <c r="P92" s="436"/>
      <c r="Q92" s="436"/>
      <c r="R92" s="436"/>
      <c r="W92" s="445"/>
      <c r="Y92" s="436"/>
      <c r="Z92" s="419"/>
    </row>
    <row r="93" spans="2:26">
      <c r="B93" s="445"/>
      <c r="D93" s="422"/>
      <c r="E93" s="422"/>
      <c r="F93" s="422"/>
      <c r="G93" s="422"/>
      <c r="H93" s="436"/>
      <c r="I93" s="422"/>
      <c r="J93" s="436"/>
      <c r="K93" s="436"/>
      <c r="L93" s="436"/>
      <c r="M93" s="436"/>
      <c r="N93" s="436"/>
      <c r="O93" s="436"/>
      <c r="P93" s="436"/>
      <c r="Q93" s="436"/>
      <c r="R93" s="436"/>
      <c r="W93" s="445"/>
      <c r="Y93" s="436"/>
      <c r="Z93" s="419"/>
    </row>
    <row r="94" spans="2:26">
      <c r="B94" s="445"/>
      <c r="D94" s="422"/>
      <c r="E94" s="422"/>
      <c r="F94" s="422"/>
      <c r="G94" s="422"/>
      <c r="H94" s="436"/>
      <c r="I94" s="422"/>
      <c r="J94" s="436"/>
      <c r="K94" s="436"/>
      <c r="L94" s="436"/>
      <c r="M94" s="436"/>
      <c r="N94" s="436"/>
      <c r="O94" s="436"/>
      <c r="P94" s="436"/>
      <c r="Q94" s="436"/>
      <c r="R94" s="436"/>
      <c r="W94" s="445"/>
      <c r="Y94" s="436"/>
      <c r="Z94" s="419"/>
    </row>
    <row r="95" spans="2:26">
      <c r="B95" s="445"/>
      <c r="D95" s="422"/>
      <c r="E95" s="422"/>
      <c r="F95" s="422"/>
      <c r="G95" s="422"/>
      <c r="H95" s="436"/>
      <c r="I95" s="422"/>
      <c r="J95" s="436"/>
      <c r="K95" s="436"/>
      <c r="L95" s="436"/>
      <c r="M95" s="436"/>
      <c r="N95" s="436"/>
      <c r="O95" s="436"/>
      <c r="P95" s="436"/>
      <c r="Q95" s="436"/>
      <c r="R95" s="436"/>
      <c r="W95" s="445"/>
      <c r="Y95" s="436"/>
      <c r="Z95" s="419"/>
    </row>
    <row r="96" spans="2:26">
      <c r="B96" s="445"/>
      <c r="D96" s="422"/>
      <c r="E96" s="422"/>
      <c r="F96" s="422"/>
      <c r="G96" s="422"/>
      <c r="H96" s="436"/>
      <c r="I96" s="422"/>
      <c r="J96" s="436"/>
      <c r="K96" s="436"/>
      <c r="L96" s="436"/>
      <c r="M96" s="436"/>
      <c r="N96" s="436"/>
      <c r="O96" s="436"/>
      <c r="P96" s="436"/>
      <c r="Q96" s="436"/>
      <c r="R96" s="436"/>
      <c r="W96" s="445"/>
      <c r="Y96" s="436"/>
      <c r="Z96" s="419"/>
    </row>
    <row r="97" spans="2:26">
      <c r="B97" s="445"/>
      <c r="D97" s="422"/>
      <c r="E97" s="422"/>
      <c r="F97" s="422"/>
      <c r="G97" s="422"/>
      <c r="H97" s="436"/>
      <c r="I97" s="422"/>
      <c r="J97" s="436"/>
      <c r="K97" s="436"/>
      <c r="L97" s="436"/>
      <c r="M97" s="436"/>
      <c r="N97" s="436"/>
      <c r="O97" s="436"/>
      <c r="P97" s="436"/>
      <c r="Q97" s="436"/>
      <c r="R97" s="436"/>
      <c r="W97" s="445"/>
      <c r="Y97" s="436"/>
      <c r="Z97" s="419"/>
    </row>
    <row r="98" spans="2:26">
      <c r="B98" s="445"/>
      <c r="D98" s="422"/>
      <c r="E98" s="422"/>
      <c r="F98" s="422"/>
      <c r="G98" s="422"/>
      <c r="H98" s="436"/>
      <c r="I98" s="422"/>
      <c r="J98" s="436"/>
      <c r="K98" s="436"/>
      <c r="L98" s="436"/>
      <c r="M98" s="436"/>
      <c r="N98" s="436"/>
      <c r="O98" s="436"/>
      <c r="P98" s="436"/>
      <c r="Q98" s="436"/>
      <c r="R98" s="436"/>
      <c r="W98" s="445"/>
      <c r="Y98" s="436"/>
      <c r="Z98" s="419"/>
    </row>
    <row r="99" spans="2:26">
      <c r="B99" s="445"/>
      <c r="D99" s="422"/>
      <c r="E99" s="422"/>
      <c r="F99" s="422"/>
      <c r="G99" s="422"/>
      <c r="H99" s="436"/>
      <c r="I99" s="422"/>
      <c r="J99" s="436"/>
      <c r="K99" s="436"/>
      <c r="L99" s="436"/>
      <c r="M99" s="436"/>
      <c r="N99" s="436"/>
      <c r="O99" s="436"/>
      <c r="P99" s="436"/>
      <c r="Q99" s="436"/>
      <c r="R99" s="436"/>
      <c r="W99" s="445"/>
      <c r="Y99" s="436"/>
      <c r="Z99" s="419"/>
    </row>
    <row r="100" spans="2:26">
      <c r="B100" s="445"/>
      <c r="D100" s="422"/>
      <c r="E100" s="422"/>
      <c r="F100" s="422"/>
      <c r="G100" s="422"/>
      <c r="H100" s="436"/>
      <c r="I100" s="422"/>
      <c r="J100" s="436"/>
      <c r="K100" s="436"/>
      <c r="L100" s="436"/>
      <c r="M100" s="436"/>
      <c r="N100" s="436"/>
      <c r="O100" s="436"/>
      <c r="P100" s="436"/>
      <c r="Q100" s="436"/>
      <c r="R100" s="436"/>
      <c r="W100" s="445"/>
      <c r="Y100" s="436"/>
      <c r="Z100" s="419"/>
    </row>
    <row r="101" spans="2:26">
      <c r="B101" s="445"/>
      <c r="D101" s="422"/>
      <c r="E101" s="422"/>
      <c r="F101" s="422"/>
      <c r="G101" s="422"/>
      <c r="H101" s="436"/>
      <c r="I101" s="422"/>
      <c r="J101" s="436"/>
      <c r="K101" s="436"/>
      <c r="L101" s="436"/>
      <c r="M101" s="436"/>
      <c r="N101" s="436"/>
      <c r="O101" s="436"/>
      <c r="P101" s="436"/>
      <c r="Q101" s="436"/>
      <c r="R101" s="436"/>
      <c r="W101" s="445"/>
      <c r="Y101" s="436"/>
      <c r="Z101" s="419"/>
    </row>
    <row r="102" spans="2:26">
      <c r="B102" s="445"/>
      <c r="D102" s="422"/>
      <c r="E102" s="422"/>
      <c r="F102" s="422"/>
      <c r="G102" s="422"/>
      <c r="H102" s="436"/>
      <c r="I102" s="422"/>
      <c r="J102" s="436"/>
      <c r="K102" s="436"/>
      <c r="L102" s="436"/>
      <c r="M102" s="436"/>
      <c r="N102" s="436"/>
      <c r="O102" s="436"/>
      <c r="P102" s="436"/>
      <c r="Q102" s="436"/>
      <c r="R102" s="436"/>
      <c r="W102" s="445"/>
      <c r="Y102" s="436"/>
      <c r="Z102" s="419"/>
    </row>
    <row r="103" spans="2:26">
      <c r="D103" s="422"/>
      <c r="E103" s="422"/>
      <c r="F103" s="422"/>
      <c r="G103" s="422"/>
      <c r="I103" s="422"/>
      <c r="M103" s="436"/>
      <c r="N103" s="436"/>
      <c r="O103" s="436"/>
      <c r="P103" s="436"/>
      <c r="Q103" s="436"/>
      <c r="R103" s="436"/>
    </row>
    <row r="104" spans="2:26">
      <c r="B104" s="436"/>
      <c r="C104" s="436"/>
      <c r="D104" s="422"/>
      <c r="E104" s="422"/>
      <c r="F104" s="422"/>
      <c r="G104" s="422"/>
      <c r="H104" s="436"/>
      <c r="I104" s="422"/>
      <c r="J104" s="436"/>
      <c r="K104" s="422"/>
      <c r="L104" s="436"/>
      <c r="M104" s="436"/>
      <c r="N104" s="436"/>
      <c r="O104" s="436"/>
      <c r="P104" s="436"/>
      <c r="Q104" s="436"/>
      <c r="R104" s="436"/>
      <c r="S104" s="436"/>
      <c r="T104" s="436"/>
      <c r="U104" s="436"/>
      <c r="V104" s="436"/>
      <c r="W104" s="445"/>
      <c r="X104" s="436"/>
      <c r="Y104" s="436"/>
      <c r="Z104" s="436"/>
    </row>
    <row r="105" spans="2:26">
      <c r="B105" s="436"/>
      <c r="C105" s="436"/>
      <c r="D105" s="436"/>
      <c r="E105" s="436"/>
      <c r="F105" s="436"/>
      <c r="G105" s="436"/>
      <c r="H105" s="436"/>
      <c r="I105" s="436"/>
      <c r="J105" s="436"/>
      <c r="K105" s="436"/>
      <c r="L105" s="436"/>
      <c r="M105" s="436"/>
      <c r="N105" s="436"/>
      <c r="O105" s="436"/>
      <c r="P105" s="436"/>
      <c r="Q105" s="436"/>
      <c r="R105" s="436"/>
      <c r="S105" s="436"/>
      <c r="T105" s="436"/>
      <c r="U105" s="436"/>
      <c r="V105" s="436"/>
      <c r="W105" s="445"/>
      <c r="X105" s="436"/>
      <c r="Y105" s="436"/>
      <c r="Z105" s="436"/>
    </row>
    <row r="106" spans="2:26">
      <c r="B106" s="263"/>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row>
    <row r="107" spans="2:26">
      <c r="B107" s="261"/>
    </row>
    <row r="108" spans="2:26">
      <c r="D108" s="477"/>
      <c r="K108" s="477"/>
      <c r="M108" s="422"/>
      <c r="N108" s="422"/>
      <c r="O108" s="422"/>
      <c r="P108" s="422"/>
      <c r="Q108" s="422"/>
      <c r="R108" s="422"/>
      <c r="W108" s="476"/>
      <c r="Y108" s="422"/>
    </row>
    <row r="109" spans="2:26">
      <c r="D109" s="465"/>
      <c r="K109" s="465"/>
      <c r="M109" s="465"/>
      <c r="N109" s="465"/>
      <c r="O109" s="465"/>
      <c r="P109" s="465"/>
      <c r="Q109" s="465"/>
      <c r="R109" s="465"/>
      <c r="W109" s="476"/>
      <c r="Y109" s="465"/>
    </row>
    <row r="110" spans="2:26">
      <c r="D110" s="465"/>
      <c r="K110" s="465"/>
      <c r="M110" s="465"/>
      <c r="N110" s="465"/>
      <c r="O110" s="465"/>
      <c r="P110" s="465"/>
      <c r="Q110" s="465"/>
      <c r="R110" s="465"/>
      <c r="W110" s="476"/>
      <c r="Y110" s="465"/>
    </row>
    <row r="111" spans="2:26">
      <c r="D111" s="465"/>
      <c r="K111" s="465"/>
      <c r="M111" s="465"/>
      <c r="N111" s="465"/>
      <c r="O111" s="465"/>
      <c r="P111" s="465"/>
      <c r="Q111" s="465"/>
      <c r="R111" s="465"/>
      <c r="W111" s="476"/>
      <c r="Y111" s="465"/>
    </row>
    <row r="112" spans="2:26">
      <c r="D112" s="465"/>
      <c r="K112" s="465"/>
      <c r="M112" s="465"/>
      <c r="N112" s="465"/>
      <c r="O112" s="465"/>
      <c r="P112" s="465"/>
      <c r="Q112" s="465"/>
      <c r="R112" s="465"/>
      <c r="W112" s="476"/>
      <c r="Y112" s="465"/>
    </row>
    <row r="113" spans="2:25">
      <c r="B113" s="445"/>
      <c r="W113" s="476"/>
    </row>
    <row r="114" spans="2:25">
      <c r="B114" s="445"/>
      <c r="D114" s="477"/>
      <c r="K114" s="477"/>
      <c r="M114" s="477"/>
      <c r="N114" s="477"/>
      <c r="O114" s="477"/>
      <c r="P114" s="477"/>
      <c r="Q114" s="477"/>
      <c r="R114" s="477"/>
      <c r="W114" s="476"/>
      <c r="Y114" s="477"/>
    </row>
    <row r="116" spans="2:25">
      <c r="B116" s="261"/>
    </row>
    <row r="117" spans="2:25">
      <c r="B117" s="257"/>
    </row>
    <row r="118" spans="2:25">
      <c r="D118" s="459"/>
    </row>
    <row r="119" spans="2:25">
      <c r="D119" s="427"/>
    </row>
    <row r="120" spans="2:25">
      <c r="D120" s="427"/>
    </row>
    <row r="121" spans="2:25">
      <c r="D121" s="481"/>
    </row>
    <row r="122" spans="2:25">
      <c r="D122" s="427"/>
    </row>
    <row r="123" spans="2:25">
      <c r="D123" s="427"/>
    </row>
    <row r="124" spans="2:25">
      <c r="B124" s="478"/>
      <c r="D124" s="459"/>
    </row>
    <row r="125" spans="2:25">
      <c r="B125" s="478"/>
    </row>
    <row r="126" spans="2:25">
      <c r="C126" s="258"/>
    </row>
    <row r="127" spans="2:25">
      <c r="B127" s="479"/>
      <c r="D127" s="419"/>
      <c r="G127" s="419"/>
      <c r="I127" s="419"/>
      <c r="K127" s="419"/>
    </row>
    <row r="128" spans="2:25">
      <c r="D128" s="419"/>
      <c r="G128" s="419"/>
      <c r="I128" s="419"/>
      <c r="K128" s="419"/>
    </row>
    <row r="129" spans="4:11">
      <c r="D129" s="459"/>
      <c r="G129" s="445"/>
      <c r="I129" s="445"/>
      <c r="K129" s="482"/>
    </row>
    <row r="130" spans="4:11">
      <c r="D130" s="459"/>
      <c r="G130" s="445"/>
      <c r="I130" s="445"/>
      <c r="K130" s="445"/>
    </row>
    <row r="131" spans="4:11">
      <c r="D131" s="459"/>
      <c r="G131" s="445"/>
      <c r="I131" s="445"/>
      <c r="K131" s="445"/>
    </row>
    <row r="132" spans="4:11">
      <c r="D132" s="459"/>
      <c r="G132" s="445"/>
      <c r="I132" s="445"/>
      <c r="K132" s="445"/>
    </row>
    <row r="133" spans="4:11">
      <c r="D133" s="459"/>
      <c r="G133" s="445"/>
      <c r="I133" s="445"/>
      <c r="K133" s="445"/>
    </row>
    <row r="134" spans="4:11">
      <c r="D134" s="459"/>
      <c r="G134" s="445"/>
      <c r="I134" s="445"/>
      <c r="K134" s="445"/>
    </row>
    <row r="135" spans="4:11">
      <c r="D135" s="459"/>
      <c r="G135" s="445"/>
      <c r="I135" s="445"/>
      <c r="K135" s="445"/>
    </row>
  </sheetData>
  <mergeCells count="1">
    <mergeCell ref="AT12:AU12"/>
  </mergeCells>
  <pageMargins left="0.17" right="0.16" top="1" bottom="1" header="0.5" footer="0.5"/>
  <pageSetup scale="29" orientation="landscape" r:id="rId1"/>
  <headerFooter alignWithMargins="0"/>
  <colBreaks count="1" manualBreakCount="1">
    <brk id="27" max="5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T285"/>
  <sheetViews>
    <sheetView view="pageBreakPreview" topLeftCell="A4" zoomScale="70" zoomScaleNormal="80" zoomScaleSheetLayoutView="70" workbookViewId="0"/>
  </sheetViews>
  <sheetFormatPr defaultColWidth="8.84375" defaultRowHeight="15.5"/>
  <cols>
    <col min="1" max="1" width="6" style="80" customWidth="1"/>
    <col min="2" max="2" width="1.4609375" style="80" customWidth="1"/>
    <col min="3" max="3" width="62.07421875" style="80" customWidth="1"/>
    <col min="4" max="4" width="33" style="80" customWidth="1"/>
    <col min="5" max="5" width="36.765625" style="80" bestFit="1" customWidth="1"/>
    <col min="6" max="6" width="18.07421875" style="80" customWidth="1"/>
    <col min="7" max="7" width="18" style="80" customWidth="1"/>
    <col min="8" max="8" width="15.84375" style="80" customWidth="1"/>
    <col min="9" max="10" width="12.84375" style="80" customWidth="1"/>
    <col min="11" max="11" width="15.07421875" style="80" customWidth="1"/>
    <col min="12" max="13" width="15.84375" style="80" customWidth="1"/>
    <col min="14" max="14" width="28.84375" style="80" customWidth="1"/>
    <col min="15" max="15" width="16.07421875" style="80" customWidth="1"/>
    <col min="16" max="16" width="14.69140625" style="80" customWidth="1"/>
    <col min="17" max="17" width="15.84375" style="80" customWidth="1"/>
    <col min="18" max="18" width="16.07421875" style="80" customWidth="1"/>
    <col min="19" max="19" width="8.84375" style="80"/>
    <col min="20" max="20" width="14.3046875" style="80" customWidth="1"/>
    <col min="21" max="16384" width="8.84375" style="80"/>
  </cols>
  <sheetData>
    <row r="1" spans="1:20">
      <c r="O1" s="280"/>
      <c r="R1" s="280"/>
      <c r="T1" s="280" t="str">
        <f>'Attachment H-11A '!K1&amp;""&amp;", Attachment 11"</f>
        <v>Attachment H -11A, Attachment 11</v>
      </c>
    </row>
    <row r="2" spans="1:20">
      <c r="G2" s="281"/>
      <c r="O2" s="280"/>
      <c r="R2" s="280"/>
      <c r="T2" s="280" t="s">
        <v>171</v>
      </c>
    </row>
    <row r="3" spans="1:20">
      <c r="O3" s="280"/>
      <c r="R3" s="280"/>
      <c r="T3" s="280" t="str">
        <f>'Attachment H-11A '!K4</f>
        <v>For the 12 months ended 12/31/2025</v>
      </c>
    </row>
    <row r="5" spans="1:20">
      <c r="A5" s="1158" t="s">
        <v>565</v>
      </c>
      <c r="B5" s="1158"/>
      <c r="C5" s="1158"/>
      <c r="D5" s="1158"/>
      <c r="E5" s="1158"/>
      <c r="F5" s="1158"/>
      <c r="G5" s="1158"/>
      <c r="H5" s="1158"/>
      <c r="I5" s="1158"/>
      <c r="J5" s="1158"/>
      <c r="K5" s="1158"/>
      <c r="L5" s="1158"/>
      <c r="M5" s="1158"/>
      <c r="N5" s="1158"/>
      <c r="O5" s="1158"/>
    </row>
    <row r="6" spans="1:20">
      <c r="A6" s="1159" t="s">
        <v>906</v>
      </c>
      <c r="B6" s="1159"/>
      <c r="C6" s="1159"/>
      <c r="D6" s="1159"/>
      <c r="E6" s="1159"/>
      <c r="F6" s="1159"/>
      <c r="G6" s="1159"/>
      <c r="H6" s="1159"/>
      <c r="I6" s="1159"/>
      <c r="J6" s="1159"/>
      <c r="K6" s="1159"/>
      <c r="L6" s="1159"/>
      <c r="M6" s="1159"/>
      <c r="N6" s="1159"/>
      <c r="O6" s="1159"/>
    </row>
    <row r="7" spans="1:20">
      <c r="A7" s="1159"/>
      <c r="B7" s="1159"/>
      <c r="C7" s="1159"/>
      <c r="D7" s="1159"/>
      <c r="E7" s="1159"/>
      <c r="F7" s="1159"/>
      <c r="G7" s="1159"/>
      <c r="H7" s="1159"/>
      <c r="I7" s="1159"/>
      <c r="J7" s="1159"/>
      <c r="K7" s="1159"/>
      <c r="L7" s="1159"/>
      <c r="M7" s="293"/>
    </row>
    <row r="8" spans="1:20">
      <c r="A8" s="282"/>
      <c r="C8" s="204"/>
      <c r="D8" s="204"/>
      <c r="F8" s="204"/>
      <c r="H8" s="204"/>
      <c r="I8" s="204"/>
      <c r="J8" s="204"/>
      <c r="K8" s="204"/>
      <c r="L8" s="204"/>
      <c r="M8" s="204"/>
    </row>
    <row r="9" spans="1:20">
      <c r="A9" s="282"/>
      <c r="C9" s="204"/>
      <c r="D9" s="204"/>
      <c r="E9" s="204"/>
      <c r="F9" s="204"/>
      <c r="G9" s="283"/>
      <c r="H9" s="204"/>
      <c r="I9" s="204"/>
      <c r="J9" s="204"/>
      <c r="K9" s="204"/>
      <c r="L9" s="204"/>
      <c r="M9" s="204"/>
    </row>
    <row r="10" spans="1:20">
      <c r="A10" s="282"/>
      <c r="D10" s="204"/>
      <c r="E10" s="204"/>
      <c r="F10" s="204"/>
      <c r="G10" s="283"/>
      <c r="H10" s="204"/>
      <c r="I10" s="204"/>
      <c r="J10" s="204"/>
      <c r="K10" s="204"/>
      <c r="L10" s="204"/>
      <c r="M10" s="204"/>
    </row>
    <row r="11" spans="1:20">
      <c r="A11" s="282"/>
      <c r="C11" s="204"/>
      <c r="D11" s="204"/>
      <c r="E11" s="204"/>
      <c r="F11" s="204"/>
      <c r="G11" s="283"/>
      <c r="K11" s="1161"/>
      <c r="L11" s="1161"/>
      <c r="M11" s="1161"/>
      <c r="N11" s="1161"/>
      <c r="O11" s="1161"/>
      <c r="P11" s="1161"/>
      <c r="Q11" s="1161"/>
      <c r="R11" s="1161"/>
      <c r="S11" s="1161"/>
      <c r="T11" s="1161"/>
    </row>
    <row r="12" spans="1:20">
      <c r="A12" s="282"/>
      <c r="C12" s="204"/>
      <c r="D12" s="204"/>
      <c r="E12" s="204"/>
      <c r="F12" s="204"/>
      <c r="G12" s="204"/>
      <c r="K12" s="790"/>
      <c r="L12" s="789"/>
      <c r="M12" s="789"/>
      <c r="N12" s="790"/>
      <c r="O12" s="790"/>
      <c r="P12" s="790"/>
      <c r="Q12" s="790"/>
      <c r="R12" s="790"/>
      <c r="S12" s="790"/>
      <c r="T12" s="790"/>
    </row>
    <row r="13" spans="1:20">
      <c r="C13" s="285" t="s">
        <v>18</v>
      </c>
      <c r="D13" s="285"/>
      <c r="E13" s="285" t="s">
        <v>19</v>
      </c>
      <c r="F13" s="285"/>
      <c r="G13" s="285" t="s">
        <v>20</v>
      </c>
      <c r="I13" s="286" t="s">
        <v>21</v>
      </c>
      <c r="K13" s="791"/>
      <c r="L13" s="791"/>
      <c r="M13" s="791"/>
      <c r="N13" s="790"/>
      <c r="O13" s="790"/>
      <c r="P13" s="791"/>
      <c r="Q13" s="790"/>
      <c r="R13" s="791"/>
      <c r="S13" s="790"/>
      <c r="T13" s="791"/>
    </row>
    <row r="14" spans="1:20">
      <c r="C14" s="204"/>
      <c r="D14" s="204"/>
      <c r="E14" s="287"/>
      <c r="F14" s="287"/>
      <c r="G14" s="288"/>
      <c r="K14" s="790"/>
      <c r="L14" s="790"/>
      <c r="M14" s="790"/>
      <c r="N14" s="790"/>
      <c r="O14" s="790"/>
      <c r="P14" s="790"/>
      <c r="Q14" s="790"/>
      <c r="R14" s="790"/>
      <c r="S14" s="790"/>
      <c r="T14" s="790"/>
    </row>
    <row r="15" spans="1:20">
      <c r="A15" s="282" t="s">
        <v>5</v>
      </c>
      <c r="C15" s="204"/>
      <c r="D15" s="204"/>
      <c r="E15" s="289" t="s">
        <v>170</v>
      </c>
      <c r="F15" s="289"/>
      <c r="G15" s="290" t="s">
        <v>24</v>
      </c>
      <c r="I15" s="290" t="s">
        <v>10</v>
      </c>
      <c r="K15" s="802"/>
      <c r="L15" s="792"/>
      <c r="M15" s="792"/>
      <c r="N15" s="790"/>
      <c r="O15" s="790"/>
      <c r="P15" s="792"/>
      <c r="Q15" s="790"/>
      <c r="R15" s="792"/>
      <c r="S15" s="790"/>
      <c r="T15" s="792"/>
    </row>
    <row r="16" spans="1:20">
      <c r="A16" s="282" t="s">
        <v>7</v>
      </c>
      <c r="C16" s="291"/>
      <c r="D16" s="291"/>
      <c r="E16" s="288"/>
      <c r="F16" s="288"/>
      <c r="G16" s="288"/>
      <c r="I16" s="288"/>
      <c r="K16" s="802"/>
      <c r="L16" s="790"/>
      <c r="M16" s="790"/>
      <c r="N16" s="790"/>
      <c r="O16" s="790"/>
      <c r="P16" s="790"/>
      <c r="Q16" s="790"/>
      <c r="R16" s="790"/>
      <c r="S16" s="790"/>
      <c r="T16" s="790"/>
    </row>
    <row r="17" spans="1:20">
      <c r="A17" s="292"/>
      <c r="C17" s="204"/>
      <c r="D17" s="204"/>
      <c r="E17" s="288"/>
      <c r="F17" s="288"/>
      <c r="G17" s="288"/>
      <c r="I17" s="288"/>
      <c r="K17" s="790"/>
      <c r="L17" s="790"/>
      <c r="M17" s="790"/>
      <c r="N17" s="790"/>
      <c r="O17" s="790"/>
      <c r="P17" s="790"/>
      <c r="Q17" s="790"/>
      <c r="R17" s="790"/>
      <c r="S17" s="790"/>
      <c r="T17" s="790"/>
    </row>
    <row r="18" spans="1:20">
      <c r="A18" s="293">
        <v>1</v>
      </c>
      <c r="C18" s="204" t="s">
        <v>138</v>
      </c>
      <c r="D18" s="204"/>
      <c r="E18" s="293" t="s">
        <v>904</v>
      </c>
      <c r="F18" s="293"/>
      <c r="G18" s="294">
        <f>'Attachment H-11A '!I43</f>
        <v>787552553.86763477</v>
      </c>
      <c r="K18" s="790"/>
      <c r="L18" s="790"/>
      <c r="M18" s="790"/>
      <c r="N18" s="790"/>
      <c r="O18" s="790"/>
      <c r="P18" s="790"/>
      <c r="Q18" s="790"/>
      <c r="R18" s="790"/>
      <c r="S18" s="790"/>
      <c r="T18" s="790"/>
    </row>
    <row r="19" spans="1:20">
      <c r="A19" s="293">
        <v>2</v>
      </c>
      <c r="C19" s="204" t="s">
        <v>139</v>
      </c>
      <c r="D19" s="204"/>
      <c r="E19" s="293" t="s">
        <v>905</v>
      </c>
      <c r="F19" s="293"/>
      <c r="G19" s="294">
        <f>'Attachment H-11A '!I59</f>
        <v>589630047.63355255</v>
      </c>
      <c r="K19" s="790"/>
      <c r="L19" s="790"/>
      <c r="M19" s="790"/>
      <c r="N19" s="790"/>
      <c r="O19" s="790"/>
      <c r="P19" s="790"/>
      <c r="Q19" s="790"/>
      <c r="R19" s="790"/>
      <c r="S19" s="790"/>
      <c r="T19" s="790"/>
    </row>
    <row r="20" spans="1:20">
      <c r="A20" s="293"/>
      <c r="E20" s="293"/>
      <c r="F20" s="293"/>
      <c r="K20" s="790"/>
      <c r="L20" s="790"/>
      <c r="M20" s="790"/>
      <c r="N20" s="790"/>
      <c r="O20" s="790"/>
      <c r="P20" s="790"/>
      <c r="Q20" s="790"/>
      <c r="R20" s="790"/>
      <c r="S20" s="790"/>
      <c r="T20" s="790"/>
    </row>
    <row r="21" spans="1:20">
      <c r="A21" s="293"/>
      <c r="C21" s="204" t="s">
        <v>140</v>
      </c>
      <c r="D21" s="204"/>
      <c r="E21" s="293"/>
      <c r="F21" s="293"/>
      <c r="G21" s="288"/>
      <c r="I21" s="288"/>
      <c r="K21" s="790"/>
      <c r="L21" s="790"/>
      <c r="M21" s="790"/>
      <c r="N21" s="790"/>
      <c r="O21" s="790"/>
      <c r="P21" s="790"/>
      <c r="Q21" s="790"/>
      <c r="R21" s="790"/>
      <c r="S21" s="790"/>
      <c r="T21" s="790"/>
    </row>
    <row r="22" spans="1:20">
      <c r="A22" s="293">
        <v>3</v>
      </c>
      <c r="C22" s="204" t="s">
        <v>141</v>
      </c>
      <c r="D22" s="204"/>
      <c r="E22" s="293" t="s">
        <v>1154</v>
      </c>
      <c r="F22" s="293"/>
      <c r="G22" s="294">
        <f>'Attachment H-11A '!I123</f>
        <v>14491614.932411337</v>
      </c>
      <c r="K22" s="790"/>
      <c r="L22" s="790"/>
      <c r="M22" s="790"/>
      <c r="N22" s="790"/>
      <c r="O22" s="790"/>
      <c r="P22" s="790"/>
      <c r="Q22" s="790"/>
      <c r="R22" s="790"/>
      <c r="S22" s="790"/>
      <c r="T22" s="790"/>
    </row>
    <row r="23" spans="1:20">
      <c r="A23" s="293">
        <v>4</v>
      </c>
      <c r="C23" s="204" t="s">
        <v>142</v>
      </c>
      <c r="D23" s="204"/>
      <c r="E23" s="293" t="s">
        <v>172</v>
      </c>
      <c r="F23" s="293"/>
      <c r="G23" s="295">
        <f>IF(G22=0,0,G22/G18)</f>
        <v>1.8400822727630908E-2</v>
      </c>
      <c r="I23" s="296">
        <f>G23</f>
        <v>1.8400822727630908E-2</v>
      </c>
      <c r="K23" s="790"/>
      <c r="L23" s="790"/>
      <c r="M23" s="790"/>
      <c r="N23" s="790"/>
      <c r="O23" s="790"/>
      <c r="P23" s="790"/>
      <c r="Q23" s="790"/>
      <c r="R23" s="790"/>
      <c r="S23" s="790"/>
      <c r="T23" s="790"/>
    </row>
    <row r="24" spans="1:20">
      <c r="A24" s="293"/>
      <c r="C24" s="204"/>
      <c r="D24" s="204"/>
      <c r="E24" s="293"/>
      <c r="F24" s="293"/>
      <c r="G24" s="295"/>
      <c r="I24" s="296"/>
      <c r="K24" s="790"/>
      <c r="L24" s="790"/>
      <c r="M24" s="790"/>
      <c r="N24" s="790"/>
      <c r="O24" s="790"/>
      <c r="P24" s="790"/>
      <c r="Q24" s="790"/>
      <c r="R24" s="790"/>
      <c r="S24" s="790"/>
      <c r="T24" s="790"/>
    </row>
    <row r="25" spans="1:20">
      <c r="A25" s="293"/>
      <c r="C25" s="204" t="s">
        <v>293</v>
      </c>
      <c r="D25" s="204"/>
      <c r="E25" s="293"/>
      <c r="F25" s="293"/>
      <c r="G25" s="295"/>
      <c r="I25" s="296"/>
      <c r="K25" s="790"/>
      <c r="L25" s="790"/>
      <c r="M25" s="790"/>
      <c r="N25" s="790"/>
      <c r="O25" s="790"/>
      <c r="P25" s="790"/>
      <c r="Q25" s="790"/>
      <c r="R25" s="790"/>
      <c r="S25" s="790"/>
      <c r="T25" s="790"/>
    </row>
    <row r="26" spans="1:20">
      <c r="A26" s="293">
        <v>5</v>
      </c>
      <c r="C26" s="204" t="s">
        <v>294</v>
      </c>
      <c r="D26" s="204"/>
      <c r="E26" s="293" t="s">
        <v>1155</v>
      </c>
      <c r="F26" s="293"/>
      <c r="G26" s="294">
        <f>'Attachment H-11A '!I127+'Attachment H-11A '!I129</f>
        <v>628498.18125635048</v>
      </c>
      <c r="I26" s="296"/>
      <c r="K26" s="790"/>
      <c r="L26" s="790"/>
      <c r="M26" s="790"/>
      <c r="N26" s="790"/>
      <c r="O26" s="790"/>
      <c r="P26" s="790"/>
      <c r="Q26" s="790"/>
      <c r="R26" s="790"/>
      <c r="S26" s="790"/>
      <c r="T26" s="790"/>
    </row>
    <row r="27" spans="1:20">
      <c r="A27" s="293">
        <v>6</v>
      </c>
      <c r="C27" s="204" t="s">
        <v>295</v>
      </c>
      <c r="D27" s="204"/>
      <c r="E27" s="293" t="s">
        <v>173</v>
      </c>
      <c r="F27" s="293"/>
      <c r="G27" s="295">
        <f>G26/G18</f>
        <v>7.9803967134615267E-4</v>
      </c>
      <c r="I27" s="296">
        <f>G27</f>
        <v>7.9803967134615267E-4</v>
      </c>
      <c r="K27" s="790"/>
      <c r="L27" s="790"/>
      <c r="M27" s="790"/>
      <c r="N27" s="790"/>
      <c r="O27" s="790"/>
      <c r="P27" s="790"/>
      <c r="Q27" s="790"/>
      <c r="R27" s="790"/>
      <c r="S27" s="790"/>
      <c r="T27" s="790"/>
    </row>
    <row r="28" spans="1:20">
      <c r="A28" s="293"/>
      <c r="C28" s="204"/>
      <c r="D28" s="204"/>
      <c r="E28" s="293"/>
      <c r="F28" s="293"/>
      <c r="G28" s="295"/>
      <c r="I28" s="296"/>
      <c r="K28" s="790"/>
      <c r="L28" s="790"/>
      <c r="M28" s="790"/>
      <c r="N28" s="790"/>
      <c r="O28" s="790"/>
      <c r="P28" s="790"/>
      <c r="Q28" s="790"/>
      <c r="R28" s="790"/>
      <c r="S28" s="790"/>
      <c r="T28" s="790"/>
    </row>
    <row r="29" spans="1:20">
      <c r="A29" s="286"/>
      <c r="C29" s="204" t="s">
        <v>143</v>
      </c>
      <c r="D29" s="204"/>
      <c r="E29" s="297"/>
      <c r="F29" s="297"/>
      <c r="G29" s="288"/>
      <c r="I29" s="295"/>
      <c r="K29" s="790"/>
      <c r="L29" s="790"/>
      <c r="M29" s="790"/>
      <c r="N29" s="790"/>
      <c r="O29" s="790"/>
      <c r="P29" s="790"/>
      <c r="Q29" s="790"/>
      <c r="R29" s="790"/>
      <c r="S29" s="790"/>
      <c r="T29" s="790"/>
    </row>
    <row r="30" spans="1:20">
      <c r="A30" s="286" t="s">
        <v>147</v>
      </c>
      <c r="C30" s="204" t="s">
        <v>145</v>
      </c>
      <c r="D30" s="204"/>
      <c r="E30" s="293" t="s">
        <v>1156</v>
      </c>
      <c r="F30" s="293"/>
      <c r="G30" s="294">
        <f>'Attachment H-11A '!I141</f>
        <v>3123031.7983470224</v>
      </c>
      <c r="I30" s="295"/>
      <c r="K30" s="790"/>
      <c r="L30" s="790"/>
      <c r="M30" s="790"/>
      <c r="N30" s="790"/>
      <c r="O30" s="790"/>
      <c r="P30" s="790"/>
      <c r="Q30" s="790"/>
      <c r="R30" s="790"/>
      <c r="S30" s="790"/>
      <c r="T30" s="790"/>
    </row>
    <row r="31" spans="1:20">
      <c r="A31" s="286" t="s">
        <v>150</v>
      </c>
      <c r="C31" s="204" t="s">
        <v>146</v>
      </c>
      <c r="D31" s="204"/>
      <c r="E31" s="293" t="s">
        <v>296</v>
      </c>
      <c r="F31" s="293"/>
      <c r="G31" s="295">
        <f>IF(G30=0,0,G30/G18)</f>
        <v>3.9654900273130411E-3</v>
      </c>
      <c r="I31" s="296">
        <f>G31</f>
        <v>3.9654900273130411E-3</v>
      </c>
      <c r="K31" s="790"/>
      <c r="L31" s="790"/>
      <c r="M31" s="790"/>
      <c r="N31" s="790"/>
      <c r="O31" s="790"/>
      <c r="P31" s="790"/>
      <c r="Q31" s="790"/>
      <c r="R31" s="790"/>
      <c r="S31" s="790"/>
      <c r="T31" s="790"/>
    </row>
    <row r="32" spans="1:20">
      <c r="A32" s="286"/>
      <c r="C32" s="204"/>
      <c r="D32" s="204"/>
      <c r="E32" s="293"/>
      <c r="F32" s="293"/>
      <c r="G32" s="295"/>
      <c r="I32" s="296"/>
      <c r="K32" s="790"/>
      <c r="L32" s="790"/>
      <c r="M32" s="790"/>
      <c r="N32" s="790"/>
      <c r="O32" s="790"/>
      <c r="P32" s="790"/>
      <c r="Q32" s="790"/>
      <c r="R32" s="790"/>
      <c r="S32" s="790"/>
      <c r="T32" s="790"/>
    </row>
    <row r="33" spans="1:20">
      <c r="A33" s="298" t="s">
        <v>151</v>
      </c>
      <c r="B33" s="281"/>
      <c r="C33" s="291" t="s">
        <v>148</v>
      </c>
      <c r="D33" s="291"/>
      <c r="E33" s="287" t="s">
        <v>441</v>
      </c>
      <c r="F33" s="287"/>
      <c r="G33" s="299"/>
      <c r="I33" s="300">
        <f>I23+I27+I31</f>
        <v>2.31643524262901E-2</v>
      </c>
      <c r="K33" s="790"/>
      <c r="L33" s="790"/>
      <c r="M33" s="790"/>
      <c r="N33" s="790"/>
      <c r="O33" s="790"/>
      <c r="P33" s="790"/>
      <c r="Q33" s="790"/>
      <c r="R33" s="790"/>
      <c r="S33" s="790"/>
      <c r="T33" s="790"/>
    </row>
    <row r="34" spans="1:20">
      <c r="A34" s="286"/>
      <c r="C34" s="204"/>
      <c r="D34" s="204"/>
      <c r="E34" s="293"/>
      <c r="F34" s="293"/>
      <c r="G34" s="288"/>
      <c r="I34" s="295"/>
      <c r="K34" s="790"/>
      <c r="L34" s="790"/>
      <c r="M34" s="790"/>
      <c r="N34" s="790"/>
      <c r="O34" s="790"/>
      <c r="P34" s="790"/>
      <c r="Q34" s="790"/>
      <c r="R34" s="790"/>
      <c r="S34" s="790"/>
      <c r="T34" s="790"/>
    </row>
    <row r="35" spans="1:20">
      <c r="A35" s="286"/>
      <c r="C35" s="288" t="s">
        <v>149</v>
      </c>
      <c r="D35" s="288"/>
      <c r="E35" s="293"/>
      <c r="F35" s="293"/>
      <c r="G35" s="288"/>
      <c r="I35" s="295"/>
      <c r="K35" s="791"/>
      <c r="L35" s="789"/>
      <c r="M35" s="789"/>
      <c r="N35" s="789"/>
      <c r="O35" s="789"/>
      <c r="P35" s="793"/>
      <c r="Q35" s="793"/>
      <c r="R35" s="789"/>
      <c r="S35" s="790"/>
      <c r="T35" s="795"/>
    </row>
    <row r="36" spans="1:20">
      <c r="A36" s="286" t="s">
        <v>153</v>
      </c>
      <c r="C36" s="288" t="s">
        <v>64</v>
      </c>
      <c r="D36" s="288"/>
      <c r="E36" s="293" t="s">
        <v>1157</v>
      </c>
      <c r="F36" s="293"/>
      <c r="G36" s="294">
        <f>'Attachment H-11A '!I156</f>
        <v>9491510.3043390866</v>
      </c>
      <c r="I36" s="295"/>
      <c r="K36" s="791"/>
      <c r="L36" s="789"/>
      <c r="M36" s="789"/>
      <c r="N36" s="789"/>
      <c r="O36" s="789"/>
      <c r="P36" s="793"/>
      <c r="Q36" s="793"/>
      <c r="R36" s="794"/>
      <c r="S36" s="790"/>
      <c r="T36" s="795"/>
    </row>
    <row r="37" spans="1:20">
      <c r="A37" s="286" t="s">
        <v>155</v>
      </c>
      <c r="C37" s="288" t="s">
        <v>152</v>
      </c>
      <c r="D37" s="288"/>
      <c r="E37" s="293" t="s">
        <v>526</v>
      </c>
      <c r="F37" s="293"/>
      <c r="G37" s="295">
        <f>IF(G36=0,0,G36/G19)</f>
        <v>1.6097399280163446E-2</v>
      </c>
      <c r="I37" s="296">
        <f>G37</f>
        <v>1.6097399280163446E-2</v>
      </c>
      <c r="K37" s="791"/>
      <c r="L37" s="789"/>
      <c r="M37" s="789"/>
      <c r="N37" s="789"/>
      <c r="O37" s="789"/>
      <c r="P37" s="793"/>
      <c r="Q37" s="793"/>
      <c r="R37" s="795"/>
      <c r="S37" s="790"/>
      <c r="T37" s="798"/>
    </row>
    <row r="38" spans="1:20">
      <c r="A38" s="286"/>
      <c r="C38" s="288"/>
      <c r="D38" s="288"/>
      <c r="E38" s="293"/>
      <c r="F38" s="293"/>
      <c r="G38" s="288"/>
      <c r="I38" s="295"/>
      <c r="K38" s="791"/>
      <c r="L38" s="789"/>
      <c r="M38" s="789"/>
      <c r="N38" s="789"/>
      <c r="O38" s="789"/>
      <c r="P38" s="793"/>
      <c r="Q38" s="793"/>
      <c r="R38" s="789"/>
      <c r="S38" s="790"/>
      <c r="T38" s="795"/>
    </row>
    <row r="39" spans="1:20">
      <c r="A39" s="286"/>
      <c r="C39" s="204" t="s">
        <v>65</v>
      </c>
      <c r="D39" s="204"/>
      <c r="E39" s="301"/>
      <c r="F39" s="301"/>
      <c r="I39" s="295"/>
      <c r="K39" s="791"/>
      <c r="L39" s="796"/>
      <c r="M39" s="796"/>
      <c r="N39" s="796"/>
      <c r="O39" s="796"/>
      <c r="P39" s="797"/>
      <c r="Q39" s="797"/>
      <c r="R39" s="790"/>
      <c r="S39" s="790"/>
      <c r="T39" s="795"/>
    </row>
    <row r="40" spans="1:20">
      <c r="A40" s="286" t="s">
        <v>157</v>
      </c>
      <c r="C40" s="204" t="s">
        <v>154</v>
      </c>
      <c r="D40" s="204"/>
      <c r="E40" s="293" t="s">
        <v>1158</v>
      </c>
      <c r="F40" s="293"/>
      <c r="G40" s="294">
        <f>'Attachment H-11A '!I158</f>
        <v>37962697.019697689</v>
      </c>
      <c r="I40" s="295"/>
      <c r="K40" s="791"/>
      <c r="L40" s="796"/>
      <c r="M40" s="796"/>
      <c r="N40" s="796"/>
      <c r="O40" s="796"/>
      <c r="P40" s="793"/>
      <c r="Q40" s="793"/>
      <c r="R40" s="794"/>
      <c r="S40" s="790"/>
      <c r="T40" s="795"/>
    </row>
    <row r="41" spans="1:20">
      <c r="A41" s="286" t="s">
        <v>193</v>
      </c>
      <c r="C41" s="288" t="s">
        <v>156</v>
      </c>
      <c r="D41" s="288"/>
      <c r="E41" s="293" t="s">
        <v>349</v>
      </c>
      <c r="F41" s="293"/>
      <c r="G41" s="296">
        <f>IF(G40=0,0,G40/G19)</f>
        <v>6.4383925432665565E-2</v>
      </c>
      <c r="I41" s="296">
        <f>G41</f>
        <v>6.4383925432665565E-2</v>
      </c>
      <c r="K41" s="791"/>
      <c r="L41" s="789"/>
      <c r="M41" s="789"/>
      <c r="N41" s="789"/>
      <c r="O41" s="789"/>
      <c r="P41" s="793"/>
      <c r="Q41" s="793"/>
      <c r="R41" s="798"/>
      <c r="S41" s="790"/>
      <c r="T41" s="798"/>
    </row>
    <row r="42" spans="1:20">
      <c r="A42" s="286"/>
      <c r="C42" s="204"/>
      <c r="D42" s="204"/>
      <c r="E42" s="293"/>
      <c r="F42" s="293"/>
      <c r="G42" s="288"/>
      <c r="I42" s="295"/>
      <c r="K42" s="791"/>
      <c r="L42" s="796"/>
      <c r="M42" s="796"/>
      <c r="N42" s="796"/>
      <c r="O42" s="796"/>
      <c r="P42" s="793"/>
      <c r="Q42" s="793"/>
      <c r="R42" s="789"/>
      <c r="S42" s="790"/>
      <c r="T42" s="795"/>
    </row>
    <row r="43" spans="1:20">
      <c r="A43" s="298" t="s">
        <v>194</v>
      </c>
      <c r="B43" s="281"/>
      <c r="C43" s="291" t="s">
        <v>158</v>
      </c>
      <c r="D43" s="291"/>
      <c r="E43" s="287" t="s">
        <v>442</v>
      </c>
      <c r="F43" s="287"/>
      <c r="G43" s="299"/>
      <c r="I43" s="300">
        <f>I37+I41</f>
        <v>8.0481324712829011E-2</v>
      </c>
      <c r="K43" s="803"/>
      <c r="L43" s="799"/>
      <c r="M43" s="799"/>
      <c r="N43" s="799"/>
      <c r="O43" s="799"/>
      <c r="P43" s="800"/>
      <c r="Q43" s="800"/>
      <c r="R43" s="801"/>
      <c r="S43" s="790"/>
      <c r="T43" s="804"/>
    </row>
    <row r="44" spans="1:20">
      <c r="K44" s="790"/>
      <c r="L44" s="790"/>
      <c r="M44" s="790"/>
      <c r="N44" s="790"/>
      <c r="O44" s="790"/>
      <c r="P44" s="790"/>
      <c r="Q44" s="790"/>
      <c r="R44" s="790"/>
      <c r="S44" s="790"/>
      <c r="T44" s="790"/>
    </row>
    <row r="45" spans="1:20">
      <c r="K45" s="803"/>
      <c r="L45" s="805"/>
      <c r="M45" s="805"/>
      <c r="N45" s="790"/>
      <c r="O45" s="790"/>
      <c r="P45" s="800"/>
      <c r="Q45" s="800"/>
      <c r="R45" s="805"/>
      <c r="S45" s="805"/>
      <c r="T45" s="806"/>
    </row>
    <row r="46" spans="1:20">
      <c r="A46" s="282"/>
      <c r="G46" s="288"/>
    </row>
    <row r="47" spans="1:20">
      <c r="O47" s="303"/>
      <c r="R47" s="303"/>
      <c r="T47" s="303" t="str">
        <f>T1</f>
        <v>Attachment H -11A, Attachment 11</v>
      </c>
    </row>
    <row r="48" spans="1:20">
      <c r="O48" s="303"/>
      <c r="R48" s="303"/>
      <c r="T48" s="303" t="s">
        <v>174</v>
      </c>
    </row>
    <row r="49" spans="1:20">
      <c r="O49" s="303"/>
      <c r="R49" s="303"/>
      <c r="T49" s="303" t="str">
        <f>'Attachment H-11A '!K4</f>
        <v>For the 12 months ended 12/31/2025</v>
      </c>
    </row>
    <row r="50" spans="1:20">
      <c r="A50" s="282"/>
      <c r="G50" s="288"/>
    </row>
    <row r="51" spans="1:20">
      <c r="A51" s="282"/>
      <c r="C51" s="204"/>
      <c r="D51" s="204"/>
    </row>
    <row r="52" spans="1:20">
      <c r="A52" s="282"/>
      <c r="C52" s="204"/>
      <c r="D52" s="204"/>
      <c r="L52" s="288"/>
      <c r="M52" s="288"/>
    </row>
    <row r="53" spans="1:20" ht="14.25" customHeight="1">
      <c r="A53" s="282"/>
    </row>
    <row r="54" spans="1:20">
      <c r="A54" s="1156" t="str">
        <f>A5</f>
        <v>Transmission Enhancement Charge (TEC) Worksheet</v>
      </c>
      <c r="B54" s="1156"/>
      <c r="C54" s="1156"/>
      <c r="D54" s="1156"/>
      <c r="E54" s="1156"/>
      <c r="F54" s="1156"/>
      <c r="G54" s="1156"/>
      <c r="H54" s="1156"/>
      <c r="I54" s="1156"/>
      <c r="J54" s="1156"/>
      <c r="K54" s="1156"/>
      <c r="L54" s="1156"/>
      <c r="M54" s="1156"/>
      <c r="N54" s="1156"/>
      <c r="O54" s="1156"/>
    </row>
    <row r="55" spans="1:20">
      <c r="A55" s="1157" t="str">
        <f>A6</f>
        <v>To be completed in conjunction with Attachment H-11A</v>
      </c>
      <c r="B55" s="1157"/>
      <c r="C55" s="1157"/>
      <c r="D55" s="1157"/>
      <c r="E55" s="1157"/>
      <c r="F55" s="1157"/>
      <c r="G55" s="1157"/>
      <c r="H55" s="1157"/>
      <c r="I55" s="1157"/>
      <c r="J55" s="1157"/>
      <c r="K55" s="1157"/>
      <c r="L55" s="1157"/>
      <c r="M55" s="1157"/>
      <c r="N55" s="1157"/>
      <c r="O55" s="1157"/>
    </row>
    <row r="56" spans="1:20">
      <c r="A56" s="282"/>
      <c r="E56" s="291"/>
      <c r="H56" s="204"/>
      <c r="I56" s="204"/>
      <c r="J56" s="204"/>
      <c r="K56" s="204"/>
      <c r="L56" s="204"/>
      <c r="M56" s="204"/>
    </row>
    <row r="57" spans="1:20">
      <c r="A57" s="282"/>
      <c r="E57" s="291"/>
      <c r="F57" s="291"/>
      <c r="H57" s="204"/>
      <c r="I57" s="204"/>
      <c r="J57" s="204"/>
      <c r="K57" s="204"/>
      <c r="L57" s="204"/>
      <c r="M57" s="204"/>
    </row>
    <row r="58" spans="1:20">
      <c r="A58" s="282"/>
      <c r="C58" s="304">
        <v>-1</v>
      </c>
      <c r="D58" s="304">
        <v>-2</v>
      </c>
      <c r="E58" s="304">
        <v>-3</v>
      </c>
      <c r="F58" s="304">
        <v>-4</v>
      </c>
      <c r="G58" s="304">
        <v>-5</v>
      </c>
      <c r="H58" s="304">
        <v>-6</v>
      </c>
      <c r="I58" s="304">
        <v>-7</v>
      </c>
      <c r="J58" s="304">
        <v>-8</v>
      </c>
      <c r="K58" s="304">
        <v>-9</v>
      </c>
      <c r="L58" s="304">
        <v>-10</v>
      </c>
      <c r="M58" s="304">
        <v>-11</v>
      </c>
      <c r="N58" s="304">
        <v>-12</v>
      </c>
      <c r="O58" s="304">
        <v>-13</v>
      </c>
      <c r="P58" s="304">
        <v>-14</v>
      </c>
      <c r="Q58" s="304">
        <v>-15</v>
      </c>
      <c r="R58" s="304"/>
    </row>
    <row r="59" spans="1:20" ht="68.150000000000006" customHeight="1">
      <c r="A59" s="305" t="s">
        <v>159</v>
      </c>
      <c r="B59" s="306"/>
      <c r="C59" s="307" t="s">
        <v>160</v>
      </c>
      <c r="D59" s="308" t="s">
        <v>175</v>
      </c>
      <c r="E59" s="309" t="s">
        <v>255</v>
      </c>
      <c r="F59" s="309" t="s">
        <v>148</v>
      </c>
      <c r="G59" s="310" t="s">
        <v>161</v>
      </c>
      <c r="H59" s="309" t="s">
        <v>162</v>
      </c>
      <c r="I59" s="309" t="s">
        <v>158</v>
      </c>
      <c r="J59" s="310" t="s">
        <v>163</v>
      </c>
      <c r="K59" s="309" t="s">
        <v>164</v>
      </c>
      <c r="L59" s="311" t="s">
        <v>297</v>
      </c>
      <c r="M59" s="311" t="s">
        <v>774</v>
      </c>
      <c r="N59" s="311" t="s">
        <v>451</v>
      </c>
      <c r="O59" s="311" t="s">
        <v>423</v>
      </c>
      <c r="P59" s="311" t="s">
        <v>233</v>
      </c>
      <c r="Q59" s="311" t="s">
        <v>424</v>
      </c>
    </row>
    <row r="60" spans="1:20" ht="75" customHeight="1">
      <c r="A60" s="690">
        <v>1</v>
      </c>
      <c r="B60" s="313"/>
      <c r="C60" s="313"/>
      <c r="D60" s="313"/>
      <c r="E60" s="314" t="s">
        <v>449</v>
      </c>
      <c r="F60" s="314" t="s">
        <v>447</v>
      </c>
      <c r="G60" s="315" t="s">
        <v>165</v>
      </c>
      <c r="H60" s="314" t="s">
        <v>450</v>
      </c>
      <c r="I60" s="336" t="s">
        <v>448</v>
      </c>
      <c r="J60" s="315" t="s">
        <v>166</v>
      </c>
      <c r="K60" s="314" t="s">
        <v>131</v>
      </c>
      <c r="L60" s="316" t="s">
        <v>298</v>
      </c>
      <c r="M60" s="316" t="s">
        <v>539</v>
      </c>
      <c r="N60" s="879" t="s">
        <v>907</v>
      </c>
      <c r="O60" s="316" t="s">
        <v>772</v>
      </c>
      <c r="P60" s="316" t="s">
        <v>309</v>
      </c>
      <c r="Q60" s="316" t="s">
        <v>773</v>
      </c>
    </row>
    <row r="61" spans="1:20">
      <c r="A61" s="317"/>
      <c r="B61" s="204"/>
      <c r="C61" s="285"/>
      <c r="D61" s="204"/>
      <c r="E61" s="204"/>
      <c r="F61" s="204"/>
      <c r="G61" s="318"/>
      <c r="H61" s="204"/>
      <c r="I61" s="204"/>
      <c r="J61" s="318"/>
      <c r="K61" s="204"/>
      <c r="L61" s="318"/>
      <c r="M61" s="318"/>
      <c r="N61" s="318"/>
      <c r="O61" s="318"/>
      <c r="P61" s="318"/>
      <c r="Q61" s="318"/>
    </row>
    <row r="62" spans="1:20" ht="62">
      <c r="A62" s="395" t="s">
        <v>464</v>
      </c>
      <c r="B62" s="297"/>
      <c r="C62" s="398" t="s">
        <v>1384</v>
      </c>
      <c r="D62" s="396" t="s">
        <v>1320</v>
      </c>
      <c r="E62" s="294">
        <f>'Attach 11a - TEC Cost Support'!E10</f>
        <v>2787621.2899999996</v>
      </c>
      <c r="F62" s="296">
        <f>$I$33</f>
        <v>2.31643524262901E-2</v>
      </c>
      <c r="G62" s="319">
        <f>E62*F62</f>
        <v>64573.441992589425</v>
      </c>
      <c r="H62" s="294">
        <f>'Attach 11a - TEC Cost Support'!AI10</f>
        <v>2423218.5478969989</v>
      </c>
      <c r="I62" s="296">
        <f>$I$43</f>
        <v>8.0481324712829011E-2</v>
      </c>
      <c r="J62" s="319">
        <f>H62*I62</f>
        <v>195023.83880344837</v>
      </c>
      <c r="K62" s="320">
        <v>67449.877855999992</v>
      </c>
      <c r="L62" s="321">
        <f t="shared" ref="L62" si="0">G62+J62+K62</f>
        <v>327047.15865203779</v>
      </c>
      <c r="M62" s="809"/>
      <c r="N62" s="808">
        <f>H62*'Attachment H-11A '!$I$234*(M62/100)</f>
        <v>0</v>
      </c>
      <c r="O62" s="321">
        <f t="shared" ref="O62" si="1">L62+N62</f>
        <v>327047.15865203779</v>
      </c>
      <c r="P62" s="322">
        <f>-'Attachment 12 - TEC True-up'!L17</f>
        <v>53287.530575390832</v>
      </c>
      <c r="Q62" s="321">
        <f t="shared" ref="Q62" si="2">O62+P62</f>
        <v>380334.68922742864</v>
      </c>
    </row>
    <row r="63" spans="1:20">
      <c r="A63" s="284"/>
      <c r="C63" s="189"/>
      <c r="D63" s="189"/>
      <c r="E63" s="294"/>
      <c r="F63" s="189"/>
      <c r="G63" s="323"/>
      <c r="H63" s="189"/>
      <c r="I63" s="189"/>
      <c r="J63" s="323"/>
      <c r="K63" s="189"/>
      <c r="L63" s="323"/>
      <c r="M63" s="807"/>
      <c r="N63" s="808"/>
      <c r="O63" s="323"/>
      <c r="P63" s="1081"/>
      <c r="Q63" s="323"/>
    </row>
    <row r="64" spans="1:20">
      <c r="A64" s="284"/>
      <c r="C64" s="189"/>
      <c r="D64" s="189"/>
      <c r="E64" s="189"/>
      <c r="F64" s="189"/>
      <c r="G64" s="323"/>
      <c r="H64" s="189"/>
      <c r="I64" s="189"/>
      <c r="J64" s="323"/>
      <c r="K64" s="189"/>
      <c r="L64" s="323"/>
      <c r="M64" s="323"/>
      <c r="N64" s="323"/>
      <c r="O64" s="323"/>
      <c r="P64" s="323"/>
      <c r="Q64" s="323"/>
    </row>
    <row r="65" spans="1:17">
      <c r="A65" s="284"/>
      <c r="C65" s="189"/>
      <c r="D65" s="189"/>
      <c r="E65" s="189"/>
      <c r="F65" s="189"/>
      <c r="G65" s="323"/>
      <c r="H65" s="189"/>
      <c r="I65" s="189"/>
      <c r="J65" s="323"/>
      <c r="K65" s="189"/>
      <c r="L65" s="323"/>
      <c r="M65" s="323"/>
      <c r="N65" s="323"/>
      <c r="O65" s="323"/>
      <c r="P65" s="323"/>
      <c r="Q65" s="323"/>
    </row>
    <row r="66" spans="1:17">
      <c r="A66" s="284"/>
      <c r="C66" s="189"/>
      <c r="D66" s="189"/>
      <c r="E66" s="189"/>
      <c r="F66" s="189"/>
      <c r="G66" s="323"/>
      <c r="H66" s="189"/>
      <c r="I66" s="189"/>
      <c r="J66" s="323"/>
      <c r="K66" s="189"/>
      <c r="L66" s="323"/>
      <c r="M66" s="323"/>
      <c r="N66" s="323"/>
      <c r="O66" s="323"/>
      <c r="P66" s="323"/>
      <c r="Q66" s="323"/>
    </row>
    <row r="67" spans="1:17">
      <c r="A67" s="284"/>
      <c r="C67" s="189"/>
      <c r="D67" s="189"/>
      <c r="E67" s="189"/>
      <c r="F67" s="189"/>
      <c r="G67" s="323"/>
      <c r="H67" s="189"/>
      <c r="I67" s="189"/>
      <c r="J67" s="323"/>
      <c r="K67" s="189"/>
      <c r="L67" s="323"/>
      <c r="M67" s="323"/>
      <c r="N67" s="323"/>
      <c r="O67" s="323"/>
      <c r="P67" s="323"/>
      <c r="Q67" s="323"/>
    </row>
    <row r="68" spans="1:17">
      <c r="A68" s="284"/>
      <c r="C68" s="189"/>
      <c r="D68" s="189"/>
      <c r="E68" s="189"/>
      <c r="F68" s="189"/>
      <c r="G68" s="323"/>
      <c r="H68" s="189"/>
      <c r="I68" s="189"/>
      <c r="J68" s="323"/>
      <c r="K68" s="189"/>
      <c r="L68" s="323"/>
      <c r="M68" s="323"/>
      <c r="N68" s="323"/>
      <c r="O68" s="323"/>
      <c r="P68" s="323"/>
      <c r="Q68" s="323"/>
    </row>
    <row r="69" spans="1:17">
      <c r="A69" s="284"/>
      <c r="C69" s="189"/>
      <c r="D69" s="189"/>
      <c r="E69" s="189"/>
      <c r="F69" s="189"/>
      <c r="G69" s="323"/>
      <c r="H69" s="189"/>
      <c r="I69" s="189"/>
      <c r="J69" s="323"/>
      <c r="K69" s="189"/>
      <c r="L69" s="323"/>
      <c r="M69" s="323"/>
      <c r="N69" s="323"/>
      <c r="O69" s="323"/>
      <c r="P69" s="323"/>
      <c r="Q69" s="323"/>
    </row>
    <row r="70" spans="1:17">
      <c r="A70" s="284"/>
      <c r="C70" s="189"/>
      <c r="D70" s="189"/>
      <c r="E70" s="189"/>
      <c r="F70" s="189"/>
      <c r="G70" s="323"/>
      <c r="H70" s="189"/>
      <c r="I70" s="189"/>
      <c r="J70" s="323"/>
      <c r="K70" s="189"/>
      <c r="L70" s="323"/>
      <c r="M70" s="323"/>
      <c r="N70" s="323"/>
      <c r="O70" s="323"/>
      <c r="P70" s="323"/>
      <c r="Q70" s="323"/>
    </row>
    <row r="71" spans="1:17">
      <c r="A71" s="284"/>
      <c r="C71" s="189"/>
      <c r="D71" s="189"/>
      <c r="E71" s="189"/>
      <c r="F71" s="189"/>
      <c r="G71" s="323"/>
      <c r="H71" s="189"/>
      <c r="I71" s="189"/>
      <c r="J71" s="323"/>
      <c r="K71" s="189"/>
      <c r="L71" s="323"/>
      <c r="M71" s="323"/>
      <c r="N71" s="323"/>
      <c r="O71" s="323"/>
      <c r="P71" s="323"/>
      <c r="Q71" s="323"/>
    </row>
    <row r="72" spans="1:17">
      <c r="A72" s="284"/>
      <c r="C72" s="189"/>
      <c r="D72" s="189"/>
      <c r="E72" s="189"/>
      <c r="F72" s="189"/>
      <c r="G72" s="323"/>
      <c r="H72" s="189"/>
      <c r="I72" s="189"/>
      <c r="J72" s="323"/>
      <c r="K72" s="189"/>
      <c r="L72" s="323"/>
      <c r="M72" s="323"/>
      <c r="N72" s="323"/>
      <c r="O72" s="323"/>
      <c r="P72" s="323"/>
      <c r="Q72" s="323"/>
    </row>
    <row r="73" spans="1:17">
      <c r="A73" s="284"/>
      <c r="C73" s="189"/>
      <c r="D73" s="189"/>
      <c r="E73" s="189"/>
      <c r="F73" s="189"/>
      <c r="G73" s="323"/>
      <c r="H73" s="189"/>
      <c r="I73" s="189"/>
      <c r="J73" s="323"/>
      <c r="K73" s="189"/>
      <c r="L73" s="323"/>
      <c r="M73" s="323"/>
      <c r="N73" s="323"/>
      <c r="O73" s="323"/>
      <c r="P73" s="323"/>
      <c r="Q73" s="323"/>
    </row>
    <row r="74" spans="1:17">
      <c r="A74" s="284"/>
      <c r="C74" s="189"/>
      <c r="D74" s="189"/>
      <c r="E74" s="189"/>
      <c r="F74" s="189"/>
      <c r="G74" s="323"/>
      <c r="H74" s="189"/>
      <c r="I74" s="189"/>
      <c r="J74" s="323"/>
      <c r="K74" s="189"/>
      <c r="L74" s="323"/>
      <c r="M74" s="323"/>
      <c r="N74" s="323"/>
      <c r="O74" s="323"/>
      <c r="P74" s="323"/>
      <c r="Q74" s="323"/>
    </row>
    <row r="75" spans="1:17">
      <c r="A75" s="284"/>
      <c r="C75" s="189"/>
      <c r="D75" s="189"/>
      <c r="E75" s="189"/>
      <c r="F75" s="189"/>
      <c r="G75" s="323"/>
      <c r="H75" s="189"/>
      <c r="I75" s="189"/>
      <c r="J75" s="323"/>
      <c r="K75" s="189"/>
      <c r="L75" s="323"/>
      <c r="M75" s="323"/>
      <c r="N75" s="323"/>
      <c r="O75" s="323"/>
      <c r="P75" s="323"/>
      <c r="Q75" s="323"/>
    </row>
    <row r="76" spans="1:17">
      <c r="A76" s="324"/>
      <c r="B76" s="302"/>
      <c r="C76" s="325"/>
      <c r="D76" s="325"/>
      <c r="E76" s="325"/>
      <c r="F76" s="325"/>
      <c r="G76" s="326"/>
      <c r="H76" s="325"/>
      <c r="I76" s="325"/>
      <c r="J76" s="326"/>
      <c r="K76" s="325"/>
      <c r="L76" s="326"/>
      <c r="M76" s="326"/>
      <c r="N76" s="326"/>
      <c r="O76" s="326"/>
      <c r="P76" s="326"/>
      <c r="Q76" s="326"/>
    </row>
    <row r="77" spans="1:17">
      <c r="A77" s="286" t="s">
        <v>191</v>
      </c>
      <c r="C77" s="80" t="s">
        <v>1150</v>
      </c>
      <c r="D77" s="204"/>
      <c r="E77" s="297"/>
      <c r="F77" s="297"/>
      <c r="G77" s="288"/>
      <c r="H77" s="288"/>
      <c r="I77" s="288"/>
      <c r="J77" s="288"/>
      <c r="K77" s="288"/>
      <c r="L77" s="327"/>
      <c r="M77" s="327"/>
      <c r="N77" s="327"/>
      <c r="O77" s="669">
        <f>SUM(O62:O76)</f>
        <v>327047.15865203779</v>
      </c>
      <c r="P77" s="294"/>
      <c r="Q77" s="327"/>
    </row>
    <row r="78" spans="1:17">
      <c r="A78" s="328" t="s">
        <v>192</v>
      </c>
      <c r="B78" s="189"/>
      <c r="C78" s="80" t="s">
        <v>1151</v>
      </c>
      <c r="D78" s="189"/>
      <c r="E78" s="189"/>
      <c r="F78" s="189"/>
      <c r="G78" s="189"/>
      <c r="H78" s="189"/>
      <c r="I78" s="189"/>
      <c r="J78" s="189"/>
      <c r="K78" s="189"/>
      <c r="L78" s="189"/>
      <c r="M78" s="189"/>
      <c r="N78" s="80">
        <f>SUM(N62:N76)</f>
        <v>0</v>
      </c>
      <c r="O78" s="189"/>
      <c r="P78" s="189"/>
    </row>
    <row r="79" spans="1:17">
      <c r="A79" s="189"/>
      <c r="B79" s="189"/>
      <c r="C79" s="189"/>
      <c r="D79" s="189"/>
      <c r="E79" s="189"/>
      <c r="F79" s="189"/>
      <c r="G79" s="189"/>
      <c r="H79" s="189"/>
      <c r="I79" s="189"/>
      <c r="J79" s="189"/>
      <c r="K79" s="189"/>
      <c r="L79" s="189"/>
      <c r="M79" s="189"/>
      <c r="N79" s="189"/>
      <c r="O79" s="189"/>
      <c r="P79" s="189"/>
    </row>
    <row r="80" spans="1:17">
      <c r="A80" s="329" t="s">
        <v>176</v>
      </c>
      <c r="B80" s="189"/>
      <c r="C80" s="189"/>
      <c r="D80" s="189"/>
      <c r="E80" s="189"/>
      <c r="F80" s="189"/>
      <c r="G80" s="189"/>
      <c r="H80" s="189"/>
      <c r="I80" s="189"/>
      <c r="J80" s="189"/>
      <c r="K80" s="189"/>
      <c r="L80" s="189"/>
      <c r="M80" s="189"/>
    </row>
    <row r="81" spans="1:13">
      <c r="A81" s="297" t="s">
        <v>101</v>
      </c>
      <c r="C81" s="1155" t="s">
        <v>908</v>
      </c>
      <c r="D81" s="1155"/>
      <c r="E81" s="1155"/>
      <c r="F81" s="1155"/>
      <c r="G81" s="1155"/>
      <c r="H81" s="1155"/>
      <c r="I81" s="1155"/>
      <c r="J81" s="1155"/>
      <c r="K81" s="1155"/>
      <c r="L81" s="1155"/>
      <c r="M81" s="758"/>
    </row>
    <row r="82" spans="1:13">
      <c r="A82" s="297" t="s">
        <v>102</v>
      </c>
      <c r="C82" s="1155" t="s">
        <v>909</v>
      </c>
      <c r="D82" s="1155"/>
      <c r="E82" s="1155"/>
      <c r="F82" s="1155"/>
      <c r="G82" s="1155"/>
      <c r="H82" s="1155"/>
      <c r="I82" s="1155"/>
      <c r="J82" s="1155"/>
      <c r="K82" s="1155"/>
      <c r="L82" s="1155"/>
      <c r="M82" s="758"/>
    </row>
    <row r="83" spans="1:13" ht="15" customHeight="1">
      <c r="A83" s="330" t="s">
        <v>103</v>
      </c>
      <c r="C83" s="1160" t="s">
        <v>178</v>
      </c>
      <c r="D83" s="1160"/>
      <c r="E83" s="1160"/>
      <c r="F83" s="1160"/>
      <c r="G83" s="1160"/>
      <c r="H83" s="1160"/>
      <c r="I83" s="1160"/>
      <c r="J83" s="1160"/>
      <c r="K83" s="1160"/>
      <c r="L83" s="1160"/>
      <c r="M83" s="759"/>
    </row>
    <row r="84" spans="1:13">
      <c r="A84" s="330" t="s">
        <v>104</v>
      </c>
      <c r="C84" s="1160" t="s">
        <v>167</v>
      </c>
      <c r="D84" s="1160"/>
      <c r="E84" s="1160"/>
      <c r="F84" s="1160"/>
      <c r="G84" s="1160"/>
      <c r="H84" s="1160"/>
      <c r="I84" s="1160"/>
      <c r="J84" s="1160"/>
      <c r="K84" s="1160"/>
      <c r="L84" s="1160"/>
      <c r="M84" s="759"/>
    </row>
    <row r="85" spans="1:13">
      <c r="A85" s="297" t="s">
        <v>105</v>
      </c>
      <c r="C85" s="1155" t="s">
        <v>1152</v>
      </c>
      <c r="D85" s="1155"/>
      <c r="E85" s="1155"/>
      <c r="F85" s="1155"/>
      <c r="G85" s="1155"/>
      <c r="H85" s="1155"/>
      <c r="I85" s="1155"/>
      <c r="J85" s="1155"/>
      <c r="K85" s="1155"/>
      <c r="L85" s="1155"/>
      <c r="M85" s="758"/>
    </row>
    <row r="86" spans="1:13">
      <c r="A86" s="297" t="s">
        <v>106</v>
      </c>
      <c r="C86" s="80" t="s">
        <v>918</v>
      </c>
    </row>
    <row r="87" spans="1:13">
      <c r="A87" s="297" t="s">
        <v>107</v>
      </c>
      <c r="C87" s="80" t="s">
        <v>913</v>
      </c>
    </row>
    <row r="88" spans="1:13">
      <c r="A88" s="297" t="s">
        <v>109</v>
      </c>
      <c r="C88" s="80" t="s">
        <v>348</v>
      </c>
      <c r="D88" s="286"/>
      <c r="E88" s="297"/>
      <c r="F88" s="297"/>
      <c r="G88" s="288"/>
      <c r="J88" s="332"/>
    </row>
    <row r="89" spans="1:13">
      <c r="A89" s="286"/>
      <c r="C89" s="351"/>
      <c r="D89" s="286"/>
      <c r="E89" s="297"/>
      <c r="F89" s="297"/>
      <c r="G89" s="288"/>
      <c r="J89" s="332"/>
    </row>
    <row r="90" spans="1:13">
      <c r="C90" s="189"/>
      <c r="D90" s="189"/>
      <c r="E90" s="189"/>
      <c r="F90" s="189"/>
      <c r="G90" s="189"/>
      <c r="H90" s="189"/>
      <c r="I90" s="189"/>
      <c r="J90" s="189"/>
      <c r="K90" s="189"/>
      <c r="L90" s="189"/>
      <c r="M90" s="189"/>
    </row>
    <row r="91" spans="1:13">
      <c r="C91" s="189"/>
      <c r="D91" s="189"/>
      <c r="E91" s="189"/>
      <c r="F91" s="189"/>
      <c r="G91" s="189"/>
      <c r="H91" s="189"/>
      <c r="I91" s="189"/>
      <c r="J91" s="189"/>
      <c r="K91" s="189"/>
      <c r="L91" s="189"/>
      <c r="M91" s="189"/>
    </row>
    <row r="92" spans="1:13">
      <c r="C92" s="189"/>
      <c r="D92" s="189"/>
      <c r="E92" s="189"/>
      <c r="F92" s="189"/>
      <c r="G92" s="189"/>
      <c r="H92" s="189"/>
      <c r="I92" s="189"/>
      <c r="J92" s="189"/>
      <c r="K92" s="189"/>
      <c r="L92" s="189"/>
      <c r="M92" s="189"/>
    </row>
    <row r="93" spans="1:13">
      <c r="C93" s="189"/>
      <c r="D93" s="189"/>
      <c r="E93" s="189"/>
      <c r="F93" s="189"/>
      <c r="G93" s="189"/>
      <c r="H93" s="189"/>
      <c r="I93" s="189"/>
      <c r="J93" s="189"/>
      <c r="K93" s="189"/>
      <c r="L93" s="189"/>
      <c r="M93" s="189"/>
    </row>
    <row r="94" spans="1:13">
      <c r="C94" s="189"/>
      <c r="D94" s="189"/>
      <c r="E94" s="189"/>
      <c r="F94" s="189"/>
      <c r="G94" s="189"/>
      <c r="H94" s="189"/>
      <c r="I94" s="189"/>
      <c r="J94" s="189"/>
      <c r="K94" s="189"/>
      <c r="L94" s="189"/>
      <c r="M94" s="189"/>
    </row>
    <row r="95" spans="1:13">
      <c r="C95" s="189"/>
      <c r="D95" s="189"/>
      <c r="E95" s="189"/>
      <c r="F95" s="189"/>
      <c r="G95" s="189"/>
      <c r="H95" s="189"/>
      <c r="I95" s="189"/>
      <c r="J95" s="189"/>
      <c r="K95" s="189"/>
      <c r="L95" s="189"/>
      <c r="M95" s="189"/>
    </row>
    <row r="96" spans="1:13">
      <c r="C96" s="189"/>
      <c r="D96" s="189"/>
      <c r="E96" s="189"/>
      <c r="F96" s="189"/>
      <c r="G96" s="189"/>
      <c r="H96" s="189"/>
      <c r="I96" s="189"/>
      <c r="J96" s="189"/>
      <c r="K96" s="189"/>
      <c r="L96" s="189"/>
      <c r="M96" s="189"/>
    </row>
    <row r="97" spans="3:13">
      <c r="C97" s="189"/>
      <c r="D97" s="189"/>
      <c r="E97" s="189"/>
      <c r="F97" s="189"/>
      <c r="G97" s="189"/>
      <c r="H97" s="189"/>
      <c r="I97" s="189"/>
      <c r="J97" s="189"/>
      <c r="K97" s="189"/>
      <c r="L97" s="189"/>
      <c r="M97" s="189"/>
    </row>
    <row r="98" spans="3:13">
      <c r="C98" s="189"/>
      <c r="D98" s="189"/>
      <c r="E98" s="189"/>
      <c r="F98" s="189"/>
      <c r="G98" s="189"/>
      <c r="H98" s="189"/>
      <c r="I98" s="189"/>
      <c r="J98" s="189"/>
      <c r="K98" s="189"/>
      <c r="L98" s="189"/>
      <c r="M98" s="189"/>
    </row>
    <row r="99" spans="3:13">
      <c r="C99" s="189"/>
      <c r="D99" s="189"/>
      <c r="E99" s="189"/>
      <c r="F99" s="189"/>
      <c r="G99" s="189"/>
      <c r="H99" s="189"/>
      <c r="I99" s="189"/>
      <c r="J99" s="189"/>
      <c r="K99" s="189"/>
      <c r="L99" s="189"/>
      <c r="M99" s="189"/>
    </row>
    <row r="100" spans="3:13">
      <c r="C100" s="189"/>
      <c r="D100" s="189"/>
      <c r="E100" s="189"/>
      <c r="F100" s="189"/>
      <c r="G100" s="189"/>
      <c r="H100" s="189"/>
      <c r="I100" s="189"/>
      <c r="J100" s="189"/>
      <c r="K100" s="189"/>
      <c r="L100" s="189"/>
      <c r="M100" s="189"/>
    </row>
    <row r="101" spans="3:13">
      <c r="C101" s="189"/>
      <c r="D101" s="189"/>
      <c r="E101" s="189"/>
      <c r="F101" s="189"/>
      <c r="G101" s="189"/>
      <c r="H101" s="189"/>
      <c r="I101" s="189"/>
      <c r="J101" s="189"/>
      <c r="K101" s="189"/>
      <c r="L101" s="189"/>
      <c r="M101" s="189"/>
    </row>
    <row r="102" spans="3:13">
      <c r="C102" s="189"/>
      <c r="D102" s="189"/>
      <c r="E102" s="189"/>
      <c r="F102" s="189"/>
      <c r="G102" s="189"/>
      <c r="H102" s="189"/>
      <c r="I102" s="189"/>
      <c r="J102" s="189"/>
      <c r="K102" s="189"/>
      <c r="L102" s="189"/>
      <c r="M102" s="189"/>
    </row>
    <row r="103" spans="3:13">
      <c r="C103" s="189"/>
      <c r="D103" s="189"/>
      <c r="E103" s="189"/>
      <c r="F103" s="189"/>
      <c r="G103" s="189"/>
      <c r="H103" s="189"/>
      <c r="I103" s="189"/>
      <c r="J103" s="189"/>
      <c r="K103" s="189"/>
      <c r="L103" s="189"/>
      <c r="M103" s="189"/>
    </row>
    <row r="104" spans="3:13">
      <c r="C104" s="189"/>
      <c r="D104" s="189"/>
      <c r="E104" s="189"/>
      <c r="F104" s="189"/>
      <c r="G104" s="189"/>
      <c r="H104" s="189"/>
      <c r="I104" s="189"/>
      <c r="J104" s="189"/>
      <c r="K104" s="189"/>
      <c r="L104" s="189"/>
      <c r="M104" s="189"/>
    </row>
    <row r="105" spans="3:13">
      <c r="C105" s="189"/>
      <c r="D105" s="189"/>
      <c r="E105" s="189"/>
      <c r="F105" s="189"/>
      <c r="G105" s="189"/>
      <c r="H105" s="189"/>
      <c r="I105" s="189"/>
      <c r="J105" s="189"/>
      <c r="K105" s="189"/>
      <c r="L105" s="189"/>
      <c r="M105" s="189"/>
    </row>
    <row r="106" spans="3:13">
      <c r="C106" s="189"/>
      <c r="D106" s="189"/>
      <c r="E106" s="189"/>
      <c r="F106" s="189"/>
      <c r="G106" s="189"/>
      <c r="H106" s="189"/>
      <c r="I106" s="189"/>
      <c r="J106" s="189"/>
      <c r="K106" s="189"/>
      <c r="L106" s="189"/>
      <c r="M106" s="189"/>
    </row>
    <row r="107" spans="3:13">
      <c r="C107" s="189"/>
      <c r="D107" s="189"/>
      <c r="E107" s="189"/>
      <c r="F107" s="189"/>
      <c r="G107" s="189"/>
      <c r="H107" s="189"/>
      <c r="I107" s="189"/>
      <c r="J107" s="189"/>
      <c r="K107" s="189"/>
      <c r="L107" s="189"/>
      <c r="M107" s="189"/>
    </row>
    <row r="108" spans="3:13">
      <c r="C108" s="189"/>
      <c r="D108" s="189"/>
      <c r="E108" s="189"/>
      <c r="F108" s="189"/>
      <c r="G108" s="189"/>
      <c r="H108" s="189"/>
      <c r="I108" s="189"/>
      <c r="J108" s="189"/>
      <c r="K108" s="189"/>
      <c r="L108" s="189"/>
      <c r="M108" s="189"/>
    </row>
    <row r="109" spans="3:13">
      <c r="C109" s="189"/>
      <c r="D109" s="189"/>
      <c r="E109" s="189"/>
      <c r="F109" s="189"/>
      <c r="G109" s="189"/>
      <c r="H109" s="189"/>
      <c r="I109" s="189"/>
      <c r="J109" s="189"/>
      <c r="K109" s="189"/>
      <c r="L109" s="189"/>
      <c r="M109" s="189"/>
    </row>
    <row r="110" spans="3:13">
      <c r="C110" s="189"/>
      <c r="D110" s="189"/>
      <c r="E110" s="189"/>
      <c r="F110" s="189"/>
      <c r="G110" s="189"/>
      <c r="H110" s="189"/>
      <c r="I110" s="189"/>
      <c r="J110" s="189"/>
      <c r="K110" s="189"/>
      <c r="L110" s="189"/>
      <c r="M110" s="189"/>
    </row>
    <row r="111" spans="3:13">
      <c r="C111" s="189"/>
      <c r="D111" s="189"/>
      <c r="E111" s="189"/>
      <c r="F111" s="189"/>
      <c r="G111" s="189"/>
      <c r="H111" s="189"/>
      <c r="I111" s="189"/>
      <c r="J111" s="189"/>
      <c r="K111" s="189"/>
      <c r="L111" s="189"/>
      <c r="M111" s="189"/>
    </row>
    <row r="112" spans="3:13">
      <c r="C112" s="189"/>
      <c r="D112" s="189"/>
      <c r="E112" s="189"/>
      <c r="F112" s="189"/>
      <c r="G112" s="189"/>
      <c r="H112" s="189"/>
      <c r="I112" s="189"/>
      <c r="J112" s="189"/>
      <c r="K112" s="189"/>
      <c r="L112" s="189"/>
      <c r="M112" s="189"/>
    </row>
    <row r="113" spans="3:13">
      <c r="C113" s="189"/>
      <c r="D113" s="189"/>
      <c r="E113" s="189"/>
      <c r="F113" s="189"/>
      <c r="G113" s="189"/>
      <c r="H113" s="189"/>
      <c r="I113" s="189"/>
      <c r="J113" s="189"/>
      <c r="K113" s="189"/>
      <c r="L113" s="189"/>
      <c r="M113" s="189"/>
    </row>
    <row r="114" spans="3:13">
      <c r="C114" s="189"/>
      <c r="D114" s="189"/>
      <c r="E114" s="189"/>
      <c r="F114" s="189"/>
      <c r="G114" s="189"/>
      <c r="H114" s="189"/>
      <c r="I114" s="189"/>
      <c r="J114" s="189"/>
      <c r="K114" s="189"/>
      <c r="L114" s="189"/>
      <c r="M114" s="189"/>
    </row>
    <row r="115" spans="3:13">
      <c r="C115" s="189"/>
      <c r="D115" s="189"/>
      <c r="E115" s="189"/>
      <c r="F115" s="189"/>
      <c r="G115" s="189"/>
      <c r="H115" s="189"/>
      <c r="I115" s="189"/>
      <c r="J115" s="189"/>
      <c r="K115" s="189"/>
      <c r="L115" s="189"/>
      <c r="M115" s="189"/>
    </row>
    <row r="116" spans="3:13">
      <c r="C116" s="189"/>
      <c r="D116" s="189"/>
      <c r="E116" s="189"/>
      <c r="F116" s="189"/>
      <c r="G116" s="189"/>
      <c r="H116" s="189"/>
      <c r="I116" s="189"/>
      <c r="J116" s="189"/>
      <c r="K116" s="189"/>
      <c r="L116" s="189"/>
      <c r="M116" s="189"/>
    </row>
    <row r="117" spans="3:13">
      <c r="C117" s="189"/>
      <c r="D117" s="189"/>
      <c r="E117" s="189"/>
      <c r="F117" s="189"/>
      <c r="G117" s="189"/>
      <c r="H117" s="189"/>
      <c r="I117" s="189"/>
      <c r="J117" s="189"/>
      <c r="K117" s="189"/>
      <c r="L117" s="189"/>
      <c r="M117" s="189"/>
    </row>
    <row r="118" spans="3:13">
      <c r="C118" s="189"/>
      <c r="D118" s="189"/>
      <c r="E118" s="189"/>
      <c r="F118" s="189"/>
      <c r="G118" s="189"/>
      <c r="H118" s="189"/>
      <c r="I118" s="189"/>
      <c r="J118" s="189"/>
      <c r="K118" s="189"/>
      <c r="L118" s="189"/>
      <c r="M118" s="189"/>
    </row>
    <row r="119" spans="3:13">
      <c r="C119" s="189"/>
      <c r="D119" s="189"/>
      <c r="E119" s="189"/>
      <c r="F119" s="189"/>
      <c r="G119" s="189"/>
      <c r="H119" s="189"/>
      <c r="I119" s="189"/>
      <c r="J119" s="189"/>
      <c r="K119" s="189"/>
      <c r="L119" s="189"/>
      <c r="M119" s="189"/>
    </row>
    <row r="120" spans="3:13">
      <c r="C120" s="189"/>
      <c r="D120" s="189"/>
      <c r="E120" s="189"/>
      <c r="F120" s="189"/>
      <c r="G120" s="189"/>
      <c r="H120" s="189"/>
      <c r="I120" s="189"/>
      <c r="J120" s="189"/>
      <c r="K120" s="189"/>
      <c r="L120" s="189"/>
      <c r="M120" s="189"/>
    </row>
    <row r="121" spans="3:13">
      <c r="C121" s="189"/>
      <c r="D121" s="189"/>
      <c r="E121" s="189"/>
      <c r="F121" s="189"/>
      <c r="G121" s="189"/>
      <c r="H121" s="189"/>
      <c r="I121" s="189"/>
      <c r="J121" s="189"/>
      <c r="K121" s="189"/>
      <c r="L121" s="189"/>
      <c r="M121" s="189"/>
    </row>
    <row r="122" spans="3:13">
      <c r="C122" s="189"/>
      <c r="D122" s="189"/>
      <c r="E122" s="189"/>
      <c r="F122" s="189"/>
      <c r="G122" s="189"/>
      <c r="H122" s="189"/>
      <c r="I122" s="189"/>
      <c r="J122" s="189"/>
      <c r="K122" s="189"/>
      <c r="L122" s="189"/>
      <c r="M122" s="189"/>
    </row>
    <row r="123" spans="3:13">
      <c r="C123" s="189"/>
      <c r="D123" s="189"/>
      <c r="E123" s="189"/>
      <c r="F123" s="189"/>
      <c r="G123" s="189"/>
      <c r="H123" s="189"/>
      <c r="I123" s="189"/>
      <c r="J123" s="189"/>
      <c r="K123" s="189"/>
      <c r="L123" s="189"/>
      <c r="M123" s="189"/>
    </row>
    <row r="124" spans="3:13">
      <c r="C124" s="189"/>
      <c r="D124" s="189"/>
      <c r="E124" s="189"/>
      <c r="F124" s="189"/>
      <c r="G124" s="189"/>
      <c r="H124" s="189"/>
      <c r="I124" s="189"/>
      <c r="J124" s="189"/>
      <c r="K124" s="189"/>
      <c r="L124" s="189"/>
      <c r="M124" s="189"/>
    </row>
    <row r="125" spans="3:13">
      <c r="C125" s="189"/>
      <c r="D125" s="189"/>
      <c r="E125" s="189"/>
      <c r="F125" s="189"/>
      <c r="G125" s="189"/>
      <c r="H125" s="189"/>
      <c r="I125" s="189"/>
      <c r="J125" s="189"/>
      <c r="K125" s="189"/>
      <c r="L125" s="189"/>
      <c r="M125" s="189"/>
    </row>
    <row r="126" spans="3:13">
      <c r="C126" s="189"/>
      <c r="D126" s="189"/>
      <c r="E126" s="189"/>
      <c r="F126" s="189"/>
      <c r="G126" s="189"/>
      <c r="H126" s="189"/>
      <c r="I126" s="189"/>
      <c r="J126" s="189"/>
      <c r="K126" s="189"/>
      <c r="L126" s="189"/>
      <c r="M126" s="189"/>
    </row>
    <row r="127" spans="3:13">
      <c r="C127" s="189"/>
      <c r="D127" s="189"/>
      <c r="E127" s="189"/>
      <c r="F127" s="189"/>
      <c r="G127" s="189"/>
      <c r="H127" s="189"/>
      <c r="I127" s="189"/>
      <c r="J127" s="189"/>
      <c r="K127" s="189"/>
      <c r="L127" s="189"/>
      <c r="M127" s="189"/>
    </row>
    <row r="128" spans="3:13">
      <c r="C128" s="189"/>
      <c r="D128" s="189"/>
      <c r="E128" s="189"/>
      <c r="F128" s="189"/>
      <c r="G128" s="189"/>
      <c r="H128" s="189"/>
      <c r="I128" s="189"/>
      <c r="J128" s="189"/>
      <c r="K128" s="189"/>
      <c r="L128" s="189"/>
      <c r="M128" s="189"/>
    </row>
    <row r="129" spans="3:13">
      <c r="C129" s="189"/>
      <c r="D129" s="189"/>
      <c r="E129" s="189"/>
      <c r="F129" s="189"/>
      <c r="G129" s="189"/>
      <c r="H129" s="189"/>
      <c r="I129" s="189"/>
      <c r="J129" s="189"/>
      <c r="K129" s="189"/>
      <c r="L129" s="189"/>
      <c r="M129" s="189"/>
    </row>
    <row r="130" spans="3:13">
      <c r="C130" s="189"/>
      <c r="D130" s="189"/>
      <c r="E130" s="189"/>
      <c r="F130" s="189"/>
      <c r="G130" s="189"/>
      <c r="H130" s="189"/>
      <c r="I130" s="189"/>
      <c r="J130" s="189"/>
      <c r="K130" s="189"/>
      <c r="L130" s="189"/>
      <c r="M130" s="189"/>
    </row>
    <row r="131" spans="3:13">
      <c r="C131" s="189"/>
      <c r="D131" s="189"/>
      <c r="E131" s="189"/>
      <c r="F131" s="189"/>
      <c r="G131" s="189"/>
      <c r="H131" s="189"/>
      <c r="I131" s="189"/>
      <c r="J131" s="189"/>
      <c r="K131" s="189"/>
      <c r="L131" s="189"/>
      <c r="M131" s="189"/>
    </row>
    <row r="132" spans="3:13">
      <c r="C132" s="189"/>
      <c r="D132" s="189"/>
      <c r="E132" s="189"/>
      <c r="F132" s="189"/>
      <c r="G132" s="189"/>
      <c r="H132" s="189"/>
      <c r="I132" s="189"/>
      <c r="J132" s="189"/>
      <c r="K132" s="189"/>
      <c r="L132" s="189"/>
      <c r="M132" s="189"/>
    </row>
    <row r="133" spans="3:13">
      <c r="C133" s="189"/>
      <c r="D133" s="189"/>
      <c r="E133" s="189"/>
      <c r="F133" s="189"/>
      <c r="G133" s="189"/>
      <c r="H133" s="189"/>
      <c r="I133" s="189"/>
      <c r="J133" s="189"/>
      <c r="K133" s="189"/>
      <c r="L133" s="189"/>
      <c r="M133" s="189"/>
    </row>
    <row r="134" spans="3:13">
      <c r="C134" s="189"/>
      <c r="D134" s="189"/>
      <c r="E134" s="189"/>
      <c r="F134" s="189"/>
      <c r="G134" s="189"/>
      <c r="H134" s="189"/>
      <c r="I134" s="189"/>
      <c r="J134" s="189"/>
      <c r="K134" s="189"/>
      <c r="L134" s="189"/>
      <c r="M134" s="189"/>
    </row>
    <row r="135" spans="3:13">
      <c r="C135" s="189"/>
      <c r="D135" s="189"/>
      <c r="E135" s="189"/>
      <c r="F135" s="189"/>
      <c r="G135" s="189"/>
      <c r="H135" s="189"/>
      <c r="I135" s="189"/>
      <c r="J135" s="189"/>
      <c r="K135" s="189"/>
      <c r="L135" s="189"/>
      <c r="M135" s="189"/>
    </row>
    <row r="136" spans="3:13">
      <c r="C136" s="189"/>
      <c r="D136" s="189"/>
      <c r="E136" s="189"/>
      <c r="F136" s="189"/>
      <c r="G136" s="189"/>
      <c r="H136" s="189"/>
      <c r="I136" s="189"/>
      <c r="J136" s="189"/>
      <c r="K136" s="189"/>
      <c r="L136" s="189"/>
      <c r="M136" s="189"/>
    </row>
    <row r="137" spans="3:13">
      <c r="C137" s="189"/>
      <c r="D137" s="189"/>
      <c r="E137" s="189"/>
      <c r="F137" s="189"/>
      <c r="G137" s="189"/>
      <c r="H137" s="189"/>
      <c r="I137" s="189"/>
      <c r="J137" s="189"/>
      <c r="K137" s="189"/>
      <c r="L137" s="189"/>
      <c r="M137" s="189"/>
    </row>
    <row r="138" spans="3:13">
      <c r="C138" s="189"/>
      <c r="D138" s="189"/>
      <c r="E138" s="189"/>
      <c r="F138" s="189"/>
      <c r="G138" s="189"/>
      <c r="H138" s="189"/>
      <c r="I138" s="189"/>
      <c r="J138" s="189"/>
      <c r="K138" s="189"/>
      <c r="L138" s="189"/>
      <c r="M138" s="189"/>
    </row>
    <row r="139" spans="3:13">
      <c r="C139" s="189"/>
      <c r="D139" s="189"/>
      <c r="E139" s="189"/>
      <c r="F139" s="189"/>
      <c r="G139" s="189"/>
      <c r="H139" s="189"/>
      <c r="I139" s="189"/>
      <c r="J139" s="189"/>
      <c r="K139" s="189"/>
      <c r="L139" s="189"/>
      <c r="M139" s="189"/>
    </row>
    <row r="140" spans="3:13">
      <c r="C140" s="189"/>
      <c r="D140" s="189"/>
      <c r="E140" s="189"/>
      <c r="F140" s="189"/>
      <c r="G140" s="189"/>
      <c r="H140" s="189"/>
      <c r="I140" s="189"/>
      <c r="J140" s="189"/>
      <c r="K140" s="189"/>
      <c r="L140" s="189"/>
      <c r="M140" s="189"/>
    </row>
    <row r="141" spans="3:13">
      <c r="C141" s="189"/>
      <c r="D141" s="189"/>
      <c r="E141" s="189"/>
      <c r="F141" s="189"/>
      <c r="G141" s="189"/>
      <c r="H141" s="189"/>
      <c r="I141" s="189"/>
      <c r="J141" s="189"/>
      <c r="K141" s="189"/>
      <c r="L141" s="189"/>
      <c r="M141" s="189"/>
    </row>
    <row r="142" spans="3:13">
      <c r="C142" s="189"/>
      <c r="D142" s="189"/>
      <c r="E142" s="189"/>
      <c r="F142" s="189"/>
      <c r="G142" s="189"/>
      <c r="H142" s="189"/>
      <c r="I142" s="189"/>
      <c r="J142" s="189"/>
      <c r="K142" s="189"/>
      <c r="L142" s="189"/>
      <c r="M142" s="189"/>
    </row>
    <row r="143" spans="3:13">
      <c r="C143" s="189"/>
      <c r="D143" s="189"/>
      <c r="E143" s="189"/>
      <c r="F143" s="189"/>
      <c r="G143" s="189"/>
      <c r="H143" s="189"/>
      <c r="I143" s="189"/>
      <c r="J143" s="189"/>
      <c r="K143" s="189"/>
      <c r="L143" s="189"/>
      <c r="M143" s="189"/>
    </row>
    <row r="144" spans="3:13">
      <c r="C144" s="189"/>
      <c r="D144" s="189"/>
      <c r="E144" s="189"/>
      <c r="F144" s="189"/>
      <c r="G144" s="189"/>
      <c r="H144" s="189"/>
      <c r="I144" s="189"/>
      <c r="J144" s="189"/>
      <c r="K144" s="189"/>
      <c r="L144" s="189"/>
      <c r="M144" s="189"/>
    </row>
    <row r="145" spans="3:13">
      <c r="C145" s="189"/>
      <c r="D145" s="189"/>
      <c r="E145" s="189"/>
      <c r="F145" s="189"/>
      <c r="G145" s="189"/>
      <c r="H145" s="189"/>
      <c r="I145" s="189"/>
      <c r="J145" s="189"/>
      <c r="K145" s="189"/>
      <c r="L145" s="189"/>
      <c r="M145" s="189"/>
    </row>
    <row r="146" spans="3:13">
      <c r="C146" s="189"/>
      <c r="D146" s="189"/>
      <c r="E146" s="189"/>
      <c r="F146" s="189"/>
      <c r="G146" s="189"/>
      <c r="H146" s="189"/>
      <c r="I146" s="189"/>
      <c r="J146" s="189"/>
      <c r="K146" s="189"/>
      <c r="L146" s="189"/>
      <c r="M146" s="189"/>
    </row>
    <row r="147" spans="3:13">
      <c r="C147" s="189"/>
      <c r="D147" s="189"/>
      <c r="E147" s="189"/>
      <c r="F147" s="189"/>
      <c r="G147" s="189"/>
      <c r="H147" s="189"/>
      <c r="I147" s="189"/>
      <c r="J147" s="189"/>
      <c r="K147" s="189"/>
      <c r="L147" s="189"/>
      <c r="M147" s="189"/>
    </row>
    <row r="148" spans="3:13">
      <c r="C148" s="189"/>
      <c r="D148" s="189"/>
      <c r="E148" s="189"/>
      <c r="F148" s="189"/>
      <c r="G148" s="189"/>
      <c r="H148" s="189"/>
      <c r="I148" s="189"/>
      <c r="J148" s="189"/>
      <c r="K148" s="189"/>
      <c r="L148" s="189"/>
      <c r="M148" s="189"/>
    </row>
    <row r="149" spans="3:13">
      <c r="C149" s="189"/>
      <c r="D149" s="189"/>
      <c r="E149" s="189"/>
      <c r="F149" s="189"/>
      <c r="G149" s="189"/>
      <c r="H149" s="189"/>
      <c r="I149" s="189"/>
      <c r="J149" s="189"/>
      <c r="K149" s="189"/>
      <c r="L149" s="189"/>
      <c r="M149" s="189"/>
    </row>
    <row r="150" spans="3:13">
      <c r="C150" s="189"/>
      <c r="D150" s="189"/>
      <c r="E150" s="189"/>
      <c r="F150" s="189"/>
      <c r="G150" s="189"/>
      <c r="H150" s="189"/>
      <c r="I150" s="189"/>
      <c r="J150" s="189"/>
      <c r="K150" s="189"/>
      <c r="L150" s="189"/>
      <c r="M150" s="189"/>
    </row>
    <row r="151" spans="3:13">
      <c r="C151" s="189"/>
      <c r="D151" s="189"/>
      <c r="E151" s="189"/>
      <c r="F151" s="189"/>
      <c r="G151" s="189"/>
      <c r="H151" s="189"/>
      <c r="I151" s="189"/>
      <c r="J151" s="189"/>
      <c r="K151" s="189"/>
      <c r="L151" s="189"/>
      <c r="M151" s="189"/>
    </row>
    <row r="152" spans="3:13">
      <c r="C152" s="189"/>
      <c r="D152" s="189"/>
      <c r="E152" s="189"/>
      <c r="F152" s="189"/>
      <c r="G152" s="189"/>
      <c r="H152" s="189"/>
      <c r="I152" s="189"/>
      <c r="J152" s="189"/>
      <c r="K152" s="189"/>
      <c r="L152" s="189"/>
      <c r="M152" s="189"/>
    </row>
    <row r="153" spans="3:13">
      <c r="C153" s="189"/>
      <c r="D153" s="189"/>
      <c r="E153" s="189"/>
      <c r="F153" s="189"/>
      <c r="G153" s="189"/>
      <c r="H153" s="189"/>
      <c r="I153" s="189"/>
      <c r="J153" s="189"/>
      <c r="K153" s="189"/>
      <c r="L153" s="189"/>
      <c r="M153" s="189"/>
    </row>
    <row r="154" spans="3:13">
      <c r="C154" s="189"/>
      <c r="D154" s="189"/>
      <c r="E154" s="189"/>
      <c r="F154" s="189"/>
      <c r="G154" s="189"/>
      <c r="H154" s="189"/>
      <c r="I154" s="189"/>
      <c r="J154" s="189"/>
      <c r="K154" s="189"/>
      <c r="L154" s="189"/>
      <c r="M154" s="189"/>
    </row>
    <row r="155" spans="3:13">
      <c r="C155" s="189"/>
      <c r="D155" s="189"/>
      <c r="E155" s="189"/>
      <c r="F155" s="189"/>
      <c r="G155" s="189"/>
      <c r="H155" s="189"/>
      <c r="I155" s="189"/>
      <c r="J155" s="189"/>
      <c r="K155" s="189"/>
      <c r="L155" s="189"/>
      <c r="M155" s="189"/>
    </row>
    <row r="156" spans="3:13">
      <c r="C156" s="189"/>
      <c r="D156" s="189"/>
      <c r="E156" s="189"/>
      <c r="F156" s="189"/>
      <c r="G156" s="189"/>
      <c r="H156" s="189"/>
      <c r="I156" s="189"/>
      <c r="J156" s="189"/>
      <c r="K156" s="189"/>
      <c r="L156" s="189"/>
      <c r="M156" s="189"/>
    </row>
    <row r="157" spans="3:13">
      <c r="C157" s="189"/>
      <c r="D157" s="189"/>
      <c r="E157" s="189"/>
      <c r="F157" s="189"/>
      <c r="G157" s="189"/>
      <c r="H157" s="189"/>
      <c r="I157" s="189"/>
      <c r="J157" s="189"/>
      <c r="K157" s="189"/>
      <c r="L157" s="189"/>
      <c r="M157" s="189"/>
    </row>
    <row r="158" spans="3:13">
      <c r="C158" s="189"/>
      <c r="D158" s="189"/>
      <c r="E158" s="189"/>
      <c r="F158" s="189"/>
      <c r="G158" s="189"/>
      <c r="H158" s="189"/>
      <c r="I158" s="189"/>
      <c r="J158" s="189"/>
      <c r="K158" s="189"/>
      <c r="L158" s="189"/>
      <c r="M158" s="189"/>
    </row>
    <row r="159" spans="3:13">
      <c r="C159" s="189"/>
      <c r="D159" s="189"/>
      <c r="E159" s="189"/>
      <c r="F159" s="189"/>
      <c r="G159" s="189"/>
      <c r="H159" s="189"/>
      <c r="I159" s="189"/>
      <c r="J159" s="189"/>
      <c r="K159" s="189"/>
      <c r="L159" s="189"/>
      <c r="M159" s="189"/>
    </row>
    <row r="160" spans="3:13">
      <c r="C160" s="189"/>
      <c r="D160" s="189"/>
      <c r="E160" s="189"/>
      <c r="F160" s="189"/>
      <c r="G160" s="189"/>
      <c r="H160" s="189"/>
      <c r="I160" s="189"/>
      <c r="J160" s="189"/>
      <c r="K160" s="189"/>
      <c r="L160" s="189"/>
      <c r="M160" s="189"/>
    </row>
    <row r="161" spans="3:13">
      <c r="C161" s="189"/>
      <c r="D161" s="189"/>
      <c r="E161" s="189"/>
      <c r="F161" s="189"/>
      <c r="G161" s="189"/>
      <c r="H161" s="189"/>
      <c r="I161" s="189"/>
      <c r="J161" s="189"/>
      <c r="K161" s="189"/>
      <c r="L161" s="189"/>
      <c r="M161" s="189"/>
    </row>
    <row r="162" spans="3:13">
      <c r="C162" s="189"/>
      <c r="D162" s="189"/>
      <c r="E162" s="189"/>
      <c r="F162" s="189"/>
      <c r="G162" s="189"/>
      <c r="H162" s="189"/>
      <c r="I162" s="189"/>
      <c r="J162" s="189"/>
      <c r="K162" s="189"/>
      <c r="L162" s="189"/>
      <c r="M162" s="189"/>
    </row>
    <row r="163" spans="3:13">
      <c r="C163" s="189"/>
      <c r="D163" s="189"/>
      <c r="E163" s="189"/>
      <c r="F163" s="189"/>
      <c r="G163" s="189"/>
      <c r="H163" s="189"/>
      <c r="I163" s="189"/>
      <c r="J163" s="189"/>
      <c r="K163" s="189"/>
      <c r="L163" s="189"/>
      <c r="M163" s="189"/>
    </row>
    <row r="164" spans="3:13">
      <c r="C164" s="189"/>
      <c r="D164" s="189"/>
      <c r="E164" s="189"/>
      <c r="F164" s="189"/>
      <c r="G164" s="189"/>
      <c r="H164" s="189"/>
      <c r="I164" s="189"/>
      <c r="J164" s="189"/>
      <c r="K164" s="189"/>
      <c r="L164" s="189"/>
      <c r="M164" s="189"/>
    </row>
    <row r="165" spans="3:13">
      <c r="C165" s="189"/>
      <c r="D165" s="189"/>
      <c r="E165" s="189"/>
      <c r="F165" s="189"/>
      <c r="G165" s="189"/>
      <c r="H165" s="189"/>
      <c r="I165" s="189"/>
      <c r="J165" s="189"/>
      <c r="K165" s="189"/>
      <c r="L165" s="189"/>
      <c r="M165" s="189"/>
    </row>
    <row r="166" spans="3:13">
      <c r="C166" s="189"/>
      <c r="D166" s="189"/>
      <c r="E166" s="189"/>
      <c r="F166" s="189"/>
      <c r="G166" s="189"/>
      <c r="H166" s="189"/>
      <c r="I166" s="189"/>
      <c r="J166" s="189"/>
      <c r="K166" s="189"/>
      <c r="L166" s="189"/>
      <c r="M166" s="189"/>
    </row>
    <row r="167" spans="3:13">
      <c r="C167" s="189"/>
      <c r="D167" s="189"/>
      <c r="E167" s="189"/>
      <c r="F167" s="189"/>
      <c r="G167" s="189"/>
      <c r="H167" s="189"/>
      <c r="I167" s="189"/>
      <c r="J167" s="189"/>
      <c r="K167" s="189"/>
      <c r="L167" s="189"/>
      <c r="M167" s="189"/>
    </row>
    <row r="168" spans="3:13">
      <c r="C168" s="189"/>
      <c r="D168" s="189"/>
      <c r="E168" s="189"/>
      <c r="F168" s="189"/>
      <c r="G168" s="189"/>
      <c r="H168" s="189"/>
      <c r="I168" s="189"/>
      <c r="J168" s="189"/>
      <c r="K168" s="189"/>
      <c r="L168" s="189"/>
      <c r="M168" s="189"/>
    </row>
    <row r="169" spans="3:13">
      <c r="C169" s="189"/>
      <c r="D169" s="189"/>
      <c r="E169" s="189"/>
      <c r="F169" s="189"/>
      <c r="G169" s="189"/>
      <c r="H169" s="189"/>
      <c r="I169" s="189"/>
      <c r="J169" s="189"/>
      <c r="K169" s="189"/>
      <c r="L169" s="189"/>
      <c r="M169" s="189"/>
    </row>
    <row r="170" spans="3:13">
      <c r="C170" s="189"/>
      <c r="D170" s="189"/>
      <c r="E170" s="189"/>
      <c r="F170" s="189"/>
      <c r="G170" s="189"/>
      <c r="H170" s="189"/>
      <c r="I170" s="189"/>
      <c r="J170" s="189"/>
      <c r="K170" s="189"/>
      <c r="L170" s="189"/>
      <c r="M170" s="189"/>
    </row>
    <row r="171" spans="3:13">
      <c r="C171" s="189"/>
      <c r="D171" s="189"/>
      <c r="E171" s="189"/>
      <c r="F171" s="189"/>
      <c r="G171" s="189"/>
      <c r="H171" s="189"/>
      <c r="I171" s="189"/>
      <c r="J171" s="189"/>
      <c r="K171" s="189"/>
      <c r="L171" s="189"/>
      <c r="M171" s="189"/>
    </row>
    <row r="172" spans="3:13">
      <c r="C172" s="189"/>
      <c r="D172" s="189"/>
      <c r="E172" s="189"/>
      <c r="F172" s="189"/>
      <c r="G172" s="189"/>
      <c r="H172" s="189"/>
      <c r="I172" s="189"/>
      <c r="J172" s="189"/>
      <c r="K172" s="189"/>
      <c r="L172" s="189"/>
      <c r="M172" s="189"/>
    </row>
    <row r="173" spans="3:13">
      <c r="C173" s="189"/>
      <c r="D173" s="189"/>
      <c r="E173" s="189"/>
      <c r="F173" s="189"/>
      <c r="G173" s="189"/>
      <c r="H173" s="189"/>
      <c r="I173" s="189"/>
      <c r="J173" s="189"/>
      <c r="K173" s="189"/>
      <c r="L173" s="189"/>
      <c r="M173" s="189"/>
    </row>
    <row r="174" spans="3:13">
      <c r="C174" s="189"/>
      <c r="D174" s="189"/>
      <c r="E174" s="189"/>
      <c r="F174" s="189"/>
      <c r="G174" s="189"/>
      <c r="H174" s="189"/>
      <c r="I174" s="189"/>
      <c r="J174" s="189"/>
      <c r="K174" s="189"/>
      <c r="L174" s="189"/>
      <c r="M174" s="189"/>
    </row>
    <row r="175" spans="3:13">
      <c r="C175" s="189"/>
      <c r="D175" s="189"/>
      <c r="E175" s="189"/>
      <c r="F175" s="189"/>
      <c r="G175" s="189"/>
      <c r="H175" s="189"/>
      <c r="I175" s="189"/>
      <c r="J175" s="189"/>
      <c r="K175" s="189"/>
      <c r="L175" s="189"/>
      <c r="M175" s="189"/>
    </row>
    <row r="176" spans="3:13">
      <c r="C176" s="189"/>
      <c r="D176" s="189"/>
      <c r="E176" s="189"/>
      <c r="F176" s="189"/>
      <c r="G176" s="189"/>
      <c r="H176" s="189"/>
      <c r="I176" s="189"/>
      <c r="J176" s="189"/>
      <c r="K176" s="189"/>
      <c r="L176" s="189"/>
      <c r="M176" s="189"/>
    </row>
    <row r="177" spans="3:13">
      <c r="C177" s="189"/>
      <c r="D177" s="189"/>
      <c r="E177" s="189"/>
      <c r="F177" s="189"/>
      <c r="G177" s="189"/>
      <c r="H177" s="189"/>
      <c r="I177" s="189"/>
      <c r="J177" s="189"/>
      <c r="K177" s="189"/>
      <c r="L177" s="189"/>
      <c r="M177" s="189"/>
    </row>
    <row r="178" spans="3:13">
      <c r="C178" s="189"/>
      <c r="D178" s="189"/>
      <c r="E178" s="189"/>
      <c r="F178" s="189"/>
      <c r="G178" s="189"/>
      <c r="H178" s="189"/>
      <c r="I178" s="189"/>
      <c r="J178" s="189"/>
      <c r="K178" s="189"/>
      <c r="L178" s="189"/>
      <c r="M178" s="189"/>
    </row>
    <row r="179" spans="3:13">
      <c r="C179" s="189"/>
      <c r="D179" s="189"/>
      <c r="E179" s="189"/>
      <c r="F179" s="189"/>
      <c r="G179" s="189"/>
      <c r="H179" s="189"/>
      <c r="I179" s="189"/>
      <c r="J179" s="189"/>
      <c r="K179" s="189"/>
      <c r="L179" s="189"/>
      <c r="M179" s="189"/>
    </row>
    <row r="180" spans="3:13">
      <c r="C180" s="189"/>
      <c r="D180" s="189"/>
      <c r="E180" s="189"/>
      <c r="F180" s="189"/>
      <c r="G180" s="189"/>
      <c r="H180" s="189"/>
      <c r="I180" s="189"/>
      <c r="J180" s="189"/>
      <c r="K180" s="189"/>
      <c r="L180" s="189"/>
      <c r="M180" s="189"/>
    </row>
    <row r="181" spans="3:13">
      <c r="C181" s="189"/>
      <c r="D181" s="189"/>
      <c r="E181" s="189"/>
      <c r="F181" s="189"/>
      <c r="G181" s="189"/>
      <c r="H181" s="189"/>
      <c r="I181" s="189"/>
      <c r="J181" s="189"/>
      <c r="K181" s="189"/>
      <c r="L181" s="189"/>
      <c r="M181" s="189"/>
    </row>
    <row r="182" spans="3:13">
      <c r="C182" s="189"/>
      <c r="D182" s="189"/>
      <c r="E182" s="189"/>
      <c r="F182" s="189"/>
      <c r="G182" s="189"/>
      <c r="H182" s="189"/>
      <c r="I182" s="189"/>
      <c r="J182" s="189"/>
      <c r="K182" s="189"/>
      <c r="L182" s="189"/>
      <c r="M182" s="189"/>
    </row>
    <row r="183" spans="3:13">
      <c r="C183" s="189"/>
      <c r="D183" s="189"/>
      <c r="E183" s="189"/>
      <c r="F183" s="189"/>
      <c r="G183" s="189"/>
      <c r="H183" s="189"/>
      <c r="I183" s="189"/>
      <c r="J183" s="189"/>
      <c r="K183" s="189"/>
      <c r="L183" s="189"/>
      <c r="M183" s="189"/>
    </row>
    <row r="184" spans="3:13">
      <c r="C184" s="189"/>
      <c r="D184" s="189"/>
      <c r="E184" s="189"/>
      <c r="F184" s="189"/>
      <c r="G184" s="189"/>
      <c r="H184" s="189"/>
      <c r="I184" s="189"/>
      <c r="J184" s="189"/>
      <c r="K184" s="189"/>
      <c r="L184" s="189"/>
      <c r="M184" s="189"/>
    </row>
    <row r="185" spans="3:13">
      <c r="C185" s="189"/>
      <c r="D185" s="189"/>
      <c r="E185" s="189"/>
      <c r="F185" s="189"/>
      <c r="G185" s="189"/>
      <c r="H185" s="189"/>
      <c r="I185" s="189"/>
      <c r="J185" s="189"/>
      <c r="K185" s="189"/>
      <c r="L185" s="189"/>
      <c r="M185" s="189"/>
    </row>
    <row r="186" spans="3:13">
      <c r="C186" s="189"/>
      <c r="D186" s="189"/>
      <c r="E186" s="189"/>
      <c r="F186" s="189"/>
      <c r="G186" s="189"/>
      <c r="H186" s="189"/>
      <c r="I186" s="189"/>
      <c r="J186" s="189"/>
      <c r="K186" s="189"/>
      <c r="L186" s="189"/>
      <c r="M186" s="189"/>
    </row>
    <row r="187" spans="3:13">
      <c r="C187" s="189"/>
      <c r="D187" s="189"/>
      <c r="E187" s="189"/>
      <c r="F187" s="189"/>
      <c r="G187" s="189"/>
      <c r="H187" s="189"/>
      <c r="I187" s="189"/>
      <c r="J187" s="189"/>
      <c r="K187" s="189"/>
      <c r="L187" s="189"/>
      <c r="M187" s="189"/>
    </row>
    <row r="188" spans="3:13">
      <c r="C188" s="189"/>
      <c r="D188" s="189"/>
      <c r="E188" s="189"/>
      <c r="F188" s="189"/>
      <c r="G188" s="189"/>
      <c r="H188" s="189"/>
      <c r="I188" s="189"/>
      <c r="J188" s="189"/>
      <c r="K188" s="189"/>
      <c r="L188" s="189"/>
      <c r="M188" s="189"/>
    </row>
    <row r="189" spans="3:13">
      <c r="C189" s="189"/>
      <c r="D189" s="189"/>
      <c r="E189" s="189"/>
      <c r="F189" s="189"/>
      <c r="G189" s="189"/>
      <c r="H189" s="189"/>
      <c r="I189" s="189"/>
      <c r="J189" s="189"/>
      <c r="K189" s="189"/>
      <c r="L189" s="189"/>
      <c r="M189" s="189"/>
    </row>
    <row r="190" spans="3:13">
      <c r="C190" s="189"/>
      <c r="D190" s="189"/>
      <c r="E190" s="189"/>
      <c r="F190" s="189"/>
      <c r="G190" s="189"/>
      <c r="H190" s="189"/>
      <c r="I190" s="189"/>
      <c r="J190" s="189"/>
      <c r="K190" s="189"/>
      <c r="L190" s="189"/>
      <c r="M190" s="189"/>
    </row>
    <row r="191" spans="3:13">
      <c r="C191" s="189"/>
      <c r="D191" s="189"/>
      <c r="E191" s="189"/>
      <c r="F191" s="189"/>
      <c r="G191" s="189"/>
      <c r="H191" s="189"/>
      <c r="I191" s="189"/>
      <c r="J191" s="189"/>
      <c r="K191" s="189"/>
      <c r="L191" s="189"/>
      <c r="M191" s="189"/>
    </row>
    <row r="192" spans="3:13">
      <c r="C192" s="189"/>
      <c r="D192" s="189"/>
      <c r="E192" s="189"/>
      <c r="F192" s="189"/>
      <c r="G192" s="189"/>
      <c r="H192" s="189"/>
      <c r="I192" s="189"/>
      <c r="J192" s="189"/>
      <c r="K192" s="189"/>
      <c r="L192" s="189"/>
      <c r="M192" s="189"/>
    </row>
    <row r="193" spans="3:13">
      <c r="C193" s="189"/>
      <c r="D193" s="189"/>
      <c r="E193" s="189"/>
      <c r="F193" s="189"/>
      <c r="G193" s="189"/>
      <c r="H193" s="189"/>
      <c r="I193" s="189"/>
      <c r="J193" s="189"/>
      <c r="K193" s="189"/>
      <c r="L193" s="189"/>
      <c r="M193" s="189"/>
    </row>
    <row r="194" spans="3:13">
      <c r="C194" s="189"/>
      <c r="D194" s="189"/>
      <c r="E194" s="189"/>
      <c r="F194" s="189"/>
      <c r="G194" s="189"/>
      <c r="H194" s="189"/>
      <c r="I194" s="189"/>
      <c r="J194" s="189"/>
      <c r="K194" s="189"/>
      <c r="L194" s="189"/>
      <c r="M194" s="189"/>
    </row>
    <row r="195" spans="3:13">
      <c r="C195" s="189"/>
      <c r="D195" s="189"/>
      <c r="E195" s="189"/>
      <c r="F195" s="189"/>
      <c r="G195" s="189"/>
      <c r="H195" s="189"/>
      <c r="I195" s="189"/>
      <c r="J195" s="189"/>
      <c r="K195" s="189"/>
      <c r="L195" s="189"/>
      <c r="M195" s="189"/>
    </row>
    <row r="196" spans="3:13">
      <c r="C196" s="189"/>
      <c r="D196" s="189"/>
      <c r="E196" s="189"/>
      <c r="F196" s="189"/>
      <c r="G196" s="189"/>
      <c r="H196" s="189"/>
      <c r="I196" s="189"/>
      <c r="J196" s="189"/>
      <c r="K196" s="189"/>
      <c r="L196" s="189"/>
      <c r="M196" s="189"/>
    </row>
    <row r="197" spans="3:13">
      <c r="C197" s="189"/>
      <c r="D197" s="189"/>
      <c r="E197" s="189"/>
      <c r="F197" s="189"/>
      <c r="G197" s="189"/>
      <c r="H197" s="189"/>
      <c r="I197" s="189"/>
      <c r="J197" s="189"/>
      <c r="K197" s="189"/>
      <c r="L197" s="189"/>
      <c r="M197" s="189"/>
    </row>
    <row r="198" spans="3:13">
      <c r="C198" s="189"/>
      <c r="D198" s="189"/>
      <c r="E198" s="189"/>
      <c r="F198" s="189"/>
      <c r="G198" s="189"/>
      <c r="H198" s="189"/>
      <c r="I198" s="189"/>
      <c r="J198" s="189"/>
      <c r="K198" s="189"/>
      <c r="L198" s="189"/>
      <c r="M198" s="189"/>
    </row>
    <row r="199" spans="3:13">
      <c r="C199" s="189"/>
      <c r="D199" s="189"/>
      <c r="E199" s="189"/>
      <c r="F199" s="189"/>
      <c r="G199" s="189"/>
      <c r="H199" s="189"/>
      <c r="I199" s="189"/>
      <c r="J199" s="189"/>
      <c r="K199" s="189"/>
      <c r="L199" s="189"/>
      <c r="M199" s="189"/>
    </row>
    <row r="200" spans="3:13">
      <c r="C200" s="189"/>
      <c r="D200" s="189"/>
      <c r="E200" s="189"/>
      <c r="F200" s="189"/>
      <c r="G200" s="189"/>
      <c r="H200" s="189"/>
      <c r="I200" s="189"/>
      <c r="J200" s="189"/>
      <c r="K200" s="189"/>
      <c r="L200" s="189"/>
      <c r="M200" s="189"/>
    </row>
    <row r="201" spans="3:13">
      <c r="C201" s="189"/>
      <c r="D201" s="189"/>
      <c r="E201" s="189"/>
      <c r="F201" s="189"/>
      <c r="G201" s="189"/>
      <c r="H201" s="189"/>
      <c r="I201" s="189"/>
      <c r="J201" s="189"/>
      <c r="K201" s="189"/>
      <c r="L201" s="189"/>
      <c r="M201" s="189"/>
    </row>
    <row r="202" spans="3:13">
      <c r="C202" s="189"/>
      <c r="D202" s="189"/>
      <c r="E202" s="189"/>
      <c r="F202" s="189"/>
      <c r="G202" s="189"/>
      <c r="H202" s="189"/>
      <c r="I202" s="189"/>
      <c r="J202" s="189"/>
      <c r="K202" s="189"/>
      <c r="L202" s="189"/>
      <c r="M202" s="189"/>
    </row>
    <row r="203" spans="3:13">
      <c r="C203" s="189"/>
      <c r="D203" s="189"/>
      <c r="E203" s="189"/>
      <c r="F203" s="189"/>
      <c r="G203" s="189"/>
      <c r="H203" s="189"/>
      <c r="I203" s="189"/>
      <c r="J203" s="189"/>
      <c r="K203" s="189"/>
      <c r="L203" s="189"/>
      <c r="M203" s="189"/>
    </row>
    <row r="204" spans="3:13">
      <c r="C204" s="189"/>
      <c r="D204" s="189"/>
      <c r="E204" s="189"/>
      <c r="F204" s="189"/>
      <c r="G204" s="189"/>
      <c r="H204" s="189"/>
      <c r="I204" s="189"/>
      <c r="J204" s="189"/>
      <c r="K204" s="189"/>
      <c r="L204" s="189"/>
      <c r="M204" s="189"/>
    </row>
    <row r="205" spans="3:13">
      <c r="C205" s="189"/>
      <c r="D205" s="189"/>
      <c r="E205" s="189"/>
      <c r="F205" s="189"/>
      <c r="G205" s="189"/>
      <c r="H205" s="189"/>
      <c r="I205" s="189"/>
      <c r="J205" s="189"/>
      <c r="K205" s="189"/>
      <c r="L205" s="189"/>
      <c r="M205" s="189"/>
    </row>
    <row r="206" spans="3:13">
      <c r="C206" s="189"/>
      <c r="D206" s="189"/>
      <c r="E206" s="189"/>
      <c r="F206" s="189"/>
      <c r="G206" s="189"/>
      <c r="H206" s="189"/>
      <c r="I206" s="189"/>
      <c r="J206" s="189"/>
      <c r="K206" s="189"/>
      <c r="L206" s="189"/>
      <c r="M206" s="189"/>
    </row>
    <row r="207" spans="3:13">
      <c r="C207" s="189"/>
      <c r="D207" s="189"/>
      <c r="E207" s="189"/>
      <c r="F207" s="189"/>
      <c r="G207" s="189"/>
      <c r="H207" s="189"/>
      <c r="I207" s="189"/>
      <c r="J207" s="189"/>
      <c r="K207" s="189"/>
      <c r="L207" s="189"/>
      <c r="M207" s="189"/>
    </row>
    <row r="208" spans="3:13">
      <c r="C208" s="189"/>
      <c r="D208" s="189"/>
      <c r="E208" s="189"/>
      <c r="F208" s="189"/>
      <c r="G208" s="189"/>
      <c r="H208" s="189"/>
      <c r="I208" s="189"/>
      <c r="J208" s="189"/>
      <c r="K208" s="189"/>
      <c r="L208" s="189"/>
      <c r="M208" s="189"/>
    </row>
    <row r="209" spans="3:13">
      <c r="C209" s="189"/>
      <c r="D209" s="189"/>
      <c r="E209" s="189"/>
      <c r="F209" s="189"/>
      <c r="G209" s="189"/>
      <c r="H209" s="189"/>
      <c r="I209" s="189"/>
      <c r="J209" s="189"/>
      <c r="K209" s="189"/>
      <c r="L209" s="189"/>
      <c r="M209" s="189"/>
    </row>
    <row r="210" spans="3:13">
      <c r="C210" s="189"/>
      <c r="D210" s="189"/>
      <c r="E210" s="189"/>
      <c r="F210" s="189"/>
      <c r="G210" s="189"/>
      <c r="H210" s="189"/>
      <c r="I210" s="189"/>
      <c r="J210" s="189"/>
      <c r="K210" s="189"/>
      <c r="L210" s="189"/>
      <c r="M210" s="189"/>
    </row>
    <row r="211" spans="3:13">
      <c r="C211" s="189"/>
      <c r="D211" s="189"/>
      <c r="E211" s="189"/>
      <c r="F211" s="189"/>
      <c r="G211" s="189"/>
      <c r="H211" s="189"/>
      <c r="I211" s="189"/>
      <c r="J211" s="189"/>
      <c r="K211" s="189"/>
      <c r="L211" s="189"/>
      <c r="M211" s="189"/>
    </row>
    <row r="212" spans="3:13">
      <c r="C212" s="189"/>
      <c r="D212" s="189"/>
      <c r="E212" s="189"/>
      <c r="F212" s="189"/>
      <c r="G212" s="189"/>
      <c r="H212" s="189"/>
      <c r="I212" s="189"/>
      <c r="J212" s="189"/>
      <c r="K212" s="189"/>
      <c r="L212" s="189"/>
      <c r="M212" s="189"/>
    </row>
    <row r="213" spans="3:13">
      <c r="C213" s="189"/>
      <c r="D213" s="189"/>
      <c r="E213" s="189"/>
      <c r="F213" s="189"/>
      <c r="G213" s="189"/>
      <c r="H213" s="189"/>
      <c r="I213" s="189"/>
      <c r="J213" s="189"/>
      <c r="K213" s="189"/>
      <c r="L213" s="189"/>
      <c r="M213" s="189"/>
    </row>
    <row r="214" spans="3:13">
      <c r="C214" s="189"/>
      <c r="D214" s="189"/>
      <c r="E214" s="189"/>
      <c r="F214" s="189"/>
      <c r="G214" s="189"/>
      <c r="H214" s="189"/>
      <c r="I214" s="189"/>
      <c r="J214" s="189"/>
      <c r="K214" s="189"/>
      <c r="L214" s="189"/>
      <c r="M214" s="189"/>
    </row>
    <row r="215" spans="3:13">
      <c r="C215" s="189"/>
      <c r="D215" s="189"/>
      <c r="E215" s="189"/>
      <c r="F215" s="189"/>
      <c r="G215" s="189"/>
      <c r="H215" s="189"/>
      <c r="I215" s="189"/>
      <c r="J215" s="189"/>
      <c r="K215" s="189"/>
      <c r="L215" s="189"/>
      <c r="M215" s="189"/>
    </row>
    <row r="216" spans="3:13">
      <c r="C216" s="189"/>
      <c r="D216" s="189"/>
      <c r="E216" s="189"/>
      <c r="F216" s="189"/>
      <c r="G216" s="189"/>
      <c r="H216" s="189"/>
      <c r="I216" s="189"/>
      <c r="J216" s="189"/>
      <c r="K216" s="189"/>
      <c r="L216" s="189"/>
      <c r="M216" s="189"/>
    </row>
    <row r="217" spans="3:13">
      <c r="C217" s="189"/>
      <c r="D217" s="189"/>
      <c r="E217" s="189"/>
      <c r="F217" s="189"/>
      <c r="G217" s="189"/>
      <c r="H217" s="189"/>
      <c r="I217" s="189"/>
      <c r="J217" s="189"/>
      <c r="K217" s="189"/>
      <c r="L217" s="189"/>
      <c r="M217" s="189"/>
    </row>
    <row r="218" spans="3:13">
      <c r="C218" s="189"/>
      <c r="D218" s="189"/>
      <c r="E218" s="189"/>
      <c r="F218" s="189"/>
      <c r="G218" s="189"/>
      <c r="H218" s="189"/>
      <c r="I218" s="189"/>
      <c r="J218" s="189"/>
      <c r="K218" s="189"/>
      <c r="L218" s="189"/>
      <c r="M218" s="189"/>
    </row>
    <row r="219" spans="3:13">
      <c r="C219" s="189"/>
      <c r="D219" s="189"/>
      <c r="E219" s="189"/>
      <c r="F219" s="189"/>
      <c r="G219" s="189"/>
      <c r="H219" s="189"/>
      <c r="I219" s="189"/>
      <c r="J219" s="189"/>
      <c r="K219" s="189"/>
      <c r="L219" s="189"/>
      <c r="M219" s="189"/>
    </row>
    <row r="220" spans="3:13">
      <c r="C220" s="189"/>
      <c r="D220" s="189"/>
      <c r="E220" s="189"/>
      <c r="F220" s="189"/>
      <c r="G220" s="189"/>
      <c r="H220" s="189"/>
      <c r="I220" s="189"/>
      <c r="J220" s="189"/>
      <c r="K220" s="189"/>
      <c r="L220" s="189"/>
      <c r="M220" s="189"/>
    </row>
    <row r="221" spans="3:13">
      <c r="C221" s="189"/>
      <c r="D221" s="189"/>
      <c r="E221" s="189"/>
      <c r="F221" s="189"/>
      <c r="G221" s="189"/>
      <c r="H221" s="189"/>
      <c r="I221" s="189"/>
      <c r="J221" s="189"/>
      <c r="K221" s="189"/>
      <c r="L221" s="189"/>
      <c r="M221" s="189"/>
    </row>
    <row r="222" spans="3:13">
      <c r="C222" s="189"/>
      <c r="D222" s="189"/>
      <c r="E222" s="189"/>
      <c r="F222" s="189"/>
      <c r="G222" s="189"/>
      <c r="H222" s="189"/>
      <c r="I222" s="189"/>
      <c r="J222" s="189"/>
      <c r="K222" s="189"/>
      <c r="L222" s="189"/>
      <c r="M222" s="189"/>
    </row>
    <row r="223" spans="3:13">
      <c r="C223" s="189"/>
      <c r="D223" s="189"/>
      <c r="E223" s="189"/>
      <c r="F223" s="189"/>
      <c r="G223" s="189"/>
      <c r="H223" s="189"/>
      <c r="I223" s="189"/>
      <c r="J223" s="189"/>
      <c r="K223" s="189"/>
      <c r="L223" s="189"/>
      <c r="M223" s="189"/>
    </row>
    <row r="224" spans="3:13">
      <c r="C224" s="189"/>
      <c r="D224" s="189"/>
      <c r="E224" s="189"/>
      <c r="F224" s="189"/>
      <c r="G224" s="189"/>
      <c r="H224" s="189"/>
      <c r="I224" s="189"/>
      <c r="J224" s="189"/>
      <c r="K224" s="189"/>
      <c r="L224" s="189"/>
      <c r="M224" s="189"/>
    </row>
    <row r="225" spans="3:13">
      <c r="C225" s="189"/>
      <c r="D225" s="189"/>
      <c r="E225" s="189"/>
      <c r="F225" s="189"/>
      <c r="G225" s="189"/>
      <c r="H225" s="189"/>
      <c r="I225" s="189"/>
      <c r="J225" s="189"/>
      <c r="K225" s="189"/>
      <c r="L225" s="189"/>
      <c r="M225" s="189"/>
    </row>
    <row r="226" spans="3:13">
      <c r="C226" s="189"/>
      <c r="D226" s="189"/>
      <c r="E226" s="189"/>
      <c r="F226" s="189"/>
      <c r="G226" s="189"/>
      <c r="H226" s="189"/>
      <c r="I226" s="189"/>
      <c r="J226" s="189"/>
      <c r="K226" s="189"/>
      <c r="L226" s="189"/>
      <c r="M226" s="189"/>
    </row>
    <row r="227" spans="3:13">
      <c r="C227" s="189"/>
      <c r="D227" s="189"/>
      <c r="E227" s="189"/>
      <c r="F227" s="189"/>
      <c r="G227" s="189"/>
      <c r="H227" s="189"/>
      <c r="I227" s="189"/>
      <c r="J227" s="189"/>
      <c r="K227" s="189"/>
      <c r="L227" s="189"/>
      <c r="M227" s="189"/>
    </row>
    <row r="228" spans="3:13">
      <c r="C228" s="189"/>
      <c r="D228" s="189"/>
      <c r="E228" s="189"/>
      <c r="F228" s="189"/>
      <c r="G228" s="189"/>
      <c r="H228" s="189"/>
      <c r="I228" s="189"/>
      <c r="J228" s="189"/>
      <c r="K228" s="189"/>
      <c r="L228" s="189"/>
      <c r="M228" s="189"/>
    </row>
    <row r="229" spans="3:13">
      <c r="C229" s="189"/>
      <c r="D229" s="189"/>
      <c r="E229" s="189"/>
      <c r="F229" s="189"/>
      <c r="G229" s="189"/>
      <c r="H229" s="189"/>
      <c r="I229" s="189"/>
      <c r="J229" s="189"/>
      <c r="K229" s="189"/>
      <c r="L229" s="189"/>
      <c r="M229" s="189"/>
    </row>
    <row r="230" spans="3:13">
      <c r="C230" s="189"/>
      <c r="D230" s="189"/>
      <c r="E230" s="189"/>
      <c r="F230" s="189"/>
      <c r="G230" s="189"/>
      <c r="H230" s="189"/>
      <c r="I230" s="189"/>
      <c r="J230" s="189"/>
      <c r="K230" s="189"/>
      <c r="L230" s="189"/>
      <c r="M230" s="189"/>
    </row>
    <row r="231" spans="3:13">
      <c r="C231" s="189"/>
      <c r="D231" s="189"/>
      <c r="E231" s="189"/>
      <c r="F231" s="189"/>
      <c r="G231" s="189"/>
      <c r="H231" s="189"/>
      <c r="I231" s="189"/>
      <c r="J231" s="189"/>
      <c r="K231" s="189"/>
      <c r="L231" s="189"/>
      <c r="M231" s="189"/>
    </row>
    <row r="232" spans="3:13">
      <c r="C232" s="189"/>
      <c r="D232" s="189"/>
      <c r="E232" s="189"/>
      <c r="F232" s="189"/>
      <c r="G232" s="189"/>
      <c r="H232" s="189"/>
      <c r="I232" s="189"/>
      <c r="J232" s="189"/>
      <c r="K232" s="189"/>
      <c r="L232" s="189"/>
      <c r="M232" s="189"/>
    </row>
    <row r="233" spans="3:13">
      <c r="C233" s="189"/>
      <c r="D233" s="189"/>
      <c r="E233" s="189"/>
      <c r="F233" s="189"/>
      <c r="G233" s="189"/>
      <c r="H233" s="189"/>
      <c r="I233" s="189"/>
      <c r="J233" s="189"/>
      <c r="K233" s="189"/>
      <c r="L233" s="189"/>
      <c r="M233" s="189"/>
    </row>
    <row r="234" spans="3:13">
      <c r="C234" s="189"/>
      <c r="D234" s="189"/>
      <c r="E234" s="189"/>
      <c r="F234" s="189"/>
      <c r="G234" s="189"/>
      <c r="H234" s="189"/>
      <c r="I234" s="189"/>
      <c r="J234" s="189"/>
      <c r="K234" s="189"/>
      <c r="L234" s="189"/>
      <c r="M234" s="189"/>
    </row>
    <row r="235" spans="3:13">
      <c r="C235" s="189"/>
      <c r="D235" s="189"/>
      <c r="E235" s="189"/>
      <c r="F235" s="189"/>
      <c r="G235" s="189"/>
      <c r="H235" s="189"/>
      <c r="I235" s="189"/>
      <c r="J235" s="189"/>
      <c r="K235" s="189"/>
      <c r="L235" s="189"/>
      <c r="M235" s="189"/>
    </row>
    <row r="236" spans="3:13">
      <c r="C236" s="189"/>
      <c r="D236" s="189"/>
      <c r="E236" s="189"/>
      <c r="F236" s="189"/>
      <c r="G236" s="189"/>
      <c r="H236" s="189"/>
      <c r="I236" s="189"/>
      <c r="J236" s="189"/>
      <c r="K236" s="189"/>
      <c r="L236" s="189"/>
      <c r="M236" s="189"/>
    </row>
    <row r="237" spans="3:13">
      <c r="C237" s="189"/>
      <c r="D237" s="189"/>
      <c r="E237" s="189"/>
      <c r="F237" s="189"/>
      <c r="G237" s="189"/>
      <c r="H237" s="189"/>
      <c r="I237" s="189"/>
      <c r="J237" s="189"/>
      <c r="K237" s="189"/>
      <c r="L237" s="189"/>
      <c r="M237" s="189"/>
    </row>
    <row r="238" spans="3:13">
      <c r="C238" s="189"/>
      <c r="D238" s="189"/>
      <c r="E238" s="189"/>
      <c r="F238" s="189"/>
      <c r="G238" s="189"/>
      <c r="H238" s="189"/>
      <c r="I238" s="189"/>
      <c r="J238" s="189"/>
      <c r="K238" s="189"/>
      <c r="L238" s="189"/>
      <c r="M238" s="189"/>
    </row>
    <row r="239" spans="3:13">
      <c r="C239" s="189"/>
      <c r="D239" s="189"/>
      <c r="E239" s="189"/>
      <c r="F239" s="189"/>
      <c r="G239" s="189"/>
      <c r="H239" s="189"/>
      <c r="I239" s="189"/>
      <c r="J239" s="189"/>
      <c r="K239" s="189"/>
      <c r="L239" s="189"/>
      <c r="M239" s="189"/>
    </row>
    <row r="240" spans="3:13">
      <c r="C240" s="189"/>
      <c r="D240" s="189"/>
      <c r="E240" s="189"/>
      <c r="F240" s="189"/>
      <c r="G240" s="189"/>
      <c r="H240" s="189"/>
      <c r="I240" s="189"/>
      <c r="J240" s="189"/>
      <c r="K240" s="189"/>
      <c r="L240" s="189"/>
      <c r="M240" s="189"/>
    </row>
    <row r="241" spans="3:13">
      <c r="C241" s="189"/>
      <c r="D241" s="189"/>
      <c r="E241" s="189"/>
      <c r="F241" s="189"/>
      <c r="G241" s="189"/>
      <c r="H241" s="189"/>
      <c r="I241" s="189"/>
      <c r="J241" s="189"/>
      <c r="K241" s="189"/>
      <c r="L241" s="189"/>
      <c r="M241" s="189"/>
    </row>
    <row r="242" spans="3:13">
      <c r="C242" s="189"/>
      <c r="D242" s="189"/>
      <c r="E242" s="189"/>
      <c r="F242" s="189"/>
      <c r="G242" s="189"/>
      <c r="H242" s="189"/>
      <c r="I242" s="189"/>
      <c r="J242" s="189"/>
      <c r="K242" s="189"/>
      <c r="L242" s="189"/>
      <c r="M242" s="189"/>
    </row>
    <row r="243" spans="3:13">
      <c r="C243" s="189"/>
      <c r="D243" s="189"/>
      <c r="E243" s="189"/>
      <c r="F243" s="189"/>
      <c r="G243" s="189"/>
      <c r="H243" s="189"/>
      <c r="I243" s="189"/>
      <c r="J243" s="189"/>
      <c r="K243" s="189"/>
      <c r="L243" s="189"/>
      <c r="M243" s="189"/>
    </row>
    <row r="244" spans="3:13">
      <c r="C244" s="189"/>
      <c r="D244" s="189"/>
      <c r="E244" s="189"/>
      <c r="F244" s="189"/>
      <c r="G244" s="189"/>
      <c r="H244" s="189"/>
      <c r="I244" s="189"/>
      <c r="J244" s="189"/>
      <c r="K244" s="189"/>
      <c r="L244" s="189"/>
      <c r="M244" s="189"/>
    </row>
    <row r="245" spans="3:13">
      <c r="C245" s="189"/>
      <c r="D245" s="189"/>
      <c r="E245" s="189"/>
      <c r="F245" s="189"/>
      <c r="G245" s="189"/>
      <c r="H245" s="189"/>
      <c r="I245" s="189"/>
      <c r="J245" s="189"/>
      <c r="K245" s="189"/>
      <c r="L245" s="189"/>
      <c r="M245" s="189"/>
    </row>
    <row r="246" spans="3:13">
      <c r="C246" s="189"/>
      <c r="D246" s="189"/>
      <c r="E246" s="189"/>
      <c r="F246" s="189"/>
      <c r="G246" s="189"/>
      <c r="H246" s="189"/>
      <c r="I246" s="189"/>
      <c r="J246" s="189"/>
      <c r="K246" s="189"/>
      <c r="L246" s="189"/>
      <c r="M246" s="189"/>
    </row>
    <row r="247" spans="3:13">
      <c r="C247" s="189"/>
      <c r="D247" s="189"/>
      <c r="E247" s="189"/>
      <c r="F247" s="189"/>
      <c r="G247" s="189"/>
      <c r="H247" s="189"/>
      <c r="I247" s="189"/>
      <c r="J247" s="189"/>
      <c r="K247" s="189"/>
      <c r="L247" s="189"/>
      <c r="M247" s="189"/>
    </row>
    <row r="248" spans="3:13">
      <c r="C248" s="189"/>
      <c r="D248" s="189"/>
      <c r="E248" s="189"/>
      <c r="F248" s="189"/>
      <c r="G248" s="189"/>
      <c r="H248" s="189"/>
      <c r="I248" s="189"/>
      <c r="J248" s="189"/>
      <c r="K248" s="189"/>
      <c r="L248" s="189"/>
      <c r="M248" s="189"/>
    </row>
    <row r="249" spans="3:13">
      <c r="C249" s="189"/>
      <c r="D249" s="189"/>
      <c r="E249" s="189"/>
      <c r="F249" s="189"/>
      <c r="G249" s="189"/>
      <c r="H249" s="189"/>
      <c r="I249" s="189"/>
      <c r="J249" s="189"/>
      <c r="K249" s="189"/>
      <c r="L249" s="189"/>
      <c r="M249" s="189"/>
    </row>
    <row r="250" spans="3:13">
      <c r="C250" s="189"/>
      <c r="D250" s="189"/>
      <c r="E250" s="189"/>
      <c r="F250" s="189"/>
      <c r="G250" s="189"/>
      <c r="H250" s="189"/>
      <c r="I250" s="189"/>
      <c r="J250" s="189"/>
      <c r="K250" s="189"/>
      <c r="L250" s="189"/>
      <c r="M250" s="189"/>
    </row>
    <row r="251" spans="3:13">
      <c r="C251" s="189"/>
      <c r="D251" s="189"/>
      <c r="E251" s="189"/>
      <c r="F251" s="189"/>
      <c r="G251" s="189"/>
      <c r="H251" s="189"/>
      <c r="I251" s="189"/>
      <c r="J251" s="189"/>
      <c r="K251" s="189"/>
      <c r="L251" s="189"/>
      <c r="M251" s="189"/>
    </row>
    <row r="252" spans="3:13">
      <c r="C252" s="189"/>
      <c r="D252" s="189"/>
      <c r="E252" s="189"/>
      <c r="F252" s="189"/>
      <c r="G252" s="189"/>
      <c r="H252" s="189"/>
      <c r="I252" s="189"/>
      <c r="J252" s="189"/>
      <c r="K252" s="189"/>
      <c r="L252" s="189"/>
      <c r="M252" s="189"/>
    </row>
    <row r="253" spans="3:13">
      <c r="C253" s="189"/>
      <c r="D253" s="189"/>
      <c r="E253" s="189"/>
      <c r="F253" s="189"/>
      <c r="G253" s="189"/>
      <c r="H253" s="189"/>
      <c r="I253" s="189"/>
      <c r="J253" s="189"/>
      <c r="K253" s="189"/>
      <c r="L253" s="189"/>
      <c r="M253" s="189"/>
    </row>
    <row r="254" spans="3:13">
      <c r="C254" s="189"/>
      <c r="D254" s="189"/>
      <c r="E254" s="189"/>
      <c r="F254" s="189"/>
      <c r="G254" s="189"/>
      <c r="H254" s="189"/>
      <c r="I254" s="189"/>
      <c r="J254" s="189"/>
      <c r="K254" s="189"/>
      <c r="L254" s="189"/>
      <c r="M254" s="189"/>
    </row>
    <row r="255" spans="3:13">
      <c r="C255" s="189"/>
      <c r="D255" s="189"/>
      <c r="E255" s="189"/>
      <c r="F255" s="189"/>
      <c r="G255" s="189"/>
      <c r="H255" s="189"/>
      <c r="I255" s="189"/>
      <c r="J255" s="189"/>
      <c r="K255" s="189"/>
      <c r="L255" s="189"/>
      <c r="M255" s="189"/>
    </row>
    <row r="256" spans="3:13">
      <c r="C256" s="189"/>
      <c r="D256" s="189"/>
      <c r="E256" s="189"/>
      <c r="F256" s="189"/>
      <c r="G256" s="189"/>
      <c r="H256" s="189"/>
      <c r="I256" s="189"/>
      <c r="J256" s="189"/>
      <c r="K256" s="189"/>
      <c r="L256" s="189"/>
      <c r="M256" s="189"/>
    </row>
    <row r="257" spans="3:13">
      <c r="C257" s="189"/>
      <c r="D257" s="189"/>
      <c r="E257" s="189"/>
      <c r="F257" s="189"/>
      <c r="G257" s="189"/>
      <c r="H257" s="189"/>
      <c r="I257" s="189"/>
      <c r="J257" s="189"/>
      <c r="K257" s="189"/>
      <c r="L257" s="189"/>
      <c r="M257" s="189"/>
    </row>
    <row r="258" spans="3:13">
      <c r="C258" s="189"/>
      <c r="D258" s="189"/>
      <c r="E258" s="189"/>
      <c r="F258" s="189"/>
      <c r="G258" s="189"/>
      <c r="H258" s="189"/>
      <c r="I258" s="189"/>
      <c r="J258" s="189"/>
      <c r="K258" s="189"/>
      <c r="L258" s="189"/>
      <c r="M258" s="189"/>
    </row>
    <row r="259" spans="3:13">
      <c r="C259" s="189"/>
      <c r="D259" s="189"/>
      <c r="E259" s="189"/>
      <c r="F259" s="189"/>
      <c r="G259" s="189"/>
      <c r="H259" s="189"/>
      <c r="I259" s="189"/>
      <c r="J259" s="189"/>
      <c r="K259" s="189"/>
      <c r="L259" s="189"/>
      <c r="M259" s="189"/>
    </row>
    <row r="260" spans="3:13">
      <c r="C260" s="189"/>
      <c r="D260" s="189"/>
      <c r="E260" s="189"/>
      <c r="F260" s="189"/>
      <c r="G260" s="189"/>
      <c r="H260" s="189"/>
      <c r="I260" s="189"/>
      <c r="J260" s="189"/>
      <c r="K260" s="189"/>
      <c r="L260" s="189"/>
      <c r="M260" s="189"/>
    </row>
    <row r="261" spans="3:13">
      <c r="C261" s="189"/>
      <c r="D261" s="189"/>
      <c r="E261" s="189"/>
      <c r="F261" s="189"/>
      <c r="G261" s="189"/>
      <c r="H261" s="189"/>
      <c r="I261" s="189"/>
      <c r="J261" s="189"/>
      <c r="K261" s="189"/>
      <c r="L261" s="189"/>
      <c r="M261" s="189"/>
    </row>
    <row r="262" spans="3:13">
      <c r="C262" s="189"/>
      <c r="D262" s="189"/>
      <c r="E262" s="189"/>
      <c r="F262" s="189"/>
      <c r="G262" s="189"/>
      <c r="H262" s="189"/>
      <c r="I262" s="189"/>
      <c r="J262" s="189"/>
      <c r="K262" s="189"/>
      <c r="L262" s="189"/>
      <c r="M262" s="189"/>
    </row>
    <row r="263" spans="3:13">
      <c r="C263" s="189"/>
      <c r="D263" s="189"/>
      <c r="E263" s="189"/>
      <c r="F263" s="189"/>
      <c r="G263" s="189"/>
      <c r="H263" s="189"/>
      <c r="I263" s="189"/>
      <c r="J263" s="189"/>
      <c r="K263" s="189"/>
      <c r="L263" s="189"/>
      <c r="M263" s="189"/>
    </row>
    <row r="264" spans="3:13">
      <c r="C264" s="189"/>
      <c r="D264" s="189"/>
      <c r="E264" s="189"/>
      <c r="F264" s="189"/>
      <c r="G264" s="189"/>
      <c r="H264" s="189"/>
      <c r="I264" s="189"/>
      <c r="J264" s="189"/>
      <c r="K264" s="189"/>
      <c r="L264" s="189"/>
      <c r="M264" s="189"/>
    </row>
    <row r="265" spans="3:13">
      <c r="C265" s="189"/>
      <c r="D265" s="189"/>
      <c r="E265" s="189"/>
      <c r="F265" s="189"/>
      <c r="G265" s="189"/>
      <c r="H265" s="189"/>
      <c r="I265" s="189"/>
      <c r="J265" s="189"/>
      <c r="K265" s="189"/>
      <c r="L265" s="189"/>
      <c r="M265" s="189"/>
    </row>
    <row r="266" spans="3:13">
      <c r="C266" s="189"/>
      <c r="D266" s="189"/>
      <c r="E266" s="189"/>
      <c r="F266" s="189"/>
      <c r="G266" s="189"/>
      <c r="H266" s="189"/>
      <c r="I266" s="189"/>
      <c r="J266" s="189"/>
      <c r="K266" s="189"/>
      <c r="L266" s="189"/>
      <c r="M266" s="189"/>
    </row>
    <row r="267" spans="3:13">
      <c r="C267" s="189"/>
      <c r="D267" s="189"/>
      <c r="E267" s="189"/>
      <c r="F267" s="189"/>
      <c r="G267" s="189"/>
      <c r="H267" s="189"/>
      <c r="I267" s="189"/>
      <c r="J267" s="189"/>
      <c r="K267" s="189"/>
      <c r="L267" s="189"/>
      <c r="M267" s="189"/>
    </row>
    <row r="268" spans="3:13">
      <c r="C268" s="189"/>
      <c r="D268" s="189"/>
      <c r="E268" s="189"/>
      <c r="F268" s="189"/>
      <c r="G268" s="189"/>
      <c r="H268" s="189"/>
      <c r="I268" s="189"/>
      <c r="J268" s="189"/>
      <c r="K268" s="189"/>
      <c r="L268" s="189"/>
      <c r="M268" s="189"/>
    </row>
    <row r="269" spans="3:13">
      <c r="C269" s="189"/>
      <c r="D269" s="189"/>
      <c r="E269" s="189"/>
      <c r="F269" s="189"/>
      <c r="G269" s="189"/>
      <c r="H269" s="189"/>
      <c r="I269" s="189"/>
      <c r="J269" s="189"/>
      <c r="K269" s="189"/>
      <c r="L269" s="189"/>
      <c r="M269" s="189"/>
    </row>
    <row r="270" spans="3:13">
      <c r="C270" s="189"/>
      <c r="D270" s="189"/>
      <c r="E270" s="189"/>
      <c r="F270" s="189"/>
      <c r="G270" s="189"/>
      <c r="H270" s="189"/>
      <c r="I270" s="189"/>
      <c r="J270" s="189"/>
      <c r="K270" s="189"/>
      <c r="L270" s="189"/>
      <c r="M270" s="189"/>
    </row>
    <row r="271" spans="3:13">
      <c r="C271" s="189"/>
      <c r="D271" s="189"/>
      <c r="E271" s="189"/>
      <c r="F271" s="189"/>
      <c r="G271" s="189"/>
      <c r="H271" s="189"/>
      <c r="I271" s="189"/>
      <c r="J271" s="189"/>
      <c r="K271" s="189"/>
      <c r="L271" s="189"/>
      <c r="M271" s="189"/>
    </row>
    <row r="272" spans="3:13">
      <c r="C272" s="189"/>
      <c r="D272" s="189"/>
      <c r="E272" s="189"/>
      <c r="F272" s="189"/>
      <c r="G272" s="189"/>
      <c r="H272" s="189"/>
      <c r="I272" s="189"/>
      <c r="J272" s="189"/>
      <c r="K272" s="189"/>
      <c r="L272" s="189"/>
      <c r="M272" s="189"/>
    </row>
    <row r="273" spans="3:13">
      <c r="C273" s="189"/>
      <c r="D273" s="189"/>
      <c r="E273" s="189"/>
      <c r="F273" s="189"/>
      <c r="G273" s="189"/>
      <c r="H273" s="189"/>
      <c r="I273" s="189"/>
      <c r="J273" s="189"/>
      <c r="K273" s="189"/>
      <c r="L273" s="189"/>
      <c r="M273" s="189"/>
    </row>
    <row r="274" spans="3:13">
      <c r="C274" s="189"/>
      <c r="D274" s="189"/>
      <c r="E274" s="189"/>
      <c r="F274" s="189"/>
      <c r="G274" s="189"/>
      <c r="H274" s="189"/>
      <c r="I274" s="189"/>
      <c r="J274" s="189"/>
      <c r="K274" s="189"/>
      <c r="L274" s="189"/>
      <c r="M274" s="189"/>
    </row>
    <row r="275" spans="3:13">
      <c r="C275" s="189"/>
      <c r="D275" s="189"/>
      <c r="E275" s="189"/>
      <c r="F275" s="189"/>
      <c r="G275" s="189"/>
      <c r="H275" s="189"/>
      <c r="I275" s="189"/>
      <c r="J275" s="189"/>
      <c r="K275" s="189"/>
      <c r="L275" s="189"/>
      <c r="M275" s="189"/>
    </row>
    <row r="276" spans="3:13">
      <c r="C276" s="189"/>
      <c r="D276" s="189"/>
      <c r="E276" s="189"/>
      <c r="F276" s="189"/>
      <c r="G276" s="189"/>
      <c r="H276" s="189"/>
      <c r="I276" s="189"/>
      <c r="J276" s="189"/>
      <c r="K276" s="189"/>
      <c r="L276" s="189"/>
      <c r="M276" s="189"/>
    </row>
    <row r="277" spans="3:13">
      <c r="C277" s="189"/>
      <c r="D277" s="189"/>
      <c r="E277" s="189"/>
      <c r="F277" s="189"/>
      <c r="G277" s="189"/>
      <c r="H277" s="189"/>
      <c r="I277" s="189"/>
      <c r="J277" s="189"/>
      <c r="K277" s="189"/>
      <c r="L277" s="189"/>
      <c r="M277" s="189"/>
    </row>
    <row r="278" spans="3:13">
      <c r="C278" s="189"/>
      <c r="D278" s="189"/>
      <c r="E278" s="189"/>
      <c r="F278" s="189"/>
      <c r="G278" s="189"/>
      <c r="H278" s="189"/>
      <c r="I278" s="189"/>
      <c r="J278" s="189"/>
      <c r="K278" s="189"/>
      <c r="L278" s="189"/>
      <c r="M278" s="189"/>
    </row>
    <row r="279" spans="3:13">
      <c r="C279" s="189"/>
      <c r="D279" s="189"/>
      <c r="E279" s="189"/>
      <c r="F279" s="189"/>
      <c r="G279" s="189"/>
      <c r="H279" s="189"/>
      <c r="I279" s="189"/>
      <c r="J279" s="189"/>
      <c r="K279" s="189"/>
      <c r="L279" s="189"/>
      <c r="M279" s="189"/>
    </row>
    <row r="280" spans="3:13">
      <c r="C280" s="189"/>
      <c r="D280" s="189"/>
      <c r="E280" s="189"/>
      <c r="F280" s="189"/>
      <c r="G280" s="189"/>
      <c r="H280" s="189"/>
      <c r="I280" s="189"/>
      <c r="J280" s="189"/>
      <c r="K280" s="189"/>
      <c r="L280" s="189"/>
      <c r="M280" s="189"/>
    </row>
    <row r="281" spans="3:13">
      <c r="C281" s="189"/>
      <c r="D281" s="189"/>
      <c r="E281" s="189"/>
      <c r="F281" s="189"/>
      <c r="G281" s="189"/>
      <c r="H281" s="189"/>
      <c r="I281" s="189"/>
      <c r="J281" s="189"/>
      <c r="K281" s="189"/>
      <c r="L281" s="189"/>
      <c r="M281" s="189"/>
    </row>
    <row r="282" spans="3:13">
      <c r="C282" s="189"/>
      <c r="D282" s="189"/>
      <c r="E282" s="189"/>
      <c r="F282" s="189"/>
      <c r="G282" s="189"/>
      <c r="H282" s="189"/>
      <c r="I282" s="189"/>
      <c r="J282" s="189"/>
      <c r="K282" s="189"/>
      <c r="L282" s="189"/>
      <c r="M282" s="189"/>
    </row>
    <row r="283" spans="3:13">
      <c r="C283" s="189"/>
      <c r="D283" s="189"/>
      <c r="E283" s="189"/>
      <c r="F283" s="189"/>
      <c r="G283" s="189"/>
      <c r="H283" s="189"/>
      <c r="I283" s="189"/>
      <c r="J283" s="189"/>
      <c r="K283" s="189"/>
      <c r="L283" s="189"/>
      <c r="M283" s="189"/>
    </row>
    <row r="284" spans="3:13">
      <c r="C284" s="189"/>
      <c r="D284" s="189"/>
      <c r="E284" s="189"/>
      <c r="F284" s="189"/>
      <c r="G284" s="189"/>
      <c r="H284" s="189"/>
      <c r="I284" s="189"/>
      <c r="J284" s="189"/>
      <c r="K284" s="189"/>
      <c r="L284" s="189"/>
      <c r="M284" s="189"/>
    </row>
    <row r="285" spans="3:13">
      <c r="C285" s="189"/>
      <c r="D285" s="189"/>
      <c r="E285" s="189"/>
      <c r="F285" s="189"/>
      <c r="G285" s="189"/>
      <c r="H285" s="189"/>
      <c r="I285" s="189"/>
      <c r="J285" s="189"/>
      <c r="K285" s="189"/>
      <c r="L285" s="189"/>
      <c r="M285" s="189"/>
    </row>
  </sheetData>
  <customSheetViews>
    <customSheetView guid="{E1861F40-EBD5-44AE-868B-FDE0ED504D72}" scale="65" showPageBreaks="1" printArea="1" view="pageBreakPreview" topLeftCell="A43">
      <selection activeCell="N56" sqref="N56"/>
      <rowBreaks count="1" manualBreakCount="1">
        <brk id="41" max="13" man="1"/>
      </rowBreaks>
      <pageMargins left="0.25" right="0.25" top="0.75" bottom="0.25" header="0.4" footer="0.5"/>
      <printOptions horizontalCentered="1"/>
      <pageSetup scale="51" fitToHeight="3" orientation="landscape" r:id="rId1"/>
      <headerFooter alignWithMargins="0"/>
    </customSheetView>
  </customSheetViews>
  <mergeCells count="11">
    <mergeCell ref="A5:O5"/>
    <mergeCell ref="A6:O6"/>
    <mergeCell ref="A7:L7"/>
    <mergeCell ref="C83:L83"/>
    <mergeCell ref="C84:L84"/>
    <mergeCell ref="K11:T11"/>
    <mergeCell ref="C85:L85"/>
    <mergeCell ref="C81:L81"/>
    <mergeCell ref="C82:L82"/>
    <mergeCell ref="A54:O54"/>
    <mergeCell ref="A55:O55"/>
  </mergeCells>
  <phoneticPr fontId="23" type="noConversion"/>
  <printOptions horizontalCentered="1"/>
  <pageMargins left="0.7" right="0.7" top="0.75" bottom="0.75" header="0.3" footer="0.3"/>
  <pageSetup scale="21" fitToHeight="0" orientation="landscape" r:id="rId2"/>
  <headerFooter alignWithMargins="0"/>
  <rowBreaks count="1" manualBreakCount="1">
    <brk id="46"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V26"/>
  <sheetViews>
    <sheetView view="pageBreakPreview" zoomScale="70" zoomScaleNormal="70" zoomScaleSheetLayoutView="70" workbookViewId="0">
      <selection activeCell="A3" sqref="A3"/>
    </sheetView>
  </sheetViews>
  <sheetFormatPr defaultRowHeight="15.5"/>
  <cols>
    <col min="1" max="1" width="7.53515625" customWidth="1"/>
    <col min="2" max="2" width="2.53515625" customWidth="1"/>
    <col min="3" max="3" width="41.69140625" customWidth="1"/>
    <col min="4" max="4" width="14.4609375" customWidth="1"/>
    <col min="5" max="5" width="15.07421875" customWidth="1"/>
    <col min="6" max="11" width="13.07421875" bestFit="1" customWidth="1"/>
    <col min="12" max="18" width="16" bestFit="1" customWidth="1"/>
    <col min="19" max="19" width="3.84375" customWidth="1"/>
    <col min="20" max="20" width="15.3046875" bestFit="1" customWidth="1"/>
    <col min="21" max="21" width="15.4609375" customWidth="1"/>
    <col min="22" max="29" width="12.53515625" customWidth="1"/>
    <col min="30" max="30" width="14.84375" customWidth="1"/>
    <col min="31" max="31" width="12.84375" bestFit="1" customWidth="1"/>
    <col min="32" max="32" width="13.69140625" bestFit="1" customWidth="1"/>
    <col min="33" max="33" width="13.07421875" bestFit="1" customWidth="1"/>
    <col min="34" max="34" width="3.84375" customWidth="1"/>
    <col min="35" max="35" width="17" customWidth="1"/>
  </cols>
  <sheetData>
    <row r="1" spans="1:48">
      <c r="A1" s="1121" t="s">
        <v>566</v>
      </c>
      <c r="B1" s="1121"/>
      <c r="C1" s="1121"/>
      <c r="D1" s="1121"/>
      <c r="E1" s="1121"/>
      <c r="F1" s="1121"/>
      <c r="G1" s="1121"/>
      <c r="H1" s="1121"/>
      <c r="I1" s="1121"/>
      <c r="J1" s="1121"/>
      <c r="K1" s="1121"/>
      <c r="L1" s="1121"/>
      <c r="M1" s="1121"/>
      <c r="N1" s="1121"/>
      <c r="O1" s="18"/>
      <c r="R1" s="3"/>
      <c r="S1" s="3" t="str">
        <f>'Attachment H-11A '!K1&amp;""&amp;", Attachment 11a"</f>
        <v>Attachment H -11A, Attachment 11a</v>
      </c>
      <c r="T1" s="1121" t="str">
        <f>A1</f>
        <v>TEC Worksheet Support</v>
      </c>
      <c r="U1" s="1121"/>
      <c r="V1" s="1121"/>
      <c r="W1" s="1121"/>
      <c r="X1" s="1121"/>
      <c r="Y1" s="1121"/>
      <c r="Z1" s="1121"/>
      <c r="AA1" s="1121"/>
      <c r="AB1" s="1121"/>
      <c r="AC1" s="1121"/>
      <c r="AD1" s="1121"/>
      <c r="AE1" s="1121"/>
      <c r="AF1" s="18"/>
      <c r="AG1" s="18"/>
      <c r="AH1" s="18"/>
      <c r="AI1" s="3" t="str">
        <f>S1</f>
        <v>Attachment H -11A, Attachment 11a</v>
      </c>
    </row>
    <row r="2" spans="1:48">
      <c r="A2" s="1122" t="s">
        <v>347</v>
      </c>
      <c r="B2" s="1122"/>
      <c r="C2" s="1122"/>
      <c r="D2" s="1122"/>
      <c r="E2" s="1122"/>
      <c r="F2" s="1122"/>
      <c r="G2" s="1122"/>
      <c r="H2" s="1122"/>
      <c r="I2" s="1122"/>
      <c r="J2" s="1122"/>
      <c r="K2" s="1122"/>
      <c r="L2" s="1122"/>
      <c r="M2" s="1122"/>
      <c r="N2" s="1122"/>
      <c r="O2" s="237"/>
      <c r="R2" s="3"/>
      <c r="S2" s="3" t="s">
        <v>171</v>
      </c>
      <c r="T2" s="1122" t="s">
        <v>347</v>
      </c>
      <c r="U2" s="1122"/>
      <c r="V2" s="1122"/>
      <c r="W2" s="1122"/>
      <c r="X2" s="1122"/>
      <c r="Y2" s="1122"/>
      <c r="Z2" s="1122"/>
      <c r="AA2" s="1122"/>
      <c r="AB2" s="1122"/>
      <c r="AC2" s="1122"/>
      <c r="AD2" s="1122"/>
      <c r="AE2" s="1122"/>
      <c r="AF2" s="237"/>
      <c r="AG2" s="237"/>
      <c r="AH2" s="237"/>
      <c r="AI2" s="3" t="s">
        <v>174</v>
      </c>
    </row>
    <row r="3" spans="1:48">
      <c r="A3" s="237"/>
      <c r="B3" s="238"/>
      <c r="C3" s="238"/>
      <c r="D3" s="238"/>
      <c r="E3" s="238"/>
      <c r="F3" s="238"/>
      <c r="G3" s="238"/>
      <c r="H3" s="238"/>
      <c r="I3" s="238"/>
      <c r="J3" s="238"/>
      <c r="K3" s="238"/>
      <c r="L3" s="238"/>
      <c r="M3" s="3"/>
      <c r="R3" s="3"/>
      <c r="S3" s="3" t="str">
        <f>'Attachment H-11A '!K4</f>
        <v>For the 12 months ended 12/31/2025</v>
      </c>
      <c r="AI3" s="3" t="str">
        <f>S3</f>
        <v>For the 12 months ended 12/31/2025</v>
      </c>
    </row>
    <row r="4" spans="1:48">
      <c r="A4" s="237"/>
      <c r="B4" s="238"/>
      <c r="C4" s="238"/>
      <c r="D4" s="238"/>
      <c r="E4" s="238"/>
      <c r="F4" s="238"/>
      <c r="G4" s="238"/>
      <c r="H4" s="238"/>
      <c r="I4" s="238"/>
      <c r="J4" s="238"/>
      <c r="K4" s="238"/>
      <c r="L4" s="238"/>
      <c r="M4" s="3"/>
    </row>
    <row r="5" spans="1:48">
      <c r="A5" s="237"/>
      <c r="B5" s="238"/>
      <c r="C5" s="238"/>
      <c r="D5" s="238"/>
      <c r="E5" s="238"/>
      <c r="F5" s="238"/>
      <c r="G5" s="238"/>
      <c r="H5" s="238"/>
      <c r="I5" s="238"/>
      <c r="J5" s="238"/>
      <c r="K5" s="238"/>
      <c r="L5" s="238"/>
      <c r="M5" s="3"/>
    </row>
    <row r="6" spans="1:48" ht="50.25" customHeight="1">
      <c r="A6" s="19" t="s">
        <v>159</v>
      </c>
      <c r="B6" s="20"/>
      <c r="C6" s="30" t="s">
        <v>160</v>
      </c>
      <c r="D6" s="21" t="s">
        <v>175</v>
      </c>
      <c r="E6" s="22" t="s">
        <v>255</v>
      </c>
      <c r="F6" s="487">
        <v>45646</v>
      </c>
      <c r="G6" s="239">
        <f>F6+31</f>
        <v>45677</v>
      </c>
      <c r="H6" s="239">
        <f>G6+31</f>
        <v>45708</v>
      </c>
      <c r="I6" s="239">
        <f>H6+31</f>
        <v>45739</v>
      </c>
      <c r="J6" s="239">
        <f>I6+31</f>
        <v>45770</v>
      </c>
      <c r="K6" s="239">
        <f t="shared" ref="K6:Q6" si="0">J6+31</f>
        <v>45801</v>
      </c>
      <c r="L6" s="239">
        <f t="shared" si="0"/>
        <v>45832</v>
      </c>
      <c r="M6" s="239">
        <f t="shared" si="0"/>
        <v>45863</v>
      </c>
      <c r="N6" s="239">
        <f t="shared" si="0"/>
        <v>45894</v>
      </c>
      <c r="O6" s="239">
        <f t="shared" si="0"/>
        <v>45925</v>
      </c>
      <c r="P6" s="239">
        <f t="shared" si="0"/>
        <v>45956</v>
      </c>
      <c r="Q6" s="239">
        <f t="shared" si="0"/>
        <v>45987</v>
      </c>
      <c r="R6" s="239">
        <f>Q6+31</f>
        <v>46018</v>
      </c>
      <c r="S6" s="239"/>
      <c r="T6" s="22" t="s">
        <v>345</v>
      </c>
      <c r="U6" s="239">
        <f>F6</f>
        <v>45646</v>
      </c>
      <c r="V6" s="239">
        <f t="shared" ref="V6:AG6" si="1">G6</f>
        <v>45677</v>
      </c>
      <c r="W6" s="239">
        <f t="shared" si="1"/>
        <v>45708</v>
      </c>
      <c r="X6" s="239">
        <f t="shared" si="1"/>
        <v>45739</v>
      </c>
      <c r="Y6" s="239">
        <f t="shared" si="1"/>
        <v>45770</v>
      </c>
      <c r="Z6" s="239">
        <f t="shared" si="1"/>
        <v>45801</v>
      </c>
      <c r="AA6" s="239">
        <f t="shared" si="1"/>
        <v>45832</v>
      </c>
      <c r="AB6" s="239">
        <f t="shared" si="1"/>
        <v>45863</v>
      </c>
      <c r="AC6" s="239">
        <f t="shared" si="1"/>
        <v>45894</v>
      </c>
      <c r="AD6" s="239">
        <f t="shared" si="1"/>
        <v>45925</v>
      </c>
      <c r="AE6" s="239">
        <f t="shared" si="1"/>
        <v>45956</v>
      </c>
      <c r="AF6" s="239">
        <f t="shared" si="1"/>
        <v>45987</v>
      </c>
      <c r="AG6" s="239">
        <f t="shared" si="1"/>
        <v>46018</v>
      </c>
      <c r="AH6" s="240"/>
      <c r="AI6" s="243" t="s">
        <v>346</v>
      </c>
      <c r="AJ6" s="242"/>
      <c r="AK6" s="242"/>
      <c r="AL6" s="242"/>
      <c r="AM6" s="242"/>
      <c r="AN6" s="242"/>
      <c r="AO6" s="242"/>
      <c r="AP6" s="242"/>
      <c r="AQ6" s="242"/>
      <c r="AR6" s="242"/>
      <c r="AS6" s="242"/>
      <c r="AT6" s="242"/>
      <c r="AU6" s="242"/>
      <c r="AV6" s="242"/>
    </row>
    <row r="7" spans="1:48">
      <c r="A7" s="23"/>
      <c r="B7" s="24"/>
      <c r="C7" s="24"/>
      <c r="D7" s="24"/>
      <c r="E7" s="25" t="s">
        <v>13</v>
      </c>
      <c r="F7" s="25" t="s">
        <v>16</v>
      </c>
      <c r="G7" s="25" t="s">
        <v>16</v>
      </c>
      <c r="H7" s="25" t="s">
        <v>16</v>
      </c>
      <c r="I7" s="25" t="s">
        <v>16</v>
      </c>
      <c r="J7" s="25" t="s">
        <v>16</v>
      </c>
      <c r="K7" s="25" t="s">
        <v>16</v>
      </c>
      <c r="L7" s="25" t="s">
        <v>16</v>
      </c>
      <c r="M7" s="25" t="s">
        <v>16</v>
      </c>
      <c r="N7" s="25" t="s">
        <v>16</v>
      </c>
      <c r="O7" s="25" t="s">
        <v>16</v>
      </c>
      <c r="P7" s="25" t="s">
        <v>16</v>
      </c>
      <c r="Q7" s="25" t="s">
        <v>16</v>
      </c>
      <c r="R7" s="25" t="s">
        <v>16</v>
      </c>
      <c r="S7" s="25"/>
      <c r="T7" s="25" t="s">
        <v>14</v>
      </c>
      <c r="U7" s="25" t="s">
        <v>16</v>
      </c>
      <c r="V7" s="25" t="s">
        <v>16</v>
      </c>
      <c r="W7" s="25" t="s">
        <v>16</v>
      </c>
      <c r="X7" s="25" t="s">
        <v>16</v>
      </c>
      <c r="Y7" s="25" t="s">
        <v>16</v>
      </c>
      <c r="Z7" s="25" t="s">
        <v>16</v>
      </c>
      <c r="AA7" s="25" t="s">
        <v>16</v>
      </c>
      <c r="AB7" s="25" t="s">
        <v>16</v>
      </c>
      <c r="AC7" s="25" t="s">
        <v>16</v>
      </c>
      <c r="AD7" s="25" t="s">
        <v>16</v>
      </c>
      <c r="AE7" s="25" t="s">
        <v>16</v>
      </c>
      <c r="AF7" s="25" t="s">
        <v>16</v>
      </c>
      <c r="AG7" s="25" t="s">
        <v>16</v>
      </c>
      <c r="AH7" s="241"/>
      <c r="AI7" s="62" t="s">
        <v>443</v>
      </c>
    </row>
    <row r="8" spans="1:48">
      <c r="A8" s="26"/>
      <c r="B8" s="2"/>
      <c r="C8" s="2"/>
      <c r="D8" s="2"/>
      <c r="E8" s="2"/>
      <c r="F8" s="2"/>
      <c r="G8" s="2"/>
      <c r="H8" s="2"/>
      <c r="I8" s="2"/>
      <c r="J8" s="2"/>
      <c r="K8" s="2"/>
      <c r="L8" s="2"/>
      <c r="M8" s="2"/>
      <c r="N8" s="2"/>
      <c r="O8" s="2"/>
      <c r="P8" s="2"/>
      <c r="Q8" s="2"/>
      <c r="R8" s="2"/>
      <c r="S8" s="2"/>
      <c r="AH8" s="244"/>
      <c r="AI8" s="245"/>
    </row>
    <row r="9" spans="1:48">
      <c r="A9" s="275"/>
      <c r="B9" s="17"/>
      <c r="C9" s="17"/>
      <c r="D9" s="27"/>
      <c r="E9" s="9"/>
      <c r="F9" s="9"/>
      <c r="G9" s="9"/>
      <c r="H9" s="9"/>
      <c r="I9" s="9"/>
      <c r="J9" s="9"/>
      <c r="K9" s="9"/>
      <c r="L9" s="9"/>
      <c r="M9" s="9"/>
      <c r="N9" s="9"/>
      <c r="O9" s="9"/>
      <c r="P9" s="9"/>
      <c r="Q9" s="9"/>
      <c r="R9" s="9"/>
      <c r="S9" s="9"/>
      <c r="U9" s="9"/>
      <c r="V9" s="9"/>
      <c r="W9" s="9"/>
      <c r="X9" s="9"/>
      <c r="Y9" s="9"/>
      <c r="Z9" s="9"/>
      <c r="AA9" s="9"/>
      <c r="AB9" s="9"/>
      <c r="AC9" s="9"/>
      <c r="AD9" s="9"/>
      <c r="AE9" s="9"/>
      <c r="AF9" s="9"/>
      <c r="AG9" s="9"/>
      <c r="AH9" s="244"/>
      <c r="AI9" s="245"/>
    </row>
    <row r="10" spans="1:48" ht="84.65" customHeight="1">
      <c r="A10" s="683" t="str">
        <f>'Attachment 11 - TEC'!A62</f>
        <v>1a</v>
      </c>
      <c r="B10" s="684"/>
      <c r="C10" s="685" t="str">
        <f>'Attachment 11 - TEC'!C62</f>
        <v>Terminate the Powell Mountain and Goff Run lines into the new Chloe substation and perform any associated relay upgrades or modifications required at Powell Mountain and Goff run to accommodate new substation</v>
      </c>
      <c r="D10" s="686" t="str">
        <f>'Attachment 11 - TEC'!D62</f>
        <v>b2609.5</v>
      </c>
      <c r="E10" s="9">
        <f t="shared" ref="E10" si="2">AVERAGE(F10:R10)</f>
        <v>2787621.2899999996</v>
      </c>
      <c r="F10" s="61">
        <v>2787621.29</v>
      </c>
      <c r="G10" s="61">
        <v>2787621.29</v>
      </c>
      <c r="H10" s="61">
        <v>2787621.29</v>
      </c>
      <c r="I10" s="61">
        <v>2787621.29</v>
      </c>
      <c r="J10" s="61">
        <v>2787621.29</v>
      </c>
      <c r="K10" s="61">
        <v>2787621.29</v>
      </c>
      <c r="L10" s="61">
        <v>2787621.29</v>
      </c>
      <c r="M10" s="61">
        <v>2787621.29</v>
      </c>
      <c r="N10" s="61">
        <v>2787621.29</v>
      </c>
      <c r="O10" s="61">
        <v>2787621.29</v>
      </c>
      <c r="P10" s="61">
        <v>2787621.29</v>
      </c>
      <c r="Q10" s="61">
        <v>2787621.29</v>
      </c>
      <c r="R10" s="61">
        <v>2787621.29</v>
      </c>
      <c r="S10" s="9"/>
      <c r="T10" s="9">
        <f t="shared" ref="T10" si="3">AVERAGE(U10:AG10)</f>
        <v>364402.74210300052</v>
      </c>
      <c r="U10" s="61">
        <v>330677.8031750003</v>
      </c>
      <c r="V10" s="61">
        <v>336298.62632966699</v>
      </c>
      <c r="W10" s="61">
        <v>341919.44948433369</v>
      </c>
      <c r="X10" s="61">
        <v>347540.27263900038</v>
      </c>
      <c r="Y10" s="61">
        <v>353161.09579366707</v>
      </c>
      <c r="Z10" s="61">
        <v>358781.91894833377</v>
      </c>
      <c r="AA10" s="61">
        <v>364402.74210300046</v>
      </c>
      <c r="AB10" s="61">
        <v>370023.56525766716</v>
      </c>
      <c r="AC10" s="61">
        <v>375644.38841233385</v>
      </c>
      <c r="AD10" s="61">
        <v>381265.21156700054</v>
      </c>
      <c r="AE10" s="61">
        <v>386886.03472166724</v>
      </c>
      <c r="AF10" s="61">
        <v>392506.85787633393</v>
      </c>
      <c r="AG10" s="61">
        <v>398127.68103100063</v>
      </c>
      <c r="AH10" s="244"/>
      <c r="AI10" s="488">
        <f t="shared" ref="AI10" si="4">E10-T10</f>
        <v>2423218.5478969989</v>
      </c>
    </row>
    <row r="11" spans="1:48">
      <c r="A11" s="246"/>
      <c r="AI11" s="245"/>
    </row>
    <row r="12" spans="1:48">
      <c r="A12" s="246"/>
      <c r="AI12" s="245"/>
    </row>
    <row r="13" spans="1:48" ht="15.65" customHeight="1">
      <c r="A13" s="246"/>
      <c r="U13" s="500"/>
      <c r="X13" s="678"/>
      <c r="Y13" s="678"/>
      <c r="Z13" s="678"/>
      <c r="AA13" s="678"/>
      <c r="AB13" s="678"/>
      <c r="AI13" s="245"/>
    </row>
    <row r="14" spans="1:48">
      <c r="A14" s="246"/>
      <c r="X14" s="678"/>
      <c r="Y14" s="678"/>
      <c r="Z14" s="678"/>
      <c r="AA14" s="678"/>
      <c r="AB14" s="678"/>
      <c r="AI14" s="245"/>
    </row>
    <row r="15" spans="1:48">
      <c r="A15" s="246"/>
      <c r="X15" s="678"/>
      <c r="Y15" s="678"/>
      <c r="Z15" s="678"/>
      <c r="AA15" s="678"/>
      <c r="AB15" s="678"/>
      <c r="AI15" s="245"/>
    </row>
    <row r="16" spans="1:48">
      <c r="A16" s="246"/>
      <c r="X16" s="678"/>
      <c r="Y16" s="678"/>
      <c r="Z16" s="678"/>
      <c r="AA16" s="678"/>
      <c r="AB16" s="678"/>
      <c r="AI16" s="245"/>
    </row>
    <row r="17" spans="1:35">
      <c r="A17" s="246"/>
      <c r="AI17" s="245"/>
    </row>
    <row r="18" spans="1:35">
      <c r="A18" s="246"/>
      <c r="AI18" s="245"/>
    </row>
    <row r="19" spans="1:35">
      <c r="A19" s="246"/>
      <c r="AI19" s="245"/>
    </row>
    <row r="20" spans="1:35">
      <c r="A20" s="246"/>
      <c r="AI20" s="245"/>
    </row>
    <row r="21" spans="1:35">
      <c r="A21" s="246"/>
      <c r="AI21" s="245"/>
    </row>
    <row r="22" spans="1:35">
      <c r="A22" s="246"/>
      <c r="AI22" s="245"/>
    </row>
    <row r="23" spans="1:35">
      <c r="A23" s="247"/>
      <c r="B23" s="248"/>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9"/>
    </row>
    <row r="25" spans="1:35">
      <c r="A25" s="1" t="s">
        <v>247</v>
      </c>
      <c r="B25" s="1"/>
      <c r="C25" s="1"/>
      <c r="S25" s="28"/>
      <c r="T25" s="1" t="s">
        <v>247</v>
      </c>
      <c r="U25" s="1"/>
    </row>
    <row r="26" spans="1:35" ht="15.75" customHeight="1">
      <c r="A26" s="29"/>
      <c r="B26" s="1" t="s">
        <v>205</v>
      </c>
      <c r="C26" s="1" t="s">
        <v>799</v>
      </c>
      <c r="D26" s="1"/>
      <c r="E26" s="1"/>
      <c r="F26" s="1"/>
      <c r="G26" s="1"/>
      <c r="H26" s="1"/>
      <c r="I26" s="1"/>
      <c r="J26" s="1"/>
      <c r="K26" s="1"/>
      <c r="M26" s="1" t="s">
        <v>569</v>
      </c>
      <c r="S26" s="29"/>
      <c r="T26" s="16" t="s">
        <v>218</v>
      </c>
      <c r="U26" s="1" t="s">
        <v>503</v>
      </c>
      <c r="AA26" t="s">
        <v>569</v>
      </c>
    </row>
  </sheetData>
  <mergeCells count="4">
    <mergeCell ref="T1:AE1"/>
    <mergeCell ref="T2:AE2"/>
    <mergeCell ref="A1:N1"/>
    <mergeCell ref="A2:N2"/>
  </mergeCells>
  <pageMargins left="0.7" right="0.7" top="0.75" bottom="0.75" header="0.3" footer="0.3"/>
  <pageSetup scale="36" orientation="landscape" r:id="rId1"/>
  <colBreaks count="1" manualBreakCount="1">
    <brk id="19" max="26"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M235"/>
  <sheetViews>
    <sheetView view="pageBreakPreview" topLeftCell="A4" zoomScale="90" zoomScaleNormal="80" zoomScaleSheetLayoutView="90" workbookViewId="0">
      <selection activeCell="A2" sqref="A2"/>
    </sheetView>
  </sheetViews>
  <sheetFormatPr defaultColWidth="8.84375" defaultRowHeight="15.5"/>
  <cols>
    <col min="1" max="1" width="6" style="80" customWidth="1"/>
    <col min="2" max="2" width="3.3046875" style="80" customWidth="1"/>
    <col min="3" max="3" width="39.07421875" style="80" customWidth="1"/>
    <col min="4" max="4" width="12" style="80" customWidth="1"/>
    <col min="5" max="5" width="14.4609375" style="80" customWidth="1"/>
    <col min="6" max="6" width="13.07421875" style="80" customWidth="1"/>
    <col min="7" max="7" width="14.07421875" style="80" customWidth="1"/>
    <col min="8" max="8" width="13.84375" style="80" customWidth="1"/>
    <col min="9" max="9" width="13.3046875" style="80" customWidth="1"/>
    <col min="10" max="10" width="13.07421875" style="80" customWidth="1"/>
    <col min="11" max="11" width="13.53515625" style="80" customWidth="1"/>
    <col min="12" max="12" width="15.3046875" style="80" customWidth="1"/>
    <col min="13" max="13" width="1.53515625" style="80" customWidth="1"/>
    <col min="14" max="16384" width="8.84375" style="80"/>
  </cols>
  <sheetData>
    <row r="1" spans="1:13">
      <c r="M1" s="303" t="str">
        <f>'Attachment H-11A '!K1&amp;""&amp;", Attachment 12"</f>
        <v>Attachment H -11A, Attachment 12</v>
      </c>
    </row>
    <row r="2" spans="1:13" ht="14.5" customHeight="1">
      <c r="L2" s="851"/>
      <c r="M2" s="303" t="s">
        <v>168</v>
      </c>
    </row>
    <row r="3" spans="1:13">
      <c r="M3" s="303" t="str">
        <f>'Attachment H-11A '!K4</f>
        <v>For the 12 months ended 12/31/2025</v>
      </c>
    </row>
    <row r="4" spans="1:13">
      <c r="A4" s="282"/>
      <c r="G4" s="288"/>
    </row>
    <row r="5" spans="1:13">
      <c r="A5" s="282"/>
      <c r="C5" s="204"/>
      <c r="D5" s="204"/>
    </row>
    <row r="6" spans="1:13">
      <c r="A6" s="282"/>
      <c r="C6" s="204"/>
      <c r="D6" s="204"/>
      <c r="L6" s="288"/>
    </row>
    <row r="7" spans="1:13" ht="14.25" customHeight="1">
      <c r="A7" s="282"/>
    </row>
    <row r="8" spans="1:13">
      <c r="A8" s="1156" t="s">
        <v>567</v>
      </c>
      <c r="B8" s="1156"/>
      <c r="C8" s="1156"/>
      <c r="D8" s="1156"/>
      <c r="E8" s="1156"/>
      <c r="F8" s="1156"/>
      <c r="G8" s="1156"/>
      <c r="H8" s="1156"/>
      <c r="I8" s="1156"/>
      <c r="J8" s="1156"/>
      <c r="K8" s="1156"/>
      <c r="L8" s="1156"/>
    </row>
    <row r="9" spans="1:13">
      <c r="A9" s="1157" t="s">
        <v>502</v>
      </c>
      <c r="B9" s="1162"/>
      <c r="C9" s="1162"/>
      <c r="D9" s="1162"/>
      <c r="E9" s="1162"/>
      <c r="F9" s="1162"/>
      <c r="G9" s="1162"/>
      <c r="H9" s="1162"/>
      <c r="I9" s="1162"/>
      <c r="J9" s="1162"/>
      <c r="K9" s="1162"/>
      <c r="L9" s="1162"/>
    </row>
    <row r="10" spans="1:13">
      <c r="A10" s="282"/>
      <c r="E10" s="291"/>
      <c r="H10" s="204"/>
      <c r="I10" s="204"/>
      <c r="J10" s="204"/>
      <c r="K10" s="204"/>
      <c r="L10" s="204"/>
    </row>
    <row r="11" spans="1:13">
      <c r="A11" s="282"/>
      <c r="E11" s="291"/>
      <c r="F11" s="291"/>
      <c r="H11" s="204"/>
      <c r="I11" s="204"/>
      <c r="J11" s="204"/>
      <c r="K11" s="204"/>
      <c r="L11" s="204"/>
    </row>
    <row r="12" spans="1:13">
      <c r="A12" s="282"/>
      <c r="C12" s="304" t="s">
        <v>237</v>
      </c>
      <c r="D12" s="304" t="s">
        <v>238</v>
      </c>
      <c r="E12" s="304" t="s">
        <v>239</v>
      </c>
      <c r="F12" s="304" t="s">
        <v>240</v>
      </c>
      <c r="G12" s="304" t="s">
        <v>241</v>
      </c>
      <c r="H12" s="304" t="s">
        <v>242</v>
      </c>
      <c r="I12" s="304" t="s">
        <v>243</v>
      </c>
      <c r="J12" s="304" t="s">
        <v>244</v>
      </c>
      <c r="K12" s="304" t="s">
        <v>245</v>
      </c>
      <c r="L12" s="304" t="s">
        <v>246</v>
      </c>
      <c r="M12" s="304"/>
    </row>
    <row r="13" spans="1:13" s="335" customFormat="1" ht="80.150000000000006" customHeight="1">
      <c r="A13" s="305" t="s">
        <v>159</v>
      </c>
      <c r="B13" s="333"/>
      <c r="C13" s="308" t="s">
        <v>160</v>
      </c>
      <c r="D13" s="308" t="s">
        <v>175</v>
      </c>
      <c r="E13" s="309" t="s">
        <v>508</v>
      </c>
      <c r="F13" s="309" t="s">
        <v>234</v>
      </c>
      <c r="G13" s="308" t="s">
        <v>430</v>
      </c>
      <c r="H13" s="308" t="s">
        <v>431</v>
      </c>
      <c r="I13" s="309" t="s">
        <v>235</v>
      </c>
      <c r="J13" s="309" t="s">
        <v>543</v>
      </c>
      <c r="K13" s="308" t="s">
        <v>544</v>
      </c>
      <c r="L13" s="309" t="s">
        <v>775</v>
      </c>
      <c r="M13" s="334"/>
    </row>
    <row r="14" spans="1:13" ht="66.75" customHeight="1">
      <c r="A14" s="312"/>
      <c r="B14" s="313"/>
      <c r="C14" s="313"/>
      <c r="D14" s="313"/>
      <c r="E14" s="336" t="s">
        <v>692</v>
      </c>
      <c r="F14" s="336" t="s">
        <v>766</v>
      </c>
      <c r="G14" s="336" t="s">
        <v>571</v>
      </c>
      <c r="H14" s="336" t="s">
        <v>432</v>
      </c>
      <c r="I14" s="336" t="s">
        <v>767</v>
      </c>
      <c r="J14" s="314" t="s">
        <v>816</v>
      </c>
      <c r="K14" s="336" t="s">
        <v>817</v>
      </c>
      <c r="L14" s="336" t="s">
        <v>440</v>
      </c>
      <c r="M14" s="337"/>
    </row>
    <row r="15" spans="1:13">
      <c r="A15" s="338">
        <v>1</v>
      </c>
      <c r="B15" s="204" t="s">
        <v>205</v>
      </c>
      <c r="C15" s="204" t="s">
        <v>438</v>
      </c>
      <c r="D15" s="204"/>
      <c r="E15" s="1053">
        <f>'Attachment 13b - PJM Billings'!L37</f>
        <v>365408.87054228579</v>
      </c>
      <c r="F15" s="339"/>
      <c r="G15" s="339"/>
      <c r="H15" s="340"/>
      <c r="I15" s="339"/>
      <c r="J15" s="339"/>
      <c r="K15" s="339"/>
      <c r="L15" s="339"/>
      <c r="M15" s="341"/>
    </row>
    <row r="16" spans="1:13">
      <c r="A16" s="342"/>
      <c r="B16" s="204"/>
      <c r="C16" s="204"/>
      <c r="D16" s="204"/>
      <c r="E16" s="204"/>
      <c r="F16" s="204"/>
      <c r="G16" s="204"/>
      <c r="H16" s="204"/>
      <c r="I16" s="204"/>
      <c r="J16" s="204"/>
      <c r="K16" s="204"/>
      <c r="L16" s="204"/>
      <c r="M16" s="343"/>
    </row>
    <row r="17" spans="1:13" ht="93">
      <c r="A17" s="395" t="s">
        <v>464</v>
      </c>
      <c r="B17" s="297"/>
      <c r="C17" s="398" t="s">
        <v>1384</v>
      </c>
      <c r="D17" s="396" t="s">
        <v>1320</v>
      </c>
      <c r="E17" s="327"/>
      <c r="F17" s="1080">
        <v>310274.01587069716</v>
      </c>
      <c r="G17" s="327">
        <f>IF($F$32=0,0,F17/$F$32)</f>
        <v>0.77616806065698585</v>
      </c>
      <c r="H17" s="327">
        <f>IF($E$15=0,0,$E$15*G17)</f>
        <v>283618.69439566555</v>
      </c>
      <c r="I17" s="1080">
        <v>329149.05876164453</v>
      </c>
      <c r="J17" s="327">
        <f t="shared" ref="J17:J18" si="0">H17-I17</f>
        <v>-45530.364365978981</v>
      </c>
      <c r="K17" s="344">
        <f>J17/$J$32*$L$34</f>
        <v>-7757.1662094118483</v>
      </c>
      <c r="L17" s="327">
        <f t="shared" ref="L17:L18" si="1">J17+K17</f>
        <v>-53287.530575390832</v>
      </c>
      <c r="M17" s="345"/>
    </row>
    <row r="18" spans="1:13">
      <c r="A18" s="395" t="s">
        <v>465</v>
      </c>
      <c r="C18" s="398" t="s">
        <v>1383</v>
      </c>
      <c r="D18" s="396" t="s">
        <v>1319</v>
      </c>
      <c r="E18" s="327"/>
      <c r="F18" s="1080">
        <v>89477.058153227961</v>
      </c>
      <c r="G18" s="327">
        <f>IF($F$32=0,0,F18/$F$32)</f>
        <v>0.22383193934301412</v>
      </c>
      <c r="H18" s="327">
        <f>IF($E$15=0,0,$E$15*G18)</f>
        <v>81790.176146620215</v>
      </c>
      <c r="I18" s="1080">
        <v>71137.610013092664</v>
      </c>
      <c r="J18" s="327">
        <f t="shared" si="0"/>
        <v>10652.566133527551</v>
      </c>
      <c r="K18" s="344">
        <f>J18/$J$32*$L$34</f>
        <v>1814.914666403816</v>
      </c>
      <c r="L18" s="327">
        <f t="shared" si="1"/>
        <v>12467.480799931367</v>
      </c>
      <c r="M18" s="345"/>
    </row>
    <row r="19" spans="1:13">
      <c r="A19" s="284"/>
      <c r="E19" s="327"/>
      <c r="F19" s="327"/>
      <c r="G19" s="327"/>
      <c r="H19" s="327"/>
      <c r="I19" s="327"/>
      <c r="J19" s="327"/>
      <c r="K19" s="327"/>
      <c r="L19" s="327"/>
      <c r="M19" s="345"/>
    </row>
    <row r="20" spans="1:13">
      <c r="A20" s="284"/>
      <c r="C20" s="189"/>
      <c r="D20" s="189"/>
      <c r="E20" s="192"/>
      <c r="F20" s="192"/>
      <c r="G20" s="192"/>
      <c r="H20" s="192"/>
      <c r="I20" s="192"/>
      <c r="J20" s="192"/>
      <c r="K20" s="192"/>
      <c r="L20" s="192"/>
      <c r="M20" s="346"/>
    </row>
    <row r="21" spans="1:13">
      <c r="A21" s="284"/>
      <c r="C21" s="189"/>
      <c r="D21" s="189"/>
      <c r="E21" s="192"/>
      <c r="F21" s="192"/>
      <c r="G21" s="192"/>
      <c r="H21" s="192"/>
      <c r="I21" s="192"/>
      <c r="J21" s="192"/>
      <c r="K21" s="192"/>
      <c r="L21" s="192"/>
      <c r="M21" s="346"/>
    </row>
    <row r="22" spans="1:13">
      <c r="A22" s="284"/>
      <c r="C22" s="189"/>
      <c r="D22" s="189"/>
      <c r="E22" s="192"/>
      <c r="F22" s="192"/>
      <c r="G22" s="192"/>
      <c r="H22" s="192"/>
      <c r="I22" s="192"/>
      <c r="J22" s="192"/>
      <c r="K22" s="192"/>
      <c r="L22" s="192"/>
      <c r="M22" s="346"/>
    </row>
    <row r="23" spans="1:13">
      <c r="A23" s="284"/>
      <c r="C23" s="189"/>
      <c r="D23" s="189"/>
      <c r="E23" s="192"/>
      <c r="F23" s="192"/>
      <c r="G23" s="192"/>
      <c r="H23" s="192"/>
      <c r="I23" s="192"/>
      <c r="J23" s="192"/>
      <c r="K23" s="192"/>
      <c r="L23" s="192"/>
      <c r="M23" s="346"/>
    </row>
    <row r="24" spans="1:13">
      <c r="A24" s="284"/>
      <c r="C24" s="189"/>
      <c r="D24" s="189"/>
      <c r="E24" s="192"/>
      <c r="F24" s="192"/>
      <c r="G24" s="192"/>
      <c r="H24" s="192"/>
      <c r="I24" s="192"/>
      <c r="J24" s="192"/>
      <c r="K24" s="192"/>
      <c r="L24" s="192"/>
      <c r="M24" s="346"/>
    </row>
    <row r="25" spans="1:13">
      <c r="A25" s="284"/>
      <c r="C25" s="189"/>
      <c r="D25" s="189"/>
      <c r="E25" s="192"/>
      <c r="F25" s="192"/>
      <c r="G25" s="192"/>
      <c r="H25" s="192"/>
      <c r="I25" s="192"/>
      <c r="J25" s="192"/>
      <c r="K25" s="192"/>
      <c r="L25" s="192"/>
      <c r="M25" s="346"/>
    </row>
    <row r="26" spans="1:13">
      <c r="A26" s="284"/>
      <c r="C26" s="189"/>
      <c r="D26" s="189"/>
      <c r="E26" s="192"/>
      <c r="F26" s="192"/>
      <c r="G26" s="192"/>
      <c r="H26" s="192"/>
      <c r="I26" s="192"/>
      <c r="J26" s="192"/>
      <c r="K26" s="192"/>
      <c r="L26" s="192"/>
      <c r="M26" s="346"/>
    </row>
    <row r="27" spans="1:13">
      <c r="A27" s="284"/>
      <c r="C27" s="189"/>
      <c r="D27" s="189"/>
      <c r="E27" s="192"/>
      <c r="F27" s="192"/>
      <c r="G27" s="192"/>
      <c r="H27" s="192"/>
      <c r="I27" s="192"/>
      <c r="J27" s="192"/>
      <c r="K27" s="192"/>
      <c r="L27" s="192"/>
      <c r="M27" s="346"/>
    </row>
    <row r="28" spans="1:13">
      <c r="A28" s="284"/>
      <c r="C28" s="189"/>
      <c r="D28" s="189"/>
      <c r="E28" s="192"/>
      <c r="F28" s="192"/>
      <c r="G28" s="192"/>
      <c r="H28" s="192"/>
      <c r="I28" s="192"/>
      <c r="J28" s="192"/>
      <c r="K28" s="192"/>
      <c r="L28" s="192"/>
      <c r="M28" s="346"/>
    </row>
    <row r="29" spans="1:13">
      <c r="A29" s="284"/>
      <c r="C29" s="189"/>
      <c r="D29" s="189"/>
      <c r="E29" s="192"/>
      <c r="F29" s="192"/>
      <c r="G29" s="192"/>
      <c r="H29" s="192"/>
      <c r="I29" s="192"/>
      <c r="J29" s="192"/>
      <c r="K29" s="192"/>
      <c r="L29" s="192"/>
      <c r="M29" s="346"/>
    </row>
    <row r="30" spans="1:13">
      <c r="A30" s="284"/>
      <c r="C30" s="189"/>
      <c r="D30" s="189"/>
      <c r="E30" s="192"/>
      <c r="F30" s="192"/>
      <c r="G30" s="192"/>
      <c r="H30" s="192"/>
      <c r="I30" s="192"/>
      <c r="J30" s="192"/>
      <c r="K30" s="192"/>
      <c r="L30" s="192"/>
      <c r="M30" s="346"/>
    </row>
    <row r="31" spans="1:13">
      <c r="A31" s="324"/>
      <c r="B31" s="302"/>
      <c r="C31" s="325"/>
      <c r="D31" s="325"/>
      <c r="E31" s="347"/>
      <c r="F31" s="347"/>
      <c r="G31" s="347"/>
      <c r="H31" s="347"/>
      <c r="I31" s="347"/>
      <c r="J31" s="347"/>
      <c r="K31" s="347"/>
      <c r="L31" s="347"/>
      <c r="M31" s="348"/>
    </row>
    <row r="32" spans="1:13">
      <c r="A32" s="286" t="s">
        <v>191</v>
      </c>
      <c r="B32" s="349"/>
      <c r="C32" s="80" t="s">
        <v>236</v>
      </c>
      <c r="D32" s="204"/>
      <c r="E32" s="297"/>
      <c r="F32" s="350">
        <f>SUM(F17:F31)</f>
        <v>399751.07402392512</v>
      </c>
      <c r="G32" s="350"/>
      <c r="H32" s="350"/>
      <c r="I32" s="350">
        <f>SUM(I17:I31)</f>
        <v>400286.66877473716</v>
      </c>
      <c r="J32" s="350">
        <f>SUM(J17:J31)</f>
        <v>-34877.798232451431</v>
      </c>
      <c r="K32" s="327"/>
      <c r="L32" s="327">
        <f>SUM(L17:L31)</f>
        <v>-40820.049775459469</v>
      </c>
      <c r="M32" s="327"/>
    </row>
    <row r="33" spans="1:13">
      <c r="A33" s="189"/>
      <c r="B33" s="189"/>
      <c r="E33" s="189"/>
    </row>
    <row r="34" spans="1:13">
      <c r="A34" s="286" t="s">
        <v>192</v>
      </c>
      <c r="B34" s="189"/>
      <c r="C34" s="80" t="s">
        <v>1170</v>
      </c>
      <c r="E34" s="189"/>
      <c r="J34" s="327"/>
      <c r="L34" s="327">
        <f>'Attachment 13a - TEC True-Up'!G73</f>
        <v>-5942.2515430080321</v>
      </c>
      <c r="M34" s="327"/>
    </row>
    <row r="35" spans="1:13">
      <c r="A35" s="331"/>
      <c r="B35" s="189"/>
      <c r="E35" s="189"/>
    </row>
    <row r="36" spans="1:13">
      <c r="A36" s="189" t="s">
        <v>247</v>
      </c>
      <c r="B36" s="189"/>
      <c r="C36" s="189"/>
      <c r="D36" s="189"/>
      <c r="E36" s="189"/>
      <c r="F36" s="189"/>
      <c r="G36" s="189"/>
      <c r="H36" s="189"/>
      <c r="I36" s="189"/>
      <c r="J36" s="189"/>
      <c r="K36" s="189"/>
      <c r="L36" s="189"/>
      <c r="M36" s="189"/>
    </row>
    <row r="37" spans="1:13">
      <c r="A37" s="329"/>
      <c r="B37" s="189" t="s">
        <v>205</v>
      </c>
      <c r="C37" s="189" t="s">
        <v>429</v>
      </c>
      <c r="D37" s="189"/>
      <c r="E37" s="189"/>
      <c r="F37" s="189"/>
      <c r="G37" s="189"/>
      <c r="H37" s="189"/>
      <c r="I37" s="189"/>
      <c r="J37" s="189"/>
      <c r="K37" s="189"/>
      <c r="L37" s="189"/>
      <c r="M37" s="189"/>
    </row>
    <row r="38" spans="1:13">
      <c r="A38" s="351"/>
      <c r="C38" s="286"/>
      <c r="D38" s="286"/>
      <c r="E38" s="297"/>
      <c r="F38" s="297"/>
      <c r="G38" s="288"/>
      <c r="J38" s="332"/>
    </row>
    <row r="39" spans="1:13">
      <c r="A39" s="351"/>
      <c r="C39" s="286"/>
      <c r="D39" s="286"/>
      <c r="E39" s="297"/>
      <c r="F39" s="297"/>
      <c r="G39" s="288"/>
      <c r="J39" s="332"/>
    </row>
    <row r="40" spans="1:13">
      <c r="C40" s="189"/>
      <c r="D40" s="189"/>
      <c r="E40" s="189"/>
      <c r="F40" s="189"/>
      <c r="G40" s="189"/>
      <c r="H40" s="189"/>
      <c r="I40" s="189"/>
      <c r="J40" s="189"/>
      <c r="K40" s="189"/>
      <c r="L40" s="189"/>
    </row>
    <row r="41" spans="1:13">
      <c r="C41" s="189"/>
      <c r="D41" s="189"/>
      <c r="E41" s="189"/>
      <c r="F41" s="189"/>
      <c r="G41" s="189"/>
      <c r="H41" s="189"/>
      <c r="I41" s="189"/>
      <c r="J41" s="189"/>
      <c r="K41" s="189"/>
      <c r="L41" s="189"/>
    </row>
    <row r="42" spans="1:13">
      <c r="C42" s="189"/>
      <c r="D42" s="189"/>
      <c r="E42" s="189"/>
      <c r="F42" s="189"/>
      <c r="G42" s="189"/>
      <c r="H42" s="189"/>
      <c r="I42" s="189"/>
      <c r="J42" s="189"/>
      <c r="K42" s="189"/>
      <c r="L42" s="189"/>
    </row>
    <row r="43" spans="1:13">
      <c r="C43" s="189"/>
      <c r="D43" s="189"/>
      <c r="E43" s="189"/>
      <c r="F43" s="189"/>
      <c r="G43" s="189"/>
      <c r="H43" s="189"/>
      <c r="I43" s="189"/>
      <c r="J43" s="189"/>
      <c r="K43" s="189"/>
      <c r="L43" s="189"/>
    </row>
    <row r="44" spans="1:13">
      <c r="C44" s="189"/>
      <c r="D44" s="189"/>
      <c r="E44" s="189"/>
      <c r="F44" s="189"/>
      <c r="G44" s="189"/>
      <c r="H44" s="189"/>
      <c r="I44" s="189"/>
      <c r="J44" s="189"/>
      <c r="K44" s="189"/>
      <c r="L44" s="189"/>
    </row>
    <row r="45" spans="1:13">
      <c r="C45" s="189"/>
      <c r="D45" s="189"/>
      <c r="E45" s="189"/>
      <c r="F45" s="189"/>
      <c r="G45" s="189"/>
      <c r="H45" s="189"/>
      <c r="I45" s="189"/>
      <c r="J45" s="189"/>
      <c r="K45" s="189"/>
      <c r="L45" s="189"/>
    </row>
    <row r="46" spans="1:13">
      <c r="C46" s="189"/>
      <c r="D46" s="189"/>
      <c r="E46" s="189"/>
      <c r="F46" s="189"/>
      <c r="G46" s="189"/>
      <c r="H46" s="189"/>
      <c r="I46" s="189"/>
      <c r="J46" s="189"/>
      <c r="K46" s="189"/>
      <c r="L46" s="189"/>
    </row>
    <row r="47" spans="1:13">
      <c r="C47" s="189"/>
      <c r="D47" s="189"/>
      <c r="E47" s="189"/>
      <c r="F47" s="189"/>
      <c r="G47" s="189"/>
      <c r="H47" s="189"/>
      <c r="I47" s="189"/>
      <c r="J47" s="189"/>
      <c r="K47" s="189"/>
      <c r="L47" s="189"/>
    </row>
    <row r="48" spans="1:13">
      <c r="C48" s="189"/>
      <c r="D48" s="189"/>
      <c r="E48" s="189"/>
      <c r="F48" s="189"/>
      <c r="G48" s="189"/>
      <c r="H48" s="189"/>
      <c r="I48" s="189"/>
      <c r="J48" s="189"/>
      <c r="K48" s="189"/>
      <c r="L48" s="189"/>
    </row>
    <row r="49" spans="3:12">
      <c r="C49" s="189"/>
      <c r="D49" s="189"/>
      <c r="E49" s="189"/>
      <c r="F49" s="189"/>
      <c r="G49" s="189"/>
      <c r="H49" s="189"/>
      <c r="I49" s="189"/>
      <c r="J49" s="189"/>
      <c r="K49" s="189"/>
      <c r="L49" s="189"/>
    </row>
    <row r="50" spans="3:12">
      <c r="C50" s="189"/>
      <c r="D50" s="189"/>
      <c r="E50" s="189"/>
      <c r="F50" s="189"/>
      <c r="G50" s="189"/>
      <c r="H50" s="189"/>
      <c r="I50" s="189"/>
      <c r="J50" s="189"/>
      <c r="K50" s="189"/>
      <c r="L50" s="189"/>
    </row>
    <row r="51" spans="3:12">
      <c r="C51" s="189"/>
      <c r="D51" s="189"/>
      <c r="E51" s="189"/>
      <c r="F51" s="189"/>
      <c r="G51" s="189"/>
      <c r="H51" s="189"/>
      <c r="I51" s="189"/>
      <c r="J51" s="189"/>
      <c r="K51" s="189"/>
      <c r="L51" s="189"/>
    </row>
    <row r="52" spans="3:12">
      <c r="C52" s="189"/>
      <c r="D52" s="189"/>
      <c r="E52" s="189"/>
      <c r="F52" s="189"/>
      <c r="G52" s="189"/>
      <c r="H52" s="189"/>
      <c r="I52" s="189"/>
      <c r="J52" s="189"/>
      <c r="K52" s="189"/>
      <c r="L52" s="189"/>
    </row>
    <row r="53" spans="3:12">
      <c r="C53" s="189"/>
      <c r="D53" s="189"/>
      <c r="E53" s="189"/>
      <c r="F53" s="189"/>
      <c r="G53" s="189"/>
      <c r="H53" s="189"/>
      <c r="I53" s="189"/>
      <c r="J53" s="189"/>
      <c r="K53" s="189"/>
      <c r="L53" s="189"/>
    </row>
    <row r="54" spans="3:12">
      <c r="C54" s="189"/>
      <c r="D54" s="189"/>
      <c r="E54" s="189"/>
      <c r="F54" s="189"/>
      <c r="G54" s="189"/>
      <c r="H54" s="189"/>
      <c r="I54" s="189"/>
      <c r="J54" s="189"/>
      <c r="K54" s="189"/>
      <c r="L54" s="189"/>
    </row>
    <row r="55" spans="3:12">
      <c r="C55" s="189"/>
      <c r="D55" s="189"/>
      <c r="E55" s="189"/>
      <c r="F55" s="189"/>
      <c r="G55" s="189"/>
      <c r="H55" s="189"/>
      <c r="I55" s="189"/>
      <c r="J55" s="189"/>
      <c r="K55" s="189"/>
      <c r="L55" s="189"/>
    </row>
    <row r="56" spans="3:12">
      <c r="C56" s="189"/>
      <c r="D56" s="189"/>
      <c r="E56" s="189"/>
      <c r="F56" s="189"/>
      <c r="G56" s="189"/>
      <c r="H56" s="189"/>
      <c r="I56" s="189"/>
      <c r="J56" s="189"/>
      <c r="K56" s="189"/>
      <c r="L56" s="189"/>
    </row>
    <row r="57" spans="3:12">
      <c r="C57" s="189"/>
      <c r="D57" s="189"/>
      <c r="E57" s="189"/>
      <c r="F57" s="189"/>
      <c r="G57" s="189"/>
      <c r="H57" s="189"/>
      <c r="I57" s="189"/>
      <c r="J57" s="189"/>
      <c r="K57" s="189"/>
      <c r="L57" s="189"/>
    </row>
    <row r="58" spans="3:12">
      <c r="C58" s="189"/>
      <c r="D58" s="189"/>
      <c r="E58" s="189"/>
      <c r="F58" s="189"/>
      <c r="G58" s="189"/>
      <c r="H58" s="189"/>
      <c r="I58" s="189"/>
      <c r="J58" s="189"/>
      <c r="K58" s="189"/>
      <c r="L58" s="189"/>
    </row>
    <row r="59" spans="3:12">
      <c r="C59" s="189"/>
      <c r="D59" s="189"/>
      <c r="E59" s="189"/>
      <c r="F59" s="189"/>
      <c r="G59" s="189"/>
      <c r="H59" s="189"/>
      <c r="I59" s="189"/>
      <c r="J59" s="189"/>
      <c r="K59" s="189"/>
      <c r="L59" s="189"/>
    </row>
    <row r="60" spans="3:12">
      <c r="C60" s="189"/>
      <c r="D60" s="189"/>
      <c r="E60" s="189"/>
      <c r="F60" s="189"/>
      <c r="G60" s="189"/>
      <c r="H60" s="189"/>
      <c r="I60" s="189"/>
      <c r="J60" s="189"/>
      <c r="K60" s="189"/>
      <c r="L60" s="189"/>
    </row>
    <row r="61" spans="3:12">
      <c r="C61" s="189"/>
      <c r="D61" s="189"/>
      <c r="E61" s="189"/>
      <c r="F61" s="189"/>
      <c r="G61" s="189"/>
      <c r="H61" s="189"/>
      <c r="I61" s="189"/>
      <c r="J61" s="189"/>
      <c r="K61" s="189"/>
      <c r="L61" s="189"/>
    </row>
    <row r="62" spans="3:12">
      <c r="C62" s="189"/>
      <c r="D62" s="189"/>
      <c r="E62" s="189"/>
      <c r="F62" s="189"/>
      <c r="G62" s="189"/>
      <c r="H62" s="189"/>
      <c r="I62" s="189"/>
      <c r="J62" s="189"/>
      <c r="K62" s="189"/>
      <c r="L62" s="189"/>
    </row>
    <row r="63" spans="3:12">
      <c r="C63" s="189"/>
      <c r="D63" s="189"/>
      <c r="E63" s="189"/>
      <c r="F63" s="189"/>
      <c r="G63" s="189"/>
      <c r="H63" s="189"/>
      <c r="I63" s="189"/>
      <c r="J63" s="189"/>
      <c r="K63" s="189"/>
      <c r="L63" s="189"/>
    </row>
    <row r="64" spans="3:12">
      <c r="C64" s="189"/>
      <c r="D64" s="189"/>
      <c r="E64" s="189"/>
      <c r="F64" s="189"/>
      <c r="G64" s="189"/>
      <c r="H64" s="189"/>
      <c r="I64" s="189"/>
      <c r="J64" s="189"/>
      <c r="K64" s="189"/>
      <c r="L64" s="189"/>
    </row>
    <row r="65" spans="3:12">
      <c r="C65" s="189"/>
      <c r="D65" s="189"/>
      <c r="E65" s="189"/>
      <c r="F65" s="189"/>
      <c r="G65" s="189"/>
      <c r="H65" s="189"/>
      <c r="I65" s="189"/>
      <c r="J65" s="189"/>
      <c r="K65" s="189"/>
      <c r="L65" s="189"/>
    </row>
    <row r="66" spans="3:12">
      <c r="C66" s="189"/>
      <c r="D66" s="189"/>
      <c r="E66" s="189"/>
      <c r="F66" s="189"/>
      <c r="G66" s="189"/>
      <c r="H66" s="189"/>
      <c r="I66" s="189"/>
      <c r="J66" s="189"/>
      <c r="K66" s="189"/>
      <c r="L66" s="189"/>
    </row>
    <row r="67" spans="3:12">
      <c r="C67" s="189"/>
      <c r="D67" s="189"/>
      <c r="E67" s="189"/>
      <c r="F67" s="189"/>
      <c r="G67" s="189"/>
      <c r="H67" s="189"/>
      <c r="I67" s="189"/>
      <c r="J67" s="189"/>
      <c r="K67" s="189"/>
      <c r="L67" s="189"/>
    </row>
    <row r="68" spans="3:12">
      <c r="C68" s="189"/>
      <c r="D68" s="189"/>
      <c r="E68" s="189"/>
      <c r="F68" s="189"/>
      <c r="G68" s="189"/>
      <c r="H68" s="189"/>
      <c r="I68" s="189"/>
      <c r="J68" s="189"/>
      <c r="K68" s="189"/>
      <c r="L68" s="189"/>
    </row>
    <row r="69" spans="3:12">
      <c r="C69" s="189"/>
      <c r="D69" s="189"/>
      <c r="E69" s="189"/>
      <c r="F69" s="189"/>
      <c r="G69" s="189"/>
      <c r="H69" s="189"/>
      <c r="I69" s="189"/>
      <c r="J69" s="189"/>
      <c r="K69" s="189"/>
      <c r="L69" s="189"/>
    </row>
    <row r="70" spans="3:12">
      <c r="C70" s="189"/>
      <c r="D70" s="189"/>
      <c r="E70" s="189"/>
      <c r="F70" s="189"/>
      <c r="G70" s="189"/>
      <c r="H70" s="189"/>
      <c r="I70" s="189"/>
      <c r="J70" s="189"/>
      <c r="K70" s="189"/>
      <c r="L70" s="189"/>
    </row>
    <row r="71" spans="3:12">
      <c r="C71" s="189"/>
      <c r="D71" s="189"/>
      <c r="E71" s="189"/>
      <c r="F71" s="189"/>
      <c r="G71" s="189"/>
      <c r="H71" s="189"/>
      <c r="I71" s="189"/>
      <c r="J71" s="189"/>
      <c r="K71" s="189"/>
      <c r="L71" s="189"/>
    </row>
    <row r="72" spans="3:12">
      <c r="C72" s="189"/>
      <c r="D72" s="189"/>
      <c r="E72" s="189"/>
      <c r="F72" s="189"/>
      <c r="G72" s="189"/>
      <c r="H72" s="189"/>
      <c r="I72" s="189"/>
      <c r="J72" s="189"/>
      <c r="K72" s="189"/>
      <c r="L72" s="189"/>
    </row>
    <row r="73" spans="3:12">
      <c r="C73" s="189"/>
      <c r="D73" s="189"/>
      <c r="E73" s="189"/>
      <c r="F73" s="189"/>
      <c r="G73" s="189"/>
      <c r="H73" s="189"/>
      <c r="I73" s="189"/>
      <c r="J73" s="189"/>
      <c r="K73" s="189"/>
      <c r="L73" s="189"/>
    </row>
    <row r="74" spans="3:12">
      <c r="C74" s="189"/>
      <c r="D74" s="189"/>
      <c r="E74" s="189"/>
      <c r="F74" s="189"/>
      <c r="G74" s="189"/>
      <c r="H74" s="189"/>
      <c r="I74" s="189"/>
      <c r="J74" s="189"/>
      <c r="K74" s="189"/>
      <c r="L74" s="189"/>
    </row>
    <row r="75" spans="3:12">
      <c r="C75" s="189"/>
      <c r="D75" s="189"/>
      <c r="E75" s="189"/>
      <c r="F75" s="189"/>
      <c r="G75" s="189"/>
      <c r="H75" s="189"/>
      <c r="I75" s="189"/>
      <c r="J75" s="189"/>
      <c r="K75" s="189"/>
      <c r="L75" s="189"/>
    </row>
    <row r="76" spans="3:12">
      <c r="C76" s="189"/>
      <c r="D76" s="189"/>
      <c r="E76" s="189"/>
      <c r="F76" s="189"/>
      <c r="G76" s="189"/>
      <c r="H76" s="189"/>
      <c r="I76" s="189"/>
      <c r="J76" s="189"/>
      <c r="K76" s="189"/>
      <c r="L76" s="189"/>
    </row>
    <row r="77" spans="3:12">
      <c r="C77" s="189"/>
      <c r="D77" s="189"/>
      <c r="E77" s="189"/>
      <c r="F77" s="189"/>
      <c r="G77" s="189"/>
      <c r="H77" s="189"/>
      <c r="I77" s="189"/>
      <c r="J77" s="189"/>
      <c r="K77" s="189"/>
      <c r="L77" s="189"/>
    </row>
    <row r="78" spans="3:12">
      <c r="C78" s="189"/>
      <c r="D78" s="189"/>
      <c r="E78" s="189"/>
      <c r="F78" s="189"/>
      <c r="G78" s="189"/>
      <c r="H78" s="189"/>
      <c r="I78" s="189"/>
      <c r="J78" s="189"/>
      <c r="K78" s="189"/>
      <c r="L78" s="189"/>
    </row>
    <row r="79" spans="3:12">
      <c r="C79" s="189"/>
      <c r="D79" s="189"/>
      <c r="E79" s="189"/>
      <c r="F79" s="189"/>
      <c r="G79" s="189"/>
      <c r="H79" s="189"/>
      <c r="I79" s="189"/>
      <c r="J79" s="189"/>
      <c r="K79" s="189"/>
      <c r="L79" s="189"/>
    </row>
    <row r="80" spans="3:12">
      <c r="C80" s="189"/>
      <c r="D80" s="189"/>
      <c r="E80" s="189"/>
      <c r="F80" s="189"/>
      <c r="G80" s="189"/>
      <c r="H80" s="189"/>
      <c r="I80" s="189"/>
      <c r="J80" s="189"/>
      <c r="K80" s="189"/>
      <c r="L80" s="189"/>
    </row>
    <row r="81" spans="3:12">
      <c r="C81" s="189"/>
      <c r="D81" s="189"/>
      <c r="E81" s="189"/>
      <c r="F81" s="189"/>
      <c r="G81" s="189"/>
      <c r="H81" s="189"/>
      <c r="I81" s="189"/>
      <c r="J81" s="189"/>
      <c r="K81" s="189"/>
      <c r="L81" s="189"/>
    </row>
    <row r="82" spans="3:12">
      <c r="C82" s="189"/>
      <c r="D82" s="189"/>
      <c r="E82" s="189"/>
      <c r="F82" s="189"/>
      <c r="G82" s="189"/>
      <c r="H82" s="189"/>
      <c r="I82" s="189"/>
      <c r="J82" s="189"/>
      <c r="K82" s="189"/>
      <c r="L82" s="189"/>
    </row>
    <row r="83" spans="3:12">
      <c r="C83" s="189"/>
      <c r="D83" s="189"/>
      <c r="E83" s="189"/>
      <c r="F83" s="189"/>
      <c r="G83" s="189"/>
      <c r="H83" s="189"/>
      <c r="I83" s="189"/>
      <c r="J83" s="189"/>
      <c r="K83" s="189"/>
      <c r="L83" s="189"/>
    </row>
    <row r="84" spans="3:12">
      <c r="C84" s="189"/>
      <c r="D84" s="189"/>
      <c r="E84" s="189"/>
      <c r="F84" s="189"/>
      <c r="G84" s="189"/>
      <c r="H84" s="189"/>
      <c r="I84" s="189"/>
      <c r="J84" s="189"/>
      <c r="K84" s="189"/>
      <c r="L84" s="189"/>
    </row>
    <row r="85" spans="3:12">
      <c r="C85" s="189"/>
      <c r="D85" s="189"/>
      <c r="E85" s="189"/>
      <c r="F85" s="189"/>
      <c r="G85" s="189"/>
      <c r="H85" s="189"/>
      <c r="I85" s="189"/>
      <c r="J85" s="189"/>
      <c r="K85" s="189"/>
      <c r="L85" s="189"/>
    </row>
    <row r="86" spans="3:12">
      <c r="C86" s="189"/>
      <c r="D86" s="189"/>
      <c r="E86" s="189"/>
      <c r="F86" s="189"/>
      <c r="G86" s="189"/>
      <c r="H86" s="189"/>
      <c r="I86" s="189"/>
      <c r="J86" s="189"/>
      <c r="K86" s="189"/>
      <c r="L86" s="189"/>
    </row>
    <row r="87" spans="3:12">
      <c r="C87" s="189"/>
      <c r="D87" s="189"/>
      <c r="E87" s="189"/>
      <c r="F87" s="189"/>
      <c r="G87" s="189"/>
      <c r="H87" s="189"/>
      <c r="I87" s="189"/>
      <c r="J87" s="189"/>
      <c r="K87" s="189"/>
      <c r="L87" s="189"/>
    </row>
    <row r="88" spans="3:12">
      <c r="C88" s="189"/>
      <c r="D88" s="189"/>
      <c r="E88" s="189"/>
      <c r="F88" s="189"/>
      <c r="G88" s="189"/>
      <c r="H88" s="189"/>
      <c r="I88" s="189"/>
      <c r="J88" s="189"/>
      <c r="K88" s="189"/>
      <c r="L88" s="189"/>
    </row>
    <row r="89" spans="3:12">
      <c r="C89" s="189"/>
      <c r="D89" s="189"/>
      <c r="E89" s="189"/>
      <c r="F89" s="189"/>
      <c r="G89" s="189"/>
      <c r="H89" s="189"/>
      <c r="I89" s="189"/>
      <c r="J89" s="189"/>
      <c r="K89" s="189"/>
      <c r="L89" s="189"/>
    </row>
    <row r="90" spans="3:12">
      <c r="C90" s="189"/>
      <c r="D90" s="189"/>
      <c r="E90" s="189"/>
      <c r="F90" s="189"/>
      <c r="G90" s="189"/>
      <c r="H90" s="189"/>
      <c r="I90" s="189"/>
      <c r="J90" s="189"/>
      <c r="K90" s="189"/>
      <c r="L90" s="189"/>
    </row>
    <row r="91" spans="3:12">
      <c r="C91" s="189"/>
      <c r="D91" s="189"/>
      <c r="E91" s="189"/>
      <c r="F91" s="189"/>
      <c r="G91" s="189"/>
      <c r="H91" s="189"/>
      <c r="I91" s="189"/>
      <c r="J91" s="189"/>
      <c r="K91" s="189"/>
      <c r="L91" s="189"/>
    </row>
    <row r="92" spans="3:12">
      <c r="C92" s="189"/>
      <c r="D92" s="189"/>
      <c r="E92" s="189"/>
      <c r="F92" s="189"/>
      <c r="G92" s="189"/>
      <c r="H92" s="189"/>
      <c r="I92" s="189"/>
      <c r="J92" s="189"/>
      <c r="K92" s="189"/>
      <c r="L92" s="189"/>
    </row>
    <row r="93" spans="3:12">
      <c r="C93" s="189"/>
      <c r="D93" s="189"/>
      <c r="E93" s="189"/>
      <c r="F93" s="189"/>
      <c r="G93" s="189"/>
      <c r="H93" s="189"/>
      <c r="I93" s="189"/>
      <c r="J93" s="189"/>
      <c r="K93" s="189"/>
      <c r="L93" s="189"/>
    </row>
    <row r="94" spans="3:12">
      <c r="C94" s="189"/>
      <c r="D94" s="189"/>
      <c r="E94" s="189"/>
      <c r="F94" s="189"/>
      <c r="G94" s="189"/>
      <c r="H94" s="189"/>
      <c r="I94" s="189"/>
      <c r="J94" s="189"/>
      <c r="K94" s="189"/>
      <c r="L94" s="189"/>
    </row>
    <row r="95" spans="3:12">
      <c r="C95" s="189"/>
      <c r="D95" s="189"/>
      <c r="E95" s="189"/>
      <c r="F95" s="189"/>
      <c r="G95" s="189"/>
      <c r="H95" s="189"/>
      <c r="I95" s="189"/>
      <c r="J95" s="189"/>
      <c r="K95" s="189"/>
      <c r="L95" s="189"/>
    </row>
    <row r="96" spans="3:12">
      <c r="C96" s="189"/>
      <c r="D96" s="189"/>
      <c r="E96" s="189"/>
      <c r="F96" s="189"/>
      <c r="G96" s="189"/>
      <c r="H96" s="189"/>
      <c r="I96" s="189"/>
      <c r="J96" s="189"/>
      <c r="K96" s="189"/>
      <c r="L96" s="189"/>
    </row>
    <row r="97" spans="3:12">
      <c r="C97" s="189"/>
      <c r="D97" s="189"/>
      <c r="E97" s="189"/>
      <c r="F97" s="189"/>
      <c r="G97" s="189"/>
      <c r="H97" s="189"/>
      <c r="I97" s="189"/>
      <c r="J97" s="189"/>
      <c r="K97" s="189"/>
      <c r="L97" s="189"/>
    </row>
    <row r="98" spans="3:12">
      <c r="C98" s="189"/>
      <c r="D98" s="189"/>
      <c r="E98" s="189"/>
      <c r="F98" s="189"/>
      <c r="G98" s="189"/>
      <c r="H98" s="189"/>
      <c r="I98" s="189"/>
      <c r="J98" s="189"/>
      <c r="K98" s="189"/>
      <c r="L98" s="189"/>
    </row>
    <row r="99" spans="3:12">
      <c r="C99" s="189"/>
      <c r="D99" s="189"/>
      <c r="E99" s="189"/>
      <c r="F99" s="189"/>
      <c r="G99" s="189"/>
      <c r="H99" s="189"/>
      <c r="I99" s="189"/>
      <c r="J99" s="189"/>
      <c r="K99" s="189"/>
      <c r="L99" s="189"/>
    </row>
    <row r="100" spans="3:12">
      <c r="C100" s="189"/>
      <c r="D100" s="189"/>
      <c r="E100" s="189"/>
      <c r="F100" s="189"/>
      <c r="G100" s="189"/>
      <c r="H100" s="189"/>
      <c r="I100" s="189"/>
      <c r="J100" s="189"/>
      <c r="K100" s="189"/>
      <c r="L100" s="189"/>
    </row>
    <row r="101" spans="3:12">
      <c r="C101" s="189"/>
      <c r="D101" s="189"/>
      <c r="E101" s="189"/>
      <c r="F101" s="189"/>
      <c r="G101" s="189"/>
      <c r="H101" s="189"/>
      <c r="I101" s="189"/>
      <c r="J101" s="189"/>
      <c r="K101" s="189"/>
      <c r="L101" s="189"/>
    </row>
    <row r="102" spans="3:12">
      <c r="C102" s="189"/>
      <c r="D102" s="189"/>
      <c r="E102" s="189"/>
      <c r="F102" s="189"/>
      <c r="G102" s="189"/>
      <c r="H102" s="189"/>
      <c r="I102" s="189"/>
      <c r="J102" s="189"/>
      <c r="K102" s="189"/>
      <c r="L102" s="189"/>
    </row>
    <row r="103" spans="3:12">
      <c r="C103" s="189"/>
      <c r="D103" s="189"/>
      <c r="E103" s="189"/>
      <c r="F103" s="189"/>
      <c r="G103" s="189"/>
      <c r="H103" s="189"/>
      <c r="I103" s="189"/>
      <c r="J103" s="189"/>
      <c r="K103" s="189"/>
      <c r="L103" s="189"/>
    </row>
    <row r="104" spans="3:12">
      <c r="C104" s="189"/>
      <c r="D104" s="189"/>
      <c r="E104" s="189"/>
      <c r="F104" s="189"/>
      <c r="G104" s="189"/>
      <c r="H104" s="189"/>
      <c r="I104" s="189"/>
      <c r="J104" s="189"/>
      <c r="K104" s="189"/>
      <c r="L104" s="189"/>
    </row>
    <row r="105" spans="3:12">
      <c r="C105" s="189"/>
      <c r="D105" s="189"/>
      <c r="E105" s="189"/>
      <c r="F105" s="189"/>
      <c r="G105" s="189"/>
      <c r="H105" s="189"/>
      <c r="I105" s="189"/>
      <c r="J105" s="189"/>
      <c r="K105" s="189"/>
      <c r="L105" s="189"/>
    </row>
    <row r="106" spans="3:12">
      <c r="C106" s="189"/>
      <c r="D106" s="189"/>
      <c r="E106" s="189"/>
      <c r="F106" s="189"/>
      <c r="G106" s="189"/>
      <c r="H106" s="189"/>
      <c r="I106" s="189"/>
      <c r="J106" s="189"/>
      <c r="K106" s="189"/>
      <c r="L106" s="189"/>
    </row>
    <row r="107" spans="3:12">
      <c r="C107" s="189"/>
      <c r="D107" s="189"/>
      <c r="E107" s="189"/>
      <c r="F107" s="189"/>
      <c r="G107" s="189"/>
      <c r="H107" s="189"/>
      <c r="I107" s="189"/>
      <c r="J107" s="189"/>
      <c r="K107" s="189"/>
      <c r="L107" s="189"/>
    </row>
    <row r="108" spans="3:12">
      <c r="C108" s="189"/>
      <c r="D108" s="189"/>
      <c r="E108" s="189"/>
      <c r="F108" s="189"/>
      <c r="G108" s="189"/>
      <c r="H108" s="189"/>
      <c r="I108" s="189"/>
      <c r="J108" s="189"/>
      <c r="K108" s="189"/>
      <c r="L108" s="189"/>
    </row>
    <row r="109" spans="3:12">
      <c r="C109" s="189"/>
      <c r="D109" s="189"/>
      <c r="E109" s="189"/>
      <c r="F109" s="189"/>
      <c r="G109" s="189"/>
      <c r="H109" s="189"/>
      <c r="I109" s="189"/>
      <c r="J109" s="189"/>
      <c r="K109" s="189"/>
      <c r="L109" s="189"/>
    </row>
    <row r="110" spans="3:12">
      <c r="C110" s="189"/>
      <c r="D110" s="189"/>
      <c r="E110" s="189"/>
      <c r="F110" s="189"/>
      <c r="G110" s="189"/>
      <c r="H110" s="189"/>
      <c r="I110" s="189"/>
      <c r="J110" s="189"/>
      <c r="K110" s="189"/>
      <c r="L110" s="189"/>
    </row>
    <row r="111" spans="3:12">
      <c r="C111" s="189"/>
      <c r="D111" s="189"/>
      <c r="E111" s="189"/>
      <c r="F111" s="189"/>
      <c r="G111" s="189"/>
      <c r="H111" s="189"/>
      <c r="I111" s="189"/>
      <c r="J111" s="189"/>
      <c r="K111" s="189"/>
      <c r="L111" s="189"/>
    </row>
    <row r="112" spans="3:12">
      <c r="C112" s="189"/>
      <c r="D112" s="189"/>
      <c r="E112" s="189"/>
      <c r="F112" s="189"/>
      <c r="G112" s="189"/>
      <c r="H112" s="189"/>
      <c r="I112" s="189"/>
      <c r="J112" s="189"/>
      <c r="K112" s="189"/>
      <c r="L112" s="189"/>
    </row>
    <row r="113" spans="3:12">
      <c r="C113" s="189"/>
      <c r="D113" s="189"/>
      <c r="E113" s="189"/>
      <c r="F113" s="189"/>
      <c r="G113" s="189"/>
      <c r="H113" s="189"/>
      <c r="I113" s="189"/>
      <c r="J113" s="189"/>
      <c r="K113" s="189"/>
      <c r="L113" s="189"/>
    </row>
    <row r="114" spans="3:12">
      <c r="C114" s="189"/>
      <c r="D114" s="189"/>
      <c r="E114" s="189"/>
      <c r="F114" s="189"/>
      <c r="G114" s="189"/>
      <c r="H114" s="189"/>
      <c r="I114" s="189"/>
      <c r="J114" s="189"/>
      <c r="K114" s="189"/>
      <c r="L114" s="189"/>
    </row>
    <row r="115" spans="3:12">
      <c r="C115" s="189"/>
      <c r="D115" s="189"/>
      <c r="E115" s="189"/>
      <c r="F115" s="189"/>
      <c r="G115" s="189"/>
      <c r="H115" s="189"/>
      <c r="I115" s="189"/>
      <c r="J115" s="189"/>
      <c r="K115" s="189"/>
      <c r="L115" s="189"/>
    </row>
    <row r="116" spans="3:12">
      <c r="C116" s="189"/>
      <c r="D116" s="189"/>
      <c r="E116" s="189"/>
      <c r="F116" s="189"/>
      <c r="G116" s="189"/>
      <c r="H116" s="189"/>
      <c r="I116" s="189"/>
      <c r="J116" s="189"/>
      <c r="K116" s="189"/>
      <c r="L116" s="189"/>
    </row>
    <row r="117" spans="3:12">
      <c r="C117" s="189"/>
      <c r="D117" s="189"/>
      <c r="E117" s="189"/>
      <c r="F117" s="189"/>
      <c r="G117" s="189"/>
      <c r="H117" s="189"/>
      <c r="I117" s="189"/>
      <c r="J117" s="189"/>
      <c r="K117" s="189"/>
      <c r="L117" s="189"/>
    </row>
    <row r="118" spans="3:12">
      <c r="C118" s="189"/>
      <c r="D118" s="189"/>
      <c r="E118" s="189"/>
      <c r="F118" s="189"/>
      <c r="G118" s="189"/>
      <c r="H118" s="189"/>
      <c r="I118" s="189"/>
      <c r="J118" s="189"/>
      <c r="K118" s="189"/>
      <c r="L118" s="189"/>
    </row>
    <row r="119" spans="3:12">
      <c r="C119" s="189"/>
      <c r="D119" s="189"/>
      <c r="E119" s="189"/>
      <c r="F119" s="189"/>
      <c r="G119" s="189"/>
      <c r="H119" s="189"/>
      <c r="I119" s="189"/>
      <c r="J119" s="189"/>
      <c r="K119" s="189"/>
      <c r="L119" s="189"/>
    </row>
    <row r="120" spans="3:12">
      <c r="C120" s="189"/>
      <c r="D120" s="189"/>
      <c r="E120" s="189"/>
      <c r="F120" s="189"/>
      <c r="G120" s="189"/>
      <c r="H120" s="189"/>
      <c r="I120" s="189"/>
      <c r="J120" s="189"/>
      <c r="K120" s="189"/>
      <c r="L120" s="189"/>
    </row>
    <row r="121" spans="3:12">
      <c r="C121" s="189"/>
      <c r="D121" s="189"/>
      <c r="E121" s="189"/>
      <c r="F121" s="189"/>
      <c r="G121" s="189"/>
      <c r="H121" s="189"/>
      <c r="I121" s="189"/>
      <c r="J121" s="189"/>
      <c r="K121" s="189"/>
      <c r="L121" s="189"/>
    </row>
    <row r="122" spans="3:12">
      <c r="C122" s="189"/>
      <c r="D122" s="189"/>
      <c r="E122" s="189"/>
      <c r="F122" s="189"/>
      <c r="G122" s="189"/>
      <c r="H122" s="189"/>
      <c r="I122" s="189"/>
      <c r="J122" s="189"/>
      <c r="K122" s="189"/>
      <c r="L122" s="189"/>
    </row>
    <row r="123" spans="3:12">
      <c r="C123" s="189"/>
      <c r="D123" s="189"/>
      <c r="E123" s="189"/>
      <c r="F123" s="189"/>
      <c r="G123" s="189"/>
      <c r="H123" s="189"/>
      <c r="I123" s="189"/>
      <c r="J123" s="189"/>
      <c r="K123" s="189"/>
      <c r="L123" s="189"/>
    </row>
    <row r="124" spans="3:12">
      <c r="C124" s="189"/>
      <c r="D124" s="189"/>
      <c r="E124" s="189"/>
      <c r="F124" s="189"/>
      <c r="G124" s="189"/>
      <c r="H124" s="189"/>
      <c r="I124" s="189"/>
      <c r="J124" s="189"/>
      <c r="K124" s="189"/>
      <c r="L124" s="189"/>
    </row>
    <row r="125" spans="3:12">
      <c r="C125" s="189"/>
      <c r="D125" s="189"/>
      <c r="E125" s="189"/>
      <c r="F125" s="189"/>
      <c r="G125" s="189"/>
      <c r="H125" s="189"/>
      <c r="I125" s="189"/>
      <c r="J125" s="189"/>
      <c r="K125" s="189"/>
      <c r="L125" s="189"/>
    </row>
    <row r="126" spans="3:12">
      <c r="C126" s="189"/>
      <c r="D126" s="189"/>
      <c r="E126" s="189"/>
      <c r="F126" s="189"/>
      <c r="G126" s="189"/>
      <c r="H126" s="189"/>
      <c r="I126" s="189"/>
      <c r="J126" s="189"/>
      <c r="K126" s="189"/>
      <c r="L126" s="189"/>
    </row>
    <row r="127" spans="3:12">
      <c r="C127" s="189"/>
      <c r="D127" s="189"/>
      <c r="E127" s="189"/>
      <c r="F127" s="189"/>
      <c r="G127" s="189"/>
      <c r="H127" s="189"/>
      <c r="I127" s="189"/>
      <c r="J127" s="189"/>
      <c r="K127" s="189"/>
      <c r="L127" s="189"/>
    </row>
    <row r="128" spans="3:12">
      <c r="C128" s="189"/>
      <c r="D128" s="189"/>
      <c r="E128" s="189"/>
      <c r="F128" s="189"/>
      <c r="G128" s="189"/>
      <c r="H128" s="189"/>
      <c r="I128" s="189"/>
      <c r="J128" s="189"/>
      <c r="K128" s="189"/>
      <c r="L128" s="189"/>
    </row>
    <row r="129" spans="3:12">
      <c r="C129" s="189"/>
      <c r="D129" s="189"/>
      <c r="E129" s="189"/>
      <c r="F129" s="189"/>
      <c r="G129" s="189"/>
      <c r="H129" s="189"/>
      <c r="I129" s="189"/>
      <c r="J129" s="189"/>
      <c r="K129" s="189"/>
      <c r="L129" s="189"/>
    </row>
    <row r="130" spans="3:12">
      <c r="C130" s="189"/>
      <c r="D130" s="189"/>
      <c r="E130" s="189"/>
      <c r="F130" s="189"/>
      <c r="G130" s="189"/>
      <c r="H130" s="189"/>
      <c r="I130" s="189"/>
      <c r="J130" s="189"/>
      <c r="K130" s="189"/>
      <c r="L130" s="189"/>
    </row>
    <row r="131" spans="3:12">
      <c r="C131" s="189"/>
      <c r="D131" s="189"/>
      <c r="E131" s="189"/>
      <c r="F131" s="189"/>
      <c r="G131" s="189"/>
      <c r="H131" s="189"/>
      <c r="I131" s="189"/>
      <c r="J131" s="189"/>
      <c r="K131" s="189"/>
      <c r="L131" s="189"/>
    </row>
    <row r="132" spans="3:12">
      <c r="C132" s="189"/>
      <c r="D132" s="189"/>
      <c r="E132" s="189"/>
      <c r="F132" s="189"/>
      <c r="G132" s="189"/>
      <c r="H132" s="189"/>
      <c r="I132" s="189"/>
      <c r="J132" s="189"/>
      <c r="K132" s="189"/>
      <c r="L132" s="189"/>
    </row>
    <row r="133" spans="3:12">
      <c r="C133" s="189"/>
      <c r="D133" s="189"/>
      <c r="E133" s="189"/>
      <c r="F133" s="189"/>
      <c r="G133" s="189"/>
      <c r="H133" s="189"/>
      <c r="I133" s="189"/>
      <c r="J133" s="189"/>
      <c r="K133" s="189"/>
      <c r="L133" s="189"/>
    </row>
    <row r="134" spans="3:12">
      <c r="C134" s="189"/>
      <c r="D134" s="189"/>
      <c r="E134" s="189"/>
      <c r="F134" s="189"/>
      <c r="G134" s="189"/>
      <c r="H134" s="189"/>
      <c r="I134" s="189"/>
      <c r="J134" s="189"/>
      <c r="K134" s="189"/>
      <c r="L134" s="189"/>
    </row>
    <row r="135" spans="3:12">
      <c r="C135" s="189"/>
      <c r="D135" s="189"/>
      <c r="E135" s="189"/>
      <c r="F135" s="189"/>
      <c r="G135" s="189"/>
      <c r="H135" s="189"/>
      <c r="I135" s="189"/>
      <c r="J135" s="189"/>
      <c r="K135" s="189"/>
      <c r="L135" s="189"/>
    </row>
    <row r="136" spans="3:12">
      <c r="C136" s="189"/>
      <c r="D136" s="189"/>
      <c r="E136" s="189"/>
      <c r="F136" s="189"/>
      <c r="G136" s="189"/>
      <c r="H136" s="189"/>
      <c r="I136" s="189"/>
      <c r="J136" s="189"/>
      <c r="K136" s="189"/>
      <c r="L136" s="189"/>
    </row>
    <row r="137" spans="3:12">
      <c r="C137" s="189"/>
      <c r="D137" s="189"/>
      <c r="E137" s="189"/>
      <c r="F137" s="189"/>
      <c r="G137" s="189"/>
      <c r="H137" s="189"/>
      <c r="I137" s="189"/>
      <c r="J137" s="189"/>
      <c r="K137" s="189"/>
      <c r="L137" s="189"/>
    </row>
    <row r="138" spans="3:12">
      <c r="C138" s="189"/>
      <c r="D138" s="189"/>
      <c r="E138" s="189"/>
      <c r="F138" s="189"/>
      <c r="G138" s="189"/>
      <c r="H138" s="189"/>
      <c r="I138" s="189"/>
      <c r="J138" s="189"/>
      <c r="K138" s="189"/>
      <c r="L138" s="189"/>
    </row>
    <row r="139" spans="3:12">
      <c r="C139" s="189"/>
      <c r="D139" s="189"/>
      <c r="E139" s="189"/>
      <c r="F139" s="189"/>
      <c r="G139" s="189"/>
      <c r="H139" s="189"/>
      <c r="I139" s="189"/>
      <c r="J139" s="189"/>
      <c r="K139" s="189"/>
      <c r="L139" s="189"/>
    </row>
    <row r="140" spans="3:12">
      <c r="C140" s="189"/>
      <c r="D140" s="189"/>
      <c r="E140" s="189"/>
      <c r="F140" s="189"/>
      <c r="G140" s="189"/>
      <c r="H140" s="189"/>
      <c r="I140" s="189"/>
      <c r="J140" s="189"/>
      <c r="K140" s="189"/>
      <c r="L140" s="189"/>
    </row>
    <row r="141" spans="3:12">
      <c r="C141" s="189"/>
      <c r="D141" s="189"/>
      <c r="E141" s="189"/>
      <c r="F141" s="189"/>
      <c r="G141" s="189"/>
      <c r="H141" s="189"/>
      <c r="I141" s="189"/>
      <c r="J141" s="189"/>
      <c r="K141" s="189"/>
      <c r="L141" s="189"/>
    </row>
    <row r="142" spans="3:12">
      <c r="C142" s="189"/>
      <c r="D142" s="189"/>
      <c r="E142" s="189"/>
      <c r="F142" s="189"/>
      <c r="G142" s="189"/>
      <c r="H142" s="189"/>
      <c r="I142" s="189"/>
      <c r="J142" s="189"/>
      <c r="K142" s="189"/>
      <c r="L142" s="189"/>
    </row>
    <row r="143" spans="3:12">
      <c r="C143" s="189"/>
      <c r="D143" s="189"/>
      <c r="E143" s="189"/>
      <c r="F143" s="189"/>
      <c r="G143" s="189"/>
      <c r="H143" s="189"/>
      <c r="I143" s="189"/>
      <c r="J143" s="189"/>
      <c r="K143" s="189"/>
      <c r="L143" s="189"/>
    </row>
    <row r="144" spans="3:12">
      <c r="C144" s="189"/>
      <c r="D144" s="189"/>
      <c r="E144" s="189"/>
      <c r="F144" s="189"/>
      <c r="G144" s="189"/>
      <c r="H144" s="189"/>
      <c r="I144" s="189"/>
      <c r="J144" s="189"/>
      <c r="K144" s="189"/>
      <c r="L144" s="189"/>
    </row>
    <row r="145" spans="3:12">
      <c r="C145" s="189"/>
      <c r="D145" s="189"/>
      <c r="E145" s="189"/>
      <c r="F145" s="189"/>
      <c r="G145" s="189"/>
      <c r="H145" s="189"/>
      <c r="I145" s="189"/>
      <c r="J145" s="189"/>
      <c r="K145" s="189"/>
      <c r="L145" s="189"/>
    </row>
    <row r="146" spans="3:12">
      <c r="C146" s="189"/>
      <c r="D146" s="189"/>
      <c r="E146" s="189"/>
      <c r="F146" s="189"/>
      <c r="G146" s="189"/>
      <c r="H146" s="189"/>
      <c r="I146" s="189"/>
      <c r="J146" s="189"/>
      <c r="K146" s="189"/>
      <c r="L146" s="189"/>
    </row>
    <row r="147" spans="3:12">
      <c r="C147" s="189"/>
      <c r="D147" s="189"/>
      <c r="E147" s="189"/>
      <c r="F147" s="189"/>
      <c r="G147" s="189"/>
      <c r="H147" s="189"/>
      <c r="I147" s="189"/>
      <c r="J147" s="189"/>
      <c r="K147" s="189"/>
      <c r="L147" s="189"/>
    </row>
    <row r="148" spans="3:12">
      <c r="C148" s="189"/>
      <c r="D148" s="189"/>
      <c r="E148" s="189"/>
      <c r="F148" s="189"/>
      <c r="G148" s="189"/>
      <c r="H148" s="189"/>
      <c r="I148" s="189"/>
      <c r="J148" s="189"/>
      <c r="K148" s="189"/>
      <c r="L148" s="189"/>
    </row>
    <row r="149" spans="3:12">
      <c r="C149" s="189"/>
      <c r="D149" s="189"/>
      <c r="E149" s="189"/>
      <c r="F149" s="189"/>
      <c r="G149" s="189"/>
      <c r="H149" s="189"/>
      <c r="I149" s="189"/>
      <c r="J149" s="189"/>
      <c r="K149" s="189"/>
      <c r="L149" s="189"/>
    </row>
    <row r="150" spans="3:12">
      <c r="C150" s="189"/>
      <c r="D150" s="189"/>
      <c r="E150" s="189"/>
      <c r="F150" s="189"/>
      <c r="G150" s="189"/>
      <c r="H150" s="189"/>
      <c r="I150" s="189"/>
      <c r="J150" s="189"/>
      <c r="K150" s="189"/>
      <c r="L150" s="189"/>
    </row>
    <row r="151" spans="3:12">
      <c r="C151" s="189"/>
      <c r="D151" s="189"/>
      <c r="E151" s="189"/>
      <c r="F151" s="189"/>
      <c r="G151" s="189"/>
      <c r="H151" s="189"/>
      <c r="I151" s="189"/>
      <c r="J151" s="189"/>
      <c r="K151" s="189"/>
      <c r="L151" s="189"/>
    </row>
    <row r="152" spans="3:12">
      <c r="C152" s="189"/>
      <c r="D152" s="189"/>
      <c r="E152" s="189"/>
      <c r="F152" s="189"/>
      <c r="G152" s="189"/>
      <c r="H152" s="189"/>
      <c r="I152" s="189"/>
      <c r="J152" s="189"/>
      <c r="K152" s="189"/>
      <c r="L152" s="189"/>
    </row>
    <row r="153" spans="3:12">
      <c r="C153" s="189"/>
      <c r="D153" s="189"/>
      <c r="E153" s="189"/>
      <c r="F153" s="189"/>
      <c r="G153" s="189"/>
      <c r="H153" s="189"/>
      <c r="I153" s="189"/>
      <c r="J153" s="189"/>
      <c r="K153" s="189"/>
      <c r="L153" s="189"/>
    </row>
    <row r="154" spans="3:12">
      <c r="C154" s="189"/>
      <c r="D154" s="189"/>
      <c r="E154" s="189"/>
      <c r="F154" s="189"/>
      <c r="G154" s="189"/>
      <c r="H154" s="189"/>
      <c r="I154" s="189"/>
      <c r="J154" s="189"/>
      <c r="K154" s="189"/>
      <c r="L154" s="189"/>
    </row>
    <row r="155" spans="3:12">
      <c r="C155" s="189"/>
      <c r="D155" s="189"/>
      <c r="E155" s="189"/>
      <c r="F155" s="189"/>
      <c r="G155" s="189"/>
      <c r="H155" s="189"/>
      <c r="I155" s="189"/>
      <c r="J155" s="189"/>
      <c r="K155" s="189"/>
      <c r="L155" s="189"/>
    </row>
    <row r="156" spans="3:12">
      <c r="C156" s="189"/>
      <c r="D156" s="189"/>
      <c r="E156" s="189"/>
      <c r="F156" s="189"/>
      <c r="G156" s="189"/>
      <c r="H156" s="189"/>
      <c r="I156" s="189"/>
      <c r="J156" s="189"/>
      <c r="K156" s="189"/>
      <c r="L156" s="189"/>
    </row>
    <row r="157" spans="3:12">
      <c r="C157" s="189"/>
      <c r="D157" s="189"/>
      <c r="E157" s="189"/>
      <c r="F157" s="189"/>
      <c r="G157" s="189"/>
      <c r="H157" s="189"/>
      <c r="I157" s="189"/>
      <c r="J157" s="189"/>
      <c r="K157" s="189"/>
      <c r="L157" s="189"/>
    </row>
    <row r="158" spans="3:12">
      <c r="C158" s="189"/>
      <c r="D158" s="189"/>
      <c r="E158" s="189"/>
      <c r="F158" s="189"/>
      <c r="G158" s="189"/>
      <c r="H158" s="189"/>
      <c r="I158" s="189"/>
      <c r="J158" s="189"/>
      <c r="K158" s="189"/>
      <c r="L158" s="189"/>
    </row>
    <row r="159" spans="3:12">
      <c r="C159" s="189"/>
      <c r="D159" s="189"/>
      <c r="E159" s="189"/>
      <c r="F159" s="189"/>
      <c r="G159" s="189"/>
      <c r="H159" s="189"/>
      <c r="I159" s="189"/>
      <c r="J159" s="189"/>
      <c r="K159" s="189"/>
      <c r="L159" s="189"/>
    </row>
    <row r="160" spans="3:12">
      <c r="C160" s="189"/>
      <c r="D160" s="189"/>
      <c r="E160" s="189"/>
      <c r="F160" s="189"/>
      <c r="G160" s="189"/>
      <c r="H160" s="189"/>
      <c r="I160" s="189"/>
      <c r="J160" s="189"/>
      <c r="K160" s="189"/>
      <c r="L160" s="189"/>
    </row>
    <row r="161" spans="3:12">
      <c r="C161" s="189"/>
      <c r="D161" s="189"/>
      <c r="E161" s="189"/>
      <c r="F161" s="189"/>
      <c r="G161" s="189"/>
      <c r="H161" s="189"/>
      <c r="I161" s="189"/>
      <c r="J161" s="189"/>
      <c r="K161" s="189"/>
      <c r="L161" s="189"/>
    </row>
    <row r="162" spans="3:12">
      <c r="C162" s="189"/>
      <c r="D162" s="189"/>
      <c r="E162" s="189"/>
      <c r="F162" s="189"/>
      <c r="G162" s="189"/>
      <c r="H162" s="189"/>
      <c r="I162" s="189"/>
      <c r="J162" s="189"/>
      <c r="K162" s="189"/>
      <c r="L162" s="189"/>
    </row>
    <row r="163" spans="3:12">
      <c r="C163" s="189"/>
      <c r="D163" s="189"/>
      <c r="E163" s="189"/>
      <c r="F163" s="189"/>
      <c r="G163" s="189"/>
      <c r="H163" s="189"/>
      <c r="I163" s="189"/>
      <c r="J163" s="189"/>
      <c r="K163" s="189"/>
      <c r="L163" s="189"/>
    </row>
    <row r="164" spans="3:12">
      <c r="C164" s="189"/>
      <c r="D164" s="189"/>
      <c r="E164" s="189"/>
      <c r="F164" s="189"/>
      <c r="G164" s="189"/>
      <c r="H164" s="189"/>
      <c r="I164" s="189"/>
      <c r="J164" s="189"/>
      <c r="K164" s="189"/>
      <c r="L164" s="189"/>
    </row>
    <row r="165" spans="3:12">
      <c r="C165" s="189"/>
      <c r="D165" s="189"/>
      <c r="E165" s="189"/>
      <c r="F165" s="189"/>
      <c r="G165" s="189"/>
      <c r="H165" s="189"/>
      <c r="I165" s="189"/>
      <c r="J165" s="189"/>
      <c r="K165" s="189"/>
      <c r="L165" s="189"/>
    </row>
    <row r="166" spans="3:12">
      <c r="C166" s="189"/>
      <c r="D166" s="189"/>
      <c r="E166" s="189"/>
      <c r="F166" s="189"/>
      <c r="G166" s="189"/>
      <c r="H166" s="189"/>
      <c r="I166" s="189"/>
      <c r="J166" s="189"/>
      <c r="K166" s="189"/>
      <c r="L166" s="189"/>
    </row>
    <row r="167" spans="3:12">
      <c r="C167" s="189"/>
      <c r="D167" s="189"/>
      <c r="E167" s="189"/>
      <c r="F167" s="189"/>
      <c r="G167" s="189"/>
      <c r="H167" s="189"/>
      <c r="I167" s="189"/>
      <c r="J167" s="189"/>
      <c r="K167" s="189"/>
      <c r="L167" s="189"/>
    </row>
    <row r="168" spans="3:12">
      <c r="C168" s="189"/>
      <c r="D168" s="189"/>
      <c r="E168" s="189"/>
      <c r="F168" s="189"/>
      <c r="G168" s="189"/>
      <c r="H168" s="189"/>
      <c r="I168" s="189"/>
      <c r="J168" s="189"/>
      <c r="K168" s="189"/>
      <c r="L168" s="189"/>
    </row>
    <row r="169" spans="3:12">
      <c r="C169" s="189"/>
      <c r="D169" s="189"/>
      <c r="E169" s="189"/>
      <c r="F169" s="189"/>
      <c r="G169" s="189"/>
      <c r="H169" s="189"/>
      <c r="I169" s="189"/>
      <c r="J169" s="189"/>
      <c r="K169" s="189"/>
      <c r="L169" s="189"/>
    </row>
    <row r="170" spans="3:12">
      <c r="C170" s="189"/>
      <c r="D170" s="189"/>
      <c r="E170" s="189"/>
      <c r="F170" s="189"/>
      <c r="G170" s="189"/>
      <c r="H170" s="189"/>
      <c r="I170" s="189"/>
      <c r="J170" s="189"/>
      <c r="K170" s="189"/>
      <c r="L170" s="189"/>
    </row>
    <row r="171" spans="3:12">
      <c r="C171" s="189"/>
      <c r="D171" s="189"/>
      <c r="E171" s="189"/>
      <c r="F171" s="189"/>
      <c r="G171" s="189"/>
      <c r="H171" s="189"/>
      <c r="I171" s="189"/>
      <c r="J171" s="189"/>
      <c r="K171" s="189"/>
      <c r="L171" s="189"/>
    </row>
    <row r="172" spans="3:12">
      <c r="C172" s="189"/>
      <c r="D172" s="189"/>
      <c r="E172" s="189"/>
      <c r="F172" s="189"/>
      <c r="G172" s="189"/>
      <c r="H172" s="189"/>
      <c r="I172" s="189"/>
      <c r="J172" s="189"/>
      <c r="K172" s="189"/>
      <c r="L172" s="189"/>
    </row>
    <row r="173" spans="3:12">
      <c r="C173" s="189"/>
      <c r="D173" s="189"/>
      <c r="E173" s="189"/>
      <c r="F173" s="189"/>
      <c r="G173" s="189"/>
      <c r="H173" s="189"/>
      <c r="I173" s="189"/>
      <c r="J173" s="189"/>
      <c r="K173" s="189"/>
      <c r="L173" s="189"/>
    </row>
    <row r="174" spans="3:12">
      <c r="C174" s="189"/>
      <c r="D174" s="189"/>
      <c r="E174" s="189"/>
      <c r="F174" s="189"/>
      <c r="G174" s="189"/>
      <c r="H174" s="189"/>
      <c r="I174" s="189"/>
      <c r="J174" s="189"/>
      <c r="K174" s="189"/>
      <c r="L174" s="189"/>
    </row>
    <row r="175" spans="3:12">
      <c r="C175" s="189"/>
      <c r="D175" s="189"/>
      <c r="E175" s="189"/>
      <c r="F175" s="189"/>
      <c r="G175" s="189"/>
      <c r="H175" s="189"/>
      <c r="I175" s="189"/>
      <c r="J175" s="189"/>
      <c r="K175" s="189"/>
      <c r="L175" s="189"/>
    </row>
    <row r="176" spans="3:12">
      <c r="C176" s="189"/>
      <c r="D176" s="189"/>
      <c r="E176" s="189"/>
      <c r="F176" s="189"/>
      <c r="G176" s="189"/>
      <c r="H176" s="189"/>
      <c r="I176" s="189"/>
      <c r="J176" s="189"/>
      <c r="K176" s="189"/>
      <c r="L176" s="189"/>
    </row>
    <row r="177" spans="3:12">
      <c r="C177" s="189"/>
      <c r="D177" s="189"/>
      <c r="E177" s="189"/>
      <c r="F177" s="189"/>
      <c r="G177" s="189"/>
      <c r="H177" s="189"/>
      <c r="I177" s="189"/>
      <c r="J177" s="189"/>
      <c r="K177" s="189"/>
      <c r="L177" s="189"/>
    </row>
    <row r="178" spans="3:12">
      <c r="C178" s="189"/>
      <c r="D178" s="189"/>
      <c r="E178" s="189"/>
      <c r="F178" s="189"/>
      <c r="G178" s="189"/>
      <c r="H178" s="189"/>
      <c r="I178" s="189"/>
      <c r="J178" s="189"/>
      <c r="K178" s="189"/>
      <c r="L178" s="189"/>
    </row>
    <row r="179" spans="3:12">
      <c r="C179" s="189"/>
      <c r="D179" s="189"/>
      <c r="E179" s="189"/>
      <c r="F179" s="189"/>
      <c r="G179" s="189"/>
      <c r="H179" s="189"/>
      <c r="I179" s="189"/>
      <c r="J179" s="189"/>
      <c r="K179" s="189"/>
      <c r="L179" s="189"/>
    </row>
    <row r="180" spans="3:12">
      <c r="C180" s="189"/>
      <c r="D180" s="189"/>
      <c r="E180" s="189"/>
      <c r="F180" s="189"/>
      <c r="G180" s="189"/>
      <c r="H180" s="189"/>
      <c r="I180" s="189"/>
      <c r="J180" s="189"/>
      <c r="K180" s="189"/>
      <c r="L180" s="189"/>
    </row>
    <row r="181" spans="3:12">
      <c r="C181" s="189"/>
      <c r="D181" s="189"/>
      <c r="E181" s="189"/>
      <c r="F181" s="189"/>
      <c r="G181" s="189"/>
      <c r="H181" s="189"/>
      <c r="I181" s="189"/>
      <c r="J181" s="189"/>
      <c r="K181" s="189"/>
      <c r="L181" s="189"/>
    </row>
    <row r="182" spans="3:12">
      <c r="C182" s="189"/>
      <c r="D182" s="189"/>
      <c r="E182" s="189"/>
      <c r="F182" s="189"/>
      <c r="G182" s="189"/>
      <c r="H182" s="189"/>
      <c r="I182" s="189"/>
      <c r="J182" s="189"/>
      <c r="K182" s="189"/>
      <c r="L182" s="189"/>
    </row>
    <row r="183" spans="3:12">
      <c r="C183" s="189"/>
      <c r="D183" s="189"/>
      <c r="E183" s="189"/>
      <c r="F183" s="189"/>
      <c r="G183" s="189"/>
      <c r="H183" s="189"/>
      <c r="I183" s="189"/>
      <c r="J183" s="189"/>
      <c r="K183" s="189"/>
      <c r="L183" s="189"/>
    </row>
    <row r="184" spans="3:12">
      <c r="C184" s="189"/>
      <c r="D184" s="189"/>
      <c r="E184" s="189"/>
      <c r="F184" s="189"/>
      <c r="G184" s="189"/>
      <c r="H184" s="189"/>
      <c r="I184" s="189"/>
      <c r="J184" s="189"/>
      <c r="K184" s="189"/>
      <c r="L184" s="189"/>
    </row>
    <row r="185" spans="3:12">
      <c r="C185" s="189"/>
      <c r="D185" s="189"/>
      <c r="E185" s="189"/>
      <c r="F185" s="189"/>
      <c r="G185" s="189"/>
      <c r="H185" s="189"/>
      <c r="I185" s="189"/>
      <c r="J185" s="189"/>
      <c r="K185" s="189"/>
      <c r="L185" s="189"/>
    </row>
    <row r="186" spans="3:12">
      <c r="C186" s="189"/>
      <c r="D186" s="189"/>
      <c r="E186" s="189"/>
      <c r="F186" s="189"/>
      <c r="G186" s="189"/>
      <c r="H186" s="189"/>
      <c r="I186" s="189"/>
      <c r="J186" s="189"/>
      <c r="K186" s="189"/>
      <c r="L186" s="189"/>
    </row>
    <row r="187" spans="3:12">
      <c r="C187" s="189"/>
      <c r="D187" s="189"/>
      <c r="E187" s="189"/>
      <c r="F187" s="189"/>
      <c r="G187" s="189"/>
      <c r="H187" s="189"/>
      <c r="I187" s="189"/>
      <c r="J187" s="189"/>
      <c r="K187" s="189"/>
      <c r="L187" s="189"/>
    </row>
    <row r="188" spans="3:12">
      <c r="C188" s="189"/>
      <c r="D188" s="189"/>
      <c r="E188" s="189"/>
      <c r="F188" s="189"/>
      <c r="G188" s="189"/>
      <c r="H188" s="189"/>
      <c r="I188" s="189"/>
      <c r="J188" s="189"/>
      <c r="K188" s="189"/>
      <c r="L188" s="189"/>
    </row>
    <row r="189" spans="3:12">
      <c r="C189" s="189"/>
      <c r="D189" s="189"/>
      <c r="E189" s="189"/>
      <c r="F189" s="189"/>
      <c r="G189" s="189"/>
      <c r="H189" s="189"/>
      <c r="I189" s="189"/>
      <c r="J189" s="189"/>
      <c r="K189" s="189"/>
      <c r="L189" s="189"/>
    </row>
    <row r="190" spans="3:12">
      <c r="C190" s="189"/>
      <c r="D190" s="189"/>
      <c r="E190" s="189"/>
      <c r="F190" s="189"/>
      <c r="G190" s="189"/>
      <c r="H190" s="189"/>
      <c r="I190" s="189"/>
      <c r="J190" s="189"/>
      <c r="K190" s="189"/>
      <c r="L190" s="189"/>
    </row>
    <row r="191" spans="3:12">
      <c r="C191" s="189"/>
      <c r="D191" s="189"/>
      <c r="E191" s="189"/>
      <c r="F191" s="189"/>
      <c r="G191" s="189"/>
      <c r="H191" s="189"/>
      <c r="I191" s="189"/>
      <c r="J191" s="189"/>
      <c r="K191" s="189"/>
      <c r="L191" s="189"/>
    </row>
    <row r="192" spans="3:12">
      <c r="C192" s="189"/>
      <c r="D192" s="189"/>
      <c r="E192" s="189"/>
      <c r="F192" s="189"/>
      <c r="G192" s="189"/>
      <c r="H192" s="189"/>
      <c r="I192" s="189"/>
      <c r="J192" s="189"/>
      <c r="K192" s="189"/>
      <c r="L192" s="189"/>
    </row>
    <row r="193" spans="3:12">
      <c r="C193" s="189"/>
      <c r="D193" s="189"/>
      <c r="E193" s="189"/>
      <c r="F193" s="189"/>
      <c r="G193" s="189"/>
      <c r="H193" s="189"/>
      <c r="I193" s="189"/>
      <c r="J193" s="189"/>
      <c r="K193" s="189"/>
      <c r="L193" s="189"/>
    </row>
    <row r="194" spans="3:12">
      <c r="C194" s="189"/>
      <c r="D194" s="189"/>
      <c r="E194" s="189"/>
      <c r="F194" s="189"/>
      <c r="G194" s="189"/>
      <c r="H194" s="189"/>
      <c r="I194" s="189"/>
      <c r="J194" s="189"/>
      <c r="K194" s="189"/>
      <c r="L194" s="189"/>
    </row>
    <row r="195" spans="3:12">
      <c r="C195" s="189"/>
      <c r="D195" s="189"/>
      <c r="E195" s="189"/>
      <c r="F195" s="189"/>
      <c r="G195" s="189"/>
      <c r="H195" s="189"/>
      <c r="I195" s="189"/>
      <c r="J195" s="189"/>
      <c r="K195" s="189"/>
      <c r="L195" s="189"/>
    </row>
    <row r="196" spans="3:12">
      <c r="C196" s="189"/>
      <c r="D196" s="189"/>
      <c r="E196" s="189"/>
      <c r="F196" s="189"/>
      <c r="G196" s="189"/>
      <c r="H196" s="189"/>
      <c r="I196" s="189"/>
      <c r="J196" s="189"/>
      <c r="K196" s="189"/>
      <c r="L196" s="189"/>
    </row>
    <row r="197" spans="3:12">
      <c r="C197" s="189"/>
      <c r="D197" s="189"/>
      <c r="E197" s="189"/>
      <c r="F197" s="189"/>
      <c r="G197" s="189"/>
      <c r="H197" s="189"/>
      <c r="I197" s="189"/>
      <c r="J197" s="189"/>
      <c r="K197" s="189"/>
      <c r="L197" s="189"/>
    </row>
    <row r="198" spans="3:12">
      <c r="C198" s="189"/>
      <c r="D198" s="189"/>
      <c r="E198" s="189"/>
      <c r="F198" s="189"/>
      <c r="G198" s="189"/>
      <c r="H198" s="189"/>
      <c r="I198" s="189"/>
      <c r="J198" s="189"/>
      <c r="K198" s="189"/>
      <c r="L198" s="189"/>
    </row>
    <row r="199" spans="3:12">
      <c r="C199" s="189"/>
      <c r="D199" s="189"/>
      <c r="E199" s="189"/>
      <c r="F199" s="189"/>
      <c r="G199" s="189"/>
      <c r="H199" s="189"/>
      <c r="I199" s="189"/>
      <c r="J199" s="189"/>
      <c r="K199" s="189"/>
      <c r="L199" s="189"/>
    </row>
    <row r="200" spans="3:12">
      <c r="C200" s="189"/>
      <c r="D200" s="189"/>
      <c r="E200" s="189"/>
      <c r="F200" s="189"/>
      <c r="G200" s="189"/>
      <c r="H200" s="189"/>
      <c r="I200" s="189"/>
      <c r="J200" s="189"/>
      <c r="K200" s="189"/>
      <c r="L200" s="189"/>
    </row>
    <row r="201" spans="3:12">
      <c r="C201" s="189"/>
      <c r="D201" s="189"/>
      <c r="E201" s="189"/>
      <c r="F201" s="189"/>
      <c r="G201" s="189"/>
      <c r="H201" s="189"/>
      <c r="I201" s="189"/>
      <c r="J201" s="189"/>
      <c r="K201" s="189"/>
      <c r="L201" s="189"/>
    </row>
    <row r="202" spans="3:12">
      <c r="C202" s="189"/>
      <c r="D202" s="189"/>
      <c r="E202" s="189"/>
      <c r="F202" s="189"/>
      <c r="G202" s="189"/>
      <c r="H202" s="189"/>
      <c r="I202" s="189"/>
      <c r="J202" s="189"/>
      <c r="K202" s="189"/>
      <c r="L202" s="189"/>
    </row>
    <row r="203" spans="3:12">
      <c r="C203" s="189"/>
      <c r="D203" s="189"/>
      <c r="E203" s="189"/>
      <c r="F203" s="189"/>
      <c r="G203" s="189"/>
      <c r="H203" s="189"/>
      <c r="I203" s="189"/>
      <c r="J203" s="189"/>
      <c r="K203" s="189"/>
      <c r="L203" s="189"/>
    </row>
    <row r="204" spans="3:12">
      <c r="C204" s="189"/>
      <c r="D204" s="189"/>
      <c r="E204" s="189"/>
      <c r="F204" s="189"/>
      <c r="G204" s="189"/>
      <c r="H204" s="189"/>
      <c r="I204" s="189"/>
      <c r="J204" s="189"/>
      <c r="K204" s="189"/>
      <c r="L204" s="189"/>
    </row>
    <row r="205" spans="3:12">
      <c r="C205" s="189"/>
      <c r="D205" s="189"/>
      <c r="E205" s="189"/>
      <c r="F205" s="189"/>
      <c r="G205" s="189"/>
      <c r="H205" s="189"/>
      <c r="I205" s="189"/>
      <c r="J205" s="189"/>
      <c r="K205" s="189"/>
      <c r="L205" s="189"/>
    </row>
    <row r="206" spans="3:12">
      <c r="C206" s="189"/>
      <c r="D206" s="189"/>
      <c r="E206" s="189"/>
      <c r="F206" s="189"/>
      <c r="G206" s="189"/>
      <c r="H206" s="189"/>
      <c r="I206" s="189"/>
      <c r="J206" s="189"/>
      <c r="K206" s="189"/>
      <c r="L206" s="189"/>
    </row>
    <row r="207" spans="3:12">
      <c r="C207" s="189"/>
      <c r="D207" s="189"/>
      <c r="E207" s="189"/>
      <c r="F207" s="189"/>
      <c r="G207" s="189"/>
      <c r="H207" s="189"/>
      <c r="I207" s="189"/>
      <c r="J207" s="189"/>
      <c r="K207" s="189"/>
      <c r="L207" s="189"/>
    </row>
    <row r="208" spans="3:12">
      <c r="C208" s="189"/>
      <c r="D208" s="189"/>
      <c r="E208" s="189"/>
      <c r="F208" s="189"/>
      <c r="G208" s="189"/>
      <c r="H208" s="189"/>
      <c r="I208" s="189"/>
      <c r="J208" s="189"/>
      <c r="K208" s="189"/>
      <c r="L208" s="189"/>
    </row>
    <row r="209" spans="3:12">
      <c r="C209" s="189"/>
      <c r="D209" s="189"/>
      <c r="E209" s="189"/>
      <c r="F209" s="189"/>
      <c r="G209" s="189"/>
      <c r="H209" s="189"/>
      <c r="I209" s="189"/>
      <c r="J209" s="189"/>
      <c r="K209" s="189"/>
      <c r="L209" s="189"/>
    </row>
    <row r="210" spans="3:12">
      <c r="C210" s="189"/>
      <c r="D210" s="189"/>
      <c r="E210" s="189"/>
      <c r="F210" s="189"/>
      <c r="G210" s="189"/>
      <c r="H210" s="189"/>
      <c r="I210" s="189"/>
      <c r="J210" s="189"/>
      <c r="K210" s="189"/>
      <c r="L210" s="189"/>
    </row>
    <row r="211" spans="3:12">
      <c r="C211" s="189"/>
      <c r="D211" s="189"/>
      <c r="E211" s="189"/>
      <c r="F211" s="189"/>
      <c r="G211" s="189"/>
      <c r="H211" s="189"/>
      <c r="I211" s="189"/>
      <c r="J211" s="189"/>
      <c r="K211" s="189"/>
      <c r="L211" s="189"/>
    </row>
    <row r="212" spans="3:12">
      <c r="C212" s="189"/>
      <c r="D212" s="189"/>
      <c r="E212" s="189"/>
      <c r="F212" s="189"/>
      <c r="G212" s="189"/>
      <c r="H212" s="189"/>
      <c r="I212" s="189"/>
      <c r="J212" s="189"/>
      <c r="K212" s="189"/>
      <c r="L212" s="189"/>
    </row>
    <row r="213" spans="3:12">
      <c r="C213" s="189"/>
      <c r="D213" s="189"/>
      <c r="E213" s="189"/>
      <c r="F213" s="189"/>
      <c r="G213" s="189"/>
      <c r="H213" s="189"/>
      <c r="I213" s="189"/>
      <c r="J213" s="189"/>
      <c r="K213" s="189"/>
      <c r="L213" s="189"/>
    </row>
    <row r="214" spans="3:12">
      <c r="C214" s="189"/>
      <c r="D214" s="189"/>
      <c r="E214" s="189"/>
      <c r="F214" s="189"/>
      <c r="G214" s="189"/>
      <c r="H214" s="189"/>
      <c r="I214" s="189"/>
      <c r="J214" s="189"/>
      <c r="K214" s="189"/>
      <c r="L214" s="189"/>
    </row>
    <row r="215" spans="3:12">
      <c r="C215" s="189"/>
      <c r="D215" s="189"/>
      <c r="E215" s="189"/>
      <c r="F215" s="189"/>
      <c r="G215" s="189"/>
      <c r="H215" s="189"/>
      <c r="I215" s="189"/>
      <c r="J215" s="189"/>
      <c r="K215" s="189"/>
      <c r="L215" s="189"/>
    </row>
    <row r="216" spans="3:12">
      <c r="C216" s="189"/>
      <c r="D216" s="189"/>
      <c r="E216" s="189"/>
      <c r="F216" s="189"/>
      <c r="G216" s="189"/>
      <c r="H216" s="189"/>
      <c r="I216" s="189"/>
      <c r="J216" s="189"/>
      <c r="K216" s="189"/>
      <c r="L216" s="189"/>
    </row>
    <row r="217" spans="3:12">
      <c r="C217" s="189"/>
      <c r="D217" s="189"/>
      <c r="E217" s="189"/>
      <c r="F217" s="189"/>
      <c r="G217" s="189"/>
      <c r="H217" s="189"/>
      <c r="I217" s="189"/>
      <c r="J217" s="189"/>
      <c r="K217" s="189"/>
      <c r="L217" s="189"/>
    </row>
    <row r="218" spans="3:12">
      <c r="C218" s="189"/>
      <c r="D218" s="189"/>
      <c r="E218" s="189"/>
      <c r="F218" s="189"/>
      <c r="G218" s="189"/>
      <c r="H218" s="189"/>
      <c r="I218" s="189"/>
      <c r="J218" s="189"/>
      <c r="K218" s="189"/>
      <c r="L218" s="189"/>
    </row>
    <row r="219" spans="3:12">
      <c r="C219" s="189"/>
      <c r="D219" s="189"/>
      <c r="E219" s="189"/>
      <c r="F219" s="189"/>
      <c r="G219" s="189"/>
      <c r="H219" s="189"/>
      <c r="I219" s="189"/>
      <c r="J219" s="189"/>
      <c r="K219" s="189"/>
      <c r="L219" s="189"/>
    </row>
    <row r="220" spans="3:12">
      <c r="C220" s="189"/>
      <c r="D220" s="189"/>
      <c r="E220" s="189"/>
      <c r="F220" s="189"/>
      <c r="G220" s="189"/>
      <c r="H220" s="189"/>
      <c r="I220" s="189"/>
      <c r="J220" s="189"/>
      <c r="K220" s="189"/>
      <c r="L220" s="189"/>
    </row>
    <row r="221" spans="3:12">
      <c r="C221" s="189"/>
      <c r="D221" s="189"/>
      <c r="E221" s="189"/>
      <c r="F221" s="189"/>
      <c r="G221" s="189"/>
      <c r="H221" s="189"/>
      <c r="I221" s="189"/>
      <c r="J221" s="189"/>
      <c r="K221" s="189"/>
      <c r="L221" s="189"/>
    </row>
    <row r="222" spans="3:12">
      <c r="C222" s="189"/>
      <c r="D222" s="189"/>
      <c r="E222" s="189"/>
      <c r="F222" s="189"/>
      <c r="G222" s="189"/>
      <c r="H222" s="189"/>
      <c r="I222" s="189"/>
      <c r="J222" s="189"/>
      <c r="K222" s="189"/>
      <c r="L222" s="189"/>
    </row>
    <row r="223" spans="3:12">
      <c r="C223" s="189"/>
      <c r="D223" s="189"/>
      <c r="E223" s="189"/>
      <c r="F223" s="189"/>
      <c r="G223" s="189"/>
      <c r="H223" s="189"/>
      <c r="I223" s="189"/>
      <c r="J223" s="189"/>
      <c r="K223" s="189"/>
      <c r="L223" s="189"/>
    </row>
    <row r="224" spans="3:12">
      <c r="C224" s="189"/>
      <c r="D224" s="189"/>
      <c r="E224" s="189"/>
      <c r="F224" s="189"/>
      <c r="G224" s="189"/>
      <c r="H224" s="189"/>
      <c r="I224" s="189"/>
      <c r="J224" s="189"/>
      <c r="K224" s="189"/>
      <c r="L224" s="189"/>
    </row>
    <row r="225" spans="3:12">
      <c r="C225" s="189"/>
      <c r="D225" s="189"/>
      <c r="E225" s="189"/>
      <c r="F225" s="189"/>
      <c r="G225" s="189"/>
      <c r="H225" s="189"/>
      <c r="I225" s="189"/>
      <c r="J225" s="189"/>
      <c r="K225" s="189"/>
      <c r="L225" s="189"/>
    </row>
    <row r="226" spans="3:12">
      <c r="C226" s="189"/>
      <c r="D226" s="189"/>
      <c r="E226" s="189"/>
      <c r="F226" s="189"/>
      <c r="G226" s="189"/>
      <c r="H226" s="189"/>
      <c r="I226" s="189"/>
      <c r="J226" s="189"/>
      <c r="K226" s="189"/>
      <c r="L226" s="189"/>
    </row>
    <row r="227" spans="3:12">
      <c r="C227" s="189"/>
      <c r="D227" s="189"/>
      <c r="E227" s="189"/>
      <c r="F227" s="189"/>
      <c r="G227" s="189"/>
      <c r="H227" s="189"/>
      <c r="I227" s="189"/>
      <c r="J227" s="189"/>
      <c r="K227" s="189"/>
      <c r="L227" s="189"/>
    </row>
    <row r="228" spans="3:12">
      <c r="C228" s="189"/>
      <c r="D228" s="189"/>
      <c r="E228" s="189"/>
      <c r="F228" s="189"/>
      <c r="G228" s="189"/>
      <c r="H228" s="189"/>
      <c r="I228" s="189"/>
      <c r="J228" s="189"/>
      <c r="K228" s="189"/>
      <c r="L228" s="189"/>
    </row>
    <row r="229" spans="3:12">
      <c r="C229" s="189"/>
      <c r="D229" s="189"/>
      <c r="E229" s="189"/>
      <c r="F229" s="189"/>
      <c r="G229" s="189"/>
      <c r="H229" s="189"/>
      <c r="I229" s="189"/>
      <c r="J229" s="189"/>
      <c r="K229" s="189"/>
      <c r="L229" s="189"/>
    </row>
    <row r="230" spans="3:12">
      <c r="C230" s="189"/>
      <c r="D230" s="189"/>
      <c r="E230" s="189"/>
      <c r="F230" s="189"/>
      <c r="G230" s="189"/>
      <c r="H230" s="189"/>
      <c r="I230" s="189"/>
      <c r="J230" s="189"/>
      <c r="K230" s="189"/>
      <c r="L230" s="189"/>
    </row>
    <row r="231" spans="3:12">
      <c r="C231" s="189"/>
      <c r="D231" s="189"/>
      <c r="E231" s="189"/>
      <c r="F231" s="189"/>
      <c r="G231" s="189"/>
      <c r="H231" s="189"/>
      <c r="I231" s="189"/>
      <c r="J231" s="189"/>
      <c r="K231" s="189"/>
      <c r="L231" s="189"/>
    </row>
    <row r="232" spans="3:12">
      <c r="C232" s="189"/>
      <c r="D232" s="189"/>
      <c r="E232" s="189"/>
      <c r="F232" s="189"/>
      <c r="G232" s="189"/>
      <c r="H232" s="189"/>
      <c r="I232" s="189"/>
      <c r="J232" s="189"/>
      <c r="K232" s="189"/>
      <c r="L232" s="189"/>
    </row>
    <row r="233" spans="3:12">
      <c r="C233" s="189"/>
      <c r="D233" s="189"/>
      <c r="E233" s="189"/>
      <c r="F233" s="189"/>
      <c r="G233" s="189"/>
      <c r="H233" s="189"/>
      <c r="I233" s="189"/>
      <c r="J233" s="189"/>
      <c r="K233" s="189"/>
      <c r="L233" s="189"/>
    </row>
    <row r="234" spans="3:12">
      <c r="C234" s="189"/>
      <c r="D234" s="189"/>
      <c r="E234" s="189"/>
      <c r="F234" s="189"/>
      <c r="G234" s="189"/>
      <c r="H234" s="189"/>
      <c r="I234" s="189"/>
      <c r="J234" s="189"/>
      <c r="K234" s="189"/>
      <c r="L234" s="189"/>
    </row>
    <row r="235" spans="3:12">
      <c r="C235" s="189"/>
      <c r="D235" s="189"/>
      <c r="E235" s="189"/>
      <c r="F235" s="189"/>
      <c r="G235" s="189"/>
      <c r="H235" s="189"/>
      <c r="I235" s="189"/>
      <c r="J235" s="189"/>
      <c r="K235" s="189"/>
      <c r="L235" s="189"/>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2">
    <mergeCell ref="A8:L8"/>
    <mergeCell ref="A9:L9"/>
  </mergeCells>
  <printOptions horizontalCentered="1"/>
  <pageMargins left="0.7" right="0.7" top="0.75" bottom="0.75" header="0.3" footer="0.3"/>
  <pageSetup scale="45" fitToHeight="0" orientation="landscape"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475AE-2FEC-446A-B617-38871383BE10}">
  <sheetPr codeName="Sheet19"/>
  <dimension ref="A1:M78"/>
  <sheetViews>
    <sheetView view="pageBreakPreview" zoomScale="70" zoomScaleNormal="80" zoomScaleSheetLayoutView="70" workbookViewId="0"/>
  </sheetViews>
  <sheetFormatPr defaultColWidth="8.84375" defaultRowHeight="15.5"/>
  <cols>
    <col min="1" max="1" width="7.69140625" style="64" customWidth="1"/>
    <col min="2" max="2" width="24.84375" style="66" customWidth="1"/>
    <col min="3" max="3" width="7.07421875" style="66" customWidth="1"/>
    <col min="4" max="4" width="25.53515625" style="64" customWidth="1"/>
    <col min="5" max="5" width="9" style="64" customWidth="1"/>
    <col min="6" max="6" width="34.23046875" style="64" bestFit="1" customWidth="1"/>
    <col min="7" max="9" width="15.84375" style="64" customWidth="1"/>
    <col min="10" max="10" width="18.84375" style="64" customWidth="1"/>
    <col min="11" max="12" width="11.07421875" style="64" bestFit="1" customWidth="1"/>
    <col min="13" max="13" width="14.765625" style="64" bestFit="1" customWidth="1"/>
    <col min="14" max="16384" width="8.84375" style="64"/>
  </cols>
  <sheetData>
    <row r="1" spans="1:13" ht="16.5" customHeight="1">
      <c r="B1" s="63"/>
      <c r="C1" s="63"/>
      <c r="J1" s="65" t="str">
        <f>'Attachment H-11A '!K1&amp;""&amp;", Attachment 13"</f>
        <v>Attachment H -11A, Attachment 13</v>
      </c>
    </row>
    <row r="2" spans="1:13" ht="16.5" customHeight="1">
      <c r="B2" s="63"/>
      <c r="C2" s="63"/>
      <c r="J2" s="65" t="s">
        <v>168</v>
      </c>
    </row>
    <row r="3" spans="1:13" ht="16.5" customHeight="1">
      <c r="B3" s="63"/>
      <c r="C3" s="63"/>
      <c r="J3" s="65" t="str">
        <f>'Attachment H-11A '!K4</f>
        <v>For the 12 months ended 12/31/2025</v>
      </c>
    </row>
    <row r="4" spans="1:13" ht="20.149999999999999" customHeight="1">
      <c r="B4" s="63"/>
      <c r="C4" s="63"/>
    </row>
    <row r="5" spans="1:13" ht="20.149999999999999" customHeight="1">
      <c r="B5" s="1163" t="s">
        <v>1080</v>
      </c>
      <c r="C5" s="1163"/>
      <c r="D5" s="1163"/>
      <c r="E5" s="1163"/>
      <c r="F5" s="1163"/>
      <c r="G5" s="1163"/>
      <c r="H5" s="1163"/>
      <c r="I5" s="1163"/>
    </row>
    <row r="6" spans="1:13" ht="20.149999999999999" customHeight="1">
      <c r="B6" s="1163"/>
      <c r="C6" s="1163"/>
      <c r="D6" s="1163"/>
      <c r="E6" s="1163"/>
      <c r="F6" s="1163"/>
      <c r="G6" s="1163"/>
      <c r="H6" s="1163"/>
      <c r="I6" s="1163"/>
    </row>
    <row r="7" spans="1:13" ht="20.149999999999999" customHeight="1" thickBot="1"/>
    <row r="8" spans="1:13" s="83" customFormat="1" ht="98.25" customHeight="1">
      <c r="B8" s="394" t="s">
        <v>1391</v>
      </c>
      <c r="C8" s="85"/>
      <c r="D8" s="394" t="s">
        <v>1392</v>
      </c>
      <c r="E8" s="85"/>
      <c r="F8" s="84" t="s">
        <v>252</v>
      </c>
      <c r="H8" s="82"/>
      <c r="I8" s="82"/>
    </row>
    <row r="9" spans="1:13" ht="20.149999999999999" customHeight="1">
      <c r="B9" s="69" t="s">
        <v>1205</v>
      </c>
      <c r="C9" s="67"/>
      <c r="D9" s="69" t="s">
        <v>1205</v>
      </c>
      <c r="E9" s="67"/>
      <c r="F9" s="70"/>
      <c r="H9" s="68"/>
      <c r="I9" s="68"/>
    </row>
    <row r="10" spans="1:13" ht="20.149999999999999" customHeight="1" thickBot="1">
      <c r="A10" s="276" t="s">
        <v>245</v>
      </c>
      <c r="B10" s="401">
        <v>59881174.554694667</v>
      </c>
      <c r="C10" s="73" t="str">
        <f>"-"</f>
        <v>-</v>
      </c>
      <c r="D10" s="401">
        <f>'Attachment 13b - PJM Billings'!L20</f>
        <v>51522043.696806841</v>
      </c>
      <c r="E10" s="73" t="str">
        <f>"="</f>
        <v>=</v>
      </c>
      <c r="F10" s="74">
        <f>IF(B10=0,0,D10-B10)</f>
        <v>-8359130.8578878269</v>
      </c>
      <c r="H10" s="68"/>
      <c r="I10" s="68"/>
    </row>
    <row r="11" spans="1:13" ht="20.149999999999999" customHeight="1" thickBot="1">
      <c r="A11" s="276"/>
      <c r="B11" s="75"/>
      <c r="C11" s="76"/>
      <c r="D11" s="75"/>
      <c r="E11" s="76"/>
      <c r="F11" s="75"/>
      <c r="G11" s="77"/>
      <c r="H11" s="77"/>
      <c r="I11" s="77"/>
    </row>
    <row r="12" spans="1:13" ht="20.149999999999999" customHeight="1">
      <c r="A12" s="276"/>
      <c r="B12" s="72"/>
      <c r="C12" s="71"/>
      <c r="D12" s="72"/>
      <c r="E12" s="71"/>
      <c r="F12" s="72"/>
      <c r="G12" s="68"/>
      <c r="H12" s="68"/>
      <c r="I12" s="68"/>
    </row>
    <row r="13" spans="1:13" ht="20.149999999999999" customHeight="1">
      <c r="A13" s="276"/>
      <c r="B13" s="1032" t="s">
        <v>1393</v>
      </c>
      <c r="C13" s="1033"/>
      <c r="D13" s="1034"/>
      <c r="E13" s="1035"/>
      <c r="F13" s="1036"/>
      <c r="G13" s="1036"/>
      <c r="H13" s="68"/>
      <c r="I13" s="68"/>
    </row>
    <row r="14" spans="1:13" ht="20.149999999999999" customHeight="1">
      <c r="A14" s="276"/>
      <c r="B14" s="72"/>
      <c r="C14" s="71"/>
      <c r="D14" s="72"/>
      <c r="E14" s="71"/>
      <c r="F14" s="72"/>
      <c r="G14" s="68"/>
      <c r="H14" s="68"/>
      <c r="I14" s="68"/>
      <c r="J14" s="1070"/>
      <c r="K14" s="1070"/>
      <c r="L14" s="1070"/>
      <c r="M14" s="1070"/>
    </row>
    <row r="15" spans="1:13" ht="20.149999999999999" customHeight="1">
      <c r="A15" s="276"/>
      <c r="B15" s="79" t="s">
        <v>688</v>
      </c>
      <c r="C15" s="71"/>
      <c r="D15" s="79" t="s">
        <v>812</v>
      </c>
      <c r="E15" s="71"/>
      <c r="F15" s="79" t="s">
        <v>813</v>
      </c>
      <c r="G15" s="1003" t="s">
        <v>814</v>
      </c>
      <c r="H15" s="1003" t="s">
        <v>808</v>
      </c>
      <c r="I15" s="1003" t="s">
        <v>1073</v>
      </c>
      <c r="J15" s="1069"/>
      <c r="K15" s="1068"/>
      <c r="L15" s="1068"/>
      <c r="M15" s="1070"/>
    </row>
    <row r="16" spans="1:13" ht="20.149999999999999" customHeight="1">
      <c r="A16" s="1000" t="s">
        <v>5</v>
      </c>
      <c r="B16" s="1001" t="s">
        <v>690</v>
      </c>
      <c r="C16" s="978"/>
      <c r="D16" s="73" t="s">
        <v>1081</v>
      </c>
      <c r="E16" s="1002"/>
      <c r="F16" s="1001" t="s">
        <v>254</v>
      </c>
      <c r="G16" s="73" t="s">
        <v>1065</v>
      </c>
      <c r="H16" s="1001" t="s">
        <v>415</v>
      </c>
      <c r="I16" s="73" t="s">
        <v>1066</v>
      </c>
      <c r="J16" s="1069"/>
      <c r="K16" s="1068"/>
      <c r="L16" s="1068"/>
      <c r="M16" s="1070"/>
    </row>
    <row r="17" spans="1:13" ht="20.149999999999999" customHeight="1">
      <c r="A17" s="276">
        <v>1</v>
      </c>
      <c r="B17" s="996">
        <v>44947</v>
      </c>
      <c r="C17" s="71"/>
      <c r="D17" s="997">
        <v>6.62E-3</v>
      </c>
      <c r="E17" s="71"/>
      <c r="F17" s="989">
        <f>D17</f>
        <v>6.62E-3</v>
      </c>
      <c r="G17" s="988">
        <f>1/12</f>
        <v>8.3333333333333329E-2</v>
      </c>
      <c r="H17" s="988">
        <f>F17*G17</f>
        <v>5.5166666666666667E-4</v>
      </c>
      <c r="I17" s="988">
        <v>0</v>
      </c>
      <c r="J17" s="1069"/>
      <c r="K17" s="1069"/>
      <c r="L17" s="1069"/>
      <c r="M17" s="1070"/>
    </row>
    <row r="18" spans="1:13" ht="20.149999999999999" customHeight="1">
      <c r="A18" s="276">
        <f>IF(ISBLANK(G18)=TRUE,"",MAX($A$17:A17)+1)</f>
        <v>2</v>
      </c>
      <c r="B18" s="990">
        <f>EOMONTH(B17,1)</f>
        <v>44985</v>
      </c>
      <c r="C18" s="71"/>
      <c r="D18" s="989">
        <f>D17</f>
        <v>6.62E-3</v>
      </c>
      <c r="E18" s="71"/>
      <c r="F18" s="989">
        <f t="shared" ref="F18:F28" si="0">D18</f>
        <v>6.62E-3</v>
      </c>
      <c r="G18" s="988">
        <f>G17+1/12</f>
        <v>0.16666666666666666</v>
      </c>
      <c r="H18" s="988">
        <f t="shared" ref="H18:H28" si="1">F18*G18</f>
        <v>1.1033333333333333E-3</v>
      </c>
      <c r="I18" s="988">
        <v>0</v>
      </c>
      <c r="J18" s="1069"/>
      <c r="K18" s="1070"/>
      <c r="L18" s="1070"/>
      <c r="M18" s="1070"/>
    </row>
    <row r="19" spans="1:13" ht="20.149999999999999" customHeight="1">
      <c r="A19" s="276">
        <f>IF(ISBLANK(G19)=TRUE,"",MAX($A$17:A18)+1)</f>
        <v>3</v>
      </c>
      <c r="B19" s="990">
        <f t="shared" ref="B19:B27" si="2">EOMONTH(B18,1)</f>
        <v>45016</v>
      </c>
      <c r="C19" s="71"/>
      <c r="D19" s="989">
        <f>D18</f>
        <v>6.62E-3</v>
      </c>
      <c r="E19" s="71"/>
      <c r="F19" s="989">
        <f t="shared" si="0"/>
        <v>6.62E-3</v>
      </c>
      <c r="G19" s="992">
        <f t="shared" ref="G19:G28" si="3">G18+1/12</f>
        <v>0.25</v>
      </c>
      <c r="H19" s="988">
        <f t="shared" si="1"/>
        <v>1.655E-3</v>
      </c>
      <c r="I19" s="988">
        <f>I18+SUM(H17:H19)</f>
        <v>3.31E-3</v>
      </c>
      <c r="J19" s="1067"/>
      <c r="K19" s="1070"/>
      <c r="L19" s="1069"/>
      <c r="M19" s="1070"/>
    </row>
    <row r="20" spans="1:13" ht="20.149999999999999" customHeight="1">
      <c r="A20" s="276">
        <f>IF(ISBLANK(G20)=TRUE,"",MAX($A$17:A19)+1)</f>
        <v>4</v>
      </c>
      <c r="B20" s="990">
        <f t="shared" si="2"/>
        <v>45046</v>
      </c>
      <c r="C20" s="71"/>
      <c r="D20" s="989">
        <f>D19</f>
        <v>6.62E-3</v>
      </c>
      <c r="E20" s="71"/>
      <c r="F20" s="989">
        <f t="shared" si="0"/>
        <v>6.62E-3</v>
      </c>
      <c r="G20" s="988">
        <f>G19+1/12+I19</f>
        <v>0.33664333333333329</v>
      </c>
      <c r="H20" s="988">
        <f t="shared" si="1"/>
        <v>2.2285788666666665E-3</v>
      </c>
      <c r="I20" s="988">
        <v>0</v>
      </c>
    </row>
    <row r="21" spans="1:13" ht="20.149999999999999" customHeight="1">
      <c r="A21" s="276">
        <f>IF(ISBLANK(G21)=TRUE,"",MAX($A$17:A20)+1)</f>
        <v>5</v>
      </c>
      <c r="B21" s="990">
        <f t="shared" si="2"/>
        <v>45077</v>
      </c>
      <c r="C21" s="71"/>
      <c r="D21" s="989">
        <f>D20</f>
        <v>6.62E-3</v>
      </c>
      <c r="E21" s="71"/>
      <c r="F21" s="989">
        <f t="shared" si="0"/>
        <v>6.62E-3</v>
      </c>
      <c r="G21" s="988">
        <f t="shared" si="3"/>
        <v>0.41997666666666661</v>
      </c>
      <c r="H21" s="988">
        <f t="shared" si="1"/>
        <v>2.780245533333333E-3</v>
      </c>
      <c r="I21" s="988">
        <v>0</v>
      </c>
    </row>
    <row r="22" spans="1:13" ht="20.149999999999999" customHeight="1">
      <c r="A22" s="276">
        <f>IF(ISBLANK(G22)=TRUE,"",MAX($A$17:A21)+1)</f>
        <v>6</v>
      </c>
      <c r="B22" s="990">
        <f t="shared" si="2"/>
        <v>45107</v>
      </c>
      <c r="C22" s="71"/>
      <c r="D22" s="989">
        <f>D21</f>
        <v>6.62E-3</v>
      </c>
      <c r="E22" s="71"/>
      <c r="F22" s="989">
        <f t="shared" si="0"/>
        <v>6.62E-3</v>
      </c>
      <c r="G22" s="992">
        <f t="shared" si="3"/>
        <v>0.50330999999999992</v>
      </c>
      <c r="H22" s="988">
        <f t="shared" si="1"/>
        <v>3.3319121999999994E-3</v>
      </c>
      <c r="I22" s="988">
        <f>I21+SUM(H20:H22)</f>
        <v>8.340736599999999E-3</v>
      </c>
    </row>
    <row r="23" spans="1:13" ht="20.149999999999999" customHeight="1">
      <c r="A23" s="276">
        <f>IF(ISBLANK(G23)=TRUE,"",MAX($A$17:A22)+1)</f>
        <v>7</v>
      </c>
      <c r="B23" s="990">
        <f t="shared" si="2"/>
        <v>45138</v>
      </c>
      <c r="C23" s="71"/>
      <c r="D23" s="989">
        <f t="shared" ref="D23:D28" si="4">D22</f>
        <v>6.62E-3</v>
      </c>
      <c r="E23" s="71"/>
      <c r="F23" s="989">
        <f t="shared" si="0"/>
        <v>6.62E-3</v>
      </c>
      <c r="G23" s="988">
        <f>G22+1/12+I22</f>
        <v>0.5949840699333333</v>
      </c>
      <c r="H23" s="988">
        <f t="shared" si="1"/>
        <v>3.9387945429586665E-3</v>
      </c>
      <c r="I23" s="988">
        <v>0</v>
      </c>
    </row>
    <row r="24" spans="1:13" ht="20.149999999999999" customHeight="1">
      <c r="A24" s="276">
        <f>IF(ISBLANK(G24)=TRUE,"",MAX($A$17:A23)+1)</f>
        <v>8</v>
      </c>
      <c r="B24" s="990">
        <f t="shared" si="2"/>
        <v>45169</v>
      </c>
      <c r="C24" s="71"/>
      <c r="D24" s="989">
        <f t="shared" si="4"/>
        <v>6.62E-3</v>
      </c>
      <c r="E24" s="71"/>
      <c r="F24" s="989">
        <f t="shared" si="0"/>
        <v>6.62E-3</v>
      </c>
      <c r="G24" s="988">
        <f t="shared" si="3"/>
        <v>0.67831740326666667</v>
      </c>
      <c r="H24" s="988">
        <f t="shared" si="1"/>
        <v>4.490461209625333E-3</v>
      </c>
      <c r="I24" s="988">
        <v>0</v>
      </c>
    </row>
    <row r="25" spans="1:13" ht="20.149999999999999" customHeight="1">
      <c r="A25" s="276">
        <f>IF(ISBLANK(G25)=TRUE,"",MAX($A$17:A24)+1)</f>
        <v>9</v>
      </c>
      <c r="B25" s="990">
        <f t="shared" si="2"/>
        <v>45199</v>
      </c>
      <c r="C25" s="71"/>
      <c r="D25" s="989">
        <f t="shared" si="4"/>
        <v>6.62E-3</v>
      </c>
      <c r="E25" s="71"/>
      <c r="F25" s="989">
        <f t="shared" si="0"/>
        <v>6.62E-3</v>
      </c>
      <c r="G25" s="992">
        <f t="shared" si="3"/>
        <v>0.76165073660000004</v>
      </c>
      <c r="H25" s="988">
        <f t="shared" si="1"/>
        <v>5.0421278762920003E-3</v>
      </c>
      <c r="I25" s="988">
        <f>I24+SUM(H23:H25)</f>
        <v>1.3471383628876E-2</v>
      </c>
    </row>
    <row r="26" spans="1:13" ht="20.149999999999999" customHeight="1">
      <c r="A26" s="276">
        <f>IF(ISBLANK(G26)=TRUE,"",MAX($A$17:A25)+1)</f>
        <v>10</v>
      </c>
      <c r="B26" s="990">
        <f t="shared" si="2"/>
        <v>45230</v>
      </c>
      <c r="C26" s="71"/>
      <c r="D26" s="989">
        <f t="shared" si="4"/>
        <v>6.62E-3</v>
      </c>
      <c r="E26" s="71"/>
      <c r="F26" s="989">
        <f>D26</f>
        <v>6.62E-3</v>
      </c>
      <c r="G26" s="988">
        <f>G25+1/12+I25</f>
        <v>0.85845545356220943</v>
      </c>
      <c r="H26" s="988">
        <f t="shared" si="1"/>
        <v>5.6829751025818265E-3</v>
      </c>
      <c r="I26" s="988">
        <v>0</v>
      </c>
    </row>
    <row r="27" spans="1:13" ht="20.149999999999999" customHeight="1">
      <c r="A27" s="276">
        <f>IF(ISBLANK(G27)=TRUE,"",MAX($A$17:A26)+1)</f>
        <v>11</v>
      </c>
      <c r="B27" s="990">
        <f t="shared" si="2"/>
        <v>45260</v>
      </c>
      <c r="C27" s="71"/>
      <c r="D27" s="989">
        <f t="shared" si="4"/>
        <v>6.62E-3</v>
      </c>
      <c r="E27" s="71"/>
      <c r="F27" s="989">
        <f t="shared" si="0"/>
        <v>6.62E-3</v>
      </c>
      <c r="G27" s="988">
        <f t="shared" si="3"/>
        <v>0.9417887868955428</v>
      </c>
      <c r="H27" s="988">
        <f t="shared" si="1"/>
        <v>6.234641769248493E-3</v>
      </c>
      <c r="I27" s="988">
        <v>0</v>
      </c>
    </row>
    <row r="28" spans="1:13" ht="20.149999999999999" customHeight="1">
      <c r="A28" s="276">
        <f>IF(ISBLANK(G28)=TRUE,"",MAX($A$17:A27)+1)</f>
        <v>12</v>
      </c>
      <c r="B28" s="990">
        <f>EOMONTH(B27,1)</f>
        <v>45291</v>
      </c>
      <c r="C28" s="71"/>
      <c r="D28" s="989">
        <f t="shared" si="4"/>
        <v>6.62E-3</v>
      </c>
      <c r="E28" s="71"/>
      <c r="F28" s="989">
        <f t="shared" si="0"/>
        <v>6.62E-3</v>
      </c>
      <c r="G28" s="992">
        <f t="shared" si="3"/>
        <v>1.0251221202288761</v>
      </c>
      <c r="H28" s="988">
        <f t="shared" si="1"/>
        <v>6.7863084359151594E-3</v>
      </c>
      <c r="I28" s="988">
        <f>I27+SUM(H26:H28)</f>
        <v>1.8703925307745478E-2</v>
      </c>
    </row>
    <row r="29" spans="1:13" ht="20.149999999999999" customHeight="1">
      <c r="A29" s="276" t="str">
        <f>IF(ISBLANK(G29)=TRUE,"",MAX($A$17:A28)+1)</f>
        <v/>
      </c>
      <c r="B29" s="78"/>
      <c r="C29" s="71"/>
      <c r="D29" s="72"/>
      <c r="E29" s="71"/>
      <c r="F29" s="72"/>
      <c r="G29" s="68"/>
      <c r="H29" s="68"/>
      <c r="I29" s="68"/>
    </row>
    <row r="30" spans="1:13" ht="20.149999999999999" customHeight="1">
      <c r="A30" s="276">
        <f>IF(ISBLANK(G30)=TRUE,"",MAX($A$17:A29)+1)</f>
        <v>13</v>
      </c>
      <c r="B30" s="78"/>
      <c r="C30" s="71"/>
      <c r="E30" s="72" t="s">
        <v>1074</v>
      </c>
      <c r="F30" s="72"/>
      <c r="G30" s="988">
        <f>G28+I28</f>
        <v>1.0438260455366215</v>
      </c>
      <c r="H30" s="68"/>
      <c r="I30" s="68"/>
    </row>
    <row r="31" spans="1:13" ht="20.149999999999999" customHeight="1">
      <c r="A31" s="276" t="str">
        <f>IF(ISBLANK(G31)=TRUE,"",MAX($A$17:A30)+1)</f>
        <v/>
      </c>
      <c r="B31" s="78"/>
      <c r="C31" s="71"/>
      <c r="D31" s="72"/>
      <c r="E31" s="71"/>
      <c r="F31" s="72"/>
      <c r="G31" s="68"/>
      <c r="H31" s="68"/>
      <c r="I31" s="68"/>
    </row>
    <row r="32" spans="1:13" ht="20.149999999999999" customHeight="1">
      <c r="A32" s="276">
        <f>IF(ISBLANK(G32)=TRUE,"",MAX($A$17:A31)+1)</f>
        <v>14</v>
      </c>
      <c r="B32" s="990">
        <f>EOMONTH(B28,1)</f>
        <v>45322</v>
      </c>
      <c r="C32" s="71"/>
      <c r="D32" s="989">
        <f>D28</f>
        <v>6.62E-3</v>
      </c>
      <c r="E32" s="71"/>
      <c r="F32" s="989">
        <f>D32</f>
        <v>6.62E-3</v>
      </c>
      <c r="G32" s="988">
        <f>G30</f>
        <v>1.0438260455366215</v>
      </c>
      <c r="H32" s="988">
        <f>F32*G32</f>
        <v>6.9101284214524343E-3</v>
      </c>
      <c r="I32" s="988">
        <v>0</v>
      </c>
    </row>
    <row r="33" spans="1:12" ht="20.149999999999999" customHeight="1">
      <c r="A33" s="276">
        <f>IF(ISBLANK(G33)=TRUE,"",MAX($A$17:A32)+1)</f>
        <v>15</v>
      </c>
      <c r="B33" s="990">
        <f>EOMONTH(B32,1)</f>
        <v>45351</v>
      </c>
      <c r="C33" s="71"/>
      <c r="D33" s="989">
        <f>D32</f>
        <v>6.62E-3</v>
      </c>
      <c r="E33" s="71"/>
      <c r="F33" s="989">
        <f t="shared" ref="F33:F43" si="5">D33</f>
        <v>6.62E-3</v>
      </c>
      <c r="G33" s="988">
        <f>G32</f>
        <v>1.0438260455366215</v>
      </c>
      <c r="H33" s="988">
        <f t="shared" ref="H33:H43" si="6">F33*G33</f>
        <v>6.9101284214524343E-3</v>
      </c>
      <c r="I33" s="988">
        <v>0</v>
      </c>
    </row>
    <row r="34" spans="1:12" ht="20.149999999999999" customHeight="1">
      <c r="A34" s="276">
        <f>IF(ISBLANK(G34)=TRUE,"",MAX($A$17:A33)+1)</f>
        <v>16</v>
      </c>
      <c r="B34" s="990">
        <f t="shared" ref="B34:B42" si="7">EOMONTH(B33,1)</f>
        <v>45382</v>
      </c>
      <c r="C34" s="71"/>
      <c r="D34" s="989">
        <f t="shared" ref="D34:D43" si="8">D33</f>
        <v>6.62E-3</v>
      </c>
      <c r="E34" s="71"/>
      <c r="F34" s="989">
        <f t="shared" si="5"/>
        <v>6.62E-3</v>
      </c>
      <c r="G34" s="992">
        <f>G33</f>
        <v>1.0438260455366215</v>
      </c>
      <c r="H34" s="988">
        <f t="shared" si="6"/>
        <v>6.9101284214524343E-3</v>
      </c>
      <c r="I34" s="988">
        <f>I33+SUM(H32:H34)</f>
        <v>2.0730385264357304E-2</v>
      </c>
    </row>
    <row r="35" spans="1:12" ht="20.149999999999999" customHeight="1">
      <c r="A35" s="276">
        <f>IF(ISBLANK(G35)=TRUE,"",MAX($A$17:A34)+1)</f>
        <v>17</v>
      </c>
      <c r="B35" s="990">
        <f t="shared" si="7"/>
        <v>45412</v>
      </c>
      <c r="C35" s="71"/>
      <c r="D35" s="989">
        <f t="shared" si="8"/>
        <v>6.62E-3</v>
      </c>
      <c r="E35" s="71"/>
      <c r="F35" s="989">
        <f t="shared" si="5"/>
        <v>6.62E-3</v>
      </c>
      <c r="G35" s="988">
        <f>G34+I34</f>
        <v>1.0645564308009787</v>
      </c>
      <c r="H35" s="988">
        <f t="shared" si="6"/>
        <v>7.0473635719024794E-3</v>
      </c>
      <c r="I35" s="988">
        <v>0</v>
      </c>
    </row>
    <row r="36" spans="1:12" ht="20.149999999999999" customHeight="1">
      <c r="A36" s="276">
        <f>IF(ISBLANK(G36)=TRUE,"",MAX($A$17:A35)+1)</f>
        <v>18</v>
      </c>
      <c r="B36" s="990">
        <f t="shared" si="7"/>
        <v>45443</v>
      </c>
      <c r="C36" s="71"/>
      <c r="D36" s="989">
        <f t="shared" si="8"/>
        <v>6.62E-3</v>
      </c>
      <c r="E36" s="71"/>
      <c r="F36" s="989">
        <f t="shared" si="5"/>
        <v>6.62E-3</v>
      </c>
      <c r="G36" s="988">
        <f>G35</f>
        <v>1.0645564308009787</v>
      </c>
      <c r="H36" s="988">
        <f t="shared" si="6"/>
        <v>7.0473635719024794E-3</v>
      </c>
      <c r="I36" s="988">
        <v>0</v>
      </c>
    </row>
    <row r="37" spans="1:12" ht="20.149999999999999" customHeight="1">
      <c r="A37" s="276">
        <f>IF(ISBLANK(G37)=TRUE,"",MAX($A$17:A36)+1)</f>
        <v>19</v>
      </c>
      <c r="B37" s="990">
        <f t="shared" si="7"/>
        <v>45473</v>
      </c>
      <c r="C37" s="71"/>
      <c r="D37" s="989">
        <f t="shared" si="8"/>
        <v>6.62E-3</v>
      </c>
      <c r="E37" s="71"/>
      <c r="F37" s="989">
        <f t="shared" si="5"/>
        <v>6.62E-3</v>
      </c>
      <c r="G37" s="992">
        <f>G36</f>
        <v>1.0645564308009787</v>
      </c>
      <c r="H37" s="988">
        <f t="shared" si="6"/>
        <v>7.0473635719024794E-3</v>
      </c>
      <c r="I37" s="988">
        <f>I36+SUM(H35:H37)</f>
        <v>2.114209071570744E-2</v>
      </c>
    </row>
    <row r="38" spans="1:12" ht="20.149999999999999" customHeight="1">
      <c r="A38" s="276">
        <f>IF(ISBLANK(G38)=TRUE,"",MAX($A$17:A37)+1)</f>
        <v>20</v>
      </c>
      <c r="B38" s="990">
        <f t="shared" si="7"/>
        <v>45504</v>
      </c>
      <c r="C38" s="71"/>
      <c r="D38" s="989">
        <f t="shared" si="8"/>
        <v>6.62E-3</v>
      </c>
      <c r="E38" s="71"/>
      <c r="F38" s="989">
        <f t="shared" si="5"/>
        <v>6.62E-3</v>
      </c>
      <c r="G38" s="988">
        <f>G37+I37</f>
        <v>1.0856985215166861</v>
      </c>
      <c r="H38" s="988">
        <f t="shared" si="6"/>
        <v>7.1873242124404621E-3</v>
      </c>
      <c r="I38" s="988">
        <v>0</v>
      </c>
    </row>
    <row r="39" spans="1:12" ht="20.149999999999999" customHeight="1">
      <c r="A39" s="276">
        <f>IF(ISBLANK(G39)=TRUE,"",MAX($A$17:A38)+1)</f>
        <v>21</v>
      </c>
      <c r="B39" s="990">
        <f t="shared" si="7"/>
        <v>45535</v>
      </c>
      <c r="C39" s="71"/>
      <c r="D39" s="989">
        <f t="shared" si="8"/>
        <v>6.62E-3</v>
      </c>
      <c r="E39" s="71"/>
      <c r="F39" s="989">
        <f>D39</f>
        <v>6.62E-3</v>
      </c>
      <c r="G39" s="988">
        <f>G38</f>
        <v>1.0856985215166861</v>
      </c>
      <c r="H39" s="988">
        <f t="shared" si="6"/>
        <v>7.1873242124404621E-3</v>
      </c>
      <c r="I39" s="988">
        <v>0</v>
      </c>
    </row>
    <row r="40" spans="1:12" ht="20.149999999999999" customHeight="1">
      <c r="A40" s="276">
        <f>IF(ISBLANK(G40)=TRUE,"",MAX($A$17:A39)+1)</f>
        <v>22</v>
      </c>
      <c r="B40" s="990">
        <f t="shared" si="7"/>
        <v>45565</v>
      </c>
      <c r="C40" s="71"/>
      <c r="D40" s="989">
        <f t="shared" si="8"/>
        <v>6.62E-3</v>
      </c>
      <c r="E40" s="71"/>
      <c r="F40" s="989">
        <f t="shared" si="5"/>
        <v>6.62E-3</v>
      </c>
      <c r="G40" s="992">
        <f>G39</f>
        <v>1.0856985215166861</v>
      </c>
      <c r="H40" s="988">
        <f t="shared" si="6"/>
        <v>7.1873242124404621E-3</v>
      </c>
      <c r="I40" s="988">
        <f>I39+SUM(H38:H40)</f>
        <v>2.1561972637321385E-2</v>
      </c>
    </row>
    <row r="41" spans="1:12" ht="20.149999999999999" customHeight="1">
      <c r="A41" s="276">
        <f>IF(ISBLANK(G41)=TRUE,"",MAX($A$17:A40)+1)</f>
        <v>23</v>
      </c>
      <c r="B41" s="990">
        <f t="shared" si="7"/>
        <v>45596</v>
      </c>
      <c r="C41" s="71"/>
      <c r="D41" s="989">
        <f t="shared" si="8"/>
        <v>6.62E-3</v>
      </c>
      <c r="E41" s="71"/>
      <c r="F41" s="989">
        <f t="shared" si="5"/>
        <v>6.62E-3</v>
      </c>
      <c r="G41" s="988">
        <f>G40+I40</f>
        <v>1.1072604941540074</v>
      </c>
      <c r="H41" s="988">
        <f t="shared" si="6"/>
        <v>7.3300644712995288E-3</v>
      </c>
      <c r="I41" s="988">
        <v>0</v>
      </c>
    </row>
    <row r="42" spans="1:12" ht="20.149999999999999" customHeight="1">
      <c r="A42" s="276">
        <f>IF(ISBLANK(G42)=TRUE,"",MAX($A$17:A41)+1)</f>
        <v>24</v>
      </c>
      <c r="B42" s="990">
        <f t="shared" si="7"/>
        <v>45626</v>
      </c>
      <c r="C42" s="71"/>
      <c r="D42" s="989">
        <f t="shared" si="8"/>
        <v>6.62E-3</v>
      </c>
      <c r="E42" s="71"/>
      <c r="F42" s="989">
        <f t="shared" si="5"/>
        <v>6.62E-3</v>
      </c>
      <c r="G42" s="988">
        <f>G41</f>
        <v>1.1072604941540074</v>
      </c>
      <c r="H42" s="988">
        <f t="shared" si="6"/>
        <v>7.3300644712995288E-3</v>
      </c>
      <c r="I42" s="988">
        <v>0</v>
      </c>
    </row>
    <row r="43" spans="1:12" ht="20.149999999999999" customHeight="1">
      <c r="A43" s="276">
        <f>IF(ISBLANK(G43)=TRUE,"",MAX($A$17:A42)+1)</f>
        <v>25</v>
      </c>
      <c r="B43" s="990">
        <f>EOMONTH(B42,1)</f>
        <v>45657</v>
      </c>
      <c r="C43" s="71"/>
      <c r="D43" s="989">
        <f t="shared" si="8"/>
        <v>6.62E-3</v>
      </c>
      <c r="E43" s="71"/>
      <c r="F43" s="989">
        <f t="shared" si="5"/>
        <v>6.62E-3</v>
      </c>
      <c r="G43" s="992">
        <f>G42</f>
        <v>1.1072604941540074</v>
      </c>
      <c r="H43" s="988">
        <f t="shared" si="6"/>
        <v>7.3300644712995288E-3</v>
      </c>
      <c r="I43" s="988">
        <f>I42+SUM(H41:H43)</f>
        <v>2.1990193413898587E-2</v>
      </c>
    </row>
    <row r="44" spans="1:12" ht="20.149999999999999" customHeight="1">
      <c r="A44" s="276" t="str">
        <f>IF(ISBLANK(G44)=TRUE,"",MAX($A$17:A43)+1)</f>
        <v/>
      </c>
      <c r="B44" s="78"/>
      <c r="C44" s="71"/>
      <c r="D44" s="72"/>
      <c r="E44" s="71"/>
      <c r="F44" s="72"/>
      <c r="G44" s="68"/>
      <c r="H44" s="68"/>
      <c r="I44" s="68"/>
    </row>
    <row r="45" spans="1:12" ht="20.149999999999999" customHeight="1">
      <c r="A45" s="276">
        <f>IF(ISBLANK(G45)=TRUE,"",MAX($A$17:A44)+1)</f>
        <v>26</v>
      </c>
      <c r="B45" s="78"/>
      <c r="C45" s="71"/>
      <c r="D45" s="72"/>
      <c r="E45" s="72" t="s">
        <v>1075</v>
      </c>
      <c r="F45" s="72"/>
      <c r="G45" s="988">
        <f>G43+I43</f>
        <v>1.129250687567906</v>
      </c>
      <c r="H45" s="68"/>
      <c r="I45" s="68"/>
    </row>
    <row r="46" spans="1:12" ht="20.149999999999999" customHeight="1">
      <c r="A46" s="276" t="str">
        <f>IF(ISBLANK(G46)=TRUE,"",MAX($A$17:A45)+1)</f>
        <v/>
      </c>
      <c r="B46" s="78"/>
      <c r="C46" s="71"/>
      <c r="D46" s="72"/>
      <c r="E46" s="72"/>
      <c r="F46" s="72"/>
      <c r="G46" s="988"/>
      <c r="H46" s="68"/>
      <c r="I46" s="68"/>
    </row>
    <row r="47" spans="1:12" ht="20.149999999999999" customHeight="1">
      <c r="A47" s="276">
        <f>IF(ISBLANK(G47)=TRUE,"",MAX($A$17:A46)+1)</f>
        <v>27</v>
      </c>
      <c r="B47" s="78"/>
      <c r="C47" s="71"/>
      <c r="D47" s="72"/>
      <c r="E47" s="875"/>
      <c r="F47" s="993" t="s">
        <v>1067</v>
      </c>
      <c r="G47" s="1004">
        <f>G45/12</f>
        <v>9.4104223963992165E-2</v>
      </c>
      <c r="H47" s="68"/>
      <c r="I47" s="68"/>
    </row>
    <row r="48" spans="1:12" ht="20.149999999999999" customHeight="1" thickBot="1">
      <c r="A48" s="276">
        <v>28</v>
      </c>
      <c r="B48" s="78"/>
      <c r="C48" s="71"/>
      <c r="D48" s="72"/>
      <c r="E48" s="875"/>
      <c r="F48" s="994" t="s">
        <v>1068</v>
      </c>
      <c r="G48" s="1005">
        <v>3.4268986129082852E-3</v>
      </c>
      <c r="H48" s="988" t="s">
        <v>1206</v>
      </c>
      <c r="I48" s="875"/>
      <c r="J48" s="988"/>
      <c r="K48" s="875"/>
      <c r="L48" s="995"/>
    </row>
    <row r="49" spans="1:9" ht="20.149999999999999" customHeight="1" thickTop="1">
      <c r="A49" s="276">
        <f>IF(ISBLANK(G49)=TRUE,"",MAX($A$17:A48)+1)</f>
        <v>29</v>
      </c>
      <c r="B49" s="78"/>
      <c r="C49" s="71"/>
      <c r="D49" s="72"/>
      <c r="E49" s="875"/>
      <c r="F49" s="993" t="s">
        <v>1069</v>
      </c>
      <c r="G49" s="988">
        <f>G47+G48</f>
        <v>9.7531122576900456E-2</v>
      </c>
      <c r="H49" s="68"/>
      <c r="I49" s="68"/>
    </row>
    <row r="50" spans="1:9" ht="20.149999999999999" customHeight="1">
      <c r="A50" s="276" t="str">
        <f>IF(ISBLANK(G50)=TRUE,"",MAX($A$17:A49)+1)</f>
        <v/>
      </c>
      <c r="B50" s="78"/>
      <c r="C50" s="71"/>
      <c r="D50" s="72"/>
      <c r="E50" s="875"/>
      <c r="F50" s="993"/>
      <c r="G50" s="988"/>
      <c r="H50" s="68"/>
      <c r="I50" s="68"/>
    </row>
    <row r="51" spans="1:9" ht="20.149999999999999" customHeight="1">
      <c r="A51" s="276">
        <f>IF(ISBLANK(G51)=TRUE,"",MAX($A$17:A50)+1)</f>
        <v>30</v>
      </c>
      <c r="B51" s="990">
        <f>EOMONTH(B43,1)</f>
        <v>45688</v>
      </c>
      <c r="C51" s="71"/>
      <c r="D51" s="989">
        <f>D41</f>
        <v>6.62E-3</v>
      </c>
      <c r="E51" s="875"/>
      <c r="F51" s="989">
        <f>D51</f>
        <v>6.62E-3</v>
      </c>
      <c r="G51" s="988">
        <f>$G$45-($G$49*A17)</f>
        <v>1.0317195649910056</v>
      </c>
      <c r="H51" s="988">
        <f>F51*G51</f>
        <v>6.829983520240457E-3</v>
      </c>
      <c r="I51" s="988">
        <v>0</v>
      </c>
    </row>
    <row r="52" spans="1:9" ht="20.149999999999999" customHeight="1">
      <c r="A52" s="276">
        <f>IF(ISBLANK(G52)=TRUE,"",MAX($A$17:A51)+1)</f>
        <v>31</v>
      </c>
      <c r="B52" s="990">
        <f>EOMONTH(B51,1)</f>
        <v>45716</v>
      </c>
      <c r="C52" s="71"/>
      <c r="D52" s="989">
        <f t="shared" ref="D52:D62" si="9">D51</f>
        <v>6.62E-3</v>
      </c>
      <c r="E52" s="875"/>
      <c r="F52" s="989">
        <f t="shared" ref="F52:F61" si="10">D52</f>
        <v>6.62E-3</v>
      </c>
      <c r="G52" s="988">
        <f>G51-$G$49</f>
        <v>0.93418844241410515</v>
      </c>
      <c r="H52" s="988">
        <f t="shared" ref="H52:H62" si="11">F52*G52</f>
        <v>6.1843274887813764E-3</v>
      </c>
      <c r="I52" s="988">
        <v>0</v>
      </c>
    </row>
    <row r="53" spans="1:9" ht="20.149999999999999" customHeight="1">
      <c r="A53" s="276">
        <f>IF(ISBLANK(G53)=TRUE,"",MAX($A$17:A52)+1)</f>
        <v>32</v>
      </c>
      <c r="B53" s="990">
        <f t="shared" ref="B53:B61" si="12">EOMONTH(B52,1)</f>
        <v>45747</v>
      </c>
      <c r="C53" s="71"/>
      <c r="D53" s="989">
        <f t="shared" si="9"/>
        <v>6.62E-3</v>
      </c>
      <c r="E53" s="875"/>
      <c r="F53" s="989">
        <f t="shared" si="10"/>
        <v>6.62E-3</v>
      </c>
      <c r="G53" s="992">
        <f t="shared" ref="G53:G62" si="13">G52-$G$49</f>
        <v>0.8366573198372047</v>
      </c>
      <c r="H53" s="988">
        <f t="shared" si="11"/>
        <v>5.5386714573222948E-3</v>
      </c>
      <c r="I53" s="988">
        <f>I52+SUM(H51:H53)</f>
        <v>1.8552982466344126E-2</v>
      </c>
    </row>
    <row r="54" spans="1:9" ht="20.149999999999999" customHeight="1">
      <c r="A54" s="276">
        <f>IF(ISBLANK(G54)=TRUE,"",MAX($A$17:A53)+1)</f>
        <v>33</v>
      </c>
      <c r="B54" s="990">
        <f t="shared" si="12"/>
        <v>45777</v>
      </c>
      <c r="C54" s="71"/>
      <c r="D54" s="989">
        <f t="shared" si="9"/>
        <v>6.62E-3</v>
      </c>
      <c r="E54" s="875"/>
      <c r="F54" s="989">
        <f>D54</f>
        <v>6.62E-3</v>
      </c>
      <c r="G54" s="988">
        <f>G53-$G$49+I53</f>
        <v>0.75767917972664844</v>
      </c>
      <c r="H54" s="988">
        <f t="shared" si="11"/>
        <v>5.0158361697904127E-3</v>
      </c>
      <c r="I54" s="988">
        <v>0</v>
      </c>
    </row>
    <row r="55" spans="1:9" ht="20.149999999999999" customHeight="1">
      <c r="A55" s="276">
        <f>IF(ISBLANK(G55)=TRUE,"",MAX($A$17:A54)+1)</f>
        <v>34</v>
      </c>
      <c r="B55" s="990">
        <f t="shared" si="12"/>
        <v>45808</v>
      </c>
      <c r="C55" s="71"/>
      <c r="D55" s="989">
        <f t="shared" si="9"/>
        <v>6.62E-3</v>
      </c>
      <c r="E55" s="72"/>
      <c r="F55" s="989">
        <f t="shared" si="10"/>
        <v>6.62E-3</v>
      </c>
      <c r="G55" s="988">
        <f t="shared" si="13"/>
        <v>0.660148057149748</v>
      </c>
      <c r="H55" s="988">
        <f t="shared" si="11"/>
        <v>4.3701801383313321E-3</v>
      </c>
      <c r="I55" s="988">
        <v>0</v>
      </c>
    </row>
    <row r="56" spans="1:9" ht="20.149999999999999" customHeight="1">
      <c r="A56" s="276">
        <f>IF(ISBLANK(G56)=TRUE,"",MAX($A$17:A55)+1)</f>
        <v>35</v>
      </c>
      <c r="B56" s="990">
        <f t="shared" si="12"/>
        <v>45838</v>
      </c>
      <c r="C56" s="71"/>
      <c r="D56" s="989">
        <f t="shared" si="9"/>
        <v>6.62E-3</v>
      </c>
      <c r="E56" s="72"/>
      <c r="F56" s="989">
        <f t="shared" si="10"/>
        <v>6.62E-3</v>
      </c>
      <c r="G56" s="992">
        <f t="shared" si="13"/>
        <v>0.56261693457284756</v>
      </c>
      <c r="H56" s="988">
        <f t="shared" si="11"/>
        <v>3.724524106872251E-3</v>
      </c>
      <c r="I56" s="988">
        <f>I55+SUM(H54:H56)</f>
        <v>1.3110540414993994E-2</v>
      </c>
    </row>
    <row r="57" spans="1:9" ht="20.149999999999999" customHeight="1">
      <c r="A57" s="276">
        <f>IF(ISBLANK(G57)=TRUE,"",MAX($A$17:A56)+1)</f>
        <v>36</v>
      </c>
      <c r="B57" s="990">
        <f t="shared" si="12"/>
        <v>45869</v>
      </c>
      <c r="C57" s="71"/>
      <c r="D57" s="989">
        <f t="shared" si="9"/>
        <v>6.62E-3</v>
      </c>
      <c r="E57" s="72"/>
      <c r="F57" s="989">
        <f>D57</f>
        <v>6.62E-3</v>
      </c>
      <c r="G57" s="988">
        <f>G56-$G$49+I56</f>
        <v>0.47819635241094111</v>
      </c>
      <c r="H57" s="988">
        <f t="shared" si="11"/>
        <v>3.1656598529604301E-3</v>
      </c>
      <c r="I57" s="988">
        <v>0</v>
      </c>
    </row>
    <row r="58" spans="1:9" ht="20.149999999999999" customHeight="1">
      <c r="A58" s="276">
        <f>IF(ISBLANK(G58)=TRUE,"",MAX($A$17:A57)+1)</f>
        <v>37</v>
      </c>
      <c r="B58" s="990">
        <f t="shared" si="12"/>
        <v>45900</v>
      </c>
      <c r="C58" s="71"/>
      <c r="D58" s="989">
        <f t="shared" si="9"/>
        <v>6.62E-3</v>
      </c>
      <c r="E58" s="72"/>
      <c r="F58" s="989">
        <f t="shared" si="10"/>
        <v>6.62E-3</v>
      </c>
      <c r="G58" s="988">
        <f t="shared" si="13"/>
        <v>0.38066522983404066</v>
      </c>
      <c r="H58" s="988">
        <f t="shared" si="11"/>
        <v>2.5200038215013494E-3</v>
      </c>
      <c r="I58" s="988">
        <v>0</v>
      </c>
    </row>
    <row r="59" spans="1:9" ht="20.149999999999999" customHeight="1">
      <c r="A59" s="276">
        <f>IF(ISBLANK(G59)=TRUE,"",MAX($A$17:A58)+1)</f>
        <v>38</v>
      </c>
      <c r="B59" s="990">
        <f t="shared" si="12"/>
        <v>45930</v>
      </c>
      <c r="C59" s="71"/>
      <c r="D59" s="989">
        <f t="shared" si="9"/>
        <v>6.62E-3</v>
      </c>
      <c r="E59" s="72"/>
      <c r="F59" s="989">
        <f>D59</f>
        <v>6.62E-3</v>
      </c>
      <c r="G59" s="992">
        <f t="shared" si="13"/>
        <v>0.28313410725714022</v>
      </c>
      <c r="H59" s="988">
        <f t="shared" si="11"/>
        <v>1.8743477900422683E-3</v>
      </c>
      <c r="I59" s="988">
        <f>I58+SUM(H57:H59)</f>
        <v>7.5600114645040482E-3</v>
      </c>
    </row>
    <row r="60" spans="1:9" ht="20.149999999999999" customHeight="1">
      <c r="A60" s="276">
        <f>IF(ISBLANK(G60)=TRUE,"",MAX($A$17:A59)+1)</f>
        <v>39</v>
      </c>
      <c r="B60" s="990">
        <f t="shared" si="12"/>
        <v>45961</v>
      </c>
      <c r="C60" s="71"/>
      <c r="D60" s="989">
        <f t="shared" si="9"/>
        <v>6.62E-3</v>
      </c>
      <c r="E60" s="72"/>
      <c r="F60" s="989">
        <f t="shared" si="10"/>
        <v>6.62E-3</v>
      </c>
      <c r="G60" s="988">
        <f>G59-$G$49+I59</f>
        <v>0.19316299614474383</v>
      </c>
      <c r="H60" s="988">
        <f t="shared" si="11"/>
        <v>1.2787390344782042E-3</v>
      </c>
      <c r="I60" s="988">
        <v>0</v>
      </c>
    </row>
    <row r="61" spans="1:9" ht="20.149999999999999" customHeight="1">
      <c r="A61" s="276">
        <f>IF(ISBLANK(G61)=TRUE,"",MAX($A$17:A60)+1)</f>
        <v>40</v>
      </c>
      <c r="B61" s="990">
        <f t="shared" si="12"/>
        <v>45991</v>
      </c>
      <c r="C61" s="71"/>
      <c r="D61" s="989">
        <f t="shared" si="9"/>
        <v>6.62E-3</v>
      </c>
      <c r="E61" s="72"/>
      <c r="F61" s="989">
        <f t="shared" si="10"/>
        <v>6.62E-3</v>
      </c>
      <c r="G61" s="988">
        <f t="shared" si="13"/>
        <v>9.5631873567843376E-2</v>
      </c>
      <c r="H61" s="988">
        <f t="shared" si="11"/>
        <v>6.3308300301912314E-4</v>
      </c>
      <c r="I61" s="988">
        <v>0</v>
      </c>
    </row>
    <row r="62" spans="1:9" ht="20.149999999999999" customHeight="1">
      <c r="A62" s="276">
        <f>IF(ISBLANK(G62)=TRUE,"",MAX($A$17:A61)+1)</f>
        <v>41</v>
      </c>
      <c r="B62" s="990">
        <f>EOMONTH(B61,1)</f>
        <v>46022</v>
      </c>
      <c r="C62" s="71"/>
      <c r="D62" s="989">
        <f t="shared" si="9"/>
        <v>6.62E-3</v>
      </c>
      <c r="E62" s="71"/>
      <c r="F62" s="989">
        <f>D62</f>
        <v>6.62E-3</v>
      </c>
      <c r="G62" s="992">
        <f t="shared" si="13"/>
        <v>-1.8992490090570802E-3</v>
      </c>
      <c r="H62" s="988">
        <f t="shared" si="11"/>
        <v>-1.2573028439957871E-5</v>
      </c>
      <c r="I62" s="988">
        <f>I61+SUM(H60:H62)</f>
        <v>1.8992490090573694E-3</v>
      </c>
    </row>
    <row r="63" spans="1:9" ht="20.149999999999999" customHeight="1">
      <c r="A63" s="276" t="str">
        <f>IF(ISBLANK(G63)=TRUE,"",MAX($A$17:A62)+1)</f>
        <v/>
      </c>
      <c r="B63" s="78"/>
      <c r="C63" s="71"/>
      <c r="D63" s="72"/>
      <c r="E63" s="71"/>
      <c r="F63" s="72"/>
      <c r="G63" s="68"/>
      <c r="H63" s="68"/>
      <c r="I63" s="68"/>
    </row>
    <row r="64" spans="1:9" ht="20.149999999999999" customHeight="1">
      <c r="A64" s="276">
        <f>IF(ISBLANK(G64)=TRUE,"",MAX($A$17:A63)+1)</f>
        <v>42</v>
      </c>
      <c r="B64" s="78"/>
      <c r="C64" s="71"/>
      <c r="D64" s="72"/>
      <c r="E64" s="72" t="s">
        <v>1076</v>
      </c>
      <c r="F64" s="72"/>
      <c r="G64" s="988">
        <f>G62+I62</f>
        <v>2.8926513961913258E-16</v>
      </c>
      <c r="H64" s="68"/>
      <c r="I64" s="68"/>
    </row>
    <row r="65" spans="1:10" ht="20.149999999999999" customHeight="1">
      <c r="A65" s="276" t="str">
        <f>IF(ISBLANK(G65)=TRUE,"",MAX($A$17:A64)+1)</f>
        <v/>
      </c>
      <c r="B65" s="78"/>
      <c r="C65" s="71"/>
      <c r="D65" s="72"/>
      <c r="E65" s="71"/>
      <c r="F65" s="72"/>
      <c r="G65" s="68"/>
      <c r="H65" s="68"/>
      <c r="I65" s="68"/>
    </row>
    <row r="66" spans="1:10" ht="20.149999999999999" customHeight="1">
      <c r="A66" s="276">
        <f>IF(ISBLANK(G66)=TRUE,"",MAX($A$17:A65)+1)</f>
        <v>43</v>
      </c>
      <c r="B66" s="78"/>
      <c r="C66" s="71"/>
      <c r="D66" s="991"/>
      <c r="E66" s="998"/>
      <c r="F66" s="999" t="s">
        <v>1070</v>
      </c>
      <c r="G66" s="988">
        <f>G49*12</f>
        <v>1.1703734709228055</v>
      </c>
      <c r="H66" s="68"/>
      <c r="I66" s="68"/>
    </row>
    <row r="67" spans="1:10" ht="20.149999999999999" customHeight="1">
      <c r="A67" s="276">
        <f>IF(ISBLANK(G67)=TRUE,"",MAX($A$17:A66)+1)</f>
        <v>44</v>
      </c>
      <c r="B67" s="78"/>
      <c r="C67" s="71"/>
      <c r="D67" s="72"/>
      <c r="E67" s="71"/>
      <c r="F67" s="72" t="s">
        <v>1071</v>
      </c>
      <c r="G67" s="992">
        <v>1</v>
      </c>
      <c r="H67" s="68"/>
      <c r="I67" s="68"/>
    </row>
    <row r="68" spans="1:10" ht="20.149999999999999" customHeight="1">
      <c r="A68" s="276">
        <f>IF(ISBLANK(G68)=TRUE,"",MAX($A$17:A67)+1)</f>
        <v>45</v>
      </c>
      <c r="B68" s="78"/>
      <c r="C68" s="71"/>
      <c r="D68" s="991"/>
      <c r="E68" s="998"/>
      <c r="F68" s="999" t="s">
        <v>1072</v>
      </c>
      <c r="G68" s="988">
        <f>G66-G67</f>
        <v>0.17037347092280553</v>
      </c>
      <c r="H68" s="68"/>
      <c r="I68" s="68"/>
    </row>
    <row r="69" spans="1:10" ht="20.149999999999999" customHeight="1">
      <c r="A69" s="276" t="str">
        <f>IF(ISBLANK(G69)=TRUE,"",MAX($A$17:A68)+1)</f>
        <v/>
      </c>
      <c r="B69" s="78"/>
      <c r="C69" s="71"/>
      <c r="D69" s="72"/>
      <c r="E69" s="71"/>
      <c r="F69" s="72"/>
      <c r="G69" s="68"/>
      <c r="H69" s="68"/>
      <c r="I69" s="68"/>
    </row>
    <row r="70" spans="1:10" ht="20.149999999999999" customHeight="1">
      <c r="A70" s="276" t="str">
        <f>IF(ISBLANK(G70)=TRUE,"",MAX($A$17:A69)+1)</f>
        <v/>
      </c>
      <c r="B70" s="78"/>
      <c r="C70" s="71"/>
      <c r="D70" s="72"/>
      <c r="E70" s="71"/>
      <c r="F70" s="72"/>
      <c r="G70" s="68"/>
      <c r="H70" s="68"/>
      <c r="I70" s="68"/>
    </row>
    <row r="71" spans="1:10" ht="20.149999999999999" customHeight="1">
      <c r="A71" s="276" t="str">
        <f>IF(ISBLANK(G71)=TRUE,"",MAX($A$17:A70)+1)</f>
        <v/>
      </c>
      <c r="B71" s="80"/>
      <c r="C71" s="80"/>
      <c r="D71" s="80"/>
      <c r="E71" s="80"/>
      <c r="F71" s="80"/>
      <c r="G71" s="80"/>
      <c r="H71" s="80"/>
      <c r="I71" s="80"/>
    </row>
    <row r="72" spans="1:10" ht="20.149999999999999" customHeight="1">
      <c r="A72" s="1026">
        <f>IF(ISBLANK(G72)=TRUE,"",MAX($A$17:A71)+1)</f>
        <v>46</v>
      </c>
      <c r="B72" s="67" t="s">
        <v>1079</v>
      </c>
      <c r="C72" s="80"/>
      <c r="D72" s="80"/>
      <c r="E72" s="80"/>
      <c r="F72" s="80"/>
      <c r="G72" s="1027">
        <f>+F10</f>
        <v>-8359130.8578878269</v>
      </c>
      <c r="H72" s="81"/>
      <c r="I72" s="80"/>
    </row>
    <row r="73" spans="1:10" ht="20.149999999999999" customHeight="1">
      <c r="A73" s="1026">
        <f>IF(ISBLANK(G73)=TRUE,"",MAX($A$17:A72)+1)</f>
        <v>47</v>
      </c>
      <c r="B73" s="67" t="s">
        <v>415</v>
      </c>
      <c r="C73" s="80"/>
      <c r="D73" s="80"/>
      <c r="E73" s="80"/>
      <c r="F73" s="80"/>
      <c r="G73" s="1027">
        <f>G68*G72</f>
        <v>-1424174.1381562781</v>
      </c>
      <c r="H73" s="81"/>
      <c r="I73" s="80"/>
    </row>
    <row r="74" spans="1:10" ht="20.149999999999999" customHeight="1">
      <c r="A74" s="1026">
        <f>IF(ISBLANK(G74)=TRUE,"",MAX($A$17:A73)+1)</f>
        <v>48</v>
      </c>
      <c r="B74" s="67" t="s">
        <v>1082</v>
      </c>
      <c r="C74" s="80"/>
      <c r="D74" s="80"/>
      <c r="E74" s="80"/>
      <c r="F74" s="80"/>
      <c r="G74" s="1027">
        <f>G72+G73</f>
        <v>-9783304.9960441049</v>
      </c>
      <c r="H74" s="81"/>
      <c r="I74" s="80"/>
    </row>
    <row r="75" spans="1:10" ht="20.149999999999999" customHeight="1">
      <c r="A75" s="276"/>
      <c r="B75" s="67"/>
      <c r="C75" s="80"/>
      <c r="D75" s="80"/>
      <c r="E75" s="80"/>
      <c r="F75" s="80"/>
      <c r="G75" s="80"/>
      <c r="H75" s="81"/>
      <c r="I75" s="80"/>
    </row>
    <row r="76" spans="1:10" ht="48" customHeight="1">
      <c r="A76" s="492" t="s">
        <v>1077</v>
      </c>
      <c r="B76" s="1164" t="s">
        <v>1207</v>
      </c>
      <c r="C76" s="1164"/>
      <c r="D76" s="1164"/>
      <c r="E76" s="1164"/>
      <c r="F76" s="1164"/>
      <c r="G76" s="1164"/>
      <c r="H76" s="1164"/>
      <c r="I76" s="1164"/>
      <c r="J76" s="1164"/>
    </row>
    <row r="77" spans="1:10">
      <c r="A77" s="66" t="s">
        <v>1078</v>
      </c>
      <c r="B77" s="1165" t="s">
        <v>1208</v>
      </c>
      <c r="C77" s="1165"/>
      <c r="D77" s="1165"/>
      <c r="E77" s="1165"/>
      <c r="F77" s="1165"/>
      <c r="G77" s="1165"/>
      <c r="H77" s="1165"/>
      <c r="I77" s="1165"/>
      <c r="J77" s="1165"/>
    </row>
    <row r="78" spans="1:10" ht="30.75" customHeight="1">
      <c r="A78" s="66" t="s">
        <v>1209</v>
      </c>
      <c r="B78" s="1166" t="s">
        <v>1210</v>
      </c>
      <c r="C78" s="1166"/>
      <c r="D78" s="1166"/>
      <c r="E78" s="1166"/>
      <c r="F78" s="1166"/>
      <c r="G78" s="1166"/>
      <c r="H78" s="1166"/>
      <c r="I78" s="1166"/>
      <c r="J78" s="1166"/>
    </row>
  </sheetData>
  <mergeCells count="5">
    <mergeCell ref="B5:I5"/>
    <mergeCell ref="B6:I6"/>
    <mergeCell ref="B76:J76"/>
    <mergeCell ref="B77:J77"/>
    <mergeCell ref="B78:J78"/>
  </mergeCells>
  <pageMargins left="0.7" right="0.7" top="0.75" bottom="0.75" header="0.3" footer="0.3"/>
  <pageSetup scale="33" orientation="portrait" r:id="rId1"/>
  <colBreaks count="1" manualBreakCount="1">
    <brk id="10" max="77" man="1"/>
  </colBreaks>
  <ignoredErrors>
    <ignoredError sqref="D18:D28 G17:H17 H18:H28 G30 G32 G45 H51:H62 G64 G66 G68 D51:D62 D32:D43 D10" unlockedFormula="1"/>
    <ignoredError sqref="G20 G26 G23 G35 G38 G41 G54 G57 G60"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127C6-AF9F-481A-9761-4342AB66683E}">
  <sheetPr codeName="Sheet20"/>
  <dimension ref="A1:L78"/>
  <sheetViews>
    <sheetView view="pageBreakPreview" zoomScale="70" zoomScaleNormal="80" zoomScaleSheetLayoutView="70" workbookViewId="0">
      <selection activeCell="A2" sqref="A2"/>
    </sheetView>
  </sheetViews>
  <sheetFormatPr defaultColWidth="8.84375" defaultRowHeight="15.5"/>
  <cols>
    <col min="1" max="1" width="7.69140625" style="64" customWidth="1"/>
    <col min="2" max="2" width="24.84375" style="66" customWidth="1"/>
    <col min="3" max="3" width="7.07421875" style="66" customWidth="1"/>
    <col min="4" max="4" width="25.53515625" style="64" customWidth="1"/>
    <col min="5" max="5" width="9" style="64" customWidth="1"/>
    <col min="6" max="6" width="34.23046875" style="64" bestFit="1" customWidth="1"/>
    <col min="7" max="9" width="15.84375" style="64" customWidth="1"/>
    <col min="10" max="10" width="20.84375" style="64" customWidth="1"/>
    <col min="11" max="16384" width="8.84375" style="64"/>
  </cols>
  <sheetData>
    <row r="1" spans="1:10" ht="16.5" customHeight="1">
      <c r="B1" s="63"/>
      <c r="C1" s="63"/>
      <c r="J1" s="65" t="str">
        <f>'Attachment H-11A '!K1&amp;""&amp;", Attachment 13a"</f>
        <v>Attachment H -11A, Attachment 13a</v>
      </c>
    </row>
    <row r="2" spans="1:10" ht="16.5" customHeight="1">
      <c r="B2" s="63"/>
      <c r="C2" s="63"/>
      <c r="J2" s="65" t="s">
        <v>168</v>
      </c>
    </row>
    <row r="3" spans="1:10" ht="16.5" customHeight="1">
      <c r="B3" s="63"/>
      <c r="C3" s="63"/>
      <c r="J3" s="65" t="str">
        <f>'Attachment H-11A '!K4</f>
        <v>For the 12 months ended 12/31/2025</v>
      </c>
    </row>
    <row r="4" spans="1:10" ht="20.149999999999999" customHeight="1">
      <c r="B4" s="63"/>
      <c r="C4" s="63"/>
    </row>
    <row r="5" spans="1:10" ht="20.149999999999999" customHeight="1">
      <c r="B5" s="1163" t="s">
        <v>542</v>
      </c>
      <c r="C5" s="1163"/>
      <c r="D5" s="1163"/>
      <c r="E5" s="1163"/>
      <c r="F5" s="1163"/>
      <c r="G5" s="1163"/>
      <c r="H5" s="1163"/>
      <c r="I5" s="1163"/>
    </row>
    <row r="6" spans="1:10" ht="20.149999999999999" customHeight="1">
      <c r="B6" s="1163"/>
      <c r="C6" s="1163"/>
      <c r="D6" s="1163"/>
      <c r="E6" s="1163"/>
      <c r="F6" s="1163"/>
      <c r="G6" s="1163"/>
      <c r="H6" s="1163"/>
      <c r="I6" s="1163"/>
    </row>
    <row r="7" spans="1:10" ht="20.149999999999999" customHeight="1" thickBot="1"/>
    <row r="8" spans="1:10" s="83" customFormat="1" ht="98.25" customHeight="1">
      <c r="B8" s="394" t="s">
        <v>1323</v>
      </c>
      <c r="C8" s="85"/>
      <c r="D8" s="394" t="s">
        <v>1322</v>
      </c>
      <c r="E8" s="85"/>
      <c r="F8" s="84" t="s">
        <v>252</v>
      </c>
      <c r="H8" s="82"/>
      <c r="I8" s="82"/>
    </row>
    <row r="9" spans="1:10" ht="20.149999999999999" customHeight="1">
      <c r="B9" s="69" t="s">
        <v>1205</v>
      </c>
      <c r="C9" s="67"/>
      <c r="D9" s="69" t="s">
        <v>1205</v>
      </c>
      <c r="E9" s="67"/>
      <c r="F9" s="70"/>
      <c r="H9" s="68"/>
      <c r="I9" s="68"/>
    </row>
    <row r="10" spans="1:10" ht="20.149999999999999" customHeight="1" thickBot="1">
      <c r="A10" s="276" t="s">
        <v>245</v>
      </c>
      <c r="B10" s="401">
        <f>'Attachment 12 - TEC True-up'!I32</f>
        <v>400286.66877473716</v>
      </c>
      <c r="C10" s="73" t="str">
        <f>"-"</f>
        <v>-</v>
      </c>
      <c r="D10" s="401">
        <f>'Attachment 12 - TEC True-up'!E15</f>
        <v>365408.87054228579</v>
      </c>
      <c r="E10" s="73" t="str">
        <f>"="</f>
        <v>=</v>
      </c>
      <c r="F10" s="74">
        <f>IF(B10=0,0,D10-B10)</f>
        <v>-34877.798232451372</v>
      </c>
      <c r="H10" s="68"/>
      <c r="I10" s="68"/>
    </row>
    <row r="11" spans="1:10" ht="20.149999999999999" customHeight="1" thickBot="1">
      <c r="A11" s="276"/>
      <c r="B11" s="75"/>
      <c r="C11" s="76"/>
      <c r="D11" s="75"/>
      <c r="E11" s="76"/>
      <c r="F11" s="75"/>
      <c r="G11" s="77"/>
      <c r="H11" s="77"/>
      <c r="I11" s="77"/>
    </row>
    <row r="12" spans="1:10" ht="20.149999999999999" customHeight="1">
      <c r="A12" s="276"/>
      <c r="B12" s="72"/>
      <c r="C12" s="71"/>
      <c r="D12" s="72"/>
      <c r="E12" s="71"/>
      <c r="F12" s="72"/>
      <c r="G12" s="68"/>
      <c r="H12" s="68"/>
      <c r="I12" s="68"/>
    </row>
    <row r="13" spans="1:10" ht="20.149999999999999" customHeight="1">
      <c r="A13" s="276"/>
      <c r="B13" s="1032" t="s">
        <v>1393</v>
      </c>
      <c r="C13" s="1033"/>
      <c r="D13" s="1034"/>
      <c r="E13" s="1035"/>
      <c r="F13" s="1036"/>
      <c r="G13" s="1036"/>
      <c r="H13" s="68"/>
      <c r="I13" s="68"/>
    </row>
    <row r="14" spans="1:10" ht="20.149999999999999" customHeight="1">
      <c r="A14" s="276"/>
      <c r="B14" s="72"/>
      <c r="C14" s="71"/>
      <c r="D14" s="72"/>
      <c r="E14" s="71"/>
      <c r="F14" s="72"/>
      <c r="G14" s="68"/>
      <c r="H14" s="68"/>
      <c r="I14" s="68"/>
    </row>
    <row r="15" spans="1:10" ht="20.149999999999999" customHeight="1">
      <c r="A15" s="276"/>
      <c r="B15" s="79" t="s">
        <v>688</v>
      </c>
      <c r="C15" s="71"/>
      <c r="D15" s="79" t="s">
        <v>812</v>
      </c>
      <c r="E15" s="71"/>
      <c r="F15" s="79" t="s">
        <v>813</v>
      </c>
      <c r="G15" s="1003" t="s">
        <v>814</v>
      </c>
      <c r="H15" s="1003" t="s">
        <v>808</v>
      </c>
      <c r="I15" s="1003" t="s">
        <v>1073</v>
      </c>
    </row>
    <row r="16" spans="1:10" ht="20.149999999999999" customHeight="1">
      <c r="A16" s="1000" t="s">
        <v>5</v>
      </c>
      <c r="B16" s="1001" t="s">
        <v>690</v>
      </c>
      <c r="C16" s="978"/>
      <c r="D16" s="73" t="s">
        <v>1081</v>
      </c>
      <c r="E16" s="1002"/>
      <c r="F16" s="1001" t="s">
        <v>254</v>
      </c>
      <c r="G16" s="73" t="s">
        <v>1065</v>
      </c>
      <c r="H16" s="1001" t="s">
        <v>415</v>
      </c>
      <c r="I16" s="73" t="s">
        <v>1066</v>
      </c>
    </row>
    <row r="17" spans="1:9" ht="20.149999999999999" customHeight="1">
      <c r="A17" s="276">
        <v>1</v>
      </c>
      <c r="B17" s="996">
        <v>44947</v>
      </c>
      <c r="C17" s="71"/>
      <c r="D17" s="997">
        <v>6.62E-3</v>
      </c>
      <c r="E17" s="71"/>
      <c r="F17" s="989">
        <f>D17</f>
        <v>6.62E-3</v>
      </c>
      <c r="G17" s="988">
        <f>1/12</f>
        <v>8.3333333333333329E-2</v>
      </c>
      <c r="H17" s="988">
        <f>F17*G17</f>
        <v>5.5166666666666667E-4</v>
      </c>
      <c r="I17" s="988">
        <v>0</v>
      </c>
    </row>
    <row r="18" spans="1:9" ht="20.149999999999999" customHeight="1">
      <c r="A18" s="276">
        <f>IF(ISBLANK(G18)=TRUE,"",MAX($A$17:A17)+1)</f>
        <v>2</v>
      </c>
      <c r="B18" s="990">
        <f>EOMONTH(B17,1)</f>
        <v>44985</v>
      </c>
      <c r="C18" s="71"/>
      <c r="D18" s="989">
        <f>D17</f>
        <v>6.62E-3</v>
      </c>
      <c r="E18" s="71"/>
      <c r="F18" s="989">
        <f t="shared" ref="F18:F28" si="0">D18</f>
        <v>6.62E-3</v>
      </c>
      <c r="G18" s="988">
        <f>G17+1/12</f>
        <v>0.16666666666666666</v>
      </c>
      <c r="H18" s="988">
        <f t="shared" ref="H18:H28" si="1">F18*G18</f>
        <v>1.1033333333333333E-3</v>
      </c>
      <c r="I18" s="988">
        <v>0</v>
      </c>
    </row>
    <row r="19" spans="1:9" ht="20.149999999999999" customHeight="1">
      <c r="A19" s="276">
        <f>IF(ISBLANK(G19)=TRUE,"",MAX($A$17:A18)+1)</f>
        <v>3</v>
      </c>
      <c r="B19" s="990">
        <f t="shared" ref="B19:B27" si="2">EOMONTH(B18,1)</f>
        <v>45016</v>
      </c>
      <c r="C19" s="71"/>
      <c r="D19" s="989">
        <f>D18</f>
        <v>6.62E-3</v>
      </c>
      <c r="E19" s="71"/>
      <c r="F19" s="989">
        <f t="shared" si="0"/>
        <v>6.62E-3</v>
      </c>
      <c r="G19" s="992">
        <f t="shared" ref="G19:G28" si="3">G18+1/12</f>
        <v>0.25</v>
      </c>
      <c r="H19" s="988">
        <f t="shared" si="1"/>
        <v>1.655E-3</v>
      </c>
      <c r="I19" s="988">
        <f>I18+SUM(H17:H19)</f>
        <v>3.31E-3</v>
      </c>
    </row>
    <row r="20" spans="1:9" ht="20.149999999999999" customHeight="1">
      <c r="A20" s="276">
        <f>IF(ISBLANK(G20)=TRUE,"",MAX($A$17:A19)+1)</f>
        <v>4</v>
      </c>
      <c r="B20" s="990">
        <f t="shared" si="2"/>
        <v>45046</v>
      </c>
      <c r="C20" s="71"/>
      <c r="D20" s="989">
        <f>D19</f>
        <v>6.62E-3</v>
      </c>
      <c r="E20" s="71"/>
      <c r="F20" s="989">
        <f t="shared" si="0"/>
        <v>6.62E-3</v>
      </c>
      <c r="G20" s="988">
        <f>G19+1/12+I19</f>
        <v>0.33664333333333329</v>
      </c>
      <c r="H20" s="988">
        <f t="shared" si="1"/>
        <v>2.2285788666666665E-3</v>
      </c>
      <c r="I20" s="988">
        <v>0</v>
      </c>
    </row>
    <row r="21" spans="1:9" ht="20.149999999999999" customHeight="1">
      <c r="A21" s="276">
        <f>IF(ISBLANK(G21)=TRUE,"",MAX($A$17:A20)+1)</f>
        <v>5</v>
      </c>
      <c r="B21" s="990">
        <f t="shared" si="2"/>
        <v>45077</v>
      </c>
      <c r="C21" s="71"/>
      <c r="D21" s="989">
        <f>D20</f>
        <v>6.62E-3</v>
      </c>
      <c r="E21" s="71"/>
      <c r="F21" s="989">
        <f t="shared" si="0"/>
        <v>6.62E-3</v>
      </c>
      <c r="G21" s="988">
        <f t="shared" si="3"/>
        <v>0.41997666666666661</v>
      </c>
      <c r="H21" s="988">
        <f t="shared" si="1"/>
        <v>2.780245533333333E-3</v>
      </c>
      <c r="I21" s="988">
        <v>0</v>
      </c>
    </row>
    <row r="22" spans="1:9" ht="20.149999999999999" customHeight="1">
      <c r="A22" s="276">
        <f>IF(ISBLANK(G22)=TRUE,"",MAX($A$17:A21)+1)</f>
        <v>6</v>
      </c>
      <c r="B22" s="990">
        <f t="shared" si="2"/>
        <v>45107</v>
      </c>
      <c r="C22" s="71"/>
      <c r="D22" s="989">
        <f>D21</f>
        <v>6.62E-3</v>
      </c>
      <c r="E22" s="71"/>
      <c r="F22" s="989">
        <f t="shared" si="0"/>
        <v>6.62E-3</v>
      </c>
      <c r="G22" s="992">
        <f t="shared" si="3"/>
        <v>0.50330999999999992</v>
      </c>
      <c r="H22" s="988">
        <f t="shared" si="1"/>
        <v>3.3319121999999994E-3</v>
      </c>
      <c r="I22" s="988">
        <f>I21+SUM(H20:H22)</f>
        <v>8.340736599999999E-3</v>
      </c>
    </row>
    <row r="23" spans="1:9" ht="20.149999999999999" customHeight="1">
      <c r="A23" s="276">
        <f>IF(ISBLANK(G23)=TRUE,"",MAX($A$17:A22)+1)</f>
        <v>7</v>
      </c>
      <c r="B23" s="990">
        <f t="shared" si="2"/>
        <v>45138</v>
      </c>
      <c r="C23" s="71"/>
      <c r="D23" s="989">
        <f t="shared" ref="D23:D28" si="4">D22</f>
        <v>6.62E-3</v>
      </c>
      <c r="E23" s="71"/>
      <c r="F23" s="989">
        <f t="shared" si="0"/>
        <v>6.62E-3</v>
      </c>
      <c r="G23" s="988">
        <f>G22+1/12+I22</f>
        <v>0.5949840699333333</v>
      </c>
      <c r="H23" s="988">
        <f t="shared" si="1"/>
        <v>3.9387945429586665E-3</v>
      </c>
      <c r="I23" s="988">
        <v>0</v>
      </c>
    </row>
    <row r="24" spans="1:9" ht="20.149999999999999" customHeight="1">
      <c r="A24" s="276">
        <f>IF(ISBLANK(G24)=TRUE,"",MAX($A$17:A23)+1)</f>
        <v>8</v>
      </c>
      <c r="B24" s="990">
        <f t="shared" si="2"/>
        <v>45169</v>
      </c>
      <c r="C24" s="71"/>
      <c r="D24" s="989">
        <f t="shared" si="4"/>
        <v>6.62E-3</v>
      </c>
      <c r="E24" s="71"/>
      <c r="F24" s="989">
        <f t="shared" si="0"/>
        <v>6.62E-3</v>
      </c>
      <c r="G24" s="988">
        <f t="shared" si="3"/>
        <v>0.67831740326666667</v>
      </c>
      <c r="H24" s="988">
        <f t="shared" si="1"/>
        <v>4.490461209625333E-3</v>
      </c>
      <c r="I24" s="988">
        <v>0</v>
      </c>
    </row>
    <row r="25" spans="1:9" ht="20.149999999999999" customHeight="1">
      <c r="A25" s="276">
        <f>IF(ISBLANK(G25)=TRUE,"",MAX($A$17:A24)+1)</f>
        <v>9</v>
      </c>
      <c r="B25" s="990">
        <f t="shared" si="2"/>
        <v>45199</v>
      </c>
      <c r="C25" s="71"/>
      <c r="D25" s="989">
        <f t="shared" si="4"/>
        <v>6.62E-3</v>
      </c>
      <c r="E25" s="71"/>
      <c r="F25" s="989">
        <f t="shared" si="0"/>
        <v>6.62E-3</v>
      </c>
      <c r="G25" s="992">
        <f t="shared" si="3"/>
        <v>0.76165073660000004</v>
      </c>
      <c r="H25" s="988">
        <f t="shared" si="1"/>
        <v>5.0421278762920003E-3</v>
      </c>
      <c r="I25" s="988">
        <f>I24+SUM(H23:H25)</f>
        <v>1.3471383628876E-2</v>
      </c>
    </row>
    <row r="26" spans="1:9" ht="20.149999999999999" customHeight="1">
      <c r="A26" s="276">
        <f>IF(ISBLANK(G26)=TRUE,"",MAX($A$17:A25)+1)</f>
        <v>10</v>
      </c>
      <c r="B26" s="990">
        <f t="shared" si="2"/>
        <v>45230</v>
      </c>
      <c r="C26" s="71"/>
      <c r="D26" s="989">
        <f t="shared" si="4"/>
        <v>6.62E-3</v>
      </c>
      <c r="E26" s="71"/>
      <c r="F26" s="989">
        <f t="shared" si="0"/>
        <v>6.62E-3</v>
      </c>
      <c r="G26" s="988">
        <f>G25+1/12+I25</f>
        <v>0.85845545356220943</v>
      </c>
      <c r="H26" s="988">
        <f t="shared" si="1"/>
        <v>5.6829751025818265E-3</v>
      </c>
      <c r="I26" s="988">
        <v>0</v>
      </c>
    </row>
    <row r="27" spans="1:9" ht="20.149999999999999" customHeight="1">
      <c r="A27" s="276">
        <f>IF(ISBLANK(G27)=TRUE,"",MAX($A$17:A26)+1)</f>
        <v>11</v>
      </c>
      <c r="B27" s="990">
        <f t="shared" si="2"/>
        <v>45260</v>
      </c>
      <c r="C27" s="71"/>
      <c r="D27" s="989">
        <f t="shared" si="4"/>
        <v>6.62E-3</v>
      </c>
      <c r="E27" s="71"/>
      <c r="F27" s="989">
        <f t="shared" si="0"/>
        <v>6.62E-3</v>
      </c>
      <c r="G27" s="988">
        <f t="shared" si="3"/>
        <v>0.9417887868955428</v>
      </c>
      <c r="H27" s="988">
        <f t="shared" si="1"/>
        <v>6.234641769248493E-3</v>
      </c>
      <c r="I27" s="988">
        <v>0</v>
      </c>
    </row>
    <row r="28" spans="1:9" ht="20.149999999999999" customHeight="1">
      <c r="A28" s="276">
        <f>IF(ISBLANK(G28)=TRUE,"",MAX($A$17:A27)+1)</f>
        <v>12</v>
      </c>
      <c r="B28" s="990">
        <f>EOMONTH(B27,1)</f>
        <v>45291</v>
      </c>
      <c r="C28" s="71"/>
      <c r="D28" s="989">
        <f t="shared" si="4"/>
        <v>6.62E-3</v>
      </c>
      <c r="E28" s="71"/>
      <c r="F28" s="989">
        <f t="shared" si="0"/>
        <v>6.62E-3</v>
      </c>
      <c r="G28" s="992">
        <f t="shared" si="3"/>
        <v>1.0251221202288761</v>
      </c>
      <c r="H28" s="988">
        <f t="shared" si="1"/>
        <v>6.7863084359151594E-3</v>
      </c>
      <c r="I28" s="988">
        <f>I27+SUM(H26:H28)</f>
        <v>1.8703925307745478E-2</v>
      </c>
    </row>
    <row r="29" spans="1:9" ht="20.149999999999999" customHeight="1">
      <c r="A29" s="276" t="str">
        <f>IF(ISBLANK(G29)=TRUE,"",MAX($A$17:A28)+1)</f>
        <v/>
      </c>
      <c r="B29" s="78"/>
      <c r="C29" s="71"/>
      <c r="D29" s="72"/>
      <c r="E29" s="71"/>
      <c r="F29" s="72"/>
      <c r="G29" s="68"/>
      <c r="H29" s="68"/>
      <c r="I29" s="68"/>
    </row>
    <row r="30" spans="1:9" ht="20.149999999999999" customHeight="1">
      <c r="A30" s="276">
        <f>IF(ISBLANK(G30)=TRUE,"",MAX($A$17:A29)+1)</f>
        <v>13</v>
      </c>
      <c r="B30" s="78"/>
      <c r="C30" s="71"/>
      <c r="E30" s="72" t="s">
        <v>1074</v>
      </c>
      <c r="F30" s="72"/>
      <c r="G30" s="988">
        <f>G28+I28</f>
        <v>1.0438260455366215</v>
      </c>
      <c r="H30" s="68"/>
      <c r="I30" s="68"/>
    </row>
    <row r="31" spans="1:9" ht="20.149999999999999" customHeight="1">
      <c r="A31" s="276" t="str">
        <f>IF(ISBLANK(G31)=TRUE,"",MAX($A$17:A30)+1)</f>
        <v/>
      </c>
      <c r="B31" s="78"/>
      <c r="C31" s="71"/>
      <c r="D31" s="72"/>
      <c r="E31" s="71"/>
      <c r="F31" s="72"/>
      <c r="G31" s="68"/>
      <c r="H31" s="68"/>
      <c r="I31" s="68"/>
    </row>
    <row r="32" spans="1:9" ht="20.149999999999999" customHeight="1">
      <c r="A32" s="276">
        <f>IF(ISBLANK(G32)=TRUE,"",MAX($A$17:A31)+1)</f>
        <v>14</v>
      </c>
      <c r="B32" s="990">
        <f>EOMONTH(B28,1)</f>
        <v>45322</v>
      </c>
      <c r="C32" s="71"/>
      <c r="D32" s="989">
        <f>D28</f>
        <v>6.62E-3</v>
      </c>
      <c r="E32" s="71"/>
      <c r="F32" s="989">
        <f>D32</f>
        <v>6.62E-3</v>
      </c>
      <c r="G32" s="988">
        <f>G30</f>
        <v>1.0438260455366215</v>
      </c>
      <c r="H32" s="988">
        <f>F32*G32</f>
        <v>6.9101284214524343E-3</v>
      </c>
      <c r="I32" s="988">
        <v>0</v>
      </c>
    </row>
    <row r="33" spans="1:12" ht="20.149999999999999" customHeight="1">
      <c r="A33" s="276">
        <f>IF(ISBLANK(G33)=TRUE,"",MAX($A$17:A32)+1)</f>
        <v>15</v>
      </c>
      <c r="B33" s="990">
        <f>EOMONTH(B32,1)</f>
        <v>45351</v>
      </c>
      <c r="C33" s="71"/>
      <c r="D33" s="989">
        <f>D32</f>
        <v>6.62E-3</v>
      </c>
      <c r="E33" s="71"/>
      <c r="F33" s="989">
        <f t="shared" ref="F33:F43" si="5">D33</f>
        <v>6.62E-3</v>
      </c>
      <c r="G33" s="988">
        <f>G32</f>
        <v>1.0438260455366215</v>
      </c>
      <c r="H33" s="988">
        <f t="shared" ref="H33:H43" si="6">F33*G33</f>
        <v>6.9101284214524343E-3</v>
      </c>
      <c r="I33" s="988">
        <v>0</v>
      </c>
    </row>
    <row r="34" spans="1:12" ht="20.149999999999999" customHeight="1">
      <c r="A34" s="276">
        <f>IF(ISBLANK(G34)=TRUE,"",MAX($A$17:A33)+1)</f>
        <v>16</v>
      </c>
      <c r="B34" s="990">
        <f t="shared" ref="B34:B42" si="7">EOMONTH(B33,1)</f>
        <v>45382</v>
      </c>
      <c r="C34" s="71"/>
      <c r="D34" s="989">
        <f t="shared" ref="D34:D43" si="8">D33</f>
        <v>6.62E-3</v>
      </c>
      <c r="E34" s="71"/>
      <c r="F34" s="989">
        <f t="shared" si="5"/>
        <v>6.62E-3</v>
      </c>
      <c r="G34" s="992">
        <f>G33</f>
        <v>1.0438260455366215</v>
      </c>
      <c r="H34" s="988">
        <f t="shared" si="6"/>
        <v>6.9101284214524343E-3</v>
      </c>
      <c r="I34" s="988">
        <f>I33+SUM(H32:H34)</f>
        <v>2.0730385264357304E-2</v>
      </c>
    </row>
    <row r="35" spans="1:12" ht="20.149999999999999" customHeight="1">
      <c r="A35" s="276">
        <f>IF(ISBLANK(G35)=TRUE,"",MAX($A$17:A34)+1)</f>
        <v>17</v>
      </c>
      <c r="B35" s="990">
        <f t="shared" si="7"/>
        <v>45412</v>
      </c>
      <c r="C35" s="71"/>
      <c r="D35" s="989">
        <f t="shared" si="8"/>
        <v>6.62E-3</v>
      </c>
      <c r="E35" s="71"/>
      <c r="F35" s="989">
        <f t="shared" si="5"/>
        <v>6.62E-3</v>
      </c>
      <c r="G35" s="988">
        <f>G34+I34</f>
        <v>1.0645564308009787</v>
      </c>
      <c r="H35" s="988">
        <f t="shared" si="6"/>
        <v>7.0473635719024794E-3</v>
      </c>
      <c r="I35" s="988">
        <v>0</v>
      </c>
    </row>
    <row r="36" spans="1:12" ht="20.149999999999999" customHeight="1">
      <c r="A36" s="276">
        <f>IF(ISBLANK(G36)=TRUE,"",MAX($A$17:A35)+1)</f>
        <v>18</v>
      </c>
      <c r="B36" s="990">
        <f t="shared" si="7"/>
        <v>45443</v>
      </c>
      <c r="C36" s="71"/>
      <c r="D36" s="989">
        <f t="shared" si="8"/>
        <v>6.62E-3</v>
      </c>
      <c r="E36" s="71"/>
      <c r="F36" s="989">
        <f t="shared" si="5"/>
        <v>6.62E-3</v>
      </c>
      <c r="G36" s="988">
        <f>G35</f>
        <v>1.0645564308009787</v>
      </c>
      <c r="H36" s="988">
        <f t="shared" si="6"/>
        <v>7.0473635719024794E-3</v>
      </c>
      <c r="I36" s="988">
        <v>0</v>
      </c>
    </row>
    <row r="37" spans="1:12" ht="20.149999999999999" customHeight="1">
      <c r="A37" s="276">
        <f>IF(ISBLANK(G37)=TRUE,"",MAX($A$17:A36)+1)</f>
        <v>19</v>
      </c>
      <c r="B37" s="990">
        <f t="shared" si="7"/>
        <v>45473</v>
      </c>
      <c r="C37" s="71"/>
      <c r="D37" s="989">
        <f t="shared" si="8"/>
        <v>6.62E-3</v>
      </c>
      <c r="E37" s="71"/>
      <c r="F37" s="989">
        <f t="shared" si="5"/>
        <v>6.62E-3</v>
      </c>
      <c r="G37" s="992">
        <f>G36</f>
        <v>1.0645564308009787</v>
      </c>
      <c r="H37" s="988">
        <f t="shared" si="6"/>
        <v>7.0473635719024794E-3</v>
      </c>
      <c r="I37" s="988">
        <f>I36+SUM(H35:H37)</f>
        <v>2.114209071570744E-2</v>
      </c>
    </row>
    <row r="38" spans="1:12" ht="20.149999999999999" customHeight="1">
      <c r="A38" s="276">
        <f>IF(ISBLANK(G38)=TRUE,"",MAX($A$17:A37)+1)</f>
        <v>20</v>
      </c>
      <c r="B38" s="990">
        <f t="shared" si="7"/>
        <v>45504</v>
      </c>
      <c r="C38" s="71"/>
      <c r="D38" s="989">
        <f t="shared" si="8"/>
        <v>6.62E-3</v>
      </c>
      <c r="E38" s="71"/>
      <c r="F38" s="989">
        <f t="shared" si="5"/>
        <v>6.62E-3</v>
      </c>
      <c r="G38" s="988">
        <f>G37+I37</f>
        <v>1.0856985215166861</v>
      </c>
      <c r="H38" s="988">
        <f t="shared" si="6"/>
        <v>7.1873242124404621E-3</v>
      </c>
      <c r="I38" s="988">
        <v>0</v>
      </c>
    </row>
    <row r="39" spans="1:12" ht="20.149999999999999" customHeight="1">
      <c r="A39" s="276">
        <f>IF(ISBLANK(G39)=TRUE,"",MAX($A$17:A38)+1)</f>
        <v>21</v>
      </c>
      <c r="B39" s="990">
        <f t="shared" si="7"/>
        <v>45535</v>
      </c>
      <c r="C39" s="71"/>
      <c r="D39" s="989">
        <f t="shared" si="8"/>
        <v>6.62E-3</v>
      </c>
      <c r="E39" s="71"/>
      <c r="F39" s="989">
        <f>D39</f>
        <v>6.62E-3</v>
      </c>
      <c r="G39" s="988">
        <f>G38</f>
        <v>1.0856985215166861</v>
      </c>
      <c r="H39" s="988">
        <f t="shared" si="6"/>
        <v>7.1873242124404621E-3</v>
      </c>
      <c r="I39" s="988">
        <v>0</v>
      </c>
    </row>
    <row r="40" spans="1:12" ht="20.149999999999999" customHeight="1">
      <c r="A40" s="276">
        <f>IF(ISBLANK(G40)=TRUE,"",MAX($A$17:A39)+1)</f>
        <v>22</v>
      </c>
      <c r="B40" s="990">
        <f t="shared" si="7"/>
        <v>45565</v>
      </c>
      <c r="C40" s="71"/>
      <c r="D40" s="989">
        <f t="shared" si="8"/>
        <v>6.62E-3</v>
      </c>
      <c r="E40" s="71"/>
      <c r="F40" s="989">
        <f t="shared" si="5"/>
        <v>6.62E-3</v>
      </c>
      <c r="G40" s="992">
        <f>G39</f>
        <v>1.0856985215166861</v>
      </c>
      <c r="H40" s="988">
        <f t="shared" si="6"/>
        <v>7.1873242124404621E-3</v>
      </c>
      <c r="I40" s="988">
        <f>I39+SUM(H38:H40)</f>
        <v>2.1561972637321385E-2</v>
      </c>
    </row>
    <row r="41" spans="1:12" ht="20.149999999999999" customHeight="1">
      <c r="A41" s="276">
        <f>IF(ISBLANK(G41)=TRUE,"",MAX($A$17:A40)+1)</f>
        <v>23</v>
      </c>
      <c r="B41" s="990">
        <f t="shared" si="7"/>
        <v>45596</v>
      </c>
      <c r="C41" s="71"/>
      <c r="D41" s="989">
        <f t="shared" si="8"/>
        <v>6.62E-3</v>
      </c>
      <c r="E41" s="71"/>
      <c r="F41" s="989">
        <f t="shared" si="5"/>
        <v>6.62E-3</v>
      </c>
      <c r="G41" s="988">
        <f>G40+I40</f>
        <v>1.1072604941540074</v>
      </c>
      <c r="H41" s="988">
        <f t="shared" si="6"/>
        <v>7.3300644712995288E-3</v>
      </c>
      <c r="I41" s="988">
        <v>0</v>
      </c>
    </row>
    <row r="42" spans="1:12" ht="20.149999999999999" customHeight="1">
      <c r="A42" s="276">
        <f>IF(ISBLANK(G42)=TRUE,"",MAX($A$17:A41)+1)</f>
        <v>24</v>
      </c>
      <c r="B42" s="990">
        <f t="shared" si="7"/>
        <v>45626</v>
      </c>
      <c r="C42" s="71"/>
      <c r="D42" s="989">
        <f t="shared" si="8"/>
        <v>6.62E-3</v>
      </c>
      <c r="E42" s="71"/>
      <c r="F42" s="989">
        <f t="shared" si="5"/>
        <v>6.62E-3</v>
      </c>
      <c r="G42" s="988">
        <f>G41</f>
        <v>1.1072604941540074</v>
      </c>
      <c r="H42" s="988">
        <f t="shared" si="6"/>
        <v>7.3300644712995288E-3</v>
      </c>
      <c r="I42" s="988">
        <v>0</v>
      </c>
    </row>
    <row r="43" spans="1:12" ht="20.149999999999999" customHeight="1">
      <c r="A43" s="276">
        <f>IF(ISBLANK(G43)=TRUE,"",MAX($A$17:A42)+1)</f>
        <v>25</v>
      </c>
      <c r="B43" s="990">
        <f>EOMONTH(B42,1)</f>
        <v>45657</v>
      </c>
      <c r="C43" s="71"/>
      <c r="D43" s="989">
        <f t="shared" si="8"/>
        <v>6.62E-3</v>
      </c>
      <c r="E43" s="71"/>
      <c r="F43" s="989">
        <f t="shared" si="5"/>
        <v>6.62E-3</v>
      </c>
      <c r="G43" s="992">
        <f>G42</f>
        <v>1.1072604941540074</v>
      </c>
      <c r="H43" s="988">
        <f t="shared" si="6"/>
        <v>7.3300644712995288E-3</v>
      </c>
      <c r="I43" s="988">
        <f>I42+SUM(H41:H43)</f>
        <v>2.1990193413898587E-2</v>
      </c>
    </row>
    <row r="44" spans="1:12" ht="20.149999999999999" customHeight="1">
      <c r="A44" s="276" t="str">
        <f>IF(ISBLANK(G44)=TRUE,"",MAX($A$17:A43)+1)</f>
        <v/>
      </c>
      <c r="B44" s="78"/>
      <c r="C44" s="71"/>
      <c r="D44" s="72"/>
      <c r="E44" s="71"/>
      <c r="F44" s="72"/>
      <c r="G44" s="68"/>
      <c r="H44" s="68"/>
      <c r="I44" s="68"/>
    </row>
    <row r="45" spans="1:12" ht="20.149999999999999" customHeight="1">
      <c r="A45" s="276">
        <f>IF(ISBLANK(G45)=TRUE,"",MAX($A$17:A44)+1)</f>
        <v>26</v>
      </c>
      <c r="B45" s="78"/>
      <c r="C45" s="71"/>
      <c r="D45" s="72"/>
      <c r="E45" s="72" t="s">
        <v>1075</v>
      </c>
      <c r="F45" s="72"/>
      <c r="G45" s="988">
        <f>G43+I43</f>
        <v>1.129250687567906</v>
      </c>
      <c r="H45" s="68"/>
      <c r="I45" s="68"/>
    </row>
    <row r="46" spans="1:12" ht="20.149999999999999" customHeight="1">
      <c r="A46" s="276" t="str">
        <f>IF(ISBLANK(G46)=TRUE,"",MAX($A$17:A45)+1)</f>
        <v/>
      </c>
      <c r="B46" s="78"/>
      <c r="C46" s="71"/>
      <c r="D46" s="72"/>
      <c r="E46" s="72"/>
      <c r="F46" s="72"/>
      <c r="G46" s="988"/>
      <c r="H46" s="68"/>
      <c r="I46" s="68"/>
    </row>
    <row r="47" spans="1:12" ht="20.149999999999999" customHeight="1">
      <c r="A47" s="276">
        <f>IF(ISBLANK(G47)=TRUE,"",MAX($A$17:A46)+1)</f>
        <v>27</v>
      </c>
      <c r="B47" s="78"/>
      <c r="C47" s="71"/>
      <c r="D47" s="72"/>
      <c r="E47" s="875"/>
      <c r="F47" s="993" t="s">
        <v>1067</v>
      </c>
      <c r="G47" s="1004">
        <f>G45/12</f>
        <v>9.4104223963992165E-2</v>
      </c>
      <c r="H47" s="68"/>
      <c r="I47" s="68"/>
    </row>
    <row r="48" spans="1:12" ht="20.149999999999999" customHeight="1" thickBot="1">
      <c r="A48" s="276">
        <f>IF(ISBLANK(G48)=TRUE,"",MAX($A$17:A47)+1)</f>
        <v>28</v>
      </c>
      <c r="B48" s="78"/>
      <c r="C48" s="71"/>
      <c r="D48" s="72"/>
      <c r="E48" s="875"/>
      <c r="F48" s="994" t="s">
        <v>1068</v>
      </c>
      <c r="G48" s="1005">
        <v>3.4268986129082852E-3</v>
      </c>
      <c r="H48" s="988" t="s">
        <v>1206</v>
      </c>
      <c r="I48" s="875"/>
      <c r="J48" s="988"/>
      <c r="K48" s="875"/>
      <c r="L48" s="995"/>
    </row>
    <row r="49" spans="1:9" ht="20.149999999999999" customHeight="1" thickTop="1">
      <c r="A49" s="276">
        <f>IF(ISBLANK(G49)=TRUE,"",MAX($A$17:A48)+1)</f>
        <v>29</v>
      </c>
      <c r="B49" s="78"/>
      <c r="C49" s="71"/>
      <c r="D49" s="72"/>
      <c r="E49" s="875"/>
      <c r="F49" s="993" t="s">
        <v>1069</v>
      </c>
      <c r="G49" s="988">
        <f>G47+G48</f>
        <v>9.7531122576900456E-2</v>
      </c>
      <c r="H49" s="68"/>
      <c r="I49" s="68"/>
    </row>
    <row r="50" spans="1:9" ht="20.149999999999999" customHeight="1">
      <c r="A50" s="276" t="str">
        <f>IF(ISBLANK(G50)=TRUE,"",MAX($A$17:A49)+1)</f>
        <v/>
      </c>
      <c r="B50" s="78"/>
      <c r="C50" s="71"/>
      <c r="D50" s="72"/>
      <c r="E50" s="875"/>
      <c r="F50" s="993"/>
      <c r="G50" s="988"/>
      <c r="H50" s="68"/>
      <c r="I50" s="68"/>
    </row>
    <row r="51" spans="1:9" ht="20.149999999999999" customHeight="1">
      <c r="A51" s="276">
        <f>IF(ISBLANK(G51)=TRUE,"",MAX($A$17:A50)+1)</f>
        <v>30</v>
      </c>
      <c r="B51" s="990">
        <f>EOMONTH(B43,1)</f>
        <v>45688</v>
      </c>
      <c r="C51" s="71"/>
      <c r="D51" s="989">
        <f>D41</f>
        <v>6.62E-3</v>
      </c>
      <c r="E51" s="875"/>
      <c r="F51" s="989">
        <f>D51</f>
        <v>6.62E-3</v>
      </c>
      <c r="G51" s="988">
        <f>$G$45-($G$49*A17)</f>
        <v>1.0317195649910056</v>
      </c>
      <c r="H51" s="988">
        <f>F51*G51</f>
        <v>6.829983520240457E-3</v>
      </c>
      <c r="I51" s="988">
        <v>0</v>
      </c>
    </row>
    <row r="52" spans="1:9" ht="20.149999999999999" customHeight="1">
      <c r="A52" s="276">
        <f>IF(ISBLANK(G52)=TRUE,"",MAX($A$17:A51)+1)</f>
        <v>31</v>
      </c>
      <c r="B52" s="990">
        <f>EOMONTH(B51,1)</f>
        <v>45716</v>
      </c>
      <c r="C52" s="71"/>
      <c r="D52" s="989">
        <f t="shared" ref="D52:D62" si="9">D51</f>
        <v>6.62E-3</v>
      </c>
      <c r="E52" s="875"/>
      <c r="F52" s="989">
        <f t="shared" ref="F52:F61" si="10">D52</f>
        <v>6.62E-3</v>
      </c>
      <c r="G52" s="988">
        <f>G51-$G$49</f>
        <v>0.93418844241410515</v>
      </c>
      <c r="H52" s="988">
        <f t="shared" ref="H52:H62" si="11">F52*G52</f>
        <v>6.1843274887813764E-3</v>
      </c>
      <c r="I52" s="988">
        <v>0</v>
      </c>
    </row>
    <row r="53" spans="1:9" ht="20.149999999999999" customHeight="1">
      <c r="A53" s="276">
        <f>IF(ISBLANK(G53)=TRUE,"",MAX($A$17:A52)+1)</f>
        <v>32</v>
      </c>
      <c r="B53" s="990">
        <f t="shared" ref="B53:B61" si="12">EOMONTH(B52,1)</f>
        <v>45747</v>
      </c>
      <c r="C53" s="71"/>
      <c r="D53" s="989">
        <f t="shared" si="9"/>
        <v>6.62E-3</v>
      </c>
      <c r="E53" s="875"/>
      <c r="F53" s="989">
        <f t="shared" si="10"/>
        <v>6.62E-3</v>
      </c>
      <c r="G53" s="992">
        <f t="shared" ref="G53:G62" si="13">G52-$G$49</f>
        <v>0.8366573198372047</v>
      </c>
      <c r="H53" s="988">
        <f t="shared" si="11"/>
        <v>5.5386714573222948E-3</v>
      </c>
      <c r="I53" s="988">
        <f>I52+SUM(H51:H53)</f>
        <v>1.8552982466344126E-2</v>
      </c>
    </row>
    <row r="54" spans="1:9" ht="20.149999999999999" customHeight="1">
      <c r="A54" s="276">
        <f>IF(ISBLANK(G54)=TRUE,"",MAX($A$17:A53)+1)</f>
        <v>33</v>
      </c>
      <c r="B54" s="990">
        <f t="shared" si="12"/>
        <v>45777</v>
      </c>
      <c r="C54" s="71"/>
      <c r="D54" s="989">
        <f t="shared" si="9"/>
        <v>6.62E-3</v>
      </c>
      <c r="E54" s="875"/>
      <c r="F54" s="989">
        <f t="shared" si="10"/>
        <v>6.62E-3</v>
      </c>
      <c r="G54" s="988">
        <f>G53-$G$49+I53</f>
        <v>0.75767917972664844</v>
      </c>
      <c r="H54" s="988">
        <f t="shared" si="11"/>
        <v>5.0158361697904127E-3</v>
      </c>
      <c r="I54" s="988">
        <v>0</v>
      </c>
    </row>
    <row r="55" spans="1:9" ht="20.149999999999999" customHeight="1">
      <c r="A55" s="276">
        <f>IF(ISBLANK(G55)=TRUE,"",MAX($A$17:A54)+1)</f>
        <v>34</v>
      </c>
      <c r="B55" s="990">
        <f t="shared" si="12"/>
        <v>45808</v>
      </c>
      <c r="C55" s="71"/>
      <c r="D55" s="989">
        <f t="shared" si="9"/>
        <v>6.62E-3</v>
      </c>
      <c r="E55" s="72"/>
      <c r="F55" s="989">
        <f t="shared" si="10"/>
        <v>6.62E-3</v>
      </c>
      <c r="G55" s="988">
        <f t="shared" si="13"/>
        <v>0.660148057149748</v>
      </c>
      <c r="H55" s="988">
        <f t="shared" si="11"/>
        <v>4.3701801383313321E-3</v>
      </c>
      <c r="I55" s="988">
        <v>0</v>
      </c>
    </row>
    <row r="56" spans="1:9" ht="20.149999999999999" customHeight="1">
      <c r="A56" s="276">
        <f>IF(ISBLANK(G56)=TRUE,"",MAX($A$17:A55)+1)</f>
        <v>35</v>
      </c>
      <c r="B56" s="990">
        <f t="shared" si="12"/>
        <v>45838</v>
      </c>
      <c r="C56" s="71"/>
      <c r="D56" s="989">
        <f t="shared" si="9"/>
        <v>6.62E-3</v>
      </c>
      <c r="E56" s="72"/>
      <c r="F56" s="989">
        <f>D56</f>
        <v>6.62E-3</v>
      </c>
      <c r="G56" s="992">
        <f t="shared" si="13"/>
        <v>0.56261693457284756</v>
      </c>
      <c r="H56" s="988">
        <f t="shared" si="11"/>
        <v>3.724524106872251E-3</v>
      </c>
      <c r="I56" s="988">
        <f>I55+SUM(H54:H56)</f>
        <v>1.3110540414993994E-2</v>
      </c>
    </row>
    <row r="57" spans="1:9" ht="20.149999999999999" customHeight="1">
      <c r="A57" s="276">
        <f>IF(ISBLANK(G57)=TRUE,"",MAX($A$17:A56)+1)</f>
        <v>36</v>
      </c>
      <c r="B57" s="990">
        <f t="shared" si="12"/>
        <v>45869</v>
      </c>
      <c r="C57" s="71"/>
      <c r="D57" s="989">
        <f t="shared" si="9"/>
        <v>6.62E-3</v>
      </c>
      <c r="E57" s="72"/>
      <c r="F57" s="989">
        <f t="shared" si="10"/>
        <v>6.62E-3</v>
      </c>
      <c r="G57" s="988">
        <f>G56-$G$49+I56</f>
        <v>0.47819635241094111</v>
      </c>
      <c r="H57" s="988">
        <f t="shared" si="11"/>
        <v>3.1656598529604301E-3</v>
      </c>
      <c r="I57" s="988">
        <v>0</v>
      </c>
    </row>
    <row r="58" spans="1:9" ht="20.149999999999999" customHeight="1">
      <c r="A58" s="276">
        <f>IF(ISBLANK(G58)=TRUE,"",MAX($A$17:A57)+1)</f>
        <v>37</v>
      </c>
      <c r="B58" s="990">
        <f t="shared" si="12"/>
        <v>45900</v>
      </c>
      <c r="C58" s="71"/>
      <c r="D58" s="989">
        <f t="shared" si="9"/>
        <v>6.62E-3</v>
      </c>
      <c r="E58" s="72"/>
      <c r="F58" s="989">
        <f>D58</f>
        <v>6.62E-3</v>
      </c>
      <c r="G58" s="988">
        <f t="shared" si="13"/>
        <v>0.38066522983404066</v>
      </c>
      <c r="H58" s="988">
        <f t="shared" si="11"/>
        <v>2.5200038215013494E-3</v>
      </c>
      <c r="I58" s="988">
        <v>0</v>
      </c>
    </row>
    <row r="59" spans="1:9" ht="20.149999999999999" customHeight="1">
      <c r="A59" s="276">
        <f>IF(ISBLANK(G59)=TRUE,"",MAX($A$17:A58)+1)</f>
        <v>38</v>
      </c>
      <c r="B59" s="990">
        <f t="shared" si="12"/>
        <v>45930</v>
      </c>
      <c r="C59" s="71"/>
      <c r="D59" s="989">
        <f t="shared" si="9"/>
        <v>6.62E-3</v>
      </c>
      <c r="E59" s="72"/>
      <c r="F59" s="989">
        <f t="shared" si="10"/>
        <v>6.62E-3</v>
      </c>
      <c r="G59" s="992">
        <f t="shared" si="13"/>
        <v>0.28313410725714022</v>
      </c>
      <c r="H59" s="988">
        <f t="shared" si="11"/>
        <v>1.8743477900422683E-3</v>
      </c>
      <c r="I59" s="988">
        <f>I58+SUM(H57:H59)</f>
        <v>7.5600114645040482E-3</v>
      </c>
    </row>
    <row r="60" spans="1:9" ht="20.149999999999999" customHeight="1">
      <c r="A60" s="276">
        <f>IF(ISBLANK(G60)=TRUE,"",MAX($A$17:A59)+1)</f>
        <v>39</v>
      </c>
      <c r="B60" s="990">
        <f t="shared" si="12"/>
        <v>45961</v>
      </c>
      <c r="C60" s="71"/>
      <c r="D60" s="989">
        <f t="shared" si="9"/>
        <v>6.62E-3</v>
      </c>
      <c r="E60" s="72"/>
      <c r="F60" s="989">
        <f t="shared" si="10"/>
        <v>6.62E-3</v>
      </c>
      <c r="G60" s="988">
        <f>G59-$G$49+I59</f>
        <v>0.19316299614474383</v>
      </c>
      <c r="H60" s="988">
        <f t="shared" si="11"/>
        <v>1.2787390344782042E-3</v>
      </c>
      <c r="I60" s="988">
        <v>0</v>
      </c>
    </row>
    <row r="61" spans="1:9" ht="20.149999999999999" customHeight="1">
      <c r="A61" s="276">
        <f>IF(ISBLANK(G61)=TRUE,"",MAX($A$17:A60)+1)</f>
        <v>40</v>
      </c>
      <c r="B61" s="990">
        <f t="shared" si="12"/>
        <v>45991</v>
      </c>
      <c r="C61" s="71"/>
      <c r="D61" s="989">
        <f t="shared" si="9"/>
        <v>6.62E-3</v>
      </c>
      <c r="E61" s="72"/>
      <c r="F61" s="989">
        <f t="shared" si="10"/>
        <v>6.62E-3</v>
      </c>
      <c r="G61" s="988">
        <f t="shared" si="13"/>
        <v>9.5631873567843376E-2</v>
      </c>
      <c r="H61" s="988">
        <f t="shared" si="11"/>
        <v>6.3308300301912314E-4</v>
      </c>
      <c r="I61" s="988">
        <v>0</v>
      </c>
    </row>
    <row r="62" spans="1:9" ht="20.149999999999999" customHeight="1">
      <c r="A62" s="276">
        <f>IF(ISBLANK(G62)=TRUE,"",MAX($A$17:A61)+1)</f>
        <v>41</v>
      </c>
      <c r="B62" s="990">
        <f>EOMONTH(B61,1)</f>
        <v>46022</v>
      </c>
      <c r="C62" s="71"/>
      <c r="D62" s="989">
        <f t="shared" si="9"/>
        <v>6.62E-3</v>
      </c>
      <c r="E62" s="71"/>
      <c r="F62" s="989">
        <f>D62</f>
        <v>6.62E-3</v>
      </c>
      <c r="G62" s="992">
        <f t="shared" si="13"/>
        <v>-1.8992490090570802E-3</v>
      </c>
      <c r="H62" s="988">
        <f t="shared" si="11"/>
        <v>-1.2573028439957871E-5</v>
      </c>
      <c r="I62" s="988">
        <f>I61+SUM(H60:H62)</f>
        <v>1.8992490090573694E-3</v>
      </c>
    </row>
    <row r="63" spans="1:9" ht="20.149999999999999" customHeight="1">
      <c r="A63" s="276" t="str">
        <f>IF(ISBLANK(G63)=TRUE,"",MAX($A$17:A62)+1)</f>
        <v/>
      </c>
      <c r="B63" s="78"/>
      <c r="C63" s="71"/>
      <c r="D63" s="72"/>
      <c r="E63" s="71"/>
      <c r="F63" s="72"/>
      <c r="G63" s="68"/>
      <c r="H63" s="68"/>
      <c r="I63" s="68"/>
    </row>
    <row r="64" spans="1:9" ht="20.149999999999999" customHeight="1">
      <c r="A64" s="276">
        <f>IF(ISBLANK(G64)=TRUE,"",MAX($A$17:A63)+1)</f>
        <v>42</v>
      </c>
      <c r="B64" s="78"/>
      <c r="C64" s="71"/>
      <c r="D64" s="72"/>
      <c r="E64" s="72" t="s">
        <v>1076</v>
      </c>
      <c r="F64" s="72"/>
      <c r="G64" s="988">
        <f>G62+I62</f>
        <v>2.8926513961913258E-16</v>
      </c>
      <c r="H64" s="68"/>
      <c r="I64" s="68"/>
    </row>
    <row r="65" spans="1:10" ht="20.149999999999999" customHeight="1">
      <c r="A65" s="276" t="str">
        <f>IF(ISBLANK(G65)=TRUE,"",MAX($A$17:A64)+1)</f>
        <v/>
      </c>
      <c r="B65" s="78"/>
      <c r="C65" s="71"/>
      <c r="D65" s="72"/>
      <c r="E65" s="71"/>
      <c r="F65" s="72"/>
      <c r="G65" s="68"/>
      <c r="H65" s="68"/>
      <c r="I65" s="68"/>
    </row>
    <row r="66" spans="1:10" ht="20.149999999999999" customHeight="1">
      <c r="A66" s="276">
        <f>IF(ISBLANK(G66)=TRUE,"",MAX($A$17:A65)+1)</f>
        <v>43</v>
      </c>
      <c r="B66" s="78"/>
      <c r="C66" s="71"/>
      <c r="D66" s="991"/>
      <c r="E66" s="998"/>
      <c r="F66" s="999" t="s">
        <v>1070</v>
      </c>
      <c r="G66" s="988">
        <f>G49*12</f>
        <v>1.1703734709228055</v>
      </c>
      <c r="H66" s="68"/>
      <c r="I66" s="68"/>
    </row>
    <row r="67" spans="1:10" ht="20.149999999999999" customHeight="1">
      <c r="A67" s="276">
        <f>IF(ISBLANK(G67)=TRUE,"",MAX($A$17:A66)+1)</f>
        <v>44</v>
      </c>
      <c r="B67" s="78"/>
      <c r="C67" s="71"/>
      <c r="D67" s="72"/>
      <c r="E67" s="71"/>
      <c r="F67" s="72" t="s">
        <v>1071</v>
      </c>
      <c r="G67" s="992">
        <v>1</v>
      </c>
      <c r="H67" s="68"/>
      <c r="I67" s="68"/>
    </row>
    <row r="68" spans="1:10" ht="20.149999999999999" customHeight="1">
      <c r="A68" s="276">
        <f>IF(ISBLANK(G68)=TRUE,"",MAX($A$17:A67)+1)</f>
        <v>45</v>
      </c>
      <c r="B68" s="78"/>
      <c r="C68" s="71"/>
      <c r="D68" s="991"/>
      <c r="E68" s="998"/>
      <c r="F68" s="999" t="s">
        <v>1072</v>
      </c>
      <c r="G68" s="988">
        <f>G66-G67</f>
        <v>0.17037347092280553</v>
      </c>
      <c r="H68" s="68"/>
      <c r="I68" s="68"/>
    </row>
    <row r="69" spans="1:10" ht="20.149999999999999" customHeight="1">
      <c r="A69" s="276" t="str">
        <f>IF(ISBLANK(G69)=TRUE,"",MAX($A$17:A68)+1)</f>
        <v/>
      </c>
      <c r="B69" s="78"/>
      <c r="C69" s="71"/>
      <c r="D69" s="72"/>
      <c r="E69" s="71"/>
      <c r="F69" s="72"/>
      <c r="G69" s="68"/>
      <c r="H69" s="68"/>
      <c r="I69" s="68"/>
    </row>
    <row r="70" spans="1:10" ht="20.149999999999999" customHeight="1">
      <c r="A70" s="276" t="str">
        <f>IF(ISBLANK(G70)=TRUE,"",MAX($A$17:A69)+1)</f>
        <v/>
      </c>
      <c r="B70" s="78"/>
      <c r="C70" s="71"/>
      <c r="D70" s="72"/>
      <c r="E70" s="71"/>
      <c r="F70" s="72"/>
      <c r="G70" s="68"/>
      <c r="H70" s="68"/>
      <c r="I70" s="68"/>
    </row>
    <row r="71" spans="1:10" ht="20.149999999999999" customHeight="1">
      <c r="A71" s="276" t="str">
        <f>IF(ISBLANK(G71)=TRUE,"",MAX($A$17:A70)+1)</f>
        <v/>
      </c>
      <c r="B71" s="80"/>
      <c r="C71" s="80"/>
      <c r="D71" s="80"/>
      <c r="E71" s="80"/>
      <c r="F71" s="80"/>
      <c r="G71" s="80"/>
      <c r="H71" s="80"/>
      <c r="I71" s="80"/>
    </row>
    <row r="72" spans="1:10" ht="20.149999999999999" customHeight="1">
      <c r="A72" s="1026">
        <f>IF(ISBLANK(G72)=TRUE,"",MAX($A$17:A71)+1)</f>
        <v>46</v>
      </c>
      <c r="B72" s="67" t="s">
        <v>1079</v>
      </c>
      <c r="C72" s="80"/>
      <c r="D72" s="80"/>
      <c r="E72" s="80"/>
      <c r="F72" s="80"/>
      <c r="G72" s="1027">
        <f>+F10</f>
        <v>-34877.798232451372</v>
      </c>
      <c r="H72" s="81"/>
      <c r="I72" s="80"/>
    </row>
    <row r="73" spans="1:10" ht="20.149999999999999" customHeight="1">
      <c r="A73" s="1026">
        <f>IF(ISBLANK(G73)=TRUE,"",MAX($A$17:A72)+1)</f>
        <v>47</v>
      </c>
      <c r="B73" s="67" t="s">
        <v>415</v>
      </c>
      <c r="C73" s="80"/>
      <c r="D73" s="80"/>
      <c r="E73" s="80"/>
      <c r="F73" s="80"/>
      <c r="G73" s="1027">
        <f>G68*G72</f>
        <v>-5942.2515430080321</v>
      </c>
      <c r="H73" s="81"/>
      <c r="I73" s="80"/>
    </row>
    <row r="74" spans="1:10" ht="20.149999999999999" customHeight="1">
      <c r="A74" s="1026">
        <f>IF(ISBLANK(G74)=TRUE,"",MAX($A$17:A73)+1)</f>
        <v>48</v>
      </c>
      <c r="B74" s="67" t="s">
        <v>1082</v>
      </c>
      <c r="C74" s="80"/>
      <c r="D74" s="80"/>
      <c r="E74" s="80"/>
      <c r="F74" s="80"/>
      <c r="G74" s="1027">
        <f>G72+G73</f>
        <v>-40820.049775459403</v>
      </c>
      <c r="H74" s="81"/>
      <c r="I74" s="80"/>
    </row>
    <row r="75" spans="1:10" ht="20.149999999999999" customHeight="1">
      <c r="A75" s="276"/>
      <c r="B75" s="67"/>
      <c r="C75" s="80"/>
      <c r="D75" s="80"/>
      <c r="E75" s="80"/>
      <c r="F75" s="80"/>
      <c r="G75" s="80"/>
      <c r="H75" s="81"/>
      <c r="I75" s="80"/>
    </row>
    <row r="76" spans="1:10" ht="48" customHeight="1">
      <c r="A76" s="492" t="s">
        <v>1077</v>
      </c>
      <c r="B76" s="1164" t="s">
        <v>1207</v>
      </c>
      <c r="C76" s="1164"/>
      <c r="D76" s="1164"/>
      <c r="E76" s="1164"/>
      <c r="F76" s="1164"/>
      <c r="G76" s="1164"/>
      <c r="H76" s="1164"/>
      <c r="I76" s="1164"/>
      <c r="J76" s="1164"/>
    </row>
    <row r="77" spans="1:10">
      <c r="A77" s="66" t="s">
        <v>1078</v>
      </c>
      <c r="B77" s="1165" t="s">
        <v>1208</v>
      </c>
      <c r="C77" s="1165"/>
      <c r="D77" s="1165"/>
      <c r="E77" s="1165"/>
      <c r="F77" s="1165"/>
      <c r="G77" s="1165"/>
      <c r="H77" s="1165"/>
      <c r="I77" s="1165"/>
      <c r="J77" s="1165"/>
    </row>
    <row r="78" spans="1:10" ht="36" customHeight="1">
      <c r="A78" s="66" t="s">
        <v>1209</v>
      </c>
      <c r="B78" s="1166" t="s">
        <v>1257</v>
      </c>
      <c r="C78" s="1166"/>
      <c r="D78" s="1166"/>
      <c r="E78" s="1166"/>
      <c r="F78" s="1166"/>
      <c r="G78" s="1166"/>
      <c r="H78" s="1166"/>
      <c r="I78" s="1166"/>
      <c r="J78" s="1166"/>
    </row>
  </sheetData>
  <mergeCells count="5">
    <mergeCell ref="B5:I5"/>
    <mergeCell ref="B6:I6"/>
    <mergeCell ref="B76:J76"/>
    <mergeCell ref="B77:J77"/>
    <mergeCell ref="B78:J78"/>
  </mergeCells>
  <pageMargins left="0.7" right="0.7" top="0.75" bottom="0.75" header="0.3" footer="0.3"/>
  <pageSetup scale="4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855CE-0880-43AA-8019-A76AA9DD1C6A}">
  <sheetPr codeName="Sheet23"/>
  <dimension ref="B1:Y107"/>
  <sheetViews>
    <sheetView view="pageBreakPreview" topLeftCell="B1" zoomScale="80" zoomScaleNormal="80" zoomScaleSheetLayoutView="80" workbookViewId="0">
      <selection activeCell="J20" sqref="J20"/>
    </sheetView>
  </sheetViews>
  <sheetFormatPr defaultColWidth="8.84375" defaultRowHeight="15.5"/>
  <cols>
    <col min="1" max="1" width="1.4609375" style="1" customWidth="1"/>
    <col min="2" max="2" width="4.07421875" style="651" bestFit="1" customWidth="1"/>
    <col min="3" max="3" width="1.4609375" style="1" customWidth="1"/>
    <col min="4" max="4" width="8.84375" style="16"/>
    <col min="5" max="5" width="1.4609375" style="1" customWidth="1"/>
    <col min="6" max="6" width="24.3046875" style="657" bestFit="1" customWidth="1"/>
    <col min="7" max="7" width="1.4609375" style="1" customWidth="1"/>
    <col min="8" max="8" width="12.07421875" style="657" bestFit="1" customWidth="1"/>
    <col min="9" max="9" width="1.4609375" style="1" customWidth="1"/>
    <col min="10" max="10" width="12.07421875" style="657" bestFit="1" customWidth="1"/>
    <col min="11" max="11" width="1.4609375" style="1" customWidth="1"/>
    <col min="12" max="12" width="12.07421875" style="657" bestFit="1" customWidth="1"/>
    <col min="13" max="16384" width="8.84375" style="1"/>
  </cols>
  <sheetData>
    <row r="1" spans="2:24">
      <c r="J1" s="39"/>
      <c r="K1" s="39"/>
      <c r="L1" s="3" t="str">
        <f>'Attachment H-11A '!K1&amp;""&amp;", Attachment 13b"</f>
        <v>Attachment H -11A, Attachment 13b</v>
      </c>
    </row>
    <row r="2" spans="2:24">
      <c r="J2" s="39"/>
      <c r="K2" s="39"/>
      <c r="L2" s="3" t="s">
        <v>168</v>
      </c>
    </row>
    <row r="3" spans="2:24">
      <c r="J3" s="39"/>
      <c r="K3" s="39"/>
      <c r="L3" s="3" t="str">
        <f>'Attachment H-11A '!K4</f>
        <v>For the 12 months ended 12/31/2025</v>
      </c>
    </row>
    <row r="5" spans="2:24">
      <c r="D5" s="693" t="s">
        <v>688</v>
      </c>
      <c r="E5" s="694"/>
      <c r="F5" s="693" t="str">
        <f>"("&amp;CHAR(CODE(MID(D5,2,1))+1)&amp;")"</f>
        <v>(B)</v>
      </c>
      <c r="H5" s="693" t="str">
        <f t="shared" ref="H5" si="0">"("&amp;CHAR(CODE(MID(F5,2,1))+1)&amp;")"</f>
        <v>(C)</v>
      </c>
      <c r="J5" s="693" t="str">
        <f t="shared" ref="J5" si="1">"("&amp;CHAR(CODE(MID(H5,2,1))+1)&amp;")"</f>
        <v>(D)</v>
      </c>
      <c r="L5" s="693" t="str">
        <f>"("&amp;CHAR(CODE(MID(J5,2,1))+1)&amp;")"</f>
        <v>(E)</v>
      </c>
    </row>
    <row r="6" spans="2:24">
      <c r="F6" s="873" t="s">
        <v>689</v>
      </c>
      <c r="G6" s="874"/>
      <c r="H6" s="695"/>
      <c r="I6" s="695"/>
      <c r="J6" s="695"/>
    </row>
    <row r="7" spans="2:24">
      <c r="B7" s="696" t="s">
        <v>5</v>
      </c>
      <c r="D7" s="697" t="s">
        <v>690</v>
      </c>
      <c r="F7" s="696" t="s">
        <v>824</v>
      </c>
      <c r="G7" s="698" t="s">
        <v>691</v>
      </c>
      <c r="H7" s="696" t="s">
        <v>826</v>
      </c>
      <c r="I7" s="698" t="s">
        <v>691</v>
      </c>
      <c r="J7" s="696" t="s">
        <v>1034</v>
      </c>
      <c r="K7" s="698" t="s">
        <v>78</v>
      </c>
      <c r="L7" s="697" t="s">
        <v>9</v>
      </c>
      <c r="N7" s="699"/>
    </row>
    <row r="8" spans="2:24">
      <c r="B8" s="651">
        <v>1</v>
      </c>
      <c r="D8" s="16" t="s">
        <v>181</v>
      </c>
      <c r="F8" s="655">
        <v>4611746.8734180415</v>
      </c>
      <c r="H8" s="645"/>
      <c r="J8" s="645"/>
      <c r="L8" s="645">
        <f>F8-H8-J8</f>
        <v>4611746.8734180415</v>
      </c>
      <c r="N8" s="700"/>
      <c r="O8" s="700"/>
      <c r="P8" s="700"/>
      <c r="Q8" s="700"/>
      <c r="R8" s="700"/>
      <c r="S8" s="700"/>
      <c r="T8" s="700"/>
      <c r="U8" s="700"/>
      <c r="V8" s="700"/>
      <c r="W8" s="700"/>
      <c r="X8" s="700"/>
    </row>
    <row r="9" spans="2:24">
      <c r="B9" s="651">
        <f>MAX($B$8:B8)+1</f>
        <v>2</v>
      </c>
      <c r="D9" s="16" t="s">
        <v>182</v>
      </c>
      <c r="F9" s="655">
        <v>4165448.4864672492</v>
      </c>
      <c r="H9" s="645"/>
      <c r="J9" s="645"/>
      <c r="L9" s="645">
        <f t="shared" ref="L9:L19" si="2">F9-H9-J9</f>
        <v>4165448.4864672492</v>
      </c>
    </row>
    <row r="10" spans="2:24">
      <c r="B10" s="651">
        <f>MAX($B$8:B9)+1</f>
        <v>3</v>
      </c>
      <c r="D10" s="16" t="s">
        <v>183</v>
      </c>
      <c r="F10" s="655">
        <v>4611746.4664152665</v>
      </c>
      <c r="H10" s="645"/>
      <c r="J10" s="645"/>
      <c r="L10" s="645">
        <f t="shared" si="2"/>
        <v>4611746.4664152665</v>
      </c>
    </row>
    <row r="11" spans="2:24">
      <c r="B11" s="651">
        <f>MAX($B$8:B10)+1</f>
        <v>4</v>
      </c>
      <c r="D11" s="16" t="s">
        <v>184</v>
      </c>
      <c r="F11" s="655">
        <v>4462980.4789978508</v>
      </c>
      <c r="H11" s="645"/>
      <c r="J11" s="645"/>
      <c r="L11" s="645">
        <f t="shared" si="2"/>
        <v>4462980.4789978508</v>
      </c>
    </row>
    <row r="12" spans="2:24">
      <c r="B12" s="651">
        <f>MAX($B$8:B11)+1</f>
        <v>5</v>
      </c>
      <c r="D12" s="16" t="s">
        <v>185</v>
      </c>
      <c r="F12" s="655">
        <v>4611746.1089606555</v>
      </c>
      <c r="H12" s="645"/>
      <c r="J12" s="645"/>
      <c r="L12" s="645">
        <f t="shared" si="2"/>
        <v>4611746.1089606555</v>
      </c>
    </row>
    <row r="13" spans="2:24">
      <c r="B13" s="651">
        <f>MAX($B$8:B12)+1</f>
        <v>6</v>
      </c>
      <c r="D13" s="16" t="s">
        <v>195</v>
      </c>
      <c r="F13" s="655">
        <v>4462980.4011364514</v>
      </c>
      <c r="H13" s="645"/>
      <c r="J13" s="645"/>
      <c r="L13" s="645">
        <f t="shared" si="2"/>
        <v>4462980.4011364514</v>
      </c>
    </row>
    <row r="14" spans="2:24">
      <c r="B14" s="651">
        <f>MAX($B$8:B13)+1</f>
        <v>7</v>
      </c>
      <c r="D14" s="16" t="s">
        <v>186</v>
      </c>
      <c r="F14" s="655">
        <v>4611746.940661978</v>
      </c>
      <c r="H14" s="645"/>
      <c r="J14" s="645"/>
      <c r="L14" s="645">
        <f t="shared" si="2"/>
        <v>4611746.940661978</v>
      </c>
    </row>
    <row r="15" spans="2:24">
      <c r="B15" s="651">
        <f>MAX($B$8:B14)+1</f>
        <v>8</v>
      </c>
      <c r="D15" s="16" t="s">
        <v>187</v>
      </c>
      <c r="F15" s="655">
        <v>4611746.4805718847</v>
      </c>
      <c r="H15" s="645"/>
      <c r="J15" s="645"/>
      <c r="L15" s="645">
        <f t="shared" si="2"/>
        <v>4611746.4805718847</v>
      </c>
    </row>
    <row r="16" spans="2:24">
      <c r="B16" s="651">
        <f>MAX($B$8:B15)+1</f>
        <v>9</v>
      </c>
      <c r="D16" s="16" t="s">
        <v>188</v>
      </c>
      <c r="F16" s="655">
        <v>4462980.3657449055</v>
      </c>
      <c r="H16" s="645"/>
      <c r="J16" s="645"/>
      <c r="L16" s="645">
        <f t="shared" si="2"/>
        <v>4462980.3657449055</v>
      </c>
    </row>
    <row r="17" spans="2:12">
      <c r="B17" s="651">
        <f>MAX($B$8:B16)+1</f>
        <v>10</v>
      </c>
      <c r="D17" s="16" t="s">
        <v>190</v>
      </c>
      <c r="F17" s="655">
        <v>4611746.7035386227</v>
      </c>
      <c r="H17" s="645"/>
      <c r="J17" s="645"/>
      <c r="L17" s="645">
        <f>F17-H17-J17</f>
        <v>4611746.7035386227</v>
      </c>
    </row>
    <row r="18" spans="2:12">
      <c r="B18" s="651">
        <f>MAX($B$8:B17)+1</f>
        <v>11</v>
      </c>
      <c r="D18" s="16" t="s">
        <v>189</v>
      </c>
      <c r="F18" s="655">
        <v>4462980.3799015237</v>
      </c>
      <c r="H18" s="645"/>
      <c r="J18" s="645"/>
      <c r="L18" s="645">
        <f t="shared" si="2"/>
        <v>4462980.3799015237</v>
      </c>
    </row>
    <row r="19" spans="2:12">
      <c r="B19" s="651">
        <f>MAX($B$8:B18)+1</f>
        <v>12</v>
      </c>
      <c r="D19" s="16" t="s">
        <v>180</v>
      </c>
      <c r="F19" s="655">
        <v>4611746.9265053608</v>
      </c>
      <c r="H19" s="662"/>
      <c r="J19" s="662"/>
      <c r="L19" s="645">
        <f t="shared" si="2"/>
        <v>4611746.9265053608</v>
      </c>
    </row>
    <row r="20" spans="2:12">
      <c r="B20" s="651">
        <f>MAX($B$8:B19)+1</f>
        <v>13</v>
      </c>
      <c r="D20" s="16" t="s">
        <v>9</v>
      </c>
      <c r="F20" s="701">
        <f>SUM(F8:F19)</f>
        <v>54299596.612319797</v>
      </c>
      <c r="H20" s="655">
        <v>-3874423.25052898</v>
      </c>
      <c r="J20" s="655">
        <v>6651976.166041933</v>
      </c>
      <c r="L20" s="701">
        <f>F20-H20-J20</f>
        <v>51522043.696806841</v>
      </c>
    </row>
    <row r="22" spans="2:12">
      <c r="D22" s="693"/>
      <c r="E22" s="694"/>
      <c r="F22" s="693"/>
      <c r="H22" s="693"/>
      <c r="J22" s="693"/>
      <c r="L22" s="693"/>
    </row>
    <row r="23" spans="2:12">
      <c r="F23" s="873" t="s">
        <v>689</v>
      </c>
      <c r="G23" s="874"/>
      <c r="H23" s="695"/>
      <c r="I23" s="695"/>
      <c r="J23" s="695"/>
    </row>
    <row r="24" spans="2:12">
      <c r="B24" s="702"/>
      <c r="D24" s="697" t="s">
        <v>690</v>
      </c>
      <c r="F24" s="696" t="s">
        <v>825</v>
      </c>
      <c r="G24" s="698" t="s">
        <v>691</v>
      </c>
      <c r="H24" s="696" t="s">
        <v>826</v>
      </c>
      <c r="I24" s="698" t="s">
        <v>691</v>
      </c>
      <c r="J24" s="696" t="s">
        <v>1034</v>
      </c>
      <c r="K24" s="696" t="s">
        <v>1034</v>
      </c>
      <c r="L24" s="696" t="s">
        <v>1034</v>
      </c>
    </row>
    <row r="25" spans="2:12">
      <c r="B25" s="651">
        <f>B20+1</f>
        <v>14</v>
      </c>
      <c r="D25" s="16" t="s">
        <v>181</v>
      </c>
      <c r="F25" s="655">
        <v>33312.58950199376</v>
      </c>
      <c r="H25" s="645"/>
      <c r="J25" s="645"/>
      <c r="L25" s="645">
        <f>F25-H25-J25</f>
        <v>33312.58950199376</v>
      </c>
    </row>
    <row r="26" spans="2:12">
      <c r="B26" s="651">
        <f>B25+1</f>
        <v>15</v>
      </c>
      <c r="D26" s="16" t="s">
        <v>182</v>
      </c>
      <c r="F26" s="655">
        <v>33312.58950199376</v>
      </c>
      <c r="H26" s="645"/>
      <c r="J26" s="645"/>
      <c r="L26" s="645">
        <f t="shared" ref="L26:L36" si="3">F26-H26-J26</f>
        <v>33312.58950199376</v>
      </c>
    </row>
    <row r="27" spans="2:12">
      <c r="B27" s="651">
        <f t="shared" ref="B27:B37" si="4">B26+1</f>
        <v>16</v>
      </c>
      <c r="D27" s="16" t="s">
        <v>183</v>
      </c>
      <c r="F27" s="655">
        <v>33312.58950199376</v>
      </c>
      <c r="H27" s="645"/>
      <c r="J27" s="645"/>
      <c r="L27" s="645">
        <f t="shared" si="3"/>
        <v>33312.58950199376</v>
      </c>
    </row>
    <row r="28" spans="2:12">
      <c r="B28" s="651">
        <f t="shared" si="4"/>
        <v>17</v>
      </c>
      <c r="D28" s="16" t="s">
        <v>184</v>
      </c>
      <c r="F28" s="655">
        <v>33312.58950199376</v>
      </c>
      <c r="H28" s="645"/>
      <c r="J28" s="645"/>
      <c r="L28" s="645">
        <f t="shared" si="3"/>
        <v>33312.58950199376</v>
      </c>
    </row>
    <row r="29" spans="2:12">
      <c r="B29" s="651">
        <f t="shared" si="4"/>
        <v>18</v>
      </c>
      <c r="D29" s="16" t="s">
        <v>185</v>
      </c>
      <c r="F29" s="655">
        <v>33312.58950199376</v>
      </c>
      <c r="H29" s="645"/>
      <c r="J29" s="645"/>
      <c r="L29" s="645">
        <f>F29-H29-J29</f>
        <v>33312.58950199376</v>
      </c>
    </row>
    <row r="30" spans="2:12">
      <c r="B30" s="651">
        <f t="shared" si="4"/>
        <v>19</v>
      </c>
      <c r="D30" s="16" t="s">
        <v>195</v>
      </c>
      <c r="F30" s="655">
        <v>33312.58950199376</v>
      </c>
      <c r="H30" s="645"/>
      <c r="J30" s="645"/>
      <c r="L30" s="645">
        <f t="shared" si="3"/>
        <v>33312.58950199376</v>
      </c>
    </row>
    <row r="31" spans="2:12">
      <c r="B31" s="651">
        <f t="shared" si="4"/>
        <v>20</v>
      </c>
      <c r="D31" s="16" t="s">
        <v>186</v>
      </c>
      <c r="F31" s="655">
        <v>33312.58950199376</v>
      </c>
      <c r="H31" s="645"/>
      <c r="J31" s="645"/>
      <c r="L31" s="645">
        <f t="shared" si="3"/>
        <v>33312.58950199376</v>
      </c>
    </row>
    <row r="32" spans="2:12">
      <c r="B32" s="651">
        <f t="shared" si="4"/>
        <v>21</v>
      </c>
      <c r="D32" s="16" t="s">
        <v>187</v>
      </c>
      <c r="F32" s="655">
        <v>33312.58950199376</v>
      </c>
      <c r="H32" s="645"/>
      <c r="J32" s="645"/>
      <c r="L32" s="645">
        <f t="shared" si="3"/>
        <v>33312.58950199376</v>
      </c>
    </row>
    <row r="33" spans="2:25">
      <c r="B33" s="651">
        <f t="shared" si="4"/>
        <v>22</v>
      </c>
      <c r="D33" s="16" t="s">
        <v>188</v>
      </c>
      <c r="F33" s="655">
        <v>33312.58950199376</v>
      </c>
      <c r="H33" s="645"/>
      <c r="J33" s="645"/>
      <c r="L33" s="645">
        <f t="shared" si="3"/>
        <v>33312.58950199376</v>
      </c>
    </row>
    <row r="34" spans="2:25">
      <c r="B34" s="651">
        <f t="shared" si="4"/>
        <v>23</v>
      </c>
      <c r="D34" s="16" t="s">
        <v>190</v>
      </c>
      <c r="F34" s="655">
        <v>33312.58950199376</v>
      </c>
      <c r="H34" s="645"/>
      <c r="J34" s="645"/>
      <c r="L34" s="645">
        <f t="shared" si="3"/>
        <v>33312.58950199376</v>
      </c>
    </row>
    <row r="35" spans="2:25">
      <c r="B35" s="651">
        <f t="shared" si="4"/>
        <v>24</v>
      </c>
      <c r="D35" s="16" t="s">
        <v>189</v>
      </c>
      <c r="F35" s="655">
        <v>33312.58950199376</v>
      </c>
      <c r="H35" s="645"/>
      <c r="J35" s="645"/>
      <c r="L35" s="645">
        <f t="shared" si="3"/>
        <v>33312.58950199376</v>
      </c>
    </row>
    <row r="36" spans="2:25">
      <c r="B36" s="651">
        <f t="shared" si="4"/>
        <v>25</v>
      </c>
      <c r="D36" s="16" t="s">
        <v>180</v>
      </c>
      <c r="F36" s="655">
        <v>33312.58950199376</v>
      </c>
      <c r="H36" s="662"/>
      <c r="J36" s="662"/>
      <c r="L36" s="645">
        <f t="shared" si="3"/>
        <v>33312.58950199376</v>
      </c>
    </row>
    <row r="37" spans="2:25">
      <c r="B37" s="651">
        <f t="shared" si="4"/>
        <v>26</v>
      </c>
      <c r="D37" s="16" t="s">
        <v>9</v>
      </c>
      <c r="F37" s="701">
        <f>SUM(F25:F36)</f>
        <v>399751.074023925</v>
      </c>
      <c r="H37" s="655">
        <v>25961.875259773547</v>
      </c>
      <c r="J37" s="655">
        <v>8380.3282218656168</v>
      </c>
      <c r="L37" s="701">
        <f>F37-H37-J37</f>
        <v>365408.87054228579</v>
      </c>
    </row>
    <row r="38" spans="2:25">
      <c r="F38" s="661"/>
      <c r="H38" s="645"/>
      <c r="J38" s="645"/>
      <c r="L38" s="661"/>
    </row>
    <row r="39" spans="2:25">
      <c r="F39" s="661"/>
      <c r="H39" s="645"/>
      <c r="J39" s="645"/>
      <c r="L39" s="661"/>
    </row>
    <row r="40" spans="2:25" ht="15.65" customHeight="1">
      <c r="D40" s="703" t="s">
        <v>176</v>
      </c>
      <c r="F40" s="704"/>
      <c r="H40" s="705"/>
      <c r="I40" s="705"/>
      <c r="J40" s="705"/>
    </row>
    <row r="41" spans="2:25" ht="15.65" customHeight="1">
      <c r="D41" s="703"/>
      <c r="F41" s="704"/>
      <c r="H41" s="705"/>
      <c r="I41" s="705"/>
      <c r="J41" s="705"/>
    </row>
    <row r="42" spans="2:25" ht="15.65" customHeight="1">
      <c r="D42" s="875" t="s">
        <v>830</v>
      </c>
      <c r="F42" s="704"/>
      <c r="H42" s="705"/>
      <c r="I42" s="705"/>
      <c r="J42" s="705"/>
      <c r="L42" s="645"/>
    </row>
    <row r="43" spans="2:25" ht="15.65" customHeight="1">
      <c r="D43" s="1167" t="s">
        <v>1033</v>
      </c>
      <c r="E43" s="1168"/>
      <c r="F43" s="1168"/>
      <c r="G43" s="1168"/>
      <c r="H43" s="1168"/>
      <c r="I43" s="1168"/>
      <c r="J43" s="1168"/>
      <c r="K43" s="1168"/>
      <c r="L43" s="1168"/>
    </row>
    <row r="44" spans="2:25">
      <c r="D44" s="1168"/>
      <c r="E44" s="1168"/>
      <c r="F44" s="1168"/>
      <c r="G44" s="1168"/>
      <c r="H44" s="1168"/>
      <c r="I44" s="1168"/>
      <c r="J44" s="1168"/>
      <c r="K44" s="1168"/>
      <c r="L44" s="1168"/>
    </row>
    <row r="45" spans="2:25">
      <c r="D45" s="1168"/>
      <c r="E45" s="1168"/>
      <c r="F45" s="1168"/>
      <c r="G45" s="1168"/>
      <c r="H45" s="1168"/>
      <c r="I45" s="1168"/>
      <c r="J45" s="1168"/>
      <c r="K45" s="1168"/>
      <c r="L45" s="1168"/>
      <c r="N45" s="699"/>
    </row>
    <row r="46" spans="2:25">
      <c r="D46" s="1168"/>
      <c r="E46" s="1168"/>
      <c r="F46" s="1168"/>
      <c r="G46" s="1168"/>
      <c r="H46" s="1168"/>
      <c r="I46" s="1168"/>
      <c r="J46" s="1168"/>
      <c r="K46" s="1168"/>
      <c r="L46" s="1168"/>
      <c r="N46" s="700"/>
      <c r="O46" s="700"/>
      <c r="P46" s="700"/>
      <c r="Q46" s="700"/>
      <c r="R46" s="700"/>
      <c r="S46" s="700"/>
      <c r="T46" s="700"/>
      <c r="U46" s="700"/>
      <c r="V46" s="700"/>
      <c r="W46" s="700"/>
      <c r="X46" s="700"/>
      <c r="Y46" s="700"/>
    </row>
    <row r="47" spans="2:25" ht="51" customHeight="1">
      <c r="D47" s="1125" t="s">
        <v>1174</v>
      </c>
      <c r="E47" s="1125"/>
      <c r="F47" s="1125"/>
      <c r="G47" s="1125"/>
      <c r="H47" s="1125"/>
      <c r="I47" s="1125"/>
      <c r="J47" s="1125"/>
      <c r="K47" s="1125"/>
      <c r="L47" s="1125"/>
      <c r="N47" s="700"/>
      <c r="O47" s="700"/>
      <c r="P47" s="700"/>
      <c r="Q47" s="700"/>
      <c r="R47" s="700"/>
      <c r="S47" s="700"/>
      <c r="T47" s="700"/>
      <c r="U47" s="700"/>
      <c r="V47" s="700"/>
      <c r="W47" s="700"/>
      <c r="X47" s="700"/>
      <c r="Y47" s="700"/>
    </row>
    <row r="48" spans="2:25">
      <c r="F48" s="704"/>
      <c r="H48" s="705"/>
      <c r="I48" s="705"/>
      <c r="J48" s="705"/>
    </row>
    <row r="49" spans="2:12">
      <c r="F49" s="704"/>
      <c r="H49" s="705"/>
      <c r="I49" s="705"/>
      <c r="J49" s="705"/>
    </row>
    <row r="50" spans="2:12">
      <c r="F50" s="704"/>
      <c r="H50" s="705"/>
      <c r="I50" s="705"/>
      <c r="J50" s="705"/>
    </row>
    <row r="51" spans="2:12">
      <c r="B51" s="1"/>
      <c r="D51" s="1"/>
      <c r="F51" s="704"/>
      <c r="H51" s="705"/>
      <c r="I51" s="705"/>
      <c r="J51" s="705"/>
      <c r="L51" s="1"/>
    </row>
    <row r="52" spans="2:12">
      <c r="B52" s="1"/>
      <c r="D52" s="1"/>
      <c r="F52" s="704"/>
      <c r="L52" s="1"/>
    </row>
    <row r="53" spans="2:12">
      <c r="B53" s="1"/>
      <c r="D53" s="1"/>
      <c r="F53"/>
      <c r="L53" s="1"/>
    </row>
    <row r="54" spans="2:12">
      <c r="B54" s="1"/>
      <c r="D54" s="1"/>
      <c r="F54"/>
      <c r="L54" s="1"/>
    </row>
    <row r="55" spans="2:12">
      <c r="B55" s="1"/>
      <c r="D55" s="1"/>
      <c r="F55"/>
      <c r="L55" s="1"/>
    </row>
    <row r="56" spans="2:12">
      <c r="B56" s="1"/>
      <c r="D56" s="1"/>
      <c r="F56"/>
      <c r="L56" s="1"/>
    </row>
    <row r="57" spans="2:12">
      <c r="B57" s="1"/>
      <c r="D57" s="1"/>
      <c r="F57"/>
      <c r="L57" s="1"/>
    </row>
    <row r="58" spans="2:12">
      <c r="B58" s="1"/>
      <c r="D58" s="1"/>
      <c r="F58"/>
      <c r="L58" s="1"/>
    </row>
    <row r="59" spans="2:12">
      <c r="B59" s="1"/>
      <c r="D59" s="1"/>
      <c r="F59"/>
      <c r="L59" s="1"/>
    </row>
    <row r="60" spans="2:12">
      <c r="B60" s="1"/>
      <c r="D60" s="1"/>
      <c r="F60"/>
      <c r="L60" s="1"/>
    </row>
    <row r="61" spans="2:12">
      <c r="B61" s="1"/>
      <c r="D61" s="1"/>
      <c r="F61"/>
      <c r="L61" s="1"/>
    </row>
    <row r="62" spans="2:12">
      <c r="B62" s="1"/>
      <c r="D62" s="1"/>
      <c r="F62"/>
      <c r="L62" s="1"/>
    </row>
    <row r="63" spans="2:12">
      <c r="B63" s="1"/>
      <c r="D63" s="1"/>
      <c r="F63"/>
      <c r="L63" s="1"/>
    </row>
    <row r="64" spans="2:12">
      <c r="B64" s="1"/>
      <c r="D64" s="1"/>
      <c r="F64"/>
      <c r="L64" s="1"/>
    </row>
    <row r="65" spans="2:12">
      <c r="B65" s="1"/>
      <c r="D65" s="1"/>
      <c r="F65"/>
      <c r="L65" s="1"/>
    </row>
    <row r="66" spans="2:12">
      <c r="B66" s="1"/>
      <c r="D66" s="1"/>
      <c r="F66"/>
      <c r="L66" s="1"/>
    </row>
    <row r="67" spans="2:12" s="1" customFormat="1">
      <c r="F67"/>
    </row>
    <row r="68" spans="2:12" s="1" customFormat="1">
      <c r="F68"/>
    </row>
    <row r="69" spans="2:12" s="1" customFormat="1">
      <c r="F69"/>
    </row>
    <row r="70" spans="2:12" s="1" customFormat="1">
      <c r="F70"/>
    </row>
    <row r="71" spans="2:12" s="1" customFormat="1">
      <c r="F71"/>
    </row>
    <row r="72" spans="2:12" s="1" customFormat="1">
      <c r="F72"/>
    </row>
    <row r="73" spans="2:12" s="1" customFormat="1">
      <c r="F73"/>
    </row>
    <row r="74" spans="2:12" s="1" customFormat="1">
      <c r="F74"/>
    </row>
    <row r="75" spans="2:12" s="1" customFormat="1">
      <c r="F75"/>
    </row>
    <row r="76" spans="2:12" s="1" customFormat="1">
      <c r="F76"/>
    </row>
    <row r="77" spans="2:12" s="1" customFormat="1">
      <c r="F77"/>
    </row>
    <row r="78" spans="2:12" s="1" customFormat="1">
      <c r="F78"/>
    </row>
    <row r="79" spans="2:12" s="1" customFormat="1">
      <c r="F79"/>
    </row>
    <row r="80" spans="2:12" s="1" customFormat="1">
      <c r="F80"/>
    </row>
    <row r="81" spans="6:6" s="1" customFormat="1">
      <c r="F81"/>
    </row>
    <row r="82" spans="6:6" s="1" customFormat="1">
      <c r="F82"/>
    </row>
    <row r="83" spans="6:6" s="1" customFormat="1">
      <c r="F83"/>
    </row>
    <row r="84" spans="6:6" s="1" customFormat="1">
      <c r="F84"/>
    </row>
    <row r="85" spans="6:6" s="1" customFormat="1">
      <c r="F85"/>
    </row>
    <row r="86" spans="6:6" s="1" customFormat="1">
      <c r="F86"/>
    </row>
    <row r="87" spans="6:6" s="1" customFormat="1">
      <c r="F87"/>
    </row>
    <row r="88" spans="6:6" s="1" customFormat="1">
      <c r="F88"/>
    </row>
    <row r="89" spans="6:6" s="1" customFormat="1">
      <c r="F89"/>
    </row>
    <row r="90" spans="6:6" s="1" customFormat="1">
      <c r="F90"/>
    </row>
    <row r="91" spans="6:6" s="1" customFormat="1">
      <c r="F91"/>
    </row>
    <row r="92" spans="6:6" s="1" customFormat="1">
      <c r="F92"/>
    </row>
    <row r="93" spans="6:6" s="1" customFormat="1">
      <c r="F93"/>
    </row>
    <row r="94" spans="6:6" s="1" customFormat="1">
      <c r="F94" s="706"/>
    </row>
    <row r="95" spans="6:6" s="1" customFormat="1">
      <c r="F95" s="706"/>
    </row>
    <row r="96" spans="6:6" s="1" customFormat="1">
      <c r="F96" s="706"/>
    </row>
    <row r="97" spans="6:6" s="1" customFormat="1">
      <c r="F97" s="706"/>
    </row>
    <row r="98" spans="6:6" s="1" customFormat="1">
      <c r="F98" s="706"/>
    </row>
    <row r="99" spans="6:6" s="1" customFormat="1">
      <c r="F99" s="706"/>
    </row>
    <row r="100" spans="6:6" s="1" customFormat="1">
      <c r="F100" s="706"/>
    </row>
    <row r="101" spans="6:6" s="1" customFormat="1">
      <c r="F101" s="706"/>
    </row>
    <row r="102" spans="6:6" s="1" customFormat="1">
      <c r="F102" s="706"/>
    </row>
    <row r="103" spans="6:6" s="1" customFormat="1">
      <c r="F103" s="706"/>
    </row>
    <row r="104" spans="6:6" s="1" customFormat="1">
      <c r="F104" s="706"/>
    </row>
    <row r="105" spans="6:6" s="1" customFormat="1">
      <c r="F105" s="706"/>
    </row>
    <row r="106" spans="6:6" s="1" customFormat="1">
      <c r="F106" s="706"/>
    </row>
    <row r="107" spans="6:6" s="1" customFormat="1">
      <c r="F107" s="706"/>
    </row>
  </sheetData>
  <mergeCells count="2">
    <mergeCell ref="D43:L46"/>
    <mergeCell ref="D47:L47"/>
  </mergeCells>
  <pageMargins left="0.7" right="0.7" top="0.75" bottom="0.75" header="0.3" footer="0.3"/>
  <pageSetup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53024-4FB6-425E-879F-4BDCFAB522C0}">
  <sheetPr codeName="Sheet24"/>
  <dimension ref="A1:AF71"/>
  <sheetViews>
    <sheetView view="pageBreakPreview" topLeftCell="A3" zoomScale="70" zoomScaleNormal="80" zoomScaleSheetLayoutView="70" workbookViewId="0">
      <selection activeCell="AD12" sqref="AD12"/>
    </sheetView>
  </sheetViews>
  <sheetFormatPr defaultColWidth="8.84375" defaultRowHeight="15.5"/>
  <cols>
    <col min="1" max="1" width="7.3046875" style="39" bestFit="1" customWidth="1"/>
    <col min="2" max="2" width="3.23046875" style="33" customWidth="1"/>
    <col min="3" max="3" width="67.69140625" style="33" customWidth="1"/>
    <col min="4" max="4" width="22" style="33" bestFit="1" customWidth="1"/>
    <col min="5" max="5" width="1" style="33" customWidth="1"/>
    <col min="6" max="6" width="15.4609375" style="39" customWidth="1"/>
    <col min="7" max="7" width="1.765625" style="33" customWidth="1"/>
    <col min="8" max="8" width="12.765625" style="33" customWidth="1"/>
    <col min="9" max="9" width="1.765625" style="33" customWidth="1"/>
    <col min="10" max="10" width="12.765625" style="33" customWidth="1"/>
    <col min="11" max="11" width="1.765625" style="33" customWidth="1"/>
    <col min="12" max="12" width="10.23046875" style="33" bestFit="1" customWidth="1"/>
    <col min="13" max="13" width="1.765625" style="33" customWidth="1"/>
    <col min="14" max="14" width="10.23046875" style="33" bestFit="1" customWidth="1"/>
    <col min="15" max="15" width="1.765625" style="33" customWidth="1"/>
    <col min="16" max="16" width="10.23046875" style="33" bestFit="1" customWidth="1"/>
    <col min="17" max="17" width="1.765625" style="33" customWidth="1"/>
    <col min="18" max="18" width="10.23046875" style="33" bestFit="1" customWidth="1"/>
    <col min="19" max="19" width="1.765625" style="33" customWidth="1"/>
    <col min="20" max="20" width="10.23046875" style="33" bestFit="1" customWidth="1"/>
    <col min="21" max="21" width="1.765625" style="33" customWidth="1"/>
    <col min="22" max="22" width="10.23046875" style="33" bestFit="1" customWidth="1"/>
    <col min="23" max="23" width="1.765625" style="33" customWidth="1"/>
    <col min="24" max="24" width="16" style="33" bestFit="1" customWidth="1"/>
    <col min="25" max="25" width="1.765625" style="33" customWidth="1"/>
    <col min="26" max="26" width="12.69140625" style="33" bestFit="1" customWidth="1"/>
    <col min="27" max="27" width="1.765625" style="33" customWidth="1"/>
    <col min="28" max="28" width="15.07421875" style="33" bestFit="1" customWidth="1"/>
    <col min="29" max="29" width="1.765625" style="33" customWidth="1"/>
    <col min="30" max="30" width="32" style="33" bestFit="1" customWidth="1"/>
    <col min="31" max="31" width="1.765625" style="33" customWidth="1"/>
    <col min="32" max="32" width="13.4609375" style="33" bestFit="1" customWidth="1"/>
    <col min="33" max="16384" width="8.84375" style="33"/>
  </cols>
  <sheetData>
    <row r="1" spans="1:32" ht="20.149999999999999" customHeight="1">
      <c r="B1" s="901"/>
      <c r="C1" s="901"/>
      <c r="D1" s="901"/>
      <c r="AD1" s="682" t="s">
        <v>967</v>
      </c>
    </row>
    <row r="2" spans="1:32" ht="20.149999999999999" customHeight="1">
      <c r="B2" s="901"/>
      <c r="C2" s="901"/>
      <c r="D2" s="901"/>
      <c r="AD2" s="682" t="s">
        <v>168</v>
      </c>
    </row>
    <row r="3" spans="1:32" ht="20.149999999999999" customHeight="1">
      <c r="B3" s="901"/>
      <c r="C3" s="901"/>
      <c r="D3" s="901"/>
      <c r="J3" s="902"/>
      <c r="K3" s="902"/>
      <c r="L3" s="903" t="s">
        <v>504</v>
      </c>
      <c r="M3" s="902"/>
      <c r="N3" s="902"/>
      <c r="AD3" s="904" t="s">
        <v>1302</v>
      </c>
    </row>
    <row r="4" spans="1:32" ht="20.149999999999999" customHeight="1">
      <c r="A4" s="42"/>
      <c r="B4" s="901"/>
      <c r="C4" s="901"/>
      <c r="D4" s="901"/>
    </row>
    <row r="5" spans="1:32">
      <c r="A5" s="905"/>
      <c r="B5" s="906"/>
      <c r="C5" s="907" t="s">
        <v>688</v>
      </c>
      <c r="D5" s="907" t="str">
        <f>"("&amp;CHAR(CODE(MID(C5,2,1))+1)&amp;")"</f>
        <v>(B)</v>
      </c>
      <c r="E5" s="906"/>
      <c r="F5" s="907" t="str">
        <f>"("&amp;CHAR(CODE(MID(D5,2,1))+1)&amp;")"</f>
        <v>(C)</v>
      </c>
      <c r="G5" s="906"/>
      <c r="H5" s="907" t="str">
        <f>"("&amp;CHAR(CODE(MID(F5,2,1))+1)&amp;")"</f>
        <v>(D)</v>
      </c>
      <c r="I5" s="906"/>
      <c r="J5" s="907" t="str">
        <f>"("&amp;CHAR(CODE(MID(H5,2,1))+1)&amp;")"</f>
        <v>(E)</v>
      </c>
      <c r="K5" s="906"/>
      <c r="L5" s="907" t="str">
        <f>"("&amp;CHAR(CODE(MID(J5,2,1))+1)&amp;")"</f>
        <v>(F)</v>
      </c>
      <c r="M5" s="906"/>
      <c r="N5" s="907" t="str">
        <f>"("&amp;CHAR(CODE(MID(L5,2,1))+1)&amp;")"</f>
        <v>(G)</v>
      </c>
      <c r="O5" s="906"/>
      <c r="P5" s="907" t="str">
        <f>"("&amp;CHAR(CODE(MID(N5,2,1))+1)&amp;")"</f>
        <v>(H)</v>
      </c>
      <c r="Q5" s="906"/>
      <c r="R5" s="907" t="str">
        <f>"("&amp;CHAR(CODE(MID(P5,2,1))+1)&amp;")"</f>
        <v>(I)</v>
      </c>
      <c r="S5" s="906"/>
      <c r="T5" s="907" t="str">
        <f>"("&amp;CHAR(CODE(MID(R5,2,1))+1)&amp;")"</f>
        <v>(J)</v>
      </c>
      <c r="U5" s="906"/>
      <c r="V5" s="907" t="str">
        <f>"("&amp;CHAR(CODE(MID(T5,2,1))+1)&amp;")"</f>
        <v>(K)</v>
      </c>
      <c r="W5" s="906"/>
      <c r="X5" s="907" t="str">
        <f>"("&amp;CHAR(CODE(MID(V5,2,1))+1)&amp;")"</f>
        <v>(L)</v>
      </c>
      <c r="Y5" s="906"/>
      <c r="Z5" s="907" t="str">
        <f>"("&amp;CHAR(CODE(MID(X5,2,1))+1)&amp;")"</f>
        <v>(M)</v>
      </c>
      <c r="AA5" s="906"/>
      <c r="AB5" s="907" t="str">
        <f>"("&amp;CHAR(CODE(MID(Z5,2,1))+1)&amp;")"</f>
        <v>(N)</v>
      </c>
      <c r="AC5" s="906"/>
      <c r="AD5" s="907" t="str">
        <f>"("&amp;CHAR(CODE(MID(AB5,2,1))+1)&amp;")"</f>
        <v>(O)</v>
      </c>
      <c r="AE5" s="906"/>
      <c r="AF5" s="907" t="str">
        <f>"("&amp;CHAR(CODE(MID(AD5,2,1))+1)&amp;")"</f>
        <v>(P)</v>
      </c>
    </row>
    <row r="6" spans="1:32">
      <c r="A6" s="905"/>
      <c r="B6" s="906"/>
      <c r="C6" s="906"/>
      <c r="D6" s="906"/>
      <c r="E6" s="906"/>
      <c r="F6" s="907"/>
      <c r="G6" s="906"/>
      <c r="H6" s="907"/>
      <c r="I6" s="906"/>
      <c r="J6" s="907"/>
      <c r="K6" s="906"/>
      <c r="L6" s="907"/>
      <c r="M6" s="906"/>
      <c r="N6" s="907"/>
      <c r="O6" s="906"/>
      <c r="P6" s="907"/>
      <c r="Q6" s="906"/>
      <c r="R6" s="907"/>
      <c r="S6" s="906"/>
      <c r="T6" s="907"/>
      <c r="U6" s="906"/>
      <c r="V6" s="907"/>
      <c r="W6" s="906"/>
      <c r="X6" s="907"/>
      <c r="Y6" s="906"/>
      <c r="Z6" s="907"/>
      <c r="AA6" s="906"/>
      <c r="AB6" s="907"/>
      <c r="AC6" s="905"/>
      <c r="AD6" s="907"/>
      <c r="AE6" s="905"/>
      <c r="AF6" s="905"/>
    </row>
    <row r="7" spans="1:32">
      <c r="A7" s="905"/>
      <c r="B7" s="906"/>
      <c r="C7" s="906"/>
      <c r="E7" s="906"/>
      <c r="F7" s="908">
        <v>2024</v>
      </c>
      <c r="G7" s="906"/>
      <c r="H7" s="909">
        <f>$F$7+1</f>
        <v>2025</v>
      </c>
      <c r="I7" s="906"/>
      <c r="J7" s="909">
        <f>$F$7+1</f>
        <v>2025</v>
      </c>
      <c r="K7" s="906"/>
      <c r="L7" s="909">
        <f>$F$7+1</f>
        <v>2025</v>
      </c>
      <c r="M7" s="906"/>
      <c r="N7" s="909">
        <f>$F$7+1</f>
        <v>2025</v>
      </c>
      <c r="O7" s="906"/>
      <c r="P7" s="909">
        <f>$F$7+1</f>
        <v>2025</v>
      </c>
      <c r="Q7" s="906"/>
      <c r="R7" s="909">
        <f>$F$7+1</f>
        <v>2025</v>
      </c>
      <c r="S7" s="906"/>
      <c r="T7" s="909">
        <f>$F$7+1</f>
        <v>2025</v>
      </c>
      <c r="U7" s="906"/>
      <c r="V7" s="909">
        <f>$F$7+1</f>
        <v>2025</v>
      </c>
      <c r="W7" s="906"/>
      <c r="X7" s="909">
        <f>$F$7+1</f>
        <v>2025</v>
      </c>
      <c r="Y7" s="906"/>
      <c r="Z7" s="909">
        <f>$F$7+1</f>
        <v>2025</v>
      </c>
      <c r="AA7" s="906"/>
      <c r="AB7" s="909">
        <f>$F$7+1</f>
        <v>2025</v>
      </c>
      <c r="AC7" s="906"/>
      <c r="AD7" s="909">
        <f>$F$7+1</f>
        <v>2025</v>
      </c>
      <c r="AE7" s="905"/>
      <c r="AF7" s="905"/>
    </row>
    <row r="8" spans="1:32" ht="20.149999999999999" customHeight="1">
      <c r="A8" s="910" t="s">
        <v>729</v>
      </c>
      <c r="B8" s="911"/>
      <c r="C8" s="912" t="s">
        <v>968</v>
      </c>
      <c r="D8" s="913" t="s">
        <v>969</v>
      </c>
      <c r="E8" s="914"/>
      <c r="F8" s="915" t="s">
        <v>216</v>
      </c>
      <c r="G8" s="911"/>
      <c r="H8" s="915" t="s">
        <v>732</v>
      </c>
      <c r="I8" s="911"/>
      <c r="J8" s="915" t="s">
        <v>733</v>
      </c>
      <c r="K8" s="911"/>
      <c r="L8" s="915" t="s">
        <v>734</v>
      </c>
      <c r="M8" s="911"/>
      <c r="N8" s="915" t="s">
        <v>735</v>
      </c>
      <c r="O8" s="911"/>
      <c r="P8" s="915" t="s">
        <v>736</v>
      </c>
      <c r="Q8" s="911"/>
      <c r="R8" s="915" t="s">
        <v>737</v>
      </c>
      <c r="S8" s="911"/>
      <c r="T8" s="915" t="s">
        <v>738</v>
      </c>
      <c r="U8" s="911"/>
      <c r="V8" s="915" t="s">
        <v>739</v>
      </c>
      <c r="W8" s="911"/>
      <c r="X8" s="915" t="s">
        <v>740</v>
      </c>
      <c r="Y8" s="911"/>
      <c r="Z8" s="915" t="s">
        <v>741</v>
      </c>
      <c r="AA8" s="911"/>
      <c r="AB8" s="915" t="s">
        <v>742</v>
      </c>
      <c r="AC8" s="911"/>
      <c r="AD8" s="915" t="s">
        <v>216</v>
      </c>
      <c r="AE8" s="916"/>
      <c r="AF8" s="917" t="s">
        <v>743</v>
      </c>
    </row>
    <row r="9" spans="1:32" ht="20.149999999999999" customHeight="1">
      <c r="A9" s="918"/>
      <c r="B9" s="911"/>
      <c r="C9" s="919"/>
      <c r="D9" s="919"/>
      <c r="E9" s="914"/>
      <c r="F9" s="920"/>
      <c r="G9" s="911"/>
      <c r="H9" s="920"/>
      <c r="I9" s="911"/>
      <c r="J9" s="920"/>
      <c r="K9" s="911"/>
      <c r="L9" s="920"/>
      <c r="M9" s="911"/>
      <c r="N9" s="920"/>
      <c r="O9" s="911"/>
      <c r="P9" s="920"/>
      <c r="Q9" s="911"/>
      <c r="R9" s="920"/>
      <c r="S9" s="911"/>
      <c r="T9" s="920"/>
      <c r="U9" s="911"/>
      <c r="V9" s="920"/>
      <c r="W9" s="911"/>
      <c r="X9" s="920"/>
      <c r="Y9" s="911"/>
      <c r="Z9" s="920"/>
      <c r="AA9" s="911"/>
      <c r="AB9" s="920"/>
      <c r="AC9" s="911"/>
      <c r="AD9" s="920"/>
      <c r="AE9" s="916"/>
      <c r="AF9" s="921"/>
    </row>
    <row r="10" spans="1:32" ht="20.149999999999999" customHeight="1">
      <c r="A10" s="922">
        <v>1</v>
      </c>
      <c r="B10" s="911"/>
      <c r="C10" s="923" t="s">
        <v>1088</v>
      </c>
      <c r="D10" s="924"/>
      <c r="E10" s="914"/>
      <c r="F10" s="921"/>
      <c r="G10" s="911"/>
      <c r="H10" s="921"/>
      <c r="I10" s="911"/>
      <c r="J10" s="921"/>
      <c r="K10" s="911"/>
      <c r="L10" s="921"/>
      <c r="M10" s="911"/>
      <c r="N10" s="921"/>
      <c r="O10" s="911"/>
      <c r="P10" s="921"/>
      <c r="Q10" s="911"/>
      <c r="R10" s="921"/>
      <c r="S10" s="911"/>
      <c r="T10" s="921"/>
      <c r="U10" s="911"/>
      <c r="V10" s="921"/>
      <c r="W10" s="911"/>
      <c r="X10" s="921"/>
      <c r="Y10" s="911"/>
      <c r="Z10" s="921"/>
      <c r="AA10" s="911"/>
      <c r="AB10" s="921"/>
      <c r="AC10" s="911"/>
      <c r="AD10" s="921"/>
      <c r="AE10" s="916"/>
      <c r="AF10" s="925"/>
    </row>
    <row r="11" spans="1:32" ht="10.5" customHeight="1">
      <c r="A11" s="905"/>
      <c r="B11" s="905"/>
      <c r="C11" s="926"/>
      <c r="D11" s="926"/>
      <c r="E11" s="914"/>
      <c r="F11" s="920"/>
      <c r="G11" s="911"/>
      <c r="H11" s="920"/>
      <c r="I11" s="911"/>
      <c r="J11" s="920"/>
      <c r="K11" s="911"/>
      <c r="L11" s="920"/>
      <c r="M11" s="911"/>
      <c r="N11" s="920"/>
      <c r="O11" s="911"/>
      <c r="P11" s="920"/>
      <c r="Q11" s="911"/>
      <c r="R11" s="920"/>
      <c r="S11" s="911"/>
      <c r="T11" s="920"/>
      <c r="U11" s="911"/>
      <c r="V11" s="920"/>
      <c r="W11" s="911"/>
      <c r="X11" s="920"/>
      <c r="Y11" s="911"/>
      <c r="Z11" s="920"/>
      <c r="AA11" s="911"/>
      <c r="AB11" s="920"/>
      <c r="AC11" s="911"/>
      <c r="AD11" s="920"/>
      <c r="AE11" s="916"/>
      <c r="AF11" s="921"/>
    </row>
    <row r="12" spans="1:32" ht="18.75" customHeight="1">
      <c r="A12" s="927">
        <v>1.01</v>
      </c>
      <c r="B12" s="905"/>
      <c r="C12" s="928" t="s">
        <v>1315</v>
      </c>
      <c r="D12" s="928" t="s">
        <v>52</v>
      </c>
      <c r="E12" s="914"/>
      <c r="F12" s="86">
        <f>1700355.74*'Attachment H-11A '!$G$47</f>
        <v>196889.67611644859</v>
      </c>
      <c r="G12" s="911"/>
      <c r="H12" s="86">
        <f>1700355.74*'Attachment H-11A '!$G$47</f>
        <v>196889.67611644859</v>
      </c>
      <c r="I12" s="911"/>
      <c r="J12" s="86">
        <f>1700355.74*'Attachment H-11A '!$G$47</f>
        <v>196889.67611644859</v>
      </c>
      <c r="K12" s="911"/>
      <c r="L12" s="86">
        <f>1700355.74*'Attachment H-11A '!$G$47</f>
        <v>196889.67611644859</v>
      </c>
      <c r="M12" s="911"/>
      <c r="N12" s="86">
        <f>1700355.74*'Attachment H-11A '!$G$47</f>
        <v>196889.67611644859</v>
      </c>
      <c r="O12" s="911"/>
      <c r="P12" s="86">
        <f>1700355.74*'Attachment H-11A '!$G$47</f>
        <v>196889.67611644859</v>
      </c>
      <c r="Q12" s="911"/>
      <c r="R12" s="86">
        <f>1700355.74*'Attachment H-11A '!$G$47</f>
        <v>196889.67611644859</v>
      </c>
      <c r="S12" s="911"/>
      <c r="T12" s="86">
        <f>1700355.74*'Attachment H-11A '!$G$47</f>
        <v>196889.67611644859</v>
      </c>
      <c r="U12" s="911"/>
      <c r="V12" s="86">
        <f>1700355.74*'Attachment H-11A '!$G$47</f>
        <v>196889.67611644859</v>
      </c>
      <c r="W12" s="911"/>
      <c r="X12" s="86">
        <f>1700355.74*'Attachment H-11A '!$G$47</f>
        <v>196889.67611644859</v>
      </c>
      <c r="Y12" s="911"/>
      <c r="Z12" s="86">
        <f>1700355.74*'Attachment H-11A '!$G$47</f>
        <v>196889.67611644859</v>
      </c>
      <c r="AA12" s="911"/>
      <c r="AB12" s="86">
        <f>1700355.74*'Attachment H-11A '!$G$47</f>
        <v>196889.67611644859</v>
      </c>
      <c r="AC12" s="911"/>
      <c r="AD12" s="86">
        <f>1700355.74*'Attachment H-11A '!$G$47</f>
        <v>196889.67611644859</v>
      </c>
      <c r="AE12" s="916"/>
      <c r="AF12" s="925">
        <f>SUM(F12:AD12)/13</f>
        <v>196889.67611644862</v>
      </c>
    </row>
    <row r="13" spans="1:32" ht="18.75" customHeight="1">
      <c r="A13" s="927">
        <v>1.02</v>
      </c>
      <c r="B13" s="905"/>
      <c r="C13" s="928" t="s">
        <v>1315</v>
      </c>
      <c r="D13" s="928" t="s">
        <v>35</v>
      </c>
      <c r="E13" s="914"/>
      <c r="F13" s="86">
        <f>91576*'Attachment H-11A '!$I$213</f>
        <v>3056.678210333424</v>
      </c>
      <c r="G13" s="911"/>
      <c r="H13" s="86">
        <f>91576*'Attachment H-11A '!$I$213</f>
        <v>3056.678210333424</v>
      </c>
      <c r="I13" s="911"/>
      <c r="J13" s="86">
        <f>91576*'Attachment H-11A '!$I$213</f>
        <v>3056.678210333424</v>
      </c>
      <c r="K13" s="911"/>
      <c r="L13" s="86">
        <f>91576*'Attachment H-11A '!$I$213</f>
        <v>3056.678210333424</v>
      </c>
      <c r="M13" s="911"/>
      <c r="N13" s="86">
        <f>91576*'Attachment H-11A '!$I$213</f>
        <v>3056.678210333424</v>
      </c>
      <c r="O13" s="911"/>
      <c r="P13" s="86">
        <f>91576*'Attachment H-11A '!$I$213</f>
        <v>3056.678210333424</v>
      </c>
      <c r="Q13" s="911"/>
      <c r="R13" s="86">
        <f>91576*'Attachment H-11A '!$I$213</f>
        <v>3056.678210333424</v>
      </c>
      <c r="S13" s="911"/>
      <c r="T13" s="86">
        <f>91576*'Attachment H-11A '!$I$213</f>
        <v>3056.678210333424</v>
      </c>
      <c r="U13" s="911"/>
      <c r="V13" s="86">
        <f>91576*'Attachment H-11A '!$I$213</f>
        <v>3056.678210333424</v>
      </c>
      <c r="W13" s="911"/>
      <c r="X13" s="86">
        <f>91576*'Attachment H-11A '!$I$213</f>
        <v>3056.678210333424</v>
      </c>
      <c r="Y13" s="911"/>
      <c r="Z13" s="86">
        <f>91576*'Attachment H-11A '!$I$213</f>
        <v>3056.678210333424</v>
      </c>
      <c r="AA13" s="911"/>
      <c r="AB13" s="86">
        <f>91576*'Attachment H-11A '!$I$213</f>
        <v>3056.678210333424</v>
      </c>
      <c r="AC13" s="911"/>
      <c r="AD13" s="86">
        <f>91576*'Attachment H-11A '!$I$213</f>
        <v>3056.678210333424</v>
      </c>
      <c r="AE13" s="916"/>
      <c r="AF13" s="925">
        <f>SUM(F13:AD13)/13</f>
        <v>3056.678210333424</v>
      </c>
    </row>
    <row r="14" spans="1:32" ht="20.149999999999999" customHeight="1">
      <c r="A14" s="905">
        <f>A10+1</f>
        <v>2</v>
      </c>
      <c r="B14" s="906"/>
      <c r="C14" s="388" t="str">
        <f ca="1">"Sum of Lines "&amp;A12&amp;" through "&amp;OFFSET(A14,-1,0)</f>
        <v>Sum of Lines 1.01 through 1.02</v>
      </c>
      <c r="E14" s="914"/>
      <c r="F14" s="930">
        <f>SUM(F12:F13)</f>
        <v>199946.35432678202</v>
      </c>
      <c r="G14" s="911"/>
      <c r="H14" s="930">
        <f>SUM(H12:H13)</f>
        <v>199946.35432678202</v>
      </c>
      <c r="I14" s="906"/>
      <c r="J14" s="930">
        <f>SUM(J12:J13)</f>
        <v>199946.35432678202</v>
      </c>
      <c r="K14" s="906"/>
      <c r="L14" s="930">
        <f>SUM(L12:L13)</f>
        <v>199946.35432678202</v>
      </c>
      <c r="M14" s="906"/>
      <c r="N14" s="930">
        <f>SUM(N12:N13)</f>
        <v>199946.35432678202</v>
      </c>
      <c r="O14" s="906"/>
      <c r="P14" s="930">
        <f>SUM(P12:P13)</f>
        <v>199946.35432678202</v>
      </c>
      <c r="Q14" s="906"/>
      <c r="R14" s="930">
        <f>SUM(R12:R13)</f>
        <v>199946.35432678202</v>
      </c>
      <c r="S14" s="906"/>
      <c r="T14" s="930">
        <f>SUM(T12:T13)</f>
        <v>199946.35432678202</v>
      </c>
      <c r="U14" s="906"/>
      <c r="V14" s="930">
        <f>SUM(V12:V13)</f>
        <v>199946.35432678202</v>
      </c>
      <c r="W14" s="906"/>
      <c r="X14" s="930">
        <f>SUM(X12:X13)</f>
        <v>199946.35432678202</v>
      </c>
      <c r="Y14" s="906"/>
      <c r="Z14" s="930">
        <f>SUM(Z12:Z13)</f>
        <v>199946.35432678202</v>
      </c>
      <c r="AA14" s="906"/>
      <c r="AB14" s="930">
        <f>SUM(AB12:AB13)</f>
        <v>199946.35432678202</v>
      </c>
      <c r="AC14" s="906"/>
      <c r="AD14" s="930">
        <f>SUM(AD12:AD13)</f>
        <v>199946.35432678202</v>
      </c>
      <c r="AE14" s="916"/>
      <c r="AF14" s="930">
        <f>SUM(AF12:AF13)</f>
        <v>199946.35432678205</v>
      </c>
    </row>
    <row r="15" spans="1:32" ht="20.149999999999999" customHeight="1">
      <c r="A15" s="905">
        <v>2.0099999999999998</v>
      </c>
      <c r="B15" s="906"/>
      <c r="C15" s="33" t="s">
        <v>1211</v>
      </c>
      <c r="E15" s="914"/>
      <c r="F15" s="1045"/>
      <c r="G15" s="911"/>
      <c r="H15" s="1044"/>
      <c r="I15" s="906"/>
      <c r="J15" s="1044"/>
      <c r="K15" s="906"/>
      <c r="L15" s="1044"/>
      <c r="M15" s="906"/>
      <c r="N15" s="1044"/>
      <c r="O15" s="906"/>
      <c r="P15" s="1044"/>
      <c r="Q15" s="906"/>
      <c r="R15" s="1044"/>
      <c r="S15" s="906"/>
      <c r="T15" s="1044"/>
      <c r="U15" s="906"/>
      <c r="V15" s="1044"/>
      <c r="W15" s="906"/>
      <c r="X15" s="1044"/>
      <c r="Y15" s="906"/>
      <c r="Z15" s="1044"/>
      <c r="AA15" s="906"/>
      <c r="AB15" s="1044"/>
      <c r="AC15" s="906"/>
      <c r="AD15" s="1045"/>
      <c r="AE15" s="916"/>
      <c r="AF15" s="1044"/>
    </row>
    <row r="16" spans="1:32" ht="20.149999999999999" customHeight="1">
      <c r="A16" s="905"/>
      <c r="B16" s="906"/>
      <c r="E16" s="914"/>
      <c r="F16" s="920"/>
      <c r="G16" s="911"/>
      <c r="H16" s="920"/>
      <c r="I16" s="911"/>
      <c r="J16" s="920"/>
      <c r="K16" s="911"/>
      <c r="L16" s="920"/>
      <c r="M16" s="911"/>
      <c r="N16" s="920"/>
      <c r="O16" s="911"/>
      <c r="P16" s="920"/>
      <c r="Q16" s="911"/>
      <c r="R16" s="920"/>
      <c r="S16" s="911"/>
      <c r="T16" s="920"/>
      <c r="U16" s="911"/>
      <c r="V16" s="920"/>
      <c r="W16" s="911"/>
      <c r="X16" s="920"/>
      <c r="Y16" s="911"/>
      <c r="Z16" s="920"/>
      <c r="AA16" s="911"/>
      <c r="AB16" s="920"/>
      <c r="AC16" s="911"/>
      <c r="AD16" s="920"/>
      <c r="AE16" s="916"/>
      <c r="AF16" s="921"/>
    </row>
    <row r="17" spans="1:32" ht="20.149999999999999" customHeight="1">
      <c r="A17" s="905">
        <f>A14+1</f>
        <v>3</v>
      </c>
      <c r="B17" s="905"/>
      <c r="C17" s="913" t="s">
        <v>970</v>
      </c>
      <c r="D17" s="931"/>
      <c r="E17" s="914"/>
      <c r="F17" s="929"/>
      <c r="G17" s="911"/>
      <c r="H17" s="929"/>
      <c r="I17" s="911"/>
      <c r="J17" s="929"/>
      <c r="K17" s="911"/>
      <c r="L17" s="929"/>
      <c r="M17" s="911"/>
      <c r="N17" s="929"/>
      <c r="O17" s="911"/>
      <c r="P17" s="929"/>
      <c r="Q17" s="911"/>
      <c r="R17" s="929"/>
      <c r="S17" s="911"/>
      <c r="T17" s="929"/>
      <c r="U17" s="911"/>
      <c r="V17" s="929"/>
      <c r="W17" s="911"/>
      <c r="X17" s="929"/>
      <c r="Y17" s="911"/>
      <c r="Z17" s="929"/>
      <c r="AA17" s="911"/>
      <c r="AB17" s="929"/>
      <c r="AC17" s="911"/>
      <c r="AD17" s="929"/>
      <c r="AE17" s="916"/>
      <c r="AF17" s="925">
        <f>SUM(F17:AD17)/13</f>
        <v>0</v>
      </c>
    </row>
    <row r="18" spans="1:32" ht="20.149999999999999" customHeight="1">
      <c r="A18" s="905"/>
      <c r="B18" s="905"/>
      <c r="C18" s="926" t="s">
        <v>971</v>
      </c>
      <c r="D18" s="932"/>
      <c r="E18" s="914"/>
      <c r="F18" s="929"/>
      <c r="G18" s="911"/>
      <c r="H18" s="920"/>
      <c r="I18" s="911"/>
      <c r="J18" s="920"/>
      <c r="K18" s="911"/>
      <c r="L18" s="920"/>
      <c r="M18" s="911"/>
      <c r="N18" s="920"/>
      <c r="O18" s="911"/>
      <c r="P18" s="920"/>
      <c r="Q18" s="911"/>
      <c r="R18" s="920"/>
      <c r="S18" s="911"/>
      <c r="T18" s="920"/>
      <c r="U18" s="911"/>
      <c r="V18" s="920"/>
      <c r="W18" s="911"/>
      <c r="X18" s="920"/>
      <c r="Y18" s="911"/>
      <c r="Z18" s="920"/>
      <c r="AA18" s="911"/>
      <c r="AB18" s="920"/>
      <c r="AC18" s="911"/>
      <c r="AD18" s="929"/>
      <c r="AE18" s="916"/>
      <c r="AF18" s="921"/>
    </row>
    <row r="19" spans="1:32" ht="20.149999999999999" customHeight="1">
      <c r="A19" s="905"/>
      <c r="B19" s="905"/>
      <c r="C19" s="926"/>
      <c r="D19" s="932"/>
      <c r="E19" s="914"/>
      <c r="F19" s="920"/>
      <c r="G19" s="911"/>
      <c r="H19" s="920"/>
      <c r="I19" s="911"/>
      <c r="J19" s="920"/>
      <c r="K19" s="911"/>
      <c r="L19" s="920"/>
      <c r="M19" s="911"/>
      <c r="N19" s="920"/>
      <c r="O19" s="911"/>
      <c r="P19" s="920"/>
      <c r="Q19" s="911"/>
      <c r="R19" s="920"/>
      <c r="S19" s="911"/>
      <c r="T19" s="920"/>
      <c r="U19" s="911"/>
      <c r="V19" s="920"/>
      <c r="W19" s="911"/>
      <c r="X19" s="920"/>
      <c r="Y19" s="911"/>
      <c r="Z19" s="920"/>
      <c r="AA19" s="911"/>
      <c r="AB19" s="920"/>
      <c r="AC19" s="911"/>
      <c r="AD19" s="920"/>
      <c r="AE19" s="916"/>
      <c r="AF19" s="921"/>
    </row>
    <row r="20" spans="1:32" ht="20.149999999999999" customHeight="1">
      <c r="A20" s="905">
        <f>A17+1</f>
        <v>4</v>
      </c>
      <c r="B20" s="905"/>
      <c r="C20" s="913" t="s">
        <v>972</v>
      </c>
      <c r="D20" s="931"/>
      <c r="E20" s="914"/>
      <c r="F20" s="929"/>
      <c r="G20" s="911"/>
      <c r="H20" s="929"/>
      <c r="I20" s="911"/>
      <c r="J20" s="929"/>
      <c r="K20" s="911"/>
      <c r="L20" s="929"/>
      <c r="M20" s="911"/>
      <c r="N20" s="929"/>
      <c r="O20" s="911"/>
      <c r="P20" s="929"/>
      <c r="Q20" s="911"/>
      <c r="R20" s="929"/>
      <c r="S20" s="911"/>
      <c r="T20" s="929"/>
      <c r="U20" s="911"/>
      <c r="V20" s="929"/>
      <c r="W20" s="911"/>
      <c r="X20" s="929"/>
      <c r="Y20" s="911"/>
      <c r="Z20" s="929"/>
      <c r="AA20" s="911"/>
      <c r="AB20" s="929"/>
      <c r="AC20" s="911"/>
      <c r="AD20" s="929"/>
      <c r="AE20" s="916"/>
      <c r="AF20" s="925">
        <f>SUM(F20:AD20)/13</f>
        <v>0</v>
      </c>
    </row>
    <row r="21" spans="1:32" ht="20.149999999999999" customHeight="1">
      <c r="A21" s="905"/>
      <c r="B21" s="905"/>
      <c r="C21" s="933" t="s">
        <v>973</v>
      </c>
      <c r="D21" s="933"/>
      <c r="E21" s="914"/>
      <c r="F21" s="929"/>
      <c r="G21" s="911"/>
      <c r="H21" s="920"/>
      <c r="I21" s="911"/>
      <c r="J21" s="920"/>
      <c r="K21" s="911"/>
      <c r="L21" s="920"/>
      <c r="M21" s="911"/>
      <c r="N21" s="920"/>
      <c r="O21" s="911"/>
      <c r="P21" s="920"/>
      <c r="Q21" s="911"/>
      <c r="R21" s="920"/>
      <c r="S21" s="911"/>
      <c r="T21" s="920"/>
      <c r="U21" s="911"/>
      <c r="V21" s="920"/>
      <c r="W21" s="911"/>
      <c r="X21" s="920"/>
      <c r="Y21" s="911"/>
      <c r="Z21" s="920"/>
      <c r="AA21" s="911"/>
      <c r="AB21" s="920"/>
      <c r="AC21" s="911"/>
      <c r="AD21" s="929"/>
      <c r="AE21" s="916"/>
      <c r="AF21" s="925"/>
    </row>
    <row r="22" spans="1:32" ht="20.149999999999999" customHeight="1">
      <c r="A22" s="905"/>
      <c r="B22" s="905"/>
      <c r="C22" s="933"/>
      <c r="D22" s="933"/>
      <c r="E22" s="914"/>
      <c r="F22" s="920"/>
      <c r="G22" s="911"/>
      <c r="H22" s="920"/>
      <c r="I22" s="911"/>
      <c r="J22" s="920"/>
      <c r="K22" s="911"/>
      <c r="L22" s="920"/>
      <c r="M22" s="911"/>
      <c r="N22" s="920"/>
      <c r="O22" s="911"/>
      <c r="P22" s="920"/>
      <c r="Q22" s="911"/>
      <c r="R22" s="920"/>
      <c r="S22" s="911"/>
      <c r="T22" s="920"/>
      <c r="U22" s="911"/>
      <c r="V22" s="920"/>
      <c r="W22" s="911"/>
      <c r="X22" s="920"/>
      <c r="Y22" s="911"/>
      <c r="Z22" s="920"/>
      <c r="AA22" s="911"/>
      <c r="AB22" s="920"/>
      <c r="AC22" s="911"/>
      <c r="AD22" s="920"/>
      <c r="AE22" s="916"/>
      <c r="AF22" s="921"/>
    </row>
    <row r="23" spans="1:32" ht="20.149999999999999" customHeight="1">
      <c r="A23" s="905"/>
      <c r="B23" s="905"/>
      <c r="C23" s="933"/>
      <c r="D23" s="933"/>
      <c r="E23" s="914"/>
      <c r="F23" s="920"/>
      <c r="G23" s="911"/>
      <c r="H23" s="920"/>
      <c r="I23" s="911"/>
      <c r="J23" s="920"/>
      <c r="K23" s="911"/>
      <c r="L23" s="920"/>
      <c r="M23" s="911"/>
      <c r="N23" s="920"/>
      <c r="O23" s="911"/>
      <c r="P23" s="920"/>
      <c r="Q23" s="911"/>
      <c r="R23" s="920"/>
      <c r="S23" s="911"/>
      <c r="T23" s="920"/>
      <c r="U23" s="911"/>
      <c r="V23" s="920"/>
      <c r="W23" s="911"/>
      <c r="X23" s="920"/>
      <c r="Y23" s="911"/>
      <c r="Z23" s="920"/>
      <c r="AA23" s="911"/>
      <c r="AB23" s="920"/>
      <c r="AC23" s="911"/>
      <c r="AD23" s="920"/>
      <c r="AE23" s="916"/>
      <c r="AF23" s="921"/>
    </row>
    <row r="24" spans="1:32" ht="20.149999999999999" customHeight="1">
      <c r="A24" s="922">
        <v>5</v>
      </c>
      <c r="B24" s="911"/>
      <c r="C24" s="934" t="s">
        <v>1212</v>
      </c>
      <c r="D24" s="934"/>
      <c r="E24" s="44"/>
      <c r="F24" s="44"/>
      <c r="G24" s="44"/>
      <c r="H24" s="44"/>
      <c r="I24" s="911"/>
      <c r="J24" s="935"/>
      <c r="K24" s="911"/>
      <c r="L24" s="935"/>
      <c r="M24" s="911"/>
      <c r="N24" s="935"/>
      <c r="O24" s="911"/>
      <c r="P24" s="935"/>
      <c r="Q24" s="911"/>
      <c r="R24" s="935"/>
      <c r="S24" s="911"/>
      <c r="T24" s="935"/>
      <c r="U24" s="911"/>
      <c r="V24" s="935"/>
      <c r="W24" s="911"/>
      <c r="X24" s="935"/>
      <c r="Y24" s="911"/>
      <c r="Z24" s="935"/>
      <c r="AA24" s="911"/>
      <c r="AB24" s="935"/>
      <c r="AC24" s="911"/>
      <c r="AD24" s="935"/>
      <c r="AE24" s="916"/>
      <c r="AF24" s="935"/>
    </row>
    <row r="25" spans="1:32" ht="20.149999999999999" customHeight="1">
      <c r="A25" s="922">
        <v>6</v>
      </c>
      <c r="B25" s="911"/>
      <c r="C25" s="924" t="s">
        <v>974</v>
      </c>
      <c r="D25" s="924"/>
      <c r="E25" s="911"/>
      <c r="F25" s="935"/>
      <c r="G25" s="911"/>
      <c r="H25" s="935"/>
      <c r="I25" s="911"/>
      <c r="J25" s="935"/>
      <c r="K25" s="911"/>
      <c r="L25" s="935"/>
      <c r="M25" s="911"/>
      <c r="N25" s="935"/>
      <c r="O25" s="911"/>
      <c r="P25" s="935"/>
      <c r="Q25" s="911"/>
      <c r="R25" s="935"/>
      <c r="S25" s="911"/>
      <c r="T25" s="935"/>
      <c r="U25" s="911"/>
      <c r="V25" s="935"/>
      <c r="W25" s="911"/>
      <c r="X25" s="935"/>
      <c r="Y25" s="911"/>
      <c r="Z25" s="935"/>
      <c r="AA25" s="911"/>
      <c r="AB25" s="935"/>
      <c r="AC25" s="911"/>
      <c r="AD25" s="935"/>
      <c r="AE25" s="916"/>
      <c r="AF25" s="935"/>
    </row>
    <row r="26" spans="1:32" ht="20.149999999999999" customHeight="1">
      <c r="A26" s="905"/>
      <c r="B26" s="905"/>
      <c r="C26" s="905"/>
      <c r="D26" s="905"/>
      <c r="E26" s="905"/>
      <c r="F26" s="905"/>
      <c r="G26" s="905"/>
      <c r="H26" s="905"/>
      <c r="I26" s="905"/>
      <c r="J26" s="905"/>
      <c r="K26" s="905"/>
      <c r="L26" s="905"/>
      <c r="M26" s="905"/>
      <c r="N26" s="905"/>
      <c r="O26" s="905"/>
      <c r="P26" s="905"/>
      <c r="Q26" s="905"/>
      <c r="R26" s="905"/>
      <c r="S26" s="905"/>
      <c r="T26" s="905"/>
      <c r="U26" s="905"/>
      <c r="V26" s="905"/>
      <c r="W26" s="905"/>
      <c r="X26" s="905"/>
      <c r="Y26" s="905"/>
      <c r="Z26" s="905"/>
      <c r="AA26" s="905"/>
      <c r="AB26" s="905"/>
      <c r="AC26" s="905"/>
      <c r="AD26" s="905"/>
      <c r="AE26" s="905"/>
      <c r="AF26" s="905"/>
    </row>
    <row r="27" spans="1:32">
      <c r="A27" s="936">
        <f>A25+0.01</f>
        <v>6.01</v>
      </c>
      <c r="B27" s="906"/>
      <c r="C27" s="937" t="s">
        <v>1316</v>
      </c>
      <c r="D27" s="937" t="s">
        <v>35</v>
      </c>
      <c r="E27" s="906"/>
      <c r="F27" s="928">
        <f>-1110034*'Attachment H-11A '!$I$213</f>
        <v>-37051.375256936881</v>
      </c>
      <c r="G27" s="906"/>
      <c r="H27" s="928">
        <f>-1110034*'Attachment H-11A '!$I$213</f>
        <v>-37051.375256936881</v>
      </c>
      <c r="I27" s="906"/>
      <c r="J27" s="928">
        <f>-1110034*'Attachment H-11A '!$I$213</f>
        <v>-37051.375256936881</v>
      </c>
      <c r="K27" s="906"/>
      <c r="L27" s="928">
        <f>-1110034*'Attachment H-11A '!$I$213</f>
        <v>-37051.375256936881</v>
      </c>
      <c r="M27" s="906"/>
      <c r="N27" s="928">
        <f>-1110034*'Attachment H-11A '!$I$213</f>
        <v>-37051.375256936881</v>
      </c>
      <c r="O27" s="906"/>
      <c r="P27" s="928">
        <f>-1110034*'Attachment H-11A '!$I$213</f>
        <v>-37051.375256936881</v>
      </c>
      <c r="Q27" s="906"/>
      <c r="R27" s="928">
        <f>-1110034*'Attachment H-11A '!$I$213</f>
        <v>-37051.375256936881</v>
      </c>
      <c r="S27" s="906"/>
      <c r="T27" s="928">
        <f>-1110034*'Attachment H-11A '!$I$213</f>
        <v>-37051.375256936881</v>
      </c>
      <c r="U27" s="906"/>
      <c r="V27" s="928">
        <f>-1110034*'Attachment H-11A '!$I$213</f>
        <v>-37051.375256936881</v>
      </c>
      <c r="W27" s="906"/>
      <c r="X27" s="928">
        <f>-1110034*'Attachment H-11A '!$I$213</f>
        <v>-37051.375256936881</v>
      </c>
      <c r="Y27" s="906"/>
      <c r="Z27" s="928">
        <f>-1110034*'Attachment H-11A '!$I$213</f>
        <v>-37051.375256936881</v>
      </c>
      <c r="AA27" s="906"/>
      <c r="AB27" s="928">
        <f>-1110034*'Attachment H-11A '!$I$213</f>
        <v>-37051.375256936881</v>
      </c>
      <c r="AC27" s="906"/>
      <c r="AD27" s="928">
        <f>-1110034*'Attachment H-11A '!$I$213</f>
        <v>-37051.375256936881</v>
      </c>
      <c r="AE27" s="906"/>
      <c r="AF27" s="925">
        <f>SUM(F27:AD27)/13</f>
        <v>-37051.375256936881</v>
      </c>
    </row>
    <row r="28" spans="1:32">
      <c r="A28" s="936">
        <f>A27+0.01</f>
        <v>6.02</v>
      </c>
      <c r="B28" s="906"/>
      <c r="C28" s="388"/>
      <c r="D28" s="937"/>
      <c r="E28" s="906"/>
      <c r="F28" s="928"/>
      <c r="G28" s="906"/>
      <c r="H28" s="928"/>
      <c r="I28" s="906"/>
      <c r="J28" s="928"/>
      <c r="K28" s="906"/>
      <c r="L28" s="928"/>
      <c r="M28" s="906"/>
      <c r="N28" s="928"/>
      <c r="O28" s="906"/>
      <c r="P28" s="928"/>
      <c r="Q28" s="906"/>
      <c r="R28" s="928"/>
      <c r="S28" s="906"/>
      <c r="T28" s="928"/>
      <c r="U28" s="906"/>
      <c r="V28" s="928"/>
      <c r="W28" s="906"/>
      <c r="X28" s="928"/>
      <c r="Y28" s="906"/>
      <c r="Z28" s="928"/>
      <c r="AA28" s="906"/>
      <c r="AB28" s="928"/>
      <c r="AC28" s="906"/>
      <c r="AD28" s="928"/>
      <c r="AE28" s="906"/>
      <c r="AF28" s="925">
        <f>SUM(F28:AD28)/13</f>
        <v>0</v>
      </c>
    </row>
    <row r="29" spans="1:32">
      <c r="A29" s="905">
        <f>A25+1</f>
        <v>7</v>
      </c>
      <c r="B29" s="906"/>
      <c r="C29" s="937" t="str">
        <f ca="1">"Sum of Lines "&amp;A27&amp;" through "&amp;OFFSET(A29,-1,0)</f>
        <v>Sum of Lines 6.01 through 6.02</v>
      </c>
      <c r="D29" s="933"/>
      <c r="E29" s="906"/>
      <c r="F29" s="930">
        <f>SUM(F27:F28)</f>
        <v>-37051.375256936881</v>
      </c>
      <c r="G29" s="906"/>
      <c r="H29" s="930">
        <f>SUM(H27:H28)</f>
        <v>-37051.375256936881</v>
      </c>
      <c r="I29" s="906"/>
      <c r="J29" s="930">
        <f>SUM(J27:J28)</f>
        <v>-37051.375256936881</v>
      </c>
      <c r="K29" s="906"/>
      <c r="L29" s="930">
        <f>SUM(L27:L28)</f>
        <v>-37051.375256936881</v>
      </c>
      <c r="M29" s="906"/>
      <c r="N29" s="930">
        <f>SUM(N27:N28)</f>
        <v>-37051.375256936881</v>
      </c>
      <c r="O29" s="906"/>
      <c r="P29" s="930">
        <f>SUM(P27:P28)</f>
        <v>-37051.375256936881</v>
      </c>
      <c r="Q29" s="906"/>
      <c r="R29" s="930">
        <f>SUM(R27:R28)</f>
        <v>-37051.375256936881</v>
      </c>
      <c r="S29" s="906"/>
      <c r="T29" s="930">
        <f>SUM(T27:T28)</f>
        <v>-37051.375256936881</v>
      </c>
      <c r="U29" s="906"/>
      <c r="V29" s="930">
        <f>SUM(V27:V28)</f>
        <v>-37051.375256936881</v>
      </c>
      <c r="W29" s="906"/>
      <c r="X29" s="930">
        <f>SUM(X27:X28)</f>
        <v>-37051.375256936881</v>
      </c>
      <c r="Y29" s="906"/>
      <c r="Z29" s="930">
        <f>SUM(Z27:Z28)</f>
        <v>-37051.375256936881</v>
      </c>
      <c r="AA29" s="906"/>
      <c r="AB29" s="930">
        <f>SUM(AB27:AB28)</f>
        <v>-37051.375256936881</v>
      </c>
      <c r="AC29" s="906"/>
      <c r="AD29" s="930">
        <f>SUM(AD27:AD28)</f>
        <v>-37051.375256936881</v>
      </c>
      <c r="AE29" s="906"/>
      <c r="AF29" s="930">
        <f>SUM(AF27:AF28)</f>
        <v>-37051.375256936881</v>
      </c>
    </row>
    <row r="30" spans="1:32">
      <c r="A30" s="905"/>
      <c r="B30" s="905"/>
      <c r="C30" s="906"/>
      <c r="D30" s="906"/>
      <c r="E30" s="906"/>
      <c r="F30" s="925"/>
      <c r="G30" s="906"/>
      <c r="H30" s="925"/>
      <c r="I30" s="906"/>
      <c r="J30" s="925"/>
      <c r="K30" s="906"/>
      <c r="L30" s="925"/>
      <c r="M30" s="906"/>
      <c r="N30" s="925"/>
      <c r="O30" s="906"/>
      <c r="P30" s="925"/>
      <c r="Q30" s="906"/>
      <c r="R30" s="925"/>
      <c r="S30" s="906"/>
      <c r="T30" s="925"/>
      <c r="U30" s="906"/>
      <c r="V30" s="925"/>
      <c r="W30" s="906"/>
      <c r="X30" s="925"/>
      <c r="Y30" s="906"/>
      <c r="Z30" s="938"/>
      <c r="AA30" s="906"/>
      <c r="AB30" s="938"/>
      <c r="AC30" s="906"/>
      <c r="AD30" s="905"/>
      <c r="AE30" s="906"/>
      <c r="AF30" s="905"/>
    </row>
    <row r="31" spans="1:32">
      <c r="A31" s="922">
        <f>A29+1</f>
        <v>8</v>
      </c>
      <c r="B31" s="911"/>
      <c r="C31" s="924" t="s">
        <v>975</v>
      </c>
      <c r="D31" s="924"/>
      <c r="E31" s="911"/>
      <c r="F31" s="935"/>
      <c r="G31" s="911"/>
      <c r="H31" s="935"/>
      <c r="I31" s="911"/>
      <c r="J31" s="935"/>
      <c r="K31" s="911"/>
      <c r="L31" s="935"/>
      <c r="M31" s="911"/>
      <c r="N31" s="935"/>
      <c r="O31" s="911"/>
      <c r="P31" s="935"/>
      <c r="Q31" s="911"/>
      <c r="R31" s="935"/>
      <c r="S31" s="911"/>
      <c r="T31" s="935"/>
      <c r="U31" s="911"/>
      <c r="V31" s="935"/>
      <c r="W31" s="911"/>
      <c r="X31" s="935"/>
      <c r="Y31" s="911"/>
      <c r="Z31" s="935"/>
      <c r="AA31" s="911"/>
      <c r="AB31" s="935"/>
      <c r="AC31" s="911"/>
      <c r="AD31" s="935"/>
      <c r="AE31" s="916"/>
      <c r="AF31" s="935"/>
    </row>
    <row r="32" spans="1:32">
      <c r="A32" s="905"/>
      <c r="B32" s="905"/>
      <c r="C32" s="905"/>
      <c r="D32" s="905"/>
      <c r="E32" s="905"/>
      <c r="F32" s="905"/>
      <c r="G32" s="905"/>
      <c r="H32" s="905"/>
      <c r="I32" s="905"/>
      <c r="J32" s="905"/>
      <c r="K32" s="905"/>
      <c r="L32" s="905"/>
      <c r="M32" s="905"/>
      <c r="N32" s="905"/>
      <c r="O32" s="905"/>
      <c r="P32" s="905"/>
      <c r="Q32" s="905"/>
      <c r="R32" s="905"/>
      <c r="S32" s="905"/>
      <c r="T32" s="905"/>
      <c r="U32" s="905"/>
      <c r="V32" s="905"/>
      <c r="W32" s="905"/>
      <c r="X32" s="905"/>
      <c r="Y32" s="905"/>
      <c r="Z32" s="905"/>
      <c r="AA32" s="905"/>
      <c r="AB32" s="905"/>
      <c r="AC32" s="905"/>
      <c r="AD32" s="905"/>
      <c r="AE32" s="905"/>
      <c r="AF32" s="905"/>
    </row>
    <row r="33" spans="1:32">
      <c r="A33" s="936">
        <f>A31+0.01</f>
        <v>8.01</v>
      </c>
      <c r="B33" s="906"/>
      <c r="C33" s="937"/>
      <c r="D33" s="937"/>
      <c r="E33" s="906"/>
      <c r="F33" s="928"/>
      <c r="G33" s="906"/>
      <c r="H33" s="928"/>
      <c r="I33" s="906"/>
      <c r="J33" s="928"/>
      <c r="K33" s="906"/>
      <c r="L33" s="928"/>
      <c r="M33" s="906"/>
      <c r="N33" s="928"/>
      <c r="O33" s="906"/>
      <c r="P33" s="928"/>
      <c r="Q33" s="906"/>
      <c r="R33" s="928"/>
      <c r="S33" s="906"/>
      <c r="T33" s="928"/>
      <c r="U33" s="906"/>
      <c r="V33" s="928"/>
      <c r="W33" s="906"/>
      <c r="X33" s="928"/>
      <c r="Y33" s="906"/>
      <c r="Z33" s="928"/>
      <c r="AA33" s="906"/>
      <c r="AB33" s="928"/>
      <c r="AC33" s="906"/>
      <c r="AD33" s="928"/>
      <c r="AE33" s="906"/>
      <c r="AF33" s="925">
        <f>SUM(F33:AD33)/13</f>
        <v>0</v>
      </c>
    </row>
    <row r="34" spans="1:32">
      <c r="A34" s="936">
        <f>A33+0.01</f>
        <v>8.02</v>
      </c>
      <c r="B34" s="906"/>
      <c r="C34" s="937"/>
      <c r="D34" s="937"/>
      <c r="E34" s="906"/>
      <c r="F34" s="928"/>
      <c r="G34" s="906"/>
      <c r="H34" s="928"/>
      <c r="I34" s="906"/>
      <c r="J34" s="928"/>
      <c r="K34" s="906"/>
      <c r="L34" s="928"/>
      <c r="M34" s="906"/>
      <c r="N34" s="928"/>
      <c r="O34" s="906"/>
      <c r="P34" s="928"/>
      <c r="Q34" s="906"/>
      <c r="R34" s="928"/>
      <c r="S34" s="906"/>
      <c r="T34" s="928"/>
      <c r="U34" s="906"/>
      <c r="V34" s="928"/>
      <c r="W34" s="906"/>
      <c r="X34" s="928"/>
      <c r="Y34" s="906"/>
      <c r="Z34" s="928"/>
      <c r="AA34" s="906"/>
      <c r="AB34" s="928"/>
      <c r="AC34" s="906"/>
      <c r="AD34" s="928"/>
      <c r="AE34" s="906"/>
      <c r="AF34" s="925">
        <f>SUM(F34:AD34)/13</f>
        <v>0</v>
      </c>
    </row>
    <row r="35" spans="1:32">
      <c r="A35" s="905">
        <f>A31+1</f>
        <v>9</v>
      </c>
      <c r="B35" s="906"/>
      <c r="C35" s="937" t="str">
        <f ca="1">"Sum of Lines "&amp;A33&amp;" through "&amp;OFFSET(A35,-1,0)</f>
        <v>Sum of Lines 8.01 through 8.02</v>
      </c>
      <c r="D35" s="933"/>
      <c r="E35" s="906"/>
      <c r="F35" s="930">
        <f>SUM(F33:F34)</f>
        <v>0</v>
      </c>
      <c r="G35" s="906"/>
      <c r="H35" s="930">
        <f>SUM(H33:H34)</f>
        <v>0</v>
      </c>
      <c r="I35" s="906"/>
      <c r="J35" s="930">
        <f>SUM(J33:J34)</f>
        <v>0</v>
      </c>
      <c r="K35" s="906"/>
      <c r="L35" s="930">
        <f>SUM(L33:L34)</f>
        <v>0</v>
      </c>
      <c r="M35" s="906"/>
      <c r="N35" s="930">
        <f>SUM(N33:N34)</f>
        <v>0</v>
      </c>
      <c r="O35" s="906"/>
      <c r="P35" s="930">
        <f>SUM(P33:P34)</f>
        <v>0</v>
      </c>
      <c r="Q35" s="906"/>
      <c r="R35" s="930">
        <f>SUM(R33:R34)</f>
        <v>0</v>
      </c>
      <c r="S35" s="906"/>
      <c r="T35" s="930">
        <f>SUM(T33:T34)</f>
        <v>0</v>
      </c>
      <c r="U35" s="906"/>
      <c r="V35" s="930">
        <f>SUM(V33:V34)</f>
        <v>0</v>
      </c>
      <c r="W35" s="906"/>
      <c r="X35" s="930">
        <f>SUM(X33:X34)</f>
        <v>0</v>
      </c>
      <c r="Y35" s="906"/>
      <c r="Z35" s="930">
        <f>SUM(Z33:Z34)</f>
        <v>0</v>
      </c>
      <c r="AA35" s="906"/>
      <c r="AB35" s="930">
        <f>SUM(AB33:AB34)</f>
        <v>0</v>
      </c>
      <c r="AC35" s="906"/>
      <c r="AD35" s="930">
        <f>SUM(AD33:AD34)</f>
        <v>0</v>
      </c>
      <c r="AE35" s="906"/>
      <c r="AF35" s="930">
        <f>SUM(AF33:AF34)</f>
        <v>0</v>
      </c>
    </row>
    <row r="36" spans="1:32">
      <c r="A36" s="905"/>
      <c r="B36" s="905"/>
      <c r="C36" s="906"/>
      <c r="D36" s="906"/>
      <c r="E36" s="906"/>
      <c r="F36" s="925"/>
      <c r="G36" s="906"/>
      <c r="H36" s="925"/>
      <c r="I36" s="906"/>
      <c r="J36" s="925"/>
      <c r="K36" s="906"/>
      <c r="L36" s="925"/>
      <c r="M36" s="906"/>
      <c r="N36" s="925"/>
      <c r="O36" s="906"/>
      <c r="P36" s="925"/>
      <c r="Q36" s="906"/>
      <c r="R36" s="925"/>
      <c r="S36" s="906"/>
      <c r="T36" s="925"/>
      <c r="U36" s="906"/>
      <c r="V36" s="925"/>
      <c r="W36" s="906"/>
      <c r="X36" s="925"/>
      <c r="Y36" s="906"/>
      <c r="Z36" s="925"/>
      <c r="AA36" s="906"/>
      <c r="AB36" s="925"/>
      <c r="AC36" s="906"/>
      <c r="AD36" s="905"/>
      <c r="AE36" s="906"/>
      <c r="AF36" s="905"/>
    </row>
    <row r="37" spans="1:32">
      <c r="A37" s="922">
        <f>A35+1</f>
        <v>10</v>
      </c>
      <c r="B37" s="911"/>
      <c r="C37" s="924" t="s">
        <v>976</v>
      </c>
      <c r="D37" s="924"/>
      <c r="E37" s="911"/>
      <c r="F37" s="935"/>
      <c r="G37" s="911"/>
      <c r="H37" s="935"/>
      <c r="I37" s="911"/>
      <c r="J37" s="935"/>
      <c r="K37" s="911"/>
      <c r="L37" s="935"/>
      <c r="M37" s="911"/>
      <c r="N37" s="935"/>
      <c r="O37" s="911"/>
      <c r="P37" s="935"/>
      <c r="Q37" s="911"/>
      <c r="R37" s="935"/>
      <c r="S37" s="911"/>
      <c r="T37" s="935"/>
      <c r="U37" s="911"/>
      <c r="V37" s="935"/>
      <c r="W37" s="911"/>
      <c r="X37" s="935"/>
      <c r="Y37" s="911"/>
      <c r="Z37" s="935"/>
      <c r="AA37" s="911"/>
      <c r="AB37" s="935"/>
      <c r="AC37" s="911"/>
      <c r="AD37" s="935"/>
      <c r="AE37" s="916"/>
      <c r="AF37" s="935"/>
    </row>
    <row r="38" spans="1:32">
      <c r="A38" s="905"/>
      <c r="B38" s="905"/>
      <c r="C38" s="905"/>
      <c r="D38" s="905"/>
      <c r="E38" s="905"/>
      <c r="F38" s="905"/>
      <c r="G38" s="905"/>
      <c r="H38" s="905"/>
      <c r="I38" s="905"/>
      <c r="J38" s="905"/>
      <c r="K38" s="905"/>
      <c r="L38" s="905"/>
      <c r="M38" s="905"/>
      <c r="N38" s="905"/>
      <c r="O38" s="905"/>
      <c r="P38" s="905"/>
      <c r="Q38" s="905"/>
      <c r="R38" s="905"/>
      <c r="S38" s="905"/>
      <c r="T38" s="905"/>
      <c r="U38" s="905"/>
      <c r="V38" s="905"/>
      <c r="W38" s="905"/>
      <c r="X38" s="905"/>
      <c r="Y38" s="905"/>
      <c r="Z38" s="905"/>
      <c r="AA38" s="905"/>
      <c r="AB38" s="905"/>
      <c r="AC38" s="905"/>
      <c r="AD38" s="905"/>
      <c r="AE38" s="905"/>
      <c r="AF38" s="905"/>
    </row>
    <row r="39" spans="1:32">
      <c r="A39" s="936">
        <f>A37+0.01</f>
        <v>10.01</v>
      </c>
      <c r="B39" s="906"/>
      <c r="C39" s="937"/>
      <c r="D39" s="937"/>
      <c r="E39" s="906"/>
      <c r="F39" s="928"/>
      <c r="G39" s="906"/>
      <c r="H39" s="928"/>
      <c r="I39" s="906"/>
      <c r="J39" s="928"/>
      <c r="K39" s="906"/>
      <c r="L39" s="928"/>
      <c r="M39" s="906"/>
      <c r="N39" s="928"/>
      <c r="O39" s="906"/>
      <c r="P39" s="928"/>
      <c r="Q39" s="906"/>
      <c r="R39" s="928"/>
      <c r="S39" s="906"/>
      <c r="T39" s="928"/>
      <c r="U39" s="906"/>
      <c r="V39" s="928"/>
      <c r="W39" s="906"/>
      <c r="X39" s="928"/>
      <c r="Y39" s="906"/>
      <c r="Z39" s="928"/>
      <c r="AA39" s="906"/>
      <c r="AB39" s="928"/>
      <c r="AC39" s="906"/>
      <c r="AD39" s="928"/>
      <c r="AE39" s="906"/>
      <c r="AF39" s="925">
        <f>SUM(F39:AD39)/13</f>
        <v>0</v>
      </c>
    </row>
    <row r="40" spans="1:32">
      <c r="A40" s="936">
        <f>A39+0.01</f>
        <v>10.02</v>
      </c>
      <c r="B40" s="906"/>
      <c r="C40" s="937"/>
      <c r="D40" s="937"/>
      <c r="E40" s="906"/>
      <c r="F40" s="928"/>
      <c r="G40" s="906"/>
      <c r="H40" s="928"/>
      <c r="I40" s="906"/>
      <c r="J40" s="928"/>
      <c r="K40" s="906"/>
      <c r="L40" s="928"/>
      <c r="M40" s="906"/>
      <c r="N40" s="928"/>
      <c r="O40" s="906"/>
      <c r="P40" s="928"/>
      <c r="Q40" s="906"/>
      <c r="R40" s="928"/>
      <c r="S40" s="906"/>
      <c r="T40" s="928"/>
      <c r="U40" s="906"/>
      <c r="V40" s="928"/>
      <c r="W40" s="906"/>
      <c r="X40" s="928"/>
      <c r="Y40" s="906"/>
      <c r="Z40" s="928"/>
      <c r="AA40" s="906"/>
      <c r="AB40" s="928"/>
      <c r="AC40" s="906"/>
      <c r="AD40" s="928"/>
      <c r="AE40" s="906"/>
      <c r="AF40" s="925">
        <f>SUM(F40:AD40)/13</f>
        <v>0</v>
      </c>
    </row>
    <row r="41" spans="1:32">
      <c r="A41" s="905">
        <f>A37+1</f>
        <v>11</v>
      </c>
      <c r="B41" s="906"/>
      <c r="C41" s="937" t="str">
        <f ca="1">"Sum of Lines "&amp;A39&amp;" through "&amp;OFFSET(A41,-1,0)</f>
        <v>Sum of Lines 10.01 through 10.02</v>
      </c>
      <c r="D41" s="933"/>
      <c r="E41" s="906"/>
      <c r="F41" s="930">
        <f>SUM(F39:F40)</f>
        <v>0</v>
      </c>
      <c r="G41" s="906"/>
      <c r="H41" s="930">
        <f>SUM(H39:H40)</f>
        <v>0</v>
      </c>
      <c r="I41" s="906"/>
      <c r="J41" s="930">
        <f>SUM(J39:J40)</f>
        <v>0</v>
      </c>
      <c r="K41" s="906"/>
      <c r="L41" s="930">
        <f>SUM(L39:L40)</f>
        <v>0</v>
      </c>
      <c r="M41" s="906"/>
      <c r="N41" s="930">
        <f>SUM(N39:N40)</f>
        <v>0</v>
      </c>
      <c r="O41" s="906"/>
      <c r="P41" s="930">
        <f>SUM(P39:P40)</f>
        <v>0</v>
      </c>
      <c r="Q41" s="906"/>
      <c r="R41" s="930">
        <f>SUM(R39:R40)</f>
        <v>0</v>
      </c>
      <c r="S41" s="906"/>
      <c r="T41" s="930">
        <f>SUM(T39:T40)</f>
        <v>0</v>
      </c>
      <c r="U41" s="906"/>
      <c r="V41" s="930">
        <f>SUM(V39:V40)</f>
        <v>0</v>
      </c>
      <c r="W41" s="906"/>
      <c r="X41" s="930">
        <f>SUM(X39:X40)</f>
        <v>0</v>
      </c>
      <c r="Y41" s="906"/>
      <c r="Z41" s="930">
        <f>SUM(Z39:Z40)</f>
        <v>0</v>
      </c>
      <c r="AA41" s="906"/>
      <c r="AB41" s="930">
        <f>SUM(AB39:AB40)</f>
        <v>0</v>
      </c>
      <c r="AC41" s="906"/>
      <c r="AD41" s="930">
        <f>SUM(AD39:AD40)</f>
        <v>0</v>
      </c>
      <c r="AE41" s="906"/>
      <c r="AF41" s="930">
        <f>SUM(AF39:AF40)</f>
        <v>0</v>
      </c>
    </row>
    <row r="42" spans="1:32">
      <c r="A42" s="905"/>
      <c r="B42" s="905"/>
      <c r="C42" s="906"/>
      <c r="D42" s="906"/>
      <c r="E42" s="906"/>
      <c r="F42" s="925"/>
      <c r="G42" s="906"/>
      <c r="H42" s="925"/>
      <c r="I42" s="906"/>
      <c r="J42" s="925"/>
      <c r="K42" s="906"/>
      <c r="L42" s="925"/>
      <c r="M42" s="906"/>
      <c r="N42" s="925"/>
      <c r="O42" s="906"/>
      <c r="P42" s="925"/>
      <c r="Q42" s="906"/>
      <c r="R42" s="925"/>
      <c r="S42" s="906"/>
      <c r="T42" s="925"/>
      <c r="U42" s="906"/>
      <c r="V42" s="925"/>
      <c r="W42" s="906"/>
      <c r="X42" s="925"/>
      <c r="Y42" s="906"/>
      <c r="Z42" s="925"/>
      <c r="AA42" s="906"/>
      <c r="AB42" s="925"/>
      <c r="AC42" s="906"/>
      <c r="AD42" s="905"/>
      <c r="AE42" s="906"/>
      <c r="AF42" s="905"/>
    </row>
    <row r="43" spans="1:32">
      <c r="A43" s="922">
        <f>A41+1</f>
        <v>12</v>
      </c>
      <c r="B43" s="911"/>
      <c r="C43" s="924" t="s">
        <v>977</v>
      </c>
      <c r="D43" s="924"/>
      <c r="E43" s="911"/>
      <c r="F43" s="935"/>
      <c r="G43" s="911"/>
      <c r="H43" s="935"/>
      <c r="I43" s="911"/>
      <c r="J43" s="935"/>
      <c r="K43" s="911"/>
      <c r="L43" s="935"/>
      <c r="M43" s="911"/>
      <c r="N43" s="935"/>
      <c r="O43" s="911"/>
      <c r="P43" s="935"/>
      <c r="Q43" s="911"/>
      <c r="R43" s="935"/>
      <c r="S43" s="911"/>
      <c r="T43" s="935"/>
      <c r="U43" s="911"/>
      <c r="V43" s="935"/>
      <c r="W43" s="911"/>
      <c r="X43" s="935"/>
      <c r="Y43" s="911"/>
      <c r="Z43" s="935"/>
      <c r="AA43" s="911"/>
      <c r="AB43" s="935"/>
      <c r="AC43" s="911"/>
      <c r="AD43" s="935"/>
      <c r="AE43" s="916"/>
      <c r="AF43" s="935"/>
    </row>
    <row r="44" spans="1:32">
      <c r="A44" s="905"/>
      <c r="B44" s="905"/>
      <c r="C44" s="905"/>
      <c r="D44" s="905"/>
      <c r="E44" s="905"/>
      <c r="F44" s="905"/>
      <c r="G44" s="905"/>
      <c r="H44" s="905"/>
      <c r="I44" s="905"/>
      <c r="J44" s="905"/>
      <c r="K44" s="905"/>
      <c r="L44" s="905"/>
      <c r="M44" s="905"/>
      <c r="N44" s="905"/>
      <c r="O44" s="905"/>
      <c r="P44" s="905"/>
      <c r="Q44" s="905"/>
      <c r="R44" s="905"/>
      <c r="S44" s="905"/>
      <c r="T44" s="905"/>
      <c r="U44" s="905"/>
      <c r="V44" s="905"/>
      <c r="W44" s="905"/>
      <c r="X44" s="905"/>
      <c r="Y44" s="905"/>
      <c r="Z44" s="905"/>
      <c r="AA44" s="905"/>
      <c r="AB44" s="905"/>
      <c r="AC44" s="905"/>
      <c r="AD44" s="905"/>
      <c r="AE44" s="905"/>
      <c r="AF44" s="905"/>
    </row>
    <row r="45" spans="1:32">
      <c r="A45" s="936">
        <f>A43+0.01</f>
        <v>12.01</v>
      </c>
      <c r="B45" s="906"/>
      <c r="C45" s="937"/>
      <c r="D45" s="937"/>
      <c r="E45" s="906"/>
      <c r="F45" s="928"/>
      <c r="G45" s="906"/>
      <c r="H45" s="928"/>
      <c r="I45" s="906"/>
      <c r="J45" s="928"/>
      <c r="K45" s="906"/>
      <c r="L45" s="928"/>
      <c r="M45" s="906"/>
      <c r="N45" s="928"/>
      <c r="O45" s="906"/>
      <c r="P45" s="928"/>
      <c r="Q45" s="906"/>
      <c r="R45" s="928"/>
      <c r="S45" s="906"/>
      <c r="T45" s="928"/>
      <c r="U45" s="906"/>
      <c r="V45" s="928"/>
      <c r="W45" s="906"/>
      <c r="X45" s="928"/>
      <c r="Y45" s="906"/>
      <c r="Z45" s="928"/>
      <c r="AA45" s="906"/>
      <c r="AB45" s="928"/>
      <c r="AC45" s="906"/>
      <c r="AD45" s="928"/>
      <c r="AE45" s="906"/>
      <c r="AF45" s="925">
        <f>SUM(F45:AD45)/13</f>
        <v>0</v>
      </c>
    </row>
    <row r="46" spans="1:32">
      <c r="A46" s="936">
        <f>A45+0.01</f>
        <v>12.02</v>
      </c>
      <c r="B46" s="906"/>
      <c r="C46" s="937"/>
      <c r="D46" s="937"/>
      <c r="E46" s="906"/>
      <c r="F46" s="928"/>
      <c r="G46" s="906"/>
      <c r="H46" s="928"/>
      <c r="I46" s="906"/>
      <c r="J46" s="928"/>
      <c r="K46" s="906"/>
      <c r="L46" s="928"/>
      <c r="M46" s="906"/>
      <c r="N46" s="928"/>
      <c r="O46" s="906"/>
      <c r="P46" s="928"/>
      <c r="Q46" s="906"/>
      <c r="R46" s="928"/>
      <c r="S46" s="906"/>
      <c r="T46" s="928"/>
      <c r="U46" s="906"/>
      <c r="V46" s="928"/>
      <c r="W46" s="906"/>
      <c r="X46" s="928"/>
      <c r="Y46" s="906"/>
      <c r="Z46" s="928"/>
      <c r="AA46" s="906"/>
      <c r="AB46" s="928"/>
      <c r="AC46" s="906"/>
      <c r="AD46" s="928"/>
      <c r="AE46" s="906"/>
      <c r="AF46" s="925">
        <f>SUM(F46:AD46)/13</f>
        <v>0</v>
      </c>
    </row>
    <row r="47" spans="1:32">
      <c r="A47" s="905">
        <f>A43+1</f>
        <v>13</v>
      </c>
      <c r="B47" s="906"/>
      <c r="C47" s="937" t="str">
        <f ca="1">"Sum of Lines "&amp;A45&amp;" through "&amp;OFFSET(A47,-1,0)</f>
        <v>Sum of Lines 12.01 through 12.02</v>
      </c>
      <c r="D47" s="933"/>
      <c r="E47" s="906"/>
      <c r="F47" s="930">
        <f>SUM(F45:F46)</f>
        <v>0</v>
      </c>
      <c r="G47" s="906"/>
      <c r="H47" s="930">
        <f>SUM(H45:H46)</f>
        <v>0</v>
      </c>
      <c r="I47" s="906"/>
      <c r="J47" s="930">
        <f>SUM(J45:J46)</f>
        <v>0</v>
      </c>
      <c r="K47" s="906"/>
      <c r="L47" s="930">
        <f>SUM(L45:L46)</f>
        <v>0</v>
      </c>
      <c r="M47" s="906"/>
      <c r="N47" s="930">
        <f>SUM(N45:N46)</f>
        <v>0</v>
      </c>
      <c r="O47" s="906"/>
      <c r="P47" s="930">
        <f>SUM(P45:P46)</f>
        <v>0</v>
      </c>
      <c r="Q47" s="906"/>
      <c r="R47" s="930">
        <f>SUM(R45:R46)</f>
        <v>0</v>
      </c>
      <c r="S47" s="906"/>
      <c r="T47" s="930">
        <f>SUM(T45:T46)</f>
        <v>0</v>
      </c>
      <c r="U47" s="906"/>
      <c r="V47" s="930">
        <f>SUM(V45:V46)</f>
        <v>0</v>
      </c>
      <c r="W47" s="906"/>
      <c r="X47" s="930">
        <f>SUM(X45:X46)</f>
        <v>0</v>
      </c>
      <c r="Y47" s="906"/>
      <c r="Z47" s="930">
        <f>SUM(Z45:Z46)</f>
        <v>0</v>
      </c>
      <c r="AA47" s="906"/>
      <c r="AB47" s="930">
        <f>SUM(AB45:AB46)</f>
        <v>0</v>
      </c>
      <c r="AC47" s="906"/>
      <c r="AD47" s="930">
        <f>SUM(AD45:AD46)</f>
        <v>0</v>
      </c>
      <c r="AE47" s="906"/>
      <c r="AF47" s="930">
        <f>SUM(AF45:AF46)</f>
        <v>0</v>
      </c>
    </row>
    <row r="48" spans="1:32">
      <c r="A48" s="905"/>
      <c r="B48" s="905"/>
      <c r="C48" s="906"/>
      <c r="D48" s="906"/>
      <c r="E48" s="906"/>
      <c r="F48" s="925"/>
      <c r="G48" s="906"/>
      <c r="H48" s="925"/>
      <c r="I48" s="906"/>
      <c r="J48" s="925"/>
      <c r="K48" s="906"/>
      <c r="L48" s="925"/>
      <c r="M48" s="906"/>
      <c r="N48" s="925"/>
      <c r="O48" s="906"/>
      <c r="P48" s="925"/>
      <c r="Q48" s="906"/>
      <c r="R48" s="925"/>
      <c r="S48" s="906"/>
      <c r="T48" s="925"/>
      <c r="U48" s="906"/>
      <c r="V48" s="925"/>
      <c r="W48" s="906"/>
      <c r="X48" s="925"/>
      <c r="Y48" s="906"/>
      <c r="Z48" s="925"/>
      <c r="AA48" s="906"/>
      <c r="AB48" s="925"/>
      <c r="AC48" s="906"/>
      <c r="AD48" s="905"/>
      <c r="AE48" s="906"/>
      <c r="AF48" s="905"/>
    </row>
    <row r="49" spans="1:32">
      <c r="A49" s="922">
        <f>A47+1</f>
        <v>14</v>
      </c>
      <c r="B49" s="911"/>
      <c r="C49" s="924" t="s">
        <v>978</v>
      </c>
      <c r="D49" s="924"/>
      <c r="E49" s="911"/>
      <c r="F49" s="935"/>
      <c r="G49" s="911"/>
      <c r="H49" s="935"/>
      <c r="I49" s="911"/>
      <c r="J49" s="935"/>
      <c r="K49" s="911"/>
      <c r="L49" s="935"/>
      <c r="M49" s="911"/>
      <c r="N49" s="935"/>
      <c r="O49" s="911"/>
      <c r="P49" s="935"/>
      <c r="Q49" s="911"/>
      <c r="R49" s="935"/>
      <c r="S49" s="911"/>
      <c r="T49" s="935"/>
      <c r="U49" s="911"/>
      <c r="V49" s="935"/>
      <c r="W49" s="911"/>
      <c r="X49" s="935"/>
      <c r="Y49" s="911"/>
      <c r="Z49" s="935"/>
      <c r="AA49" s="911"/>
      <c r="AB49" s="935"/>
      <c r="AC49" s="911"/>
      <c r="AD49" s="935"/>
      <c r="AE49" s="916"/>
      <c r="AF49" s="935"/>
    </row>
    <row r="50" spans="1:32">
      <c r="A50" s="905"/>
      <c r="B50" s="905"/>
      <c r="C50" s="905"/>
      <c r="D50" s="905"/>
      <c r="E50" s="905"/>
      <c r="F50" s="905"/>
      <c r="G50" s="905"/>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row>
    <row r="51" spans="1:32">
      <c r="A51" s="936">
        <f>A49+0.01</f>
        <v>14.01</v>
      </c>
      <c r="B51" s="906"/>
      <c r="C51" s="937" t="s">
        <v>1317</v>
      </c>
      <c r="D51" s="937" t="s">
        <v>35</v>
      </c>
      <c r="E51" s="906"/>
      <c r="F51" s="928">
        <f>-7528989*'Attachment H-11A '!I213</f>
        <v>-251307.07414759364</v>
      </c>
      <c r="G51" s="906"/>
      <c r="H51" s="928">
        <f>-8280189*'Attachment H-11A '!I213</f>
        <v>-276381.07466740743</v>
      </c>
      <c r="I51" s="906"/>
      <c r="J51" s="928">
        <f>-1502400*'Attachment H-11A '!I213</f>
        <v>-50148.00103962759</v>
      </c>
      <c r="K51" s="906"/>
      <c r="L51" s="928">
        <f>-2253600*'Attachment H-11A '!I213</f>
        <v>-75222.001559441385</v>
      </c>
      <c r="M51" s="906"/>
      <c r="N51" s="928">
        <f>-3004800*'Attachment H-11A '!I213</f>
        <v>-100296.00207925518</v>
      </c>
      <c r="O51" s="906"/>
      <c r="P51" s="928">
        <f>-3756000*'Attachment H-11A '!I213</f>
        <v>-125370.00259906898</v>
      </c>
      <c r="Q51" s="906"/>
      <c r="R51" s="928">
        <f>-4507200*'Attachment H-11A '!I213</f>
        <v>-150444.00311888277</v>
      </c>
      <c r="S51" s="906"/>
      <c r="T51" s="928">
        <f>-5258400*'Attachment H-11A '!I213</f>
        <v>-175518.00363869657</v>
      </c>
      <c r="U51" s="906"/>
      <c r="V51" s="928">
        <f>-6009600*'Attachment H-11A '!I213</f>
        <v>-200592.00415851036</v>
      </c>
      <c r="W51" s="906"/>
      <c r="X51" s="928">
        <f>-6760800*'Attachment H-11A '!I213</f>
        <v>-225666.00467832416</v>
      </c>
      <c r="Y51" s="906"/>
      <c r="Z51" s="928">
        <f>-7512000*'Attachment H-11A '!I213</f>
        <v>-250740.00519813795</v>
      </c>
      <c r="AA51" s="906"/>
      <c r="AB51" s="928">
        <f>-8263200*'Attachment H-11A '!I213</f>
        <v>-275814.00571795175</v>
      </c>
      <c r="AC51" s="906"/>
      <c r="AD51" s="928">
        <f>-9014400*'Attachment H-11A '!I213</f>
        <v>-300888.00623776554</v>
      </c>
      <c r="AE51" s="906"/>
      <c r="AF51" s="925">
        <f>SUM(F51:AD51)/13</f>
        <v>-189106.62991082022</v>
      </c>
    </row>
    <row r="52" spans="1:32">
      <c r="A52" s="936">
        <f>A51+0.01</f>
        <v>14.02</v>
      </c>
      <c r="B52" s="906"/>
      <c r="C52" s="937"/>
      <c r="D52" s="937"/>
      <c r="E52" s="906"/>
      <c r="F52" s="928"/>
      <c r="G52" s="906"/>
      <c r="H52" s="928"/>
      <c r="I52" s="906"/>
      <c r="J52" s="928"/>
      <c r="K52" s="906"/>
      <c r="L52" s="928"/>
      <c r="M52" s="906"/>
      <c r="N52" s="928"/>
      <c r="O52" s="906"/>
      <c r="P52" s="928"/>
      <c r="Q52" s="906"/>
      <c r="R52" s="928"/>
      <c r="S52" s="906"/>
      <c r="T52" s="928"/>
      <c r="U52" s="906"/>
      <c r="V52" s="928"/>
      <c r="W52" s="906"/>
      <c r="X52" s="928"/>
      <c r="Y52" s="906"/>
      <c r="Z52" s="928"/>
      <c r="AA52" s="906"/>
      <c r="AB52" s="928"/>
      <c r="AC52" s="906"/>
      <c r="AD52" s="928"/>
      <c r="AE52" s="906"/>
      <c r="AF52" s="925">
        <f>SUM(F52:AD52)/13</f>
        <v>0</v>
      </c>
    </row>
    <row r="53" spans="1:32">
      <c r="A53" s="905">
        <f>A49+1</f>
        <v>15</v>
      </c>
      <c r="B53" s="906"/>
      <c r="C53" s="937" t="str">
        <f ca="1">"Sum of Lines "&amp;A51&amp;" through "&amp;OFFSET(A53,-1,0)</f>
        <v>Sum of Lines 14.01 through 14.02</v>
      </c>
      <c r="D53" s="933"/>
      <c r="E53" s="906"/>
      <c r="F53" s="930">
        <f>SUM(F51:F52)</f>
        <v>-251307.07414759364</v>
      </c>
      <c r="G53" s="906"/>
      <c r="H53" s="930">
        <f>SUM(H51:H52)</f>
        <v>-276381.07466740743</v>
      </c>
      <c r="I53" s="906"/>
      <c r="J53" s="930">
        <f>SUM(J51:J52)</f>
        <v>-50148.00103962759</v>
      </c>
      <c r="K53" s="906"/>
      <c r="L53" s="930">
        <f>SUM(L51:L52)</f>
        <v>-75222.001559441385</v>
      </c>
      <c r="M53" s="906"/>
      <c r="N53" s="930">
        <f>SUM(N51:N52)</f>
        <v>-100296.00207925518</v>
      </c>
      <c r="O53" s="906"/>
      <c r="P53" s="930">
        <f>SUM(P51:P52)</f>
        <v>-125370.00259906898</v>
      </c>
      <c r="Q53" s="906"/>
      <c r="R53" s="930">
        <f>SUM(R51:R52)</f>
        <v>-150444.00311888277</v>
      </c>
      <c r="S53" s="906"/>
      <c r="T53" s="930">
        <f>SUM(T51:T52)</f>
        <v>-175518.00363869657</v>
      </c>
      <c r="U53" s="906"/>
      <c r="V53" s="930">
        <f>SUM(V51:V52)</f>
        <v>-200592.00415851036</v>
      </c>
      <c r="W53" s="906"/>
      <c r="X53" s="930">
        <f>SUM(X51:X52)</f>
        <v>-225666.00467832416</v>
      </c>
      <c r="Y53" s="906"/>
      <c r="Z53" s="930">
        <f>SUM(Z51:Z52)</f>
        <v>-250740.00519813795</v>
      </c>
      <c r="AA53" s="906"/>
      <c r="AB53" s="930">
        <f>SUM(AB51:AB52)</f>
        <v>-275814.00571795175</v>
      </c>
      <c r="AC53" s="906"/>
      <c r="AD53" s="930">
        <f>SUM(AD51:AD52)</f>
        <v>-300888.00623776554</v>
      </c>
      <c r="AE53" s="906"/>
      <c r="AF53" s="930">
        <f>SUM(AF51:AF52)</f>
        <v>-189106.62991082022</v>
      </c>
    </row>
    <row r="54" spans="1:32">
      <c r="A54" s="905"/>
      <c r="B54" s="905"/>
      <c r="C54" s="906"/>
      <c r="D54" s="906"/>
      <c r="E54" s="906"/>
      <c r="F54" s="925"/>
      <c r="G54" s="906"/>
      <c r="H54" s="925"/>
      <c r="I54" s="906"/>
      <c r="J54" s="925"/>
      <c r="K54" s="906"/>
      <c r="L54" s="925"/>
      <c r="M54" s="906"/>
      <c r="N54" s="925"/>
      <c r="O54" s="906"/>
      <c r="P54" s="925"/>
      <c r="Q54" s="906"/>
      <c r="R54" s="925"/>
      <c r="S54" s="906"/>
      <c r="T54" s="925"/>
      <c r="U54" s="906"/>
      <c r="V54" s="925"/>
      <c r="W54" s="906"/>
      <c r="X54" s="925"/>
      <c r="Y54" s="906"/>
      <c r="Z54" s="925"/>
      <c r="AA54" s="906"/>
      <c r="AB54" s="925"/>
      <c r="AC54" s="906"/>
      <c r="AD54" s="905"/>
      <c r="AE54" s="906"/>
      <c r="AF54" s="905"/>
    </row>
    <row r="55" spans="1:32">
      <c r="A55" s="922">
        <f>A53+1</f>
        <v>16</v>
      </c>
      <c r="B55" s="911"/>
      <c r="C55" s="924" t="s">
        <v>979</v>
      </c>
      <c r="D55" s="924"/>
      <c r="E55" s="911"/>
      <c r="F55" s="935"/>
      <c r="G55" s="911"/>
      <c r="H55" s="935"/>
      <c r="I55" s="911"/>
      <c r="J55" s="935"/>
      <c r="K55" s="911"/>
      <c r="L55" s="935"/>
      <c r="M55" s="911"/>
      <c r="N55" s="935"/>
      <c r="O55" s="911"/>
      <c r="P55" s="935"/>
      <c r="Q55" s="911"/>
      <c r="R55" s="935"/>
      <c r="S55" s="911"/>
      <c r="T55" s="935"/>
      <c r="U55" s="911"/>
      <c r="V55" s="935"/>
      <c r="W55" s="911"/>
      <c r="X55" s="935"/>
      <c r="Y55" s="911"/>
      <c r="Z55" s="935"/>
      <c r="AA55" s="911"/>
      <c r="AB55" s="935"/>
      <c r="AC55" s="911"/>
      <c r="AD55" s="935"/>
      <c r="AE55" s="916"/>
      <c r="AF55" s="935"/>
    </row>
    <row r="56" spans="1:32">
      <c r="A56" s="905"/>
      <c r="B56" s="905"/>
      <c r="C56" s="905"/>
      <c r="D56" s="905"/>
      <c r="E56" s="905"/>
      <c r="F56" s="905"/>
      <c r="G56" s="905"/>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row>
    <row r="57" spans="1:32">
      <c r="A57" s="936">
        <f>A55+0.01</f>
        <v>16.010000000000002</v>
      </c>
      <c r="B57" s="906"/>
      <c r="C57" s="937"/>
      <c r="D57" s="937"/>
      <c r="E57" s="906"/>
      <c r="F57" s="928"/>
      <c r="G57" s="906"/>
      <c r="H57" s="928"/>
      <c r="I57" s="906"/>
      <c r="J57" s="928"/>
      <c r="K57" s="906"/>
      <c r="L57" s="928"/>
      <c r="M57" s="906"/>
      <c r="N57" s="928"/>
      <c r="O57" s="906"/>
      <c r="P57" s="928"/>
      <c r="Q57" s="906"/>
      <c r="R57" s="928"/>
      <c r="S57" s="906"/>
      <c r="T57" s="928"/>
      <c r="U57" s="906"/>
      <c r="V57" s="928"/>
      <c r="W57" s="906"/>
      <c r="X57" s="928"/>
      <c r="Y57" s="906"/>
      <c r="Z57" s="928"/>
      <c r="AA57" s="906"/>
      <c r="AB57" s="928"/>
      <c r="AC57" s="906"/>
      <c r="AD57" s="928"/>
      <c r="AE57" s="906"/>
      <c r="AF57" s="925">
        <f>SUM(F57:AD57)/13</f>
        <v>0</v>
      </c>
    </row>
    <row r="58" spans="1:32">
      <c r="A58" s="936">
        <f>A57+0.01</f>
        <v>16.020000000000003</v>
      </c>
      <c r="B58" s="906"/>
      <c r="C58" s="937"/>
      <c r="D58" s="937"/>
      <c r="E58" s="906"/>
      <c r="F58" s="928"/>
      <c r="G58" s="906"/>
      <c r="H58" s="928"/>
      <c r="I58" s="906"/>
      <c r="J58" s="928"/>
      <c r="K58" s="906"/>
      <c r="L58" s="928"/>
      <c r="M58" s="906"/>
      <c r="N58" s="928"/>
      <c r="O58" s="906"/>
      <c r="P58" s="928"/>
      <c r="Q58" s="906"/>
      <c r="R58" s="928"/>
      <c r="S58" s="906"/>
      <c r="T58" s="928"/>
      <c r="U58" s="906"/>
      <c r="V58" s="928"/>
      <c r="W58" s="906"/>
      <c r="X58" s="928"/>
      <c r="Y58" s="906"/>
      <c r="Z58" s="928"/>
      <c r="AA58" s="906"/>
      <c r="AB58" s="928"/>
      <c r="AC58" s="906"/>
      <c r="AD58" s="928"/>
      <c r="AE58" s="906"/>
      <c r="AF58" s="925">
        <f>SUM(F58:AD58)/13</f>
        <v>0</v>
      </c>
    </row>
    <row r="59" spans="1:32">
      <c r="A59" s="905">
        <f>A55+1</f>
        <v>17</v>
      </c>
      <c r="B59" s="906"/>
      <c r="C59" s="937" t="str">
        <f ca="1">"Sum of Lines "&amp;A57&amp;" through "&amp;OFFSET(A59,-1,0)</f>
        <v>Sum of Lines 16.01 through 16.02</v>
      </c>
      <c r="D59" s="933"/>
      <c r="E59" s="906"/>
      <c r="F59" s="930">
        <f>SUM(F57:F58)</f>
        <v>0</v>
      </c>
      <c r="G59" s="906"/>
      <c r="H59" s="930">
        <f>SUM(H57:H58)</f>
        <v>0</v>
      </c>
      <c r="I59" s="906"/>
      <c r="J59" s="930">
        <f>SUM(J57:J58)</f>
        <v>0</v>
      </c>
      <c r="K59" s="906"/>
      <c r="L59" s="930">
        <f>SUM(L57:L58)</f>
        <v>0</v>
      </c>
      <c r="M59" s="906"/>
      <c r="N59" s="930">
        <f>SUM(N57:N58)</f>
        <v>0</v>
      </c>
      <c r="O59" s="906"/>
      <c r="P59" s="930">
        <f>SUM(P57:P58)</f>
        <v>0</v>
      </c>
      <c r="Q59" s="906"/>
      <c r="R59" s="930">
        <f>SUM(R57:R58)</f>
        <v>0</v>
      </c>
      <c r="S59" s="906"/>
      <c r="T59" s="930">
        <f>SUM(T57:T58)</f>
        <v>0</v>
      </c>
      <c r="U59" s="906"/>
      <c r="V59" s="930">
        <f>SUM(V57:V58)</f>
        <v>0</v>
      </c>
      <c r="W59" s="906"/>
      <c r="X59" s="930">
        <f>SUM(X57:X58)</f>
        <v>0</v>
      </c>
      <c r="Y59" s="906"/>
      <c r="Z59" s="930">
        <f>SUM(Z57:Z58)</f>
        <v>0</v>
      </c>
      <c r="AA59" s="906"/>
      <c r="AB59" s="930">
        <f>SUM(AB57:AB58)</f>
        <v>0</v>
      </c>
      <c r="AC59" s="906"/>
      <c r="AD59" s="930">
        <f>SUM(AD57:AD58)</f>
        <v>0</v>
      </c>
      <c r="AE59" s="906"/>
      <c r="AF59" s="930">
        <f>SUM(AF57:AF58)</f>
        <v>0</v>
      </c>
    </row>
    <row r="60" spans="1:32">
      <c r="A60" s="905"/>
      <c r="B60" s="906"/>
      <c r="C60" s="906"/>
      <c r="D60" s="906"/>
      <c r="E60" s="906"/>
      <c r="F60" s="939"/>
      <c r="G60" s="906"/>
      <c r="H60" s="925"/>
      <c r="I60" s="906"/>
      <c r="J60" s="925"/>
      <c r="K60" s="906"/>
      <c r="L60" s="925"/>
      <c r="M60" s="906"/>
      <c r="N60" s="925"/>
      <c r="O60" s="906"/>
      <c r="P60" s="925"/>
      <c r="Q60" s="906"/>
      <c r="R60" s="925"/>
      <c r="S60" s="906"/>
      <c r="T60" s="925"/>
      <c r="U60" s="906"/>
      <c r="V60" s="925"/>
      <c r="W60" s="906"/>
      <c r="X60" s="925"/>
      <c r="Y60" s="906"/>
      <c r="Z60" s="925"/>
      <c r="AA60" s="906"/>
      <c r="AB60" s="939"/>
      <c r="AC60" s="939"/>
      <c r="AD60" s="939"/>
      <c r="AE60" s="906"/>
      <c r="AF60" s="925"/>
    </row>
    <row r="61" spans="1:32" ht="18.5">
      <c r="A61" s="905">
        <f>A59+1</f>
        <v>18</v>
      </c>
      <c r="B61" s="940" t="s">
        <v>356</v>
      </c>
      <c r="C61" s="913" t="str">
        <f>"Total Unfunded Reserve (Line "&amp;A29&amp;" + Line "&amp;A35&amp;" + Line "&amp;A41&amp;" + Line "&amp;A47&amp;" + Line "&amp;A53&amp;"  + Line "&amp;A59&amp;")"</f>
        <v>Total Unfunded Reserve (Line 7 + Line 9 + Line 11 + Line 13 + Line 15  + Line 17)</v>
      </c>
      <c r="D61" s="913"/>
      <c r="E61" s="906"/>
      <c r="F61" s="925"/>
      <c r="G61" s="925"/>
      <c r="H61" s="925"/>
      <c r="I61" s="906"/>
      <c r="J61" s="925"/>
      <c r="K61" s="906"/>
      <c r="L61" s="925"/>
      <c r="M61" s="906"/>
      <c r="N61" s="925"/>
      <c r="O61" s="906"/>
      <c r="P61" s="925"/>
      <c r="Q61" s="906"/>
      <c r="R61" s="925"/>
      <c r="S61" s="906"/>
      <c r="T61" s="925"/>
      <c r="U61" s="906"/>
      <c r="V61" s="925"/>
      <c r="W61" s="906"/>
      <c r="X61" s="925"/>
      <c r="Y61" s="906"/>
      <c r="Z61" s="925"/>
      <c r="AA61" s="906"/>
      <c r="AB61" s="925"/>
      <c r="AC61" s="906"/>
      <c r="AD61" s="925"/>
      <c r="AE61" s="906"/>
      <c r="AF61" s="941">
        <f>AF29+AF35+AF41+AF47+AF53+AF59</f>
        <v>-226158.0051677571</v>
      </c>
    </row>
    <row r="62" spans="1:32" ht="30.75" customHeight="1">
      <c r="A62" s="905"/>
      <c r="B62" s="906"/>
      <c r="C62" s="906"/>
      <c r="D62" s="906"/>
      <c r="E62" s="906"/>
      <c r="F62" s="925"/>
      <c r="G62" s="925"/>
      <c r="H62" s="925"/>
      <c r="I62" s="906"/>
      <c r="J62" s="925"/>
      <c r="K62" s="906"/>
      <c r="L62" s="925"/>
      <c r="M62" s="906"/>
      <c r="N62" s="925"/>
      <c r="O62" s="906"/>
      <c r="P62" s="925"/>
      <c r="Q62" s="906"/>
      <c r="R62" s="925"/>
      <c r="S62" s="906"/>
      <c r="T62" s="925"/>
      <c r="U62" s="906"/>
      <c r="V62" s="925"/>
      <c r="W62" s="906"/>
      <c r="X62" s="925"/>
      <c r="Y62" s="906"/>
      <c r="Z62" s="925"/>
      <c r="AA62" s="906"/>
      <c r="AB62" s="925"/>
      <c r="AC62" s="906"/>
      <c r="AD62" s="925"/>
      <c r="AE62" s="906"/>
      <c r="AF62" s="925"/>
    </row>
    <row r="63" spans="1:32">
      <c r="A63" s="905"/>
      <c r="B63" s="906"/>
      <c r="C63" s="906"/>
      <c r="D63" s="906"/>
      <c r="E63" s="906"/>
      <c r="F63" s="925"/>
      <c r="G63" s="925"/>
      <c r="H63" s="925"/>
      <c r="I63" s="906"/>
      <c r="J63" s="925"/>
      <c r="K63" s="906"/>
      <c r="L63" s="925"/>
      <c r="M63" s="906"/>
      <c r="N63" s="942"/>
      <c r="O63" s="942"/>
      <c r="P63" s="942"/>
      <c r="Q63" s="942"/>
      <c r="R63" s="942"/>
      <c r="S63" s="906"/>
      <c r="T63" s="925"/>
      <c r="U63" s="906"/>
      <c r="V63" s="925"/>
      <c r="W63" s="906"/>
      <c r="X63" s="925"/>
      <c r="Y63" s="906"/>
      <c r="Z63" s="925"/>
      <c r="AA63" s="906"/>
      <c r="AB63" s="925"/>
      <c r="AC63" s="906"/>
      <c r="AD63" s="925"/>
      <c r="AE63" s="906"/>
      <c r="AF63" s="905"/>
    </row>
    <row r="64" spans="1:32">
      <c r="A64" s="905"/>
      <c r="B64" s="906"/>
      <c r="C64" s="906"/>
      <c r="D64" s="906"/>
      <c r="E64" s="906"/>
      <c r="F64" s="925"/>
      <c r="G64" s="925"/>
      <c r="H64" s="925"/>
      <c r="I64" s="906"/>
      <c r="J64" s="925"/>
      <c r="K64" s="906"/>
      <c r="L64" s="925"/>
      <c r="M64" s="906"/>
      <c r="N64" s="942"/>
      <c r="O64" s="942"/>
      <c r="P64" s="942"/>
      <c r="Q64" s="942"/>
      <c r="R64" s="942"/>
      <c r="S64" s="906"/>
      <c r="T64" s="925"/>
      <c r="U64" s="906"/>
      <c r="V64" s="925"/>
      <c r="W64" s="906"/>
      <c r="X64" s="925"/>
      <c r="Y64" s="906"/>
      <c r="Z64" s="925"/>
      <c r="AA64" s="906"/>
      <c r="AB64" s="925"/>
      <c r="AC64" s="906"/>
      <c r="AD64" s="925"/>
      <c r="AE64" s="906"/>
      <c r="AF64" s="905"/>
    </row>
    <row r="65" spans="1:32">
      <c r="A65" s="906"/>
      <c r="B65" s="906"/>
      <c r="C65" s="943" t="s">
        <v>176</v>
      </c>
      <c r="D65" s="943"/>
      <c r="E65" s="905"/>
      <c r="F65" s="925"/>
      <c r="G65" s="906"/>
      <c r="H65" s="925"/>
      <c r="I65" s="906"/>
      <c r="J65" s="925"/>
      <c r="K65" s="906"/>
      <c r="L65" s="925"/>
      <c r="M65" s="906"/>
      <c r="N65" s="942"/>
      <c r="O65" s="942"/>
      <c r="P65" s="942"/>
      <c r="Q65" s="942"/>
      <c r="R65" s="942"/>
      <c r="S65" s="906"/>
      <c r="T65" s="925"/>
      <c r="U65" s="906"/>
      <c r="V65" s="925"/>
      <c r="W65" s="906"/>
      <c r="X65" s="925"/>
      <c r="Y65" s="906"/>
      <c r="Z65" s="925"/>
      <c r="AA65" s="906"/>
      <c r="AB65" s="925"/>
      <c r="AC65" s="906"/>
      <c r="AD65" s="925"/>
      <c r="AE65" s="906"/>
      <c r="AF65" s="925"/>
    </row>
    <row r="66" spans="1:32">
      <c r="A66" s="906"/>
      <c r="B66" s="906"/>
      <c r="C66" s="1169" t="s">
        <v>980</v>
      </c>
      <c r="D66" s="1169"/>
      <c r="E66" s="1169"/>
      <c r="F66" s="938"/>
      <c r="G66" s="906"/>
      <c r="H66" s="944"/>
      <c r="I66" s="906"/>
      <c r="J66" s="925"/>
      <c r="K66" s="906"/>
      <c r="L66" s="945"/>
      <c r="M66" s="946"/>
      <c r="N66" s="942"/>
      <c r="O66" s="942"/>
      <c r="P66" s="942"/>
      <c r="Q66" s="942"/>
      <c r="R66" s="942"/>
      <c r="S66" s="906"/>
      <c r="T66" s="925"/>
      <c r="U66" s="906"/>
      <c r="V66" s="925"/>
      <c r="W66" s="906"/>
      <c r="X66" s="925"/>
      <c r="Y66" s="906"/>
      <c r="Z66" s="925"/>
      <c r="AA66" s="906"/>
      <c r="AB66" s="925"/>
      <c r="AC66" s="906"/>
      <c r="AD66" s="925"/>
      <c r="AE66" s="906"/>
      <c r="AF66" s="905"/>
    </row>
    <row r="67" spans="1:32" ht="15.75" customHeight="1">
      <c r="A67" s="906"/>
      <c r="B67" s="906"/>
      <c r="C67" s="1170" t="s">
        <v>1175</v>
      </c>
      <c r="D67" s="1170"/>
      <c r="E67" s="1170"/>
      <c r="F67" s="938"/>
      <c r="G67" s="906"/>
      <c r="H67" s="944"/>
      <c r="I67" s="906"/>
      <c r="J67" s="925"/>
      <c r="K67" s="906"/>
      <c r="L67" s="925"/>
      <c r="M67" s="906"/>
      <c r="N67" s="942"/>
      <c r="O67" s="942"/>
      <c r="P67" s="942"/>
      <c r="Q67" s="942"/>
      <c r="R67" s="942"/>
      <c r="S67" s="906"/>
      <c r="T67" s="925"/>
      <c r="U67" s="906"/>
      <c r="V67" s="925"/>
      <c r="W67" s="906"/>
      <c r="X67" s="925"/>
      <c r="Y67" s="906"/>
      <c r="Z67" s="925"/>
      <c r="AA67" s="906"/>
      <c r="AB67" s="925"/>
      <c r="AC67" s="906"/>
      <c r="AD67" s="925"/>
      <c r="AE67" s="906"/>
      <c r="AF67" s="905"/>
    </row>
    <row r="68" spans="1:32">
      <c r="A68" s="905"/>
      <c r="B68" s="905"/>
      <c r="C68" s="1037" t="s">
        <v>1213</v>
      </c>
      <c r="D68" s="1037"/>
      <c r="E68" s="906"/>
      <c r="F68" s="938"/>
      <c r="G68" s="906"/>
      <c r="H68" s="938"/>
      <c r="I68" s="906"/>
      <c r="J68" s="925"/>
      <c r="K68" s="906"/>
      <c r="L68" s="925"/>
      <c r="M68" s="906"/>
      <c r="N68" s="925"/>
      <c r="O68" s="906"/>
      <c r="P68" s="925"/>
      <c r="Q68" s="906"/>
      <c r="R68" s="925"/>
      <c r="S68" s="906"/>
      <c r="T68" s="925"/>
      <c r="U68" s="906"/>
      <c r="V68" s="925"/>
      <c r="W68" s="906"/>
      <c r="X68" s="925"/>
      <c r="Y68" s="906"/>
      <c r="Z68" s="925"/>
      <c r="AA68" s="906"/>
      <c r="AB68" s="925"/>
      <c r="AC68" s="906"/>
      <c r="AD68" s="925"/>
      <c r="AE68" s="906"/>
      <c r="AF68" s="905"/>
    </row>
    <row r="69" spans="1:32" ht="32.25" customHeight="1">
      <c r="A69" s="905"/>
      <c r="B69" s="905"/>
      <c r="C69" s="1171" t="s">
        <v>981</v>
      </c>
      <c r="D69" s="1171"/>
      <c r="E69" s="1171"/>
      <c r="F69" s="925"/>
      <c r="G69" s="906"/>
      <c r="H69" s="947"/>
      <c r="I69" s="947"/>
      <c r="J69" s="947"/>
      <c r="K69" s="947"/>
      <c r="L69" s="947"/>
      <c r="M69" s="947"/>
      <c r="N69" s="947"/>
      <c r="O69" s="906"/>
      <c r="P69" s="925"/>
      <c r="Q69" s="906"/>
      <c r="R69" s="925"/>
      <c r="S69" s="906"/>
      <c r="T69" s="925"/>
      <c r="U69" s="906"/>
      <c r="V69" s="925"/>
      <c r="W69" s="906"/>
      <c r="X69" s="925"/>
      <c r="Y69" s="906"/>
      <c r="Z69" s="925"/>
      <c r="AA69" s="906"/>
      <c r="AB69" s="925"/>
      <c r="AC69" s="906"/>
      <c r="AD69" s="925"/>
      <c r="AE69" s="906"/>
      <c r="AF69" s="905"/>
    </row>
    <row r="70" spans="1:32">
      <c r="C70" s="33" t="s">
        <v>982</v>
      </c>
    </row>
    <row r="71" spans="1:32">
      <c r="C71" s="33" t="s">
        <v>983</v>
      </c>
    </row>
  </sheetData>
  <mergeCells count="3">
    <mergeCell ref="C66:E66"/>
    <mergeCell ref="C67:E67"/>
    <mergeCell ref="C69:E69"/>
  </mergeCells>
  <pageMargins left="0.7" right="0.7" top="0.75" bottom="0.75" header="0.3" footer="0.3"/>
  <pageSetup scale="2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498AC-CEF3-4366-81F7-79C30F2C0396}">
  <sheetPr codeName="Sheet25"/>
  <dimension ref="A1:P74"/>
  <sheetViews>
    <sheetView view="pageBreakPreview" zoomScale="80" zoomScaleNormal="100" zoomScaleSheetLayoutView="80" workbookViewId="0"/>
  </sheetViews>
  <sheetFormatPr defaultColWidth="6.84375" defaultRowHeight="13"/>
  <cols>
    <col min="1" max="1" width="7.07421875" style="708" customWidth="1"/>
    <col min="2" max="2" width="47.84375" style="708" customWidth="1"/>
    <col min="3" max="3" width="1.3046875" style="708" customWidth="1"/>
    <col min="4" max="4" width="21" style="708" customWidth="1"/>
    <col min="5" max="6" width="15.07421875" style="708" customWidth="1"/>
    <col min="7" max="7" width="19.53515625" style="708" customWidth="1"/>
    <col min="8" max="8" width="15.07421875" style="708" customWidth="1"/>
    <col min="9" max="9" width="20.3046875" style="708" customWidth="1"/>
    <col min="10" max="10" width="15.07421875" style="708" customWidth="1"/>
    <col min="11" max="11" width="11.3046875" style="708" bestFit="1" customWidth="1"/>
    <col min="12" max="12" width="14.53515625" style="708" bestFit="1" customWidth="1"/>
    <col min="13" max="13" width="9" style="708" bestFit="1" customWidth="1"/>
    <col min="14" max="14" width="12.84375" style="708" bestFit="1" customWidth="1"/>
    <col min="15" max="15" width="6.84375" style="708"/>
    <col min="16" max="16" width="11.07421875" style="708" customWidth="1"/>
    <col min="17" max="16384" width="6.84375" style="708"/>
  </cols>
  <sheetData>
    <row r="1" spans="1:16" ht="15.5">
      <c r="A1" s="707"/>
      <c r="B1" s="707"/>
      <c r="C1" s="707"/>
      <c r="D1" s="707"/>
      <c r="I1" s="709"/>
      <c r="J1" s="710" t="str">
        <f>'Attachment H-11A '!K1&amp;""&amp;", Attachment 15"</f>
        <v>Attachment H -11A, Attachment 15</v>
      </c>
    </row>
    <row r="2" spans="1:16" ht="15.5">
      <c r="A2" s="707"/>
      <c r="B2" s="707"/>
      <c r="C2" s="707"/>
      <c r="D2" s="707"/>
      <c r="I2" s="709"/>
      <c r="J2" s="710" t="s">
        <v>168</v>
      </c>
    </row>
    <row r="3" spans="1:16" ht="15.5">
      <c r="A3" s="707"/>
      <c r="B3" s="707"/>
      <c r="C3" s="707"/>
      <c r="D3" s="707"/>
      <c r="E3" s="711"/>
      <c r="G3" s="712"/>
      <c r="H3" s="713"/>
      <c r="I3" s="714"/>
      <c r="J3" s="710" t="str">
        <f>'Attachment H-11A '!K4</f>
        <v>For the 12 months ended 12/31/2025</v>
      </c>
    </row>
    <row r="4" spans="1:16" ht="15.5">
      <c r="A4" s="707"/>
      <c r="B4" s="707"/>
      <c r="C4" s="707"/>
      <c r="D4" s="707"/>
      <c r="E4" s="711"/>
      <c r="G4" s="712"/>
      <c r="H4" s="713"/>
      <c r="I4" s="714"/>
      <c r="J4" s="710"/>
    </row>
    <row r="5" spans="1:16" ht="15.5">
      <c r="B5" s="1172" t="s">
        <v>698</v>
      </c>
      <c r="C5" s="1172"/>
      <c r="D5" s="1172"/>
      <c r="E5" s="1172"/>
      <c r="F5" s="1172"/>
      <c r="G5" s="1172"/>
      <c r="H5" s="1172"/>
      <c r="I5" s="1172"/>
      <c r="J5" s="715"/>
    </row>
    <row r="6" spans="1:16" ht="15.5">
      <c r="B6" s="1172" t="s">
        <v>699</v>
      </c>
      <c r="C6" s="1172"/>
      <c r="D6" s="1172"/>
      <c r="E6" s="1172"/>
      <c r="F6" s="1172"/>
      <c r="G6" s="1172"/>
      <c r="H6" s="1172"/>
      <c r="I6" s="1172"/>
      <c r="J6" s="716"/>
    </row>
    <row r="7" spans="1:16">
      <c r="B7" s="717"/>
      <c r="C7" s="717"/>
    </row>
    <row r="8" spans="1:16">
      <c r="B8" s="718" t="s">
        <v>574</v>
      </c>
      <c r="C8" s="717"/>
      <c r="D8" s="718" t="s">
        <v>575</v>
      </c>
      <c r="E8" s="718" t="s">
        <v>576</v>
      </c>
      <c r="F8" s="718" t="s">
        <v>577</v>
      </c>
      <c r="G8" s="718" t="s">
        <v>578</v>
      </c>
      <c r="H8" s="718" t="s">
        <v>579</v>
      </c>
      <c r="I8" s="718" t="s">
        <v>700</v>
      </c>
      <c r="J8" s="718" t="s">
        <v>701</v>
      </c>
    </row>
    <row r="9" spans="1:16">
      <c r="B9" s="717"/>
      <c r="C9" s="717"/>
    </row>
    <row r="10" spans="1:16" ht="117" customHeight="1">
      <c r="A10" s="719" t="s">
        <v>159</v>
      </c>
      <c r="B10" s="719" t="s">
        <v>580</v>
      </c>
      <c r="C10" s="709"/>
      <c r="D10" s="719" t="s">
        <v>702</v>
      </c>
      <c r="E10" s="719" t="s">
        <v>703</v>
      </c>
      <c r="F10" s="719" t="s">
        <v>704</v>
      </c>
      <c r="G10" s="719" t="s">
        <v>621</v>
      </c>
      <c r="H10" s="719" t="s">
        <v>705</v>
      </c>
      <c r="I10" s="719" t="s">
        <v>706</v>
      </c>
      <c r="J10" s="719" t="s">
        <v>582</v>
      </c>
    </row>
    <row r="11" spans="1:16" ht="15.5">
      <c r="A11" s="720"/>
      <c r="B11" s="721" t="s">
        <v>707</v>
      </c>
      <c r="C11" s="709"/>
      <c r="D11" s="720"/>
      <c r="E11" s="720"/>
      <c r="F11" s="720"/>
      <c r="G11" s="720"/>
      <c r="H11" s="720"/>
      <c r="I11" s="720"/>
      <c r="J11" s="720"/>
    </row>
    <row r="12" spans="1:16" ht="15.5">
      <c r="A12" s="722">
        <v>1</v>
      </c>
      <c r="B12" s="721" t="s">
        <v>708</v>
      </c>
      <c r="C12" s="709"/>
      <c r="D12" s="720"/>
      <c r="E12" s="720"/>
      <c r="F12" s="720"/>
      <c r="G12" s="720"/>
      <c r="H12" s="720"/>
      <c r="I12" s="709"/>
      <c r="J12" s="720"/>
    </row>
    <row r="13" spans="1:16" ht="15.5">
      <c r="A13" s="723" t="s">
        <v>464</v>
      </c>
      <c r="B13" s="724" t="s">
        <v>1324</v>
      </c>
      <c r="C13" s="709"/>
      <c r="D13" s="725">
        <v>319.32000000000005</v>
      </c>
      <c r="E13" s="725">
        <v>0</v>
      </c>
      <c r="F13" s="725">
        <v>10</v>
      </c>
      <c r="G13" s="725">
        <v>2</v>
      </c>
      <c r="H13" s="725">
        <v>106.4396386144073</v>
      </c>
      <c r="I13" s="726">
        <f>(D13+E13)-H13</f>
        <v>212.88036138559275</v>
      </c>
      <c r="J13" s="723" t="s">
        <v>118</v>
      </c>
      <c r="L13" s="727"/>
      <c r="M13" s="727"/>
      <c r="N13" s="727"/>
      <c r="O13" s="727"/>
      <c r="P13" s="726"/>
    </row>
    <row r="14" spans="1:16" ht="15.5">
      <c r="A14" s="723" t="s">
        <v>465</v>
      </c>
      <c r="B14" s="724" t="s">
        <v>1325</v>
      </c>
      <c r="C14" s="709"/>
      <c r="D14" s="725">
        <v>3010.9590000000007</v>
      </c>
      <c r="E14" s="725">
        <v>0</v>
      </c>
      <c r="F14" s="725">
        <v>10</v>
      </c>
      <c r="G14" s="725">
        <v>2</v>
      </c>
      <c r="H14" s="725">
        <v>1003.6528645612195</v>
      </c>
      <c r="I14" s="726">
        <f t="shared" ref="I14:I28" si="0">(D14+E14)-H14</f>
        <v>2007.3061354387812</v>
      </c>
      <c r="J14" s="723" t="s">
        <v>118</v>
      </c>
      <c r="L14" s="727"/>
      <c r="M14" s="727"/>
      <c r="N14" s="727"/>
      <c r="O14" s="727"/>
      <c r="P14" s="726"/>
    </row>
    <row r="15" spans="1:16" ht="15.5">
      <c r="A15" s="723" t="s">
        <v>466</v>
      </c>
      <c r="B15" s="724" t="s">
        <v>1326</v>
      </c>
      <c r="C15" s="709"/>
      <c r="D15" s="725">
        <v>40169.979000000007</v>
      </c>
      <c r="E15" s="725">
        <v>0</v>
      </c>
      <c r="F15" s="725">
        <v>10</v>
      </c>
      <c r="G15" s="725">
        <v>2</v>
      </c>
      <c r="H15" s="725">
        <v>13389.991471225911</v>
      </c>
      <c r="I15" s="726">
        <f t="shared" si="0"/>
        <v>26779.987528774094</v>
      </c>
      <c r="J15" s="723" t="s">
        <v>118</v>
      </c>
      <c r="L15" s="727"/>
      <c r="M15" s="727"/>
      <c r="N15" s="727"/>
      <c r="O15" s="727"/>
      <c r="P15" s="726"/>
    </row>
    <row r="16" spans="1:16" ht="15.5">
      <c r="A16" s="723" t="s">
        <v>509</v>
      </c>
      <c r="B16" s="724" t="s">
        <v>1327</v>
      </c>
      <c r="C16" s="709"/>
      <c r="D16" s="725">
        <v>3440.3370000000014</v>
      </c>
      <c r="E16" s="725">
        <v>0</v>
      </c>
      <c r="F16" s="725">
        <v>10</v>
      </c>
      <c r="G16" s="725">
        <v>2</v>
      </c>
      <c r="H16" s="725">
        <v>1146.778361357309</v>
      </c>
      <c r="I16" s="726">
        <f t="shared" si="0"/>
        <v>2293.5586386426921</v>
      </c>
      <c r="J16" s="723" t="s">
        <v>118</v>
      </c>
      <c r="L16" s="727"/>
      <c r="M16" s="727"/>
      <c r="N16" s="727"/>
      <c r="O16" s="727"/>
      <c r="P16" s="726"/>
    </row>
    <row r="17" spans="1:16" ht="15.5">
      <c r="A17" s="723" t="s">
        <v>769</v>
      </c>
      <c r="B17" s="724" t="s">
        <v>1328</v>
      </c>
      <c r="C17" s="709"/>
      <c r="D17" s="725">
        <v>1908.2069999999994</v>
      </c>
      <c r="E17" s="725">
        <v>0</v>
      </c>
      <c r="F17" s="725">
        <v>10</v>
      </c>
      <c r="G17" s="725">
        <v>2</v>
      </c>
      <c r="H17" s="725">
        <v>636.06887230817847</v>
      </c>
      <c r="I17" s="726">
        <f t="shared" si="0"/>
        <v>1272.138127691821</v>
      </c>
      <c r="J17" s="723" t="s">
        <v>118</v>
      </c>
      <c r="L17" s="727"/>
      <c r="M17" s="727"/>
      <c r="N17" s="727"/>
      <c r="O17" s="727"/>
      <c r="P17" s="726"/>
    </row>
    <row r="18" spans="1:16" ht="15.5">
      <c r="A18" s="723" t="s">
        <v>770</v>
      </c>
      <c r="B18" s="724" t="s">
        <v>1329</v>
      </c>
      <c r="C18" s="709"/>
      <c r="D18" s="725">
        <v>15028.947</v>
      </c>
      <c r="E18" s="725">
        <v>0</v>
      </c>
      <c r="F18" s="725">
        <v>10</v>
      </c>
      <c r="G18" s="725">
        <v>2</v>
      </c>
      <c r="H18" s="725">
        <v>5009.6481739445971</v>
      </c>
      <c r="I18" s="726">
        <f t="shared" si="0"/>
        <v>10019.298826055403</v>
      </c>
      <c r="J18" s="723" t="s">
        <v>118</v>
      </c>
      <c r="L18" s="727"/>
      <c r="M18" s="727"/>
      <c r="N18" s="727"/>
      <c r="O18" s="727"/>
      <c r="P18" s="726"/>
    </row>
    <row r="19" spans="1:16" ht="15.5">
      <c r="A19" s="723" t="s">
        <v>1338</v>
      </c>
      <c r="B19" s="724" t="s">
        <v>1361</v>
      </c>
      <c r="C19" s="709"/>
      <c r="D19" s="725">
        <v>678455.571</v>
      </c>
      <c r="E19" s="725">
        <v>0</v>
      </c>
      <c r="F19" s="725">
        <v>10</v>
      </c>
      <c r="G19" s="725">
        <v>2</v>
      </c>
      <c r="H19" s="725">
        <v>226151.82879812759</v>
      </c>
      <c r="I19" s="726">
        <f t="shared" si="0"/>
        <v>452303.7422018724</v>
      </c>
      <c r="J19" s="723" t="s">
        <v>118</v>
      </c>
      <c r="L19" s="727"/>
      <c r="M19" s="727"/>
      <c r="N19" s="727"/>
      <c r="O19" s="727"/>
      <c r="P19" s="726"/>
    </row>
    <row r="20" spans="1:16" ht="15.5">
      <c r="A20" s="723" t="s">
        <v>1339</v>
      </c>
      <c r="B20" s="724" t="s">
        <v>1361</v>
      </c>
      <c r="C20" s="709"/>
      <c r="D20" s="725">
        <v>298268.61</v>
      </c>
      <c r="E20" s="725">
        <v>0</v>
      </c>
      <c r="F20" s="725">
        <v>10</v>
      </c>
      <c r="G20" s="725">
        <v>2</v>
      </c>
      <c r="H20" s="725">
        <v>99422.858009871503</v>
      </c>
      <c r="I20" s="726">
        <f t="shared" si="0"/>
        <v>198845.75199012848</v>
      </c>
      <c r="J20" s="723" t="s">
        <v>118</v>
      </c>
      <c r="L20" s="727"/>
      <c r="M20" s="727"/>
      <c r="N20" s="727"/>
      <c r="O20" s="727"/>
      <c r="P20" s="726"/>
    </row>
    <row r="21" spans="1:16" ht="15.5">
      <c r="A21" s="723" t="s">
        <v>1340</v>
      </c>
      <c r="B21" s="724" t="s">
        <v>1330</v>
      </c>
      <c r="C21" s="709"/>
      <c r="D21" s="725">
        <v>16326.75</v>
      </c>
      <c r="E21" s="725">
        <v>0</v>
      </c>
      <c r="F21" s="725">
        <v>10</v>
      </c>
      <c r="G21" s="725">
        <v>2</v>
      </c>
      <c r="H21" s="725">
        <v>5442.2494626751813</v>
      </c>
      <c r="I21" s="726">
        <f t="shared" si="0"/>
        <v>10884.500537324819</v>
      </c>
      <c r="J21" s="723" t="s">
        <v>118</v>
      </c>
      <c r="L21" s="727"/>
      <c r="M21" s="727"/>
      <c r="N21" s="727"/>
      <c r="O21" s="727"/>
      <c r="P21" s="726"/>
    </row>
    <row r="22" spans="1:16" ht="15.5">
      <c r="A22" s="723" t="s">
        <v>1341</v>
      </c>
      <c r="B22" s="724" t="s">
        <v>1331</v>
      </c>
      <c r="C22" s="709"/>
      <c r="D22" s="725">
        <v>-17026.491000000002</v>
      </c>
      <c r="E22" s="725">
        <v>0</v>
      </c>
      <c r="F22" s="725">
        <v>10</v>
      </c>
      <c r="G22" s="725">
        <v>2</v>
      </c>
      <c r="H22" s="725">
        <v>-5675.4959682238441</v>
      </c>
      <c r="I22" s="726">
        <f t="shared" si="0"/>
        <v>-11350.995031776158</v>
      </c>
      <c r="J22" s="723" t="s">
        <v>118</v>
      </c>
      <c r="L22" s="727"/>
      <c r="M22" s="727"/>
      <c r="N22" s="727"/>
      <c r="O22" s="727"/>
      <c r="P22" s="726"/>
    </row>
    <row r="23" spans="1:16" ht="15.5">
      <c r="A23" s="723" t="s">
        <v>1342</v>
      </c>
      <c r="B23" s="724" t="s">
        <v>1332</v>
      </c>
      <c r="C23" s="709"/>
      <c r="D23" s="725">
        <v>2309.8710000000001</v>
      </c>
      <c r="E23" s="725">
        <v>0</v>
      </c>
      <c r="F23" s="725">
        <v>10</v>
      </c>
      <c r="G23" s="725">
        <v>2</v>
      </c>
      <c r="H23" s="725">
        <v>769.9565078680323</v>
      </c>
      <c r="I23" s="726">
        <f t="shared" si="0"/>
        <v>1539.9144921319678</v>
      </c>
      <c r="J23" s="723" t="s">
        <v>118</v>
      </c>
      <c r="L23" s="727"/>
      <c r="M23" s="727"/>
      <c r="N23" s="727"/>
      <c r="O23" s="727"/>
      <c r="P23" s="726"/>
    </row>
    <row r="24" spans="1:16" ht="15.5">
      <c r="A24" s="723" t="s">
        <v>1343</v>
      </c>
      <c r="B24" s="724" t="s">
        <v>1333</v>
      </c>
      <c r="C24" s="709"/>
      <c r="D24" s="725">
        <v>41283.525000000009</v>
      </c>
      <c r="E24" s="725">
        <v>0</v>
      </c>
      <c r="F24" s="725">
        <v>10</v>
      </c>
      <c r="G24" s="725">
        <v>2</v>
      </c>
      <c r="H24" s="725">
        <v>13761.173387354371</v>
      </c>
      <c r="I24" s="726">
        <f t="shared" si="0"/>
        <v>27522.351612645638</v>
      </c>
      <c r="J24" s="723" t="s">
        <v>118</v>
      </c>
      <c r="L24" s="727"/>
      <c r="M24" s="727"/>
      <c r="N24" s="727"/>
      <c r="O24" s="727"/>
      <c r="P24" s="726"/>
    </row>
    <row r="25" spans="1:16" ht="15.5">
      <c r="A25" s="723" t="s">
        <v>1344</v>
      </c>
      <c r="B25" s="724" t="s">
        <v>1334</v>
      </c>
      <c r="C25" s="709"/>
      <c r="D25" s="725">
        <v>183835.5</v>
      </c>
      <c r="E25" s="725">
        <v>0</v>
      </c>
      <c r="F25" s="725">
        <v>10</v>
      </c>
      <c r="G25" s="725">
        <v>2</v>
      </c>
      <c r="H25" s="725">
        <v>61278.491966913789</v>
      </c>
      <c r="I25" s="726">
        <f t="shared" si="0"/>
        <v>122557.00803308621</v>
      </c>
      <c r="J25" s="723" t="s">
        <v>118</v>
      </c>
      <c r="L25" s="727"/>
      <c r="M25" s="727"/>
      <c r="N25" s="727"/>
      <c r="O25" s="727"/>
      <c r="P25" s="726"/>
    </row>
    <row r="26" spans="1:16" ht="15.5">
      <c r="A26" s="723" t="s">
        <v>1345</v>
      </c>
      <c r="B26" s="724" t="s">
        <v>1335</v>
      </c>
      <c r="C26" s="709"/>
      <c r="D26" s="725">
        <v>-19614.947999999997</v>
      </c>
      <c r="E26" s="725">
        <v>0</v>
      </c>
      <c r="F26" s="725">
        <v>10</v>
      </c>
      <c r="G26" s="725">
        <v>2</v>
      </c>
      <c r="H26" s="725">
        <v>-6538.3152498669715</v>
      </c>
      <c r="I26" s="726">
        <f t="shared" si="0"/>
        <v>-13076.632750133025</v>
      </c>
      <c r="J26" s="723" t="s">
        <v>118</v>
      </c>
      <c r="L26" s="727"/>
      <c r="M26" s="727"/>
      <c r="N26" s="727"/>
      <c r="O26" s="727"/>
      <c r="P26" s="726"/>
    </row>
    <row r="27" spans="1:16" ht="15.5">
      <c r="A27" s="723" t="s">
        <v>1346</v>
      </c>
      <c r="B27" s="724" t="s">
        <v>1336</v>
      </c>
      <c r="C27" s="709"/>
      <c r="D27" s="725">
        <v>1651.1280000000006</v>
      </c>
      <c r="E27" s="725">
        <v>0</v>
      </c>
      <c r="F27" s="725">
        <v>10</v>
      </c>
      <c r="G27" s="725">
        <v>2</v>
      </c>
      <c r="H27" s="725">
        <v>550.37569260461783</v>
      </c>
      <c r="I27" s="726">
        <f t="shared" si="0"/>
        <v>1100.7523073953828</v>
      </c>
      <c r="J27" s="723" t="s">
        <v>118</v>
      </c>
      <c r="L27" s="727"/>
      <c r="M27" s="727"/>
      <c r="N27" s="727"/>
      <c r="O27" s="727"/>
      <c r="P27" s="726"/>
    </row>
    <row r="28" spans="1:16" ht="15.5">
      <c r="A28" s="723" t="s">
        <v>1347</v>
      </c>
      <c r="B28" s="724" t="s">
        <v>1337</v>
      </c>
      <c r="C28" s="709"/>
      <c r="D28" s="725">
        <v>-1156.8539999999998</v>
      </c>
      <c r="E28" s="725">
        <v>0</v>
      </c>
      <c r="F28" s="725">
        <v>10</v>
      </c>
      <c r="G28" s="725">
        <v>2</v>
      </c>
      <c r="H28" s="725">
        <v>-385.61745502843075</v>
      </c>
      <c r="I28" s="726">
        <f t="shared" si="0"/>
        <v>-771.23654497156906</v>
      </c>
      <c r="J28" s="723" t="s">
        <v>118</v>
      </c>
      <c r="L28" s="727"/>
      <c r="M28" s="727"/>
      <c r="N28" s="727"/>
      <c r="O28" s="727"/>
      <c r="P28" s="726"/>
    </row>
    <row r="29" spans="1:16" ht="15.5">
      <c r="A29" s="728"/>
      <c r="B29" s="709"/>
      <c r="C29" s="709"/>
      <c r="D29" s="729"/>
      <c r="E29" s="729"/>
      <c r="F29" s="729"/>
      <c r="G29" s="729"/>
      <c r="H29" s="729"/>
      <c r="I29" s="726"/>
      <c r="J29" s="728"/>
      <c r="L29" s="727"/>
      <c r="M29" s="727"/>
      <c r="N29" s="727"/>
      <c r="O29" s="727"/>
      <c r="P29" s="727"/>
    </row>
    <row r="30" spans="1:16" ht="15.5">
      <c r="A30" s="722">
        <v>2</v>
      </c>
      <c r="B30" s="721" t="s">
        <v>709</v>
      </c>
      <c r="C30" s="709"/>
      <c r="D30" s="720"/>
      <c r="E30" s="720"/>
      <c r="F30" s="720"/>
      <c r="G30" s="720"/>
      <c r="H30" s="720"/>
      <c r="I30" s="709"/>
      <c r="J30" s="720"/>
      <c r="L30" s="727"/>
      <c r="M30" s="727"/>
      <c r="N30" s="727"/>
      <c r="O30" s="727"/>
      <c r="P30" s="727"/>
    </row>
    <row r="31" spans="1:16" ht="15.5">
      <c r="A31" s="723" t="s">
        <v>433</v>
      </c>
      <c r="B31" s="724"/>
      <c r="C31" s="709"/>
      <c r="D31" s="725"/>
      <c r="E31" s="725"/>
      <c r="F31" s="725"/>
      <c r="G31" s="725"/>
      <c r="H31" s="725"/>
      <c r="I31" s="726">
        <f t="shared" ref="I31" si="1">(D31+E31)-H31</f>
        <v>0</v>
      </c>
      <c r="J31" s="723"/>
      <c r="K31" s="730"/>
      <c r="L31" s="727"/>
      <c r="M31" s="727"/>
      <c r="N31" s="727"/>
      <c r="O31" s="727"/>
      <c r="P31" s="727"/>
    </row>
    <row r="32" spans="1:16" s="731" customFormat="1" ht="15.5">
      <c r="A32" s="716"/>
      <c r="B32" s="716"/>
      <c r="C32" s="716"/>
      <c r="D32" s="716"/>
      <c r="E32" s="716"/>
      <c r="F32" s="716"/>
      <c r="G32" s="716"/>
      <c r="H32" s="716"/>
      <c r="I32" s="716"/>
      <c r="J32" s="716"/>
      <c r="L32" s="732"/>
      <c r="M32" s="732"/>
      <c r="N32" s="732"/>
      <c r="O32" s="732"/>
      <c r="P32" s="732"/>
    </row>
    <row r="33" spans="1:16" ht="15.5">
      <c r="A33" s="722">
        <v>3</v>
      </c>
      <c r="B33" s="721" t="s">
        <v>710</v>
      </c>
      <c r="C33" s="709"/>
      <c r="D33" s="720"/>
      <c r="E33" s="720"/>
      <c r="F33" s="720"/>
      <c r="G33" s="720"/>
      <c r="H33" s="720"/>
      <c r="I33" s="709"/>
      <c r="J33" s="720"/>
      <c r="L33" s="727"/>
      <c r="M33" s="727"/>
      <c r="N33" s="727"/>
      <c r="O33" s="727"/>
      <c r="P33" s="727"/>
    </row>
    <row r="34" spans="1:16" ht="15.5">
      <c r="A34" s="723" t="s">
        <v>507</v>
      </c>
      <c r="B34" s="724" t="s">
        <v>1348</v>
      </c>
      <c r="C34" s="709"/>
      <c r="D34" s="725">
        <v>2484.9840000000004</v>
      </c>
      <c r="E34" s="725">
        <v>0</v>
      </c>
      <c r="F34" s="725">
        <v>10</v>
      </c>
      <c r="G34" s="725">
        <v>2</v>
      </c>
      <c r="H34" s="725">
        <v>828.3282849574673</v>
      </c>
      <c r="I34" s="726">
        <f t="shared" ref="I34:I40" si="2">(D34+E34)-H34</f>
        <v>1656.6557150425331</v>
      </c>
      <c r="J34" s="723" t="s">
        <v>118</v>
      </c>
      <c r="L34" s="727"/>
      <c r="M34" s="727"/>
      <c r="N34" s="727"/>
      <c r="O34" s="727"/>
      <c r="P34" s="726"/>
    </row>
    <row r="35" spans="1:16" ht="15.5">
      <c r="A35" s="723" t="s">
        <v>468</v>
      </c>
      <c r="B35" s="724" t="s">
        <v>1349</v>
      </c>
      <c r="C35" s="709"/>
      <c r="D35" s="725">
        <v>-10590.467999999997</v>
      </c>
      <c r="E35" s="725">
        <v>0</v>
      </c>
      <c r="F35" s="725">
        <v>10</v>
      </c>
      <c r="G35" s="725">
        <v>2</v>
      </c>
      <c r="H35" s="725">
        <v>-3530.1559729160049</v>
      </c>
      <c r="I35" s="726">
        <f t="shared" si="2"/>
        <v>-7060.3120270839918</v>
      </c>
      <c r="J35" s="723" t="s">
        <v>118</v>
      </c>
      <c r="L35" s="727"/>
      <c r="M35" s="727"/>
      <c r="N35" s="727"/>
      <c r="O35" s="727"/>
      <c r="P35" s="726"/>
    </row>
    <row r="36" spans="1:16" ht="15.5">
      <c r="A36" s="723" t="s">
        <v>469</v>
      </c>
      <c r="B36" s="724" t="s">
        <v>1350</v>
      </c>
      <c r="C36" s="709"/>
      <c r="D36" s="725">
        <v>-12392.996999999999</v>
      </c>
      <c r="E36" s="725">
        <v>0</v>
      </c>
      <c r="F36" s="725">
        <v>10</v>
      </c>
      <c r="G36" s="725">
        <v>2</v>
      </c>
      <c r="H36" s="725">
        <v>-4130.998685681634</v>
      </c>
      <c r="I36" s="726">
        <f t="shared" si="2"/>
        <v>-8261.9983143183654</v>
      </c>
      <c r="J36" s="723" t="s">
        <v>118</v>
      </c>
      <c r="L36" s="727"/>
      <c r="M36" s="727"/>
      <c r="N36" s="727"/>
      <c r="O36" s="727"/>
      <c r="P36" s="726"/>
    </row>
    <row r="37" spans="1:16" ht="15.5">
      <c r="A37" s="723" t="s">
        <v>1043</v>
      </c>
      <c r="B37" s="724" t="s">
        <v>1351</v>
      </c>
      <c r="C37" s="709"/>
      <c r="D37" s="725">
        <v>-293748.03000000003</v>
      </c>
      <c r="E37" s="725">
        <v>0</v>
      </c>
      <c r="F37" s="725">
        <v>10</v>
      </c>
      <c r="G37" s="725">
        <v>2</v>
      </c>
      <c r="H37" s="725">
        <v>-97915.998107046165</v>
      </c>
      <c r="I37" s="726">
        <f t="shared" si="2"/>
        <v>-195832.03189295385</v>
      </c>
      <c r="J37" s="723" t="s">
        <v>118</v>
      </c>
      <c r="L37" s="727"/>
      <c r="M37" s="727"/>
      <c r="N37" s="727"/>
      <c r="O37" s="727"/>
      <c r="P37" s="726"/>
    </row>
    <row r="38" spans="1:16" ht="15.5">
      <c r="A38" s="723" t="s">
        <v>1353</v>
      </c>
      <c r="B38" s="724" t="s">
        <v>1352</v>
      </c>
      <c r="C38" s="709"/>
      <c r="D38" s="725">
        <v>5793.9599999999991</v>
      </c>
      <c r="E38" s="725">
        <v>0</v>
      </c>
      <c r="F38" s="725">
        <v>10</v>
      </c>
      <c r="G38" s="725">
        <v>2</v>
      </c>
      <c r="H38" s="725">
        <v>1931.3200268321102</v>
      </c>
      <c r="I38" s="726">
        <f t="shared" si="2"/>
        <v>3862.6399731678889</v>
      </c>
      <c r="J38" s="723" t="s">
        <v>118</v>
      </c>
      <c r="L38" s="727"/>
      <c r="M38" s="727"/>
      <c r="N38" s="727"/>
      <c r="O38" s="727"/>
      <c r="P38" s="726"/>
    </row>
    <row r="39" spans="1:16" ht="15.5">
      <c r="A39" s="728"/>
      <c r="B39" s="709"/>
      <c r="C39" s="709"/>
      <c r="D39" s="729"/>
      <c r="E39" s="729"/>
      <c r="F39" s="729"/>
      <c r="G39" s="729"/>
      <c r="H39" s="729"/>
      <c r="I39" s="726"/>
      <c r="J39" s="728"/>
      <c r="L39" s="727"/>
      <c r="M39" s="727"/>
      <c r="N39" s="727"/>
      <c r="O39" s="727"/>
      <c r="P39" s="726"/>
    </row>
    <row r="40" spans="1:16" ht="15.5">
      <c r="A40" s="723">
        <v>4</v>
      </c>
      <c r="B40" s="733" t="s">
        <v>711</v>
      </c>
      <c r="C40" s="709"/>
      <c r="D40" s="725">
        <f>SUM(D13:D38)*('Attachment H-11A '!$D$148-1)</f>
        <v>326764.67012842366</v>
      </c>
      <c r="E40" s="725"/>
      <c r="F40" s="725"/>
      <c r="G40" s="725"/>
      <c r="H40" s="725">
        <f>SUM(H13:H38)*('Attachment H-11A '!$D$148-1)</f>
        <v>108921.54282898674</v>
      </c>
      <c r="I40" s="726">
        <f t="shared" si="2"/>
        <v>217843.12729943692</v>
      </c>
      <c r="J40" s="723" t="s">
        <v>1354</v>
      </c>
      <c r="K40" s="730"/>
      <c r="L40" s="727"/>
      <c r="M40" s="727"/>
      <c r="N40" s="727"/>
      <c r="O40" s="727"/>
      <c r="P40" s="726"/>
    </row>
    <row r="41" spans="1:16" ht="15.5">
      <c r="A41" s="728"/>
      <c r="B41" s="734"/>
      <c r="C41" s="709"/>
      <c r="D41" s="735"/>
      <c r="E41" s="735"/>
      <c r="F41" s="729"/>
      <c r="G41" s="729"/>
      <c r="H41" s="735"/>
      <c r="I41" s="736"/>
      <c r="J41" s="728"/>
      <c r="L41" s="727"/>
      <c r="M41" s="727"/>
      <c r="N41" s="727"/>
      <c r="O41" s="727"/>
      <c r="P41" s="727"/>
    </row>
    <row r="42" spans="1:16" ht="15.5">
      <c r="A42" s="723">
        <v>5</v>
      </c>
      <c r="B42" s="733" t="s">
        <v>712</v>
      </c>
      <c r="C42" s="709"/>
      <c r="D42" s="737">
        <f>SUM(D13:D41)</f>
        <v>1266522.5301284236</v>
      </c>
      <c r="E42" s="737">
        <f>SUM(E13:E41)</f>
        <v>0</v>
      </c>
      <c r="F42" s="738"/>
      <c r="G42" s="738"/>
      <c r="H42" s="737">
        <f>SUM(H13:H41)</f>
        <v>422174.12290943996</v>
      </c>
      <c r="I42" s="737">
        <f>SUM(I13:I41)</f>
        <v>844348.40721898386</v>
      </c>
      <c r="J42" s="709"/>
      <c r="K42" s="737"/>
      <c r="L42" s="737"/>
      <c r="M42" s="738"/>
      <c r="N42" s="737"/>
      <c r="O42" s="737"/>
      <c r="P42" s="737"/>
    </row>
    <row r="43" spans="1:16" ht="15.5">
      <c r="A43" s="709"/>
      <c r="B43" s="734"/>
      <c r="C43" s="709"/>
      <c r="D43" s="738"/>
      <c r="E43" s="737"/>
      <c r="F43" s="738"/>
      <c r="G43" s="738"/>
      <c r="H43" s="737"/>
      <c r="I43" s="709"/>
      <c r="J43" s="709"/>
      <c r="K43" s="727"/>
      <c r="L43" s="727"/>
      <c r="M43" s="727"/>
      <c r="N43" s="727"/>
      <c r="O43" s="727"/>
      <c r="P43" s="727"/>
    </row>
    <row r="44" spans="1:16" ht="77.5">
      <c r="A44" s="719" t="s">
        <v>159</v>
      </c>
      <c r="B44" s="719" t="s">
        <v>580</v>
      </c>
      <c r="C44" s="709"/>
      <c r="D44" s="719" t="s">
        <v>713</v>
      </c>
      <c r="E44" s="719" t="s">
        <v>703</v>
      </c>
      <c r="F44" s="719" t="s">
        <v>704</v>
      </c>
      <c r="G44" s="719" t="s">
        <v>621</v>
      </c>
      <c r="H44" s="719" t="s">
        <v>705</v>
      </c>
      <c r="I44" s="719" t="s">
        <v>706</v>
      </c>
      <c r="J44" s="719" t="s">
        <v>582</v>
      </c>
      <c r="L44" s="727"/>
      <c r="M44" s="727"/>
      <c r="N44" s="727"/>
      <c r="O44" s="727"/>
      <c r="P44" s="727"/>
    </row>
    <row r="45" spans="1:16" ht="15.5">
      <c r="A45" s="720"/>
      <c r="B45" s="721" t="s">
        <v>714</v>
      </c>
      <c r="C45" s="709"/>
      <c r="D45" s="720"/>
      <c r="E45" s="720"/>
      <c r="F45" s="720"/>
      <c r="G45" s="720"/>
      <c r="H45" s="720"/>
      <c r="I45" s="720"/>
      <c r="J45" s="720"/>
      <c r="L45" s="727"/>
      <c r="M45" s="727"/>
      <c r="N45" s="727"/>
      <c r="O45" s="727"/>
      <c r="P45" s="727"/>
    </row>
    <row r="46" spans="1:16" ht="15.5">
      <c r="A46" s="723">
        <f>A42+1</f>
        <v>6</v>
      </c>
      <c r="B46" s="709" t="s">
        <v>715</v>
      </c>
      <c r="C46" s="709"/>
      <c r="D46" s="725">
        <v>5267320.0432377839</v>
      </c>
      <c r="E46" s="725"/>
      <c r="F46" s="739" t="s">
        <v>581</v>
      </c>
      <c r="G46" s="739" t="s">
        <v>581</v>
      </c>
      <c r="H46" s="740">
        <v>-223.34515468776226</v>
      </c>
      <c r="I46" s="726">
        <f>(D46+E46)-H46</f>
        <v>5267543.3883924717</v>
      </c>
      <c r="J46" s="723" t="s">
        <v>1354</v>
      </c>
      <c r="L46" s="727"/>
      <c r="M46" s="727"/>
      <c r="N46" s="727"/>
      <c r="O46" s="727"/>
      <c r="P46" s="726"/>
    </row>
    <row r="47" spans="1:16" ht="15.5">
      <c r="A47" s="723">
        <v>7</v>
      </c>
      <c r="B47" s="709" t="s">
        <v>716</v>
      </c>
      <c r="C47" s="709"/>
      <c r="D47" s="725">
        <v>-23839709.856529828</v>
      </c>
      <c r="E47" s="725"/>
      <c r="F47" s="739" t="s">
        <v>581</v>
      </c>
      <c r="G47" s="739" t="s">
        <v>581</v>
      </c>
      <c r="H47" s="740">
        <v>-341878.82833391055</v>
      </c>
      <c r="I47" s="726">
        <f t="shared" ref="I47:I49" si="3">(D47+E47)-H47</f>
        <v>-23497831.028195918</v>
      </c>
      <c r="J47" s="723" t="s">
        <v>1354</v>
      </c>
      <c r="L47" s="727"/>
      <c r="M47" s="727"/>
      <c r="N47" s="727"/>
      <c r="O47" s="727"/>
      <c r="P47" s="726"/>
    </row>
    <row r="48" spans="1:16" ht="15.5">
      <c r="A48" s="723">
        <v>8</v>
      </c>
      <c r="B48" s="709" t="s">
        <v>717</v>
      </c>
      <c r="C48" s="709"/>
      <c r="D48" s="741"/>
      <c r="E48" s="741"/>
      <c r="F48" s="739" t="s">
        <v>581</v>
      </c>
      <c r="G48" s="739" t="s">
        <v>581</v>
      </c>
      <c r="H48" s="741"/>
      <c r="I48" s="726">
        <f t="shared" si="3"/>
        <v>0</v>
      </c>
      <c r="J48" s="723" t="s">
        <v>1354</v>
      </c>
      <c r="L48" s="727"/>
      <c r="M48" s="727"/>
      <c r="N48" s="727"/>
      <c r="O48" s="727"/>
      <c r="P48" s="726"/>
    </row>
    <row r="49" spans="1:16" ht="15.5">
      <c r="A49" s="723">
        <v>9</v>
      </c>
      <c r="B49" s="709" t="s">
        <v>718</v>
      </c>
      <c r="C49" s="709"/>
      <c r="D49" s="742">
        <f>SUM(D46:D48)*('Attachment H-11A '!$D$148-1)</f>
        <v>-6457834.6073496761</v>
      </c>
      <c r="E49" s="742"/>
      <c r="F49" s="739" t="s">
        <v>581</v>
      </c>
      <c r="G49" s="739" t="s">
        <v>581</v>
      </c>
      <c r="H49" s="742">
        <f>SUM(H46:H48)*('Attachment H-11A '!$D$148-1)</f>
        <v>-118952.87991549079</v>
      </c>
      <c r="I49" s="736">
        <f t="shared" si="3"/>
        <v>-6338881.7274341853</v>
      </c>
      <c r="J49" s="723" t="s">
        <v>1354</v>
      </c>
      <c r="L49" s="727"/>
      <c r="M49" s="727"/>
      <c r="N49" s="727"/>
      <c r="O49" s="727"/>
      <c r="P49" s="726"/>
    </row>
    <row r="50" spans="1:16" ht="15.5">
      <c r="A50" s="723">
        <v>10</v>
      </c>
      <c r="B50" s="733" t="s">
        <v>719</v>
      </c>
      <c r="C50" s="709"/>
      <c r="D50" s="743">
        <f>SUM(D46:D49)</f>
        <v>-25030224.42064172</v>
      </c>
      <c r="E50" s="743">
        <f>SUM(E46:E49)</f>
        <v>0</v>
      </c>
      <c r="F50" s="738"/>
      <c r="G50" s="738"/>
      <c r="H50" s="743">
        <f>SUM(H46:H49)</f>
        <v>-461055.05340408912</v>
      </c>
      <c r="I50" s="743">
        <f>SUM(I46:I49)</f>
        <v>-24569169.367237631</v>
      </c>
      <c r="J50" s="728"/>
      <c r="K50" s="730"/>
      <c r="L50" s="743"/>
      <c r="M50" s="743"/>
      <c r="N50" s="743"/>
      <c r="O50" s="727"/>
      <c r="P50" s="743"/>
    </row>
    <row r="51" spans="1:16" ht="15.5">
      <c r="A51" s="728"/>
      <c r="B51" s="734"/>
      <c r="C51" s="709"/>
      <c r="D51" s="744"/>
      <c r="E51" s="744"/>
      <c r="F51" s="738"/>
      <c r="G51" s="738"/>
      <c r="H51" s="745"/>
      <c r="I51" s="743"/>
      <c r="J51" s="728"/>
      <c r="L51" s="727"/>
      <c r="M51" s="727"/>
      <c r="N51" s="727"/>
      <c r="O51" s="727"/>
      <c r="P51" s="727"/>
    </row>
    <row r="52" spans="1:16" ht="15.5">
      <c r="A52" s="723">
        <v>11</v>
      </c>
      <c r="B52" s="734" t="s">
        <v>720</v>
      </c>
      <c r="C52" s="709"/>
      <c r="D52" s="738"/>
      <c r="E52" s="738"/>
      <c r="F52" s="738"/>
      <c r="G52" s="738"/>
      <c r="H52" s="725"/>
      <c r="I52" s="709"/>
      <c r="J52" s="728"/>
      <c r="K52" s="730"/>
      <c r="N52" s="737"/>
    </row>
    <row r="53" spans="1:16" ht="15.5">
      <c r="A53" s="728"/>
      <c r="B53" s="734"/>
      <c r="C53" s="709"/>
      <c r="D53" s="746"/>
      <c r="E53" s="746"/>
      <c r="F53" s="746"/>
      <c r="G53" s="746"/>
      <c r="H53" s="737"/>
      <c r="I53" s="709"/>
      <c r="J53" s="728"/>
      <c r="K53" s="730"/>
      <c r="N53" s="737"/>
    </row>
    <row r="54" spans="1:16" ht="15.5">
      <c r="A54" s="723">
        <v>12</v>
      </c>
      <c r="B54" s="734" t="s">
        <v>721</v>
      </c>
      <c r="C54" s="709"/>
      <c r="D54" s="738"/>
      <c r="E54" s="738"/>
      <c r="F54" s="738"/>
      <c r="G54" s="738"/>
      <c r="H54" s="737">
        <f>SUM(H13:H38)+SUM(H46:H48)+H52</f>
        <v>-28849.593408145069</v>
      </c>
      <c r="I54" s="709"/>
      <c r="J54" s="723" t="s">
        <v>1354</v>
      </c>
      <c r="K54" s="730"/>
      <c r="N54" s="737"/>
    </row>
    <row r="55" spans="1:16" ht="15.5">
      <c r="A55" s="747"/>
      <c r="B55" s="734"/>
      <c r="D55" s="738"/>
      <c r="E55" s="738"/>
      <c r="F55" s="738"/>
      <c r="G55" s="738"/>
      <c r="H55" s="737"/>
      <c r="J55" s="747"/>
    </row>
    <row r="56" spans="1:16">
      <c r="A56" s="748" t="s">
        <v>206</v>
      </c>
      <c r="D56" s="749"/>
      <c r="E56" s="749"/>
      <c r="F56" s="749"/>
      <c r="G56" s="749"/>
      <c r="H56" s="750"/>
    </row>
    <row r="57" spans="1:16" ht="96.65" customHeight="1">
      <c r="A57" s="751" t="s">
        <v>101</v>
      </c>
      <c r="B57" s="1173" t="s">
        <v>1176</v>
      </c>
      <c r="C57" s="1173"/>
      <c r="D57" s="1173"/>
      <c r="E57" s="1173"/>
      <c r="F57" s="1173"/>
      <c r="G57" s="1173"/>
      <c r="H57" s="1173"/>
      <c r="I57" s="1173"/>
      <c r="J57" s="1173"/>
      <c r="L57" s="752"/>
    </row>
    <row r="58" spans="1:16">
      <c r="A58" s="751" t="s">
        <v>102</v>
      </c>
      <c r="B58" s="753" t="s">
        <v>722</v>
      </c>
      <c r="C58" s="753"/>
      <c r="D58" s="754"/>
      <c r="E58" s="754"/>
      <c r="F58" s="754"/>
      <c r="G58" s="755"/>
      <c r="H58" s="756"/>
      <c r="I58" s="753"/>
      <c r="J58" s="753"/>
    </row>
    <row r="59" spans="1:16">
      <c r="A59" s="751" t="s">
        <v>103</v>
      </c>
      <c r="B59" s="753" t="s">
        <v>723</v>
      </c>
      <c r="C59" s="753"/>
      <c r="D59" s="754"/>
      <c r="E59" s="754"/>
      <c r="F59" s="754"/>
      <c r="G59" s="755"/>
      <c r="H59" s="756"/>
      <c r="I59" s="753"/>
      <c r="J59" s="753"/>
    </row>
    <row r="60" spans="1:16">
      <c r="A60" s="751" t="s">
        <v>104</v>
      </c>
      <c r="B60" s="753" t="s">
        <v>724</v>
      </c>
      <c r="C60" s="753"/>
      <c r="D60" s="755"/>
      <c r="E60" s="755"/>
      <c r="F60" s="755"/>
      <c r="G60" s="755"/>
      <c r="H60" s="756"/>
      <c r="I60" s="753"/>
      <c r="J60" s="753"/>
    </row>
    <row r="61" spans="1:16">
      <c r="A61" s="751"/>
      <c r="B61" s="753" t="s">
        <v>725</v>
      </c>
      <c r="C61" s="753" t="s">
        <v>726</v>
      </c>
      <c r="D61" s="754"/>
      <c r="E61" s="754"/>
      <c r="F61" s="754"/>
      <c r="G61" s="754"/>
      <c r="H61" s="756"/>
      <c r="I61" s="753"/>
      <c r="J61" s="753"/>
    </row>
    <row r="62" spans="1:16">
      <c r="A62" s="751"/>
      <c r="B62" s="753" t="s">
        <v>727</v>
      </c>
      <c r="C62" s="753"/>
      <c r="D62" s="755"/>
      <c r="E62" s="755"/>
      <c r="F62" s="755"/>
      <c r="G62" s="755"/>
      <c r="H62" s="756"/>
      <c r="I62" s="753"/>
      <c r="J62" s="753"/>
    </row>
    <row r="63" spans="1:16">
      <c r="A63" s="751" t="s">
        <v>105</v>
      </c>
      <c r="B63" s="753" t="s">
        <v>831</v>
      </c>
      <c r="C63" s="753"/>
      <c r="D63" s="755"/>
      <c r="E63" s="755"/>
      <c r="F63" s="755"/>
      <c r="H63" s="756"/>
      <c r="I63" s="753"/>
      <c r="J63" s="854"/>
    </row>
    <row r="64" spans="1:16">
      <c r="A64" s="751" t="s">
        <v>106</v>
      </c>
      <c r="B64" s="753" t="s">
        <v>728</v>
      </c>
      <c r="C64" s="753"/>
      <c r="D64" s="755"/>
      <c r="E64" s="755"/>
      <c r="F64" s="755"/>
      <c r="G64" s="755"/>
      <c r="H64" s="756"/>
      <c r="I64" s="753"/>
      <c r="J64" s="753"/>
    </row>
    <row r="65" spans="1:10">
      <c r="A65" s="751" t="s">
        <v>107</v>
      </c>
      <c r="B65" s="1173" t="s">
        <v>1153</v>
      </c>
      <c r="C65" s="1173"/>
      <c r="D65" s="1173"/>
      <c r="E65" s="1173"/>
      <c r="F65" s="1173"/>
      <c r="G65" s="1173"/>
      <c r="H65" s="1173"/>
      <c r="I65" s="1173"/>
      <c r="J65" s="1173"/>
    </row>
    <row r="66" spans="1:10" ht="15.5">
      <c r="A66" s="747"/>
      <c r="D66" s="746"/>
      <c r="E66" s="746"/>
      <c r="F66" s="746"/>
      <c r="G66" s="738"/>
      <c r="H66" s="737"/>
    </row>
    <row r="67" spans="1:10" ht="15.5">
      <c r="A67" s="747"/>
      <c r="D67" s="746"/>
      <c r="E67" s="746"/>
      <c r="F67" s="746"/>
      <c r="G67" s="738"/>
      <c r="H67" s="737"/>
    </row>
    <row r="68" spans="1:10" ht="15.5">
      <c r="A68" s="747"/>
      <c r="D68" s="746"/>
      <c r="E68" s="746"/>
      <c r="F68" s="746"/>
      <c r="G68" s="738"/>
      <c r="H68" s="737"/>
    </row>
    <row r="69" spans="1:10" ht="15.5">
      <c r="A69" s="757"/>
      <c r="D69" s="738"/>
      <c r="E69" s="738"/>
      <c r="F69" s="738"/>
      <c r="G69" s="738"/>
      <c r="H69" s="737"/>
    </row>
    <row r="70" spans="1:10" ht="15.5">
      <c r="A70" s="757"/>
      <c r="D70" s="738"/>
      <c r="E70" s="738"/>
      <c r="F70" s="738"/>
      <c r="G70" s="738"/>
      <c r="H70" s="737"/>
    </row>
    <row r="71" spans="1:10" ht="15.5">
      <c r="A71" s="757"/>
      <c r="D71" s="738"/>
      <c r="E71" s="738"/>
      <c r="F71" s="738"/>
      <c r="G71" s="738"/>
      <c r="H71" s="737"/>
    </row>
    <row r="72" spans="1:10" ht="15.5">
      <c r="A72" s="757"/>
      <c r="D72" s="738"/>
      <c r="E72" s="738"/>
      <c r="F72" s="738"/>
      <c r="G72" s="738"/>
      <c r="H72" s="737"/>
    </row>
    <row r="73" spans="1:10" ht="15.5">
      <c r="D73" s="738"/>
      <c r="E73" s="738"/>
      <c r="F73" s="738"/>
      <c r="G73" s="738"/>
      <c r="H73" s="737"/>
    </row>
    <row r="74" spans="1:10" ht="15.5">
      <c r="A74" s="757"/>
      <c r="D74" s="738"/>
      <c r="E74" s="738"/>
      <c r="F74" s="738"/>
    </row>
  </sheetData>
  <mergeCells count="4">
    <mergeCell ref="B5:I5"/>
    <mergeCell ref="B6:I6"/>
    <mergeCell ref="B57:J57"/>
    <mergeCell ref="B65:J65"/>
  </mergeCells>
  <pageMargins left="0.7" right="0.7" top="0.75" bottom="0.75" header="0.3" footer="0.3"/>
  <pageSetup scale="41" orientation="portrait" r:id="rId1"/>
  <ignoredErrors>
    <ignoredError sqref="H54"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CDD4-99B8-4745-A088-5B53C67DB1AC}">
  <sheetPr codeName="Sheet26"/>
  <dimension ref="A2:AC52"/>
  <sheetViews>
    <sheetView view="pageBreakPreview" zoomScale="80" zoomScaleNormal="100" zoomScaleSheetLayoutView="80" workbookViewId="0"/>
  </sheetViews>
  <sheetFormatPr defaultRowHeight="15.5"/>
  <cols>
    <col min="1" max="1" width="5.69140625" customWidth="1"/>
    <col min="2" max="2" width="0.84375" customWidth="1"/>
    <col min="3" max="3" width="15.4609375" customWidth="1"/>
    <col min="4" max="4" width="9.07421875" customWidth="1"/>
    <col min="5" max="5" width="14.53515625" customWidth="1"/>
    <col min="6" max="6" width="14" customWidth="1"/>
    <col min="7" max="7" width="6" customWidth="1"/>
    <col min="8" max="8" width="14.23046875" customWidth="1"/>
    <col min="9" max="9" width="12.84375" customWidth="1"/>
    <col min="10" max="10" width="12.765625" customWidth="1"/>
    <col min="11" max="11" width="10.3046875" customWidth="1"/>
    <col min="12" max="12" width="9.84375" customWidth="1"/>
    <col min="13" max="13" width="11.84375" customWidth="1"/>
    <col min="14" max="14" width="9.53515625" customWidth="1"/>
    <col min="15" max="15" width="10.69140625" customWidth="1"/>
    <col min="17" max="17" width="8.84375" customWidth="1"/>
    <col min="18" max="20" width="9" bestFit="1" customWidth="1"/>
    <col min="22" max="22" width="12.4609375" customWidth="1"/>
    <col min="23" max="23" width="10" customWidth="1"/>
    <col min="24" max="24" width="12.07421875" customWidth="1"/>
    <col min="25" max="25" width="11.84375" customWidth="1"/>
    <col min="26" max="26" width="10" customWidth="1"/>
    <col min="27" max="27" width="8.07421875" customWidth="1"/>
    <col min="28" max="28" width="9.07421875" customWidth="1"/>
    <col min="29" max="29" width="12.84375" customWidth="1"/>
  </cols>
  <sheetData>
    <row r="2" spans="1:29">
      <c r="AA2" s="825"/>
      <c r="AB2" s="825"/>
      <c r="AC2" s="826" t="str">
        <f>'Attachment H-11A '!K1&amp;""&amp;", Attachment 16"</f>
        <v>Attachment H -11A, Attachment 16</v>
      </c>
    </row>
    <row r="3" spans="1:29">
      <c r="AA3" s="825"/>
      <c r="AB3" s="825"/>
      <c r="AC3" s="826" t="s">
        <v>168</v>
      </c>
    </row>
    <row r="4" spans="1:29" ht="17.5">
      <c r="M4" s="885" t="s">
        <v>914</v>
      </c>
      <c r="N4" s="885"/>
      <c r="AA4" s="825"/>
      <c r="AB4" s="825"/>
      <c r="AC4" s="827" t="str">
        <f>'Attachment H-11A '!K4</f>
        <v>For the 12 months ended 12/31/2025</v>
      </c>
    </row>
    <row r="7" spans="1:29">
      <c r="A7" s="760"/>
      <c r="B7" s="694"/>
      <c r="C7" s="855"/>
      <c r="D7" s="855"/>
      <c r="E7" s="693"/>
      <c r="F7" s="693"/>
      <c r="G7" s="693"/>
      <c r="H7" s="693"/>
      <c r="I7" s="693"/>
      <c r="J7" s="693"/>
      <c r="K7" s="693"/>
      <c r="L7" s="693" t="s">
        <v>688</v>
      </c>
      <c r="M7" s="693" t="str">
        <f>"("&amp;CHAR(CODE(MID(L7,2,1))+1)&amp;")"</f>
        <v>(B)</v>
      </c>
      <c r="N7" s="693" t="str">
        <f t="shared" ref="N7:AC7" si="0">"("&amp;CHAR(CODE(MID(M7,2,1))+1)&amp;")"</f>
        <v>(C)</v>
      </c>
      <c r="O7" s="693" t="str">
        <f t="shared" si="0"/>
        <v>(D)</v>
      </c>
      <c r="P7" s="693" t="str">
        <f t="shared" si="0"/>
        <v>(E)</v>
      </c>
      <c r="Q7" s="693" t="str">
        <f t="shared" si="0"/>
        <v>(F)</v>
      </c>
      <c r="R7" s="693" t="str">
        <f t="shared" si="0"/>
        <v>(G)</v>
      </c>
      <c r="S7" s="693" t="str">
        <f t="shared" si="0"/>
        <v>(H)</v>
      </c>
      <c r="T7" s="693" t="str">
        <f t="shared" si="0"/>
        <v>(I)</v>
      </c>
      <c r="U7" s="693" t="str">
        <f t="shared" si="0"/>
        <v>(J)</v>
      </c>
      <c r="V7" s="693" t="str">
        <f t="shared" si="0"/>
        <v>(K)</v>
      </c>
      <c r="W7" s="693" t="str">
        <f t="shared" si="0"/>
        <v>(L)</v>
      </c>
      <c r="X7" s="693" t="str">
        <f t="shared" si="0"/>
        <v>(M)</v>
      </c>
      <c r="Y7" s="693" t="str">
        <f t="shared" si="0"/>
        <v>(N)</v>
      </c>
      <c r="Z7" s="693" t="str">
        <f t="shared" si="0"/>
        <v>(O)</v>
      </c>
      <c r="AA7" s="693" t="str">
        <f t="shared" si="0"/>
        <v>(P)</v>
      </c>
      <c r="AB7" s="693" t="str">
        <f t="shared" si="0"/>
        <v>(Q)</v>
      </c>
      <c r="AC7" s="693" t="str">
        <f t="shared" si="0"/>
        <v>(R)</v>
      </c>
    </row>
    <row r="8" spans="1:29" ht="29.5" customHeight="1">
      <c r="A8" s="760"/>
      <c r="B8" s="694"/>
      <c r="C8" s="694"/>
      <c r="D8" s="694"/>
      <c r="E8" s="694"/>
      <c r="F8" s="694"/>
      <c r="G8" s="694"/>
      <c r="H8" s="694"/>
      <c r="I8" s="694"/>
      <c r="J8" s="694"/>
      <c r="K8" s="694"/>
      <c r="L8" s="694"/>
      <c r="M8" s="853">
        <f>(MID(AC4:AC4,31,10)-1)</f>
        <v>2024</v>
      </c>
      <c r="N8" s="761">
        <f t="shared" ref="N8:Y8" si="1">$M$8+1</f>
        <v>2025</v>
      </c>
      <c r="O8" s="761">
        <f t="shared" si="1"/>
        <v>2025</v>
      </c>
      <c r="P8" s="761">
        <f t="shared" si="1"/>
        <v>2025</v>
      </c>
      <c r="Q8" s="761">
        <f t="shared" si="1"/>
        <v>2025</v>
      </c>
      <c r="R8" s="761">
        <f t="shared" si="1"/>
        <v>2025</v>
      </c>
      <c r="S8" s="761">
        <f t="shared" si="1"/>
        <v>2025</v>
      </c>
      <c r="T8" s="761">
        <f t="shared" si="1"/>
        <v>2025</v>
      </c>
      <c r="U8" s="761">
        <f t="shared" si="1"/>
        <v>2025</v>
      </c>
      <c r="V8" s="761">
        <f t="shared" si="1"/>
        <v>2025</v>
      </c>
      <c r="W8" s="761">
        <f t="shared" si="1"/>
        <v>2025</v>
      </c>
      <c r="X8" s="761">
        <f t="shared" si="1"/>
        <v>2025</v>
      </c>
      <c r="Y8" s="761">
        <f t="shared" si="1"/>
        <v>2025</v>
      </c>
      <c r="Z8" s="760"/>
      <c r="AA8" s="811"/>
      <c r="AB8" s="760"/>
      <c r="AC8" s="760"/>
    </row>
    <row r="9" spans="1:29" ht="67.400000000000006" customHeight="1">
      <c r="A9" s="762" t="s">
        <v>159</v>
      </c>
      <c r="B9" s="812"/>
      <c r="C9" s="766" t="s">
        <v>781</v>
      </c>
      <c r="D9" s="766" t="s">
        <v>175</v>
      </c>
      <c r="E9" s="766" t="s">
        <v>782</v>
      </c>
      <c r="F9" s="766" t="s">
        <v>780</v>
      </c>
      <c r="G9" s="766" t="s">
        <v>787</v>
      </c>
      <c r="H9" s="766" t="s">
        <v>779</v>
      </c>
      <c r="I9" s="766" t="s">
        <v>809</v>
      </c>
      <c r="J9" s="766" t="s">
        <v>788</v>
      </c>
      <c r="K9" s="766" t="s">
        <v>777</v>
      </c>
      <c r="L9" s="766" t="s">
        <v>778</v>
      </c>
      <c r="M9" s="767" t="s">
        <v>216</v>
      </c>
      <c r="N9" s="767" t="s">
        <v>732</v>
      </c>
      <c r="O9" s="767" t="s">
        <v>733</v>
      </c>
      <c r="P9" s="767" t="s">
        <v>734</v>
      </c>
      <c r="Q9" s="767" t="s">
        <v>735</v>
      </c>
      <c r="R9" s="767" t="s">
        <v>736</v>
      </c>
      <c r="S9" s="767" t="s">
        <v>737</v>
      </c>
      <c r="T9" s="767" t="s">
        <v>738</v>
      </c>
      <c r="U9" s="767" t="s">
        <v>739</v>
      </c>
      <c r="V9" s="767" t="s">
        <v>740</v>
      </c>
      <c r="W9" s="767" t="s">
        <v>741</v>
      </c>
      <c r="X9" s="767" t="s">
        <v>742</v>
      </c>
      <c r="Y9" s="767" t="s">
        <v>216</v>
      </c>
      <c r="Z9" s="767" t="s">
        <v>783</v>
      </c>
      <c r="AA9" s="813" t="s">
        <v>784</v>
      </c>
      <c r="AB9" s="767" t="s">
        <v>785</v>
      </c>
      <c r="AC9" s="767" t="s">
        <v>786</v>
      </c>
    </row>
    <row r="10" spans="1:29">
      <c r="A10" s="818">
        <v>1</v>
      </c>
      <c r="B10" s="760"/>
      <c r="C10" s="815"/>
      <c r="D10" s="397"/>
      <c r="E10" s="842"/>
      <c r="F10" s="842"/>
      <c r="G10" s="842"/>
      <c r="H10" s="843"/>
      <c r="I10" s="774">
        <f>IF(G10=0,0,(G10*12))</f>
        <v>0</v>
      </c>
      <c r="J10" s="774">
        <f>IF(I10=0,F10,(F10-I10+12))</f>
        <v>0</v>
      </c>
      <c r="K10" s="774">
        <f>IF(I10=0,0,IFERROR(E10/J10,0))</f>
        <v>0</v>
      </c>
      <c r="L10" s="774">
        <f>K10*12</f>
        <v>0</v>
      </c>
      <c r="M10" s="774">
        <f>E10</f>
        <v>0</v>
      </c>
      <c r="N10" s="774">
        <f>M10-K10</f>
        <v>0</v>
      </c>
      <c r="O10" s="774">
        <f>IF(N10-$K10&gt;=0,N10-$K10,0)</f>
        <v>0</v>
      </c>
      <c r="P10" s="774">
        <f t="shared" ref="P10:Y11" si="2">IF(O10-$K10&gt;=0,O10-$K10,0)</f>
        <v>0</v>
      </c>
      <c r="Q10" s="774">
        <f>IF(P10-$K10&gt;=0,P10-$K10,0)</f>
        <v>0</v>
      </c>
      <c r="R10" s="774">
        <f t="shared" si="2"/>
        <v>0</v>
      </c>
      <c r="S10" s="774">
        <f t="shared" si="2"/>
        <v>0</v>
      </c>
      <c r="T10" s="774">
        <f t="shared" si="2"/>
        <v>0</v>
      </c>
      <c r="U10" s="774">
        <f t="shared" si="2"/>
        <v>0</v>
      </c>
      <c r="V10" s="774">
        <f t="shared" si="2"/>
        <v>0</v>
      </c>
      <c r="W10" s="774">
        <f t="shared" si="2"/>
        <v>0</v>
      </c>
      <c r="X10" s="774">
        <f t="shared" si="2"/>
        <v>0</v>
      </c>
      <c r="Y10" s="774">
        <f>IF(X10-$K10&gt;=0,X10-$K10,0)</f>
        <v>0</v>
      </c>
      <c r="Z10" s="774">
        <f>SUM(M10:Y10)/13</f>
        <v>0</v>
      </c>
      <c r="AA10" s="817">
        <f>Z10*'Attachment H-11A '!$I$248</f>
        <v>0</v>
      </c>
      <c r="AB10" s="774">
        <f>AA10*'Attachment H-11A '!$D$145</f>
        <v>0</v>
      </c>
      <c r="AC10" s="774">
        <f>L10+AA10+AB10</f>
        <v>0</v>
      </c>
    </row>
    <row r="11" spans="1:29">
      <c r="A11" s="818">
        <v>1.01</v>
      </c>
      <c r="B11" s="694"/>
      <c r="C11" s="815"/>
      <c r="D11" s="397"/>
      <c r="E11" s="842"/>
      <c r="F11" s="842"/>
      <c r="G11" s="842"/>
      <c r="H11" s="843"/>
      <c r="I11" s="774">
        <f>IF(G11=0,0,(G11*12))</f>
        <v>0</v>
      </c>
      <c r="J11" s="774">
        <f t="shared" ref="J11:J20" si="3">IF(I11=0,F11,(F11-I11+12))</f>
        <v>0</v>
      </c>
      <c r="K11" s="774">
        <f>IF(I11=0,0,IFERROR(E11/J11,0))</f>
        <v>0</v>
      </c>
      <c r="L11" s="774">
        <f>K11*12</f>
        <v>0</v>
      </c>
      <c r="M11" s="774">
        <f>E11</f>
        <v>0</v>
      </c>
      <c r="N11" s="774">
        <f>M11-K11</f>
        <v>0</v>
      </c>
      <c r="O11" s="774">
        <f>IF(N11-$K11&gt;=0,N11-$K11,0)</f>
        <v>0</v>
      </c>
      <c r="P11" s="774">
        <f t="shared" si="2"/>
        <v>0</v>
      </c>
      <c r="Q11" s="774">
        <f t="shared" si="2"/>
        <v>0</v>
      </c>
      <c r="R11" s="774">
        <f t="shared" si="2"/>
        <v>0</v>
      </c>
      <c r="S11" s="774">
        <f t="shared" si="2"/>
        <v>0</v>
      </c>
      <c r="T11" s="774">
        <f t="shared" si="2"/>
        <v>0</v>
      </c>
      <c r="U11" s="774">
        <f t="shared" si="2"/>
        <v>0</v>
      </c>
      <c r="V11" s="774">
        <f t="shared" si="2"/>
        <v>0</v>
      </c>
      <c r="W11" s="774">
        <f t="shared" si="2"/>
        <v>0</v>
      </c>
      <c r="X11" s="774">
        <f t="shared" si="2"/>
        <v>0</v>
      </c>
      <c r="Y11" s="774">
        <f t="shared" si="2"/>
        <v>0</v>
      </c>
      <c r="Z11" s="774">
        <f>SUM(M11:Y11)/13</f>
        <v>0</v>
      </c>
      <c r="AA11" s="817">
        <f>Z11*'Attachment H-11A '!$I$248</f>
        <v>0</v>
      </c>
      <c r="AB11" s="774">
        <f>AA11*'Attachment H-11A '!$D$145</f>
        <v>0</v>
      </c>
      <c r="AC11" s="774">
        <f>L11+AA11+AB11</f>
        <v>0</v>
      </c>
    </row>
    <row r="12" spans="1:29">
      <c r="A12" s="818">
        <f>A11+0.01</f>
        <v>1.02</v>
      </c>
      <c r="B12" s="694"/>
      <c r="C12" s="815"/>
      <c r="D12" s="816"/>
      <c r="E12" s="842"/>
      <c r="F12" s="842"/>
      <c r="G12" s="842"/>
      <c r="H12" s="843"/>
      <c r="I12" s="774">
        <f t="shared" ref="I12:I20" si="4">IF(G12=0,0,(G12*12))</f>
        <v>0</v>
      </c>
      <c r="J12" s="774">
        <f t="shared" si="3"/>
        <v>0</v>
      </c>
      <c r="K12" s="774">
        <f t="shared" ref="K12:K20" si="5">IF(I12=0,0,IFERROR(E12/J12,0))</f>
        <v>0</v>
      </c>
      <c r="L12" s="774">
        <f t="shared" ref="L12:L20" si="6">K12*12</f>
        <v>0</v>
      </c>
      <c r="M12" s="774">
        <f t="shared" ref="M12:M20" si="7">E12</f>
        <v>0</v>
      </c>
      <c r="N12" s="774">
        <f t="shared" ref="N12:N20" si="8">M12-K12</f>
        <v>0</v>
      </c>
      <c r="O12" s="774">
        <f t="shared" ref="O12:Y12" si="9">IF(N12-$K12&gt;=0,N12-$K12,0)</f>
        <v>0</v>
      </c>
      <c r="P12" s="774">
        <f t="shared" si="9"/>
        <v>0</v>
      </c>
      <c r="Q12" s="774">
        <f t="shared" si="9"/>
        <v>0</v>
      </c>
      <c r="R12" s="774">
        <f t="shared" si="9"/>
        <v>0</v>
      </c>
      <c r="S12" s="774">
        <f t="shared" si="9"/>
        <v>0</v>
      </c>
      <c r="T12" s="774">
        <f t="shared" si="9"/>
        <v>0</v>
      </c>
      <c r="U12" s="774">
        <f t="shared" si="9"/>
        <v>0</v>
      </c>
      <c r="V12" s="774">
        <f t="shared" si="9"/>
        <v>0</v>
      </c>
      <c r="W12" s="774">
        <f t="shared" si="9"/>
        <v>0</v>
      </c>
      <c r="X12" s="774">
        <f t="shared" si="9"/>
        <v>0</v>
      </c>
      <c r="Y12" s="774">
        <f t="shared" si="9"/>
        <v>0</v>
      </c>
      <c r="Z12" s="774">
        <f t="shared" ref="Z12:Z19" si="10">SUM(M12:Y12)/13</f>
        <v>0</v>
      </c>
      <c r="AA12" s="817">
        <f>Z12*'Attachment H-11A '!$I$248</f>
        <v>0</v>
      </c>
      <c r="AB12" s="774">
        <f>AA12*'Attachment H-11A '!$D$145</f>
        <v>0</v>
      </c>
      <c r="AC12" s="774">
        <f t="shared" ref="AC12:AC20" si="11">L12+AA12+AB12</f>
        <v>0</v>
      </c>
    </row>
    <row r="13" spans="1:29">
      <c r="A13" s="818">
        <f t="shared" ref="A13:A20" si="12">A12+0.01</f>
        <v>1.03</v>
      </c>
      <c r="B13" s="694"/>
      <c r="C13" s="815"/>
      <c r="D13" s="816"/>
      <c r="E13" s="842"/>
      <c r="F13" s="842"/>
      <c r="G13" s="842"/>
      <c r="H13" s="843"/>
      <c r="I13" s="774">
        <f t="shared" si="4"/>
        <v>0</v>
      </c>
      <c r="J13" s="774">
        <f t="shared" si="3"/>
        <v>0</v>
      </c>
      <c r="K13" s="774">
        <f t="shared" si="5"/>
        <v>0</v>
      </c>
      <c r="L13" s="774">
        <f t="shared" si="6"/>
        <v>0</v>
      </c>
      <c r="M13" s="774">
        <f t="shared" si="7"/>
        <v>0</v>
      </c>
      <c r="N13" s="774">
        <f t="shared" si="8"/>
        <v>0</v>
      </c>
      <c r="O13" s="774">
        <f t="shared" ref="O13:Y13" si="13">IF(N13-$K13&gt;=0,N13-$K13,0)</f>
        <v>0</v>
      </c>
      <c r="P13" s="774">
        <f t="shared" si="13"/>
        <v>0</v>
      </c>
      <c r="Q13" s="774">
        <f t="shared" si="13"/>
        <v>0</v>
      </c>
      <c r="R13" s="774">
        <f t="shared" si="13"/>
        <v>0</v>
      </c>
      <c r="S13" s="774">
        <f t="shared" si="13"/>
        <v>0</v>
      </c>
      <c r="T13" s="774">
        <f t="shared" si="13"/>
        <v>0</v>
      </c>
      <c r="U13" s="774">
        <f t="shared" si="13"/>
        <v>0</v>
      </c>
      <c r="V13" s="774">
        <f t="shared" si="13"/>
        <v>0</v>
      </c>
      <c r="W13" s="774">
        <f t="shared" si="13"/>
        <v>0</v>
      </c>
      <c r="X13" s="774">
        <f t="shared" si="13"/>
        <v>0</v>
      </c>
      <c r="Y13" s="774">
        <f t="shared" si="13"/>
        <v>0</v>
      </c>
      <c r="Z13" s="774">
        <f t="shared" si="10"/>
        <v>0</v>
      </c>
      <c r="AA13" s="817">
        <f>Z13*'Attachment H-11A '!$I$248</f>
        <v>0</v>
      </c>
      <c r="AB13" s="774">
        <f>AA13*'Attachment H-11A '!$D$145</f>
        <v>0</v>
      </c>
      <c r="AC13" s="774">
        <f t="shared" si="11"/>
        <v>0</v>
      </c>
    </row>
    <row r="14" spans="1:29">
      <c r="A14" s="818">
        <f t="shared" si="12"/>
        <v>1.04</v>
      </c>
      <c r="B14" s="694"/>
      <c r="C14" s="815"/>
      <c r="D14" s="816"/>
      <c r="E14" s="842"/>
      <c r="F14" s="842"/>
      <c r="G14" s="842"/>
      <c r="H14" s="843"/>
      <c r="I14" s="774">
        <f t="shared" si="4"/>
        <v>0</v>
      </c>
      <c r="J14" s="774">
        <f t="shared" si="3"/>
        <v>0</v>
      </c>
      <c r="K14" s="774">
        <f t="shared" si="5"/>
        <v>0</v>
      </c>
      <c r="L14" s="774">
        <f t="shared" si="6"/>
        <v>0</v>
      </c>
      <c r="M14" s="774">
        <f t="shared" si="7"/>
        <v>0</v>
      </c>
      <c r="N14" s="774">
        <f t="shared" si="8"/>
        <v>0</v>
      </c>
      <c r="O14" s="774">
        <f>IF(N14-$K14&gt;=0,N14-$K14,0)</f>
        <v>0</v>
      </c>
      <c r="P14" s="774">
        <f t="shared" ref="P14:Y14" si="14">IF(O14-$K14&gt;=0,O14-$K14,0)</f>
        <v>0</v>
      </c>
      <c r="Q14" s="774">
        <f t="shared" si="14"/>
        <v>0</v>
      </c>
      <c r="R14" s="774">
        <f t="shared" si="14"/>
        <v>0</v>
      </c>
      <c r="S14" s="774">
        <f t="shared" si="14"/>
        <v>0</v>
      </c>
      <c r="T14" s="774">
        <f t="shared" si="14"/>
        <v>0</v>
      </c>
      <c r="U14" s="774">
        <f t="shared" si="14"/>
        <v>0</v>
      </c>
      <c r="V14" s="774">
        <f t="shared" si="14"/>
        <v>0</v>
      </c>
      <c r="W14" s="774">
        <f t="shared" si="14"/>
        <v>0</v>
      </c>
      <c r="X14" s="774">
        <f t="shared" si="14"/>
        <v>0</v>
      </c>
      <c r="Y14" s="774">
        <f t="shared" si="14"/>
        <v>0</v>
      </c>
      <c r="Z14" s="774">
        <f t="shared" si="10"/>
        <v>0</v>
      </c>
      <c r="AA14" s="817">
        <f>Z14*'Attachment H-11A '!$I$248</f>
        <v>0</v>
      </c>
      <c r="AB14" s="774">
        <f>AA14*'Attachment H-11A '!$D$145</f>
        <v>0</v>
      </c>
      <c r="AC14" s="774">
        <f t="shared" si="11"/>
        <v>0</v>
      </c>
    </row>
    <row r="15" spans="1:29">
      <c r="A15" s="818">
        <f t="shared" si="12"/>
        <v>1.05</v>
      </c>
      <c r="B15" s="694"/>
      <c r="C15" s="815"/>
      <c r="D15" s="816"/>
      <c r="E15" s="842"/>
      <c r="F15" s="842"/>
      <c r="G15" s="842"/>
      <c r="H15" s="843"/>
      <c r="I15" s="774">
        <f t="shared" si="4"/>
        <v>0</v>
      </c>
      <c r="J15" s="774">
        <f t="shared" si="3"/>
        <v>0</v>
      </c>
      <c r="K15" s="774">
        <f t="shared" si="5"/>
        <v>0</v>
      </c>
      <c r="L15" s="774">
        <f t="shared" si="6"/>
        <v>0</v>
      </c>
      <c r="M15" s="774">
        <f t="shared" si="7"/>
        <v>0</v>
      </c>
      <c r="N15" s="774">
        <f t="shared" si="8"/>
        <v>0</v>
      </c>
      <c r="O15" s="774">
        <f t="shared" ref="O15:Y15" si="15">IF(N15-$K15&gt;=0,N15-$K15,0)</f>
        <v>0</v>
      </c>
      <c r="P15" s="774">
        <f t="shared" si="15"/>
        <v>0</v>
      </c>
      <c r="Q15" s="774">
        <f t="shared" si="15"/>
        <v>0</v>
      </c>
      <c r="R15" s="774">
        <f t="shared" si="15"/>
        <v>0</v>
      </c>
      <c r="S15" s="774">
        <f t="shared" si="15"/>
        <v>0</v>
      </c>
      <c r="T15" s="774">
        <f t="shared" si="15"/>
        <v>0</v>
      </c>
      <c r="U15" s="774">
        <f t="shared" si="15"/>
        <v>0</v>
      </c>
      <c r="V15" s="774">
        <f t="shared" si="15"/>
        <v>0</v>
      </c>
      <c r="W15" s="774">
        <f t="shared" si="15"/>
        <v>0</v>
      </c>
      <c r="X15" s="774">
        <f t="shared" si="15"/>
        <v>0</v>
      </c>
      <c r="Y15" s="774">
        <f t="shared" si="15"/>
        <v>0</v>
      </c>
      <c r="Z15" s="774">
        <f t="shared" si="10"/>
        <v>0</v>
      </c>
      <c r="AA15" s="817">
        <f>Z15*'Attachment H-11A '!$I$248</f>
        <v>0</v>
      </c>
      <c r="AB15" s="774">
        <f>AA15*'Attachment H-11A '!$D$145</f>
        <v>0</v>
      </c>
      <c r="AC15" s="774">
        <f t="shared" si="11"/>
        <v>0</v>
      </c>
    </row>
    <row r="16" spans="1:29">
      <c r="A16" s="818">
        <f t="shared" si="12"/>
        <v>1.06</v>
      </c>
      <c r="B16" s="694"/>
      <c r="C16" s="815"/>
      <c r="D16" s="816"/>
      <c r="E16" s="842"/>
      <c r="F16" s="842"/>
      <c r="G16" s="842"/>
      <c r="H16" s="843"/>
      <c r="I16" s="774">
        <f t="shared" si="4"/>
        <v>0</v>
      </c>
      <c r="J16" s="774">
        <f t="shared" si="3"/>
        <v>0</v>
      </c>
      <c r="K16" s="774">
        <f t="shared" si="5"/>
        <v>0</v>
      </c>
      <c r="L16" s="774">
        <f t="shared" si="6"/>
        <v>0</v>
      </c>
      <c r="M16" s="774">
        <f t="shared" si="7"/>
        <v>0</v>
      </c>
      <c r="N16" s="774">
        <f t="shared" si="8"/>
        <v>0</v>
      </c>
      <c r="O16" s="774">
        <f t="shared" ref="O16:Y16" si="16">IF(N16-$K16&gt;=0,N16-$K16,0)</f>
        <v>0</v>
      </c>
      <c r="P16" s="774">
        <f t="shared" si="16"/>
        <v>0</v>
      </c>
      <c r="Q16" s="774">
        <f t="shared" si="16"/>
        <v>0</v>
      </c>
      <c r="R16" s="774">
        <f t="shared" si="16"/>
        <v>0</v>
      </c>
      <c r="S16" s="774">
        <f t="shared" si="16"/>
        <v>0</v>
      </c>
      <c r="T16" s="774">
        <f t="shared" si="16"/>
        <v>0</v>
      </c>
      <c r="U16" s="774">
        <f t="shared" si="16"/>
        <v>0</v>
      </c>
      <c r="V16" s="774">
        <f t="shared" si="16"/>
        <v>0</v>
      </c>
      <c r="W16" s="774">
        <f t="shared" si="16"/>
        <v>0</v>
      </c>
      <c r="X16" s="774">
        <f t="shared" si="16"/>
        <v>0</v>
      </c>
      <c r="Y16" s="774">
        <f t="shared" si="16"/>
        <v>0</v>
      </c>
      <c r="Z16" s="774">
        <f t="shared" si="10"/>
        <v>0</v>
      </c>
      <c r="AA16" s="817">
        <f>Z16*'Attachment H-11A '!$I$248</f>
        <v>0</v>
      </c>
      <c r="AB16" s="774">
        <f>AA16*'Attachment H-11A '!$D$145</f>
        <v>0</v>
      </c>
      <c r="AC16" s="774">
        <f t="shared" si="11"/>
        <v>0</v>
      </c>
    </row>
    <row r="17" spans="1:29">
      <c r="A17" s="818">
        <f t="shared" si="12"/>
        <v>1.07</v>
      </c>
      <c r="B17" s="694"/>
      <c r="C17" s="815"/>
      <c r="D17" s="816"/>
      <c r="E17" s="842"/>
      <c r="F17" s="842"/>
      <c r="G17" s="842"/>
      <c r="H17" s="843"/>
      <c r="I17" s="774">
        <f t="shared" si="4"/>
        <v>0</v>
      </c>
      <c r="J17" s="774">
        <f t="shared" si="3"/>
        <v>0</v>
      </c>
      <c r="K17" s="774">
        <f t="shared" si="5"/>
        <v>0</v>
      </c>
      <c r="L17" s="774">
        <f t="shared" si="6"/>
        <v>0</v>
      </c>
      <c r="M17" s="774">
        <f t="shared" si="7"/>
        <v>0</v>
      </c>
      <c r="N17" s="774">
        <f t="shared" si="8"/>
        <v>0</v>
      </c>
      <c r="O17" s="774">
        <f t="shared" ref="O17:Y17" si="17">IF(N17-$K17&gt;=0,N17-$K17,0)</f>
        <v>0</v>
      </c>
      <c r="P17" s="774">
        <f t="shared" si="17"/>
        <v>0</v>
      </c>
      <c r="Q17" s="774">
        <f t="shared" si="17"/>
        <v>0</v>
      </c>
      <c r="R17" s="774">
        <f t="shared" si="17"/>
        <v>0</v>
      </c>
      <c r="S17" s="774">
        <f t="shared" si="17"/>
        <v>0</v>
      </c>
      <c r="T17" s="774">
        <f t="shared" si="17"/>
        <v>0</v>
      </c>
      <c r="U17" s="774">
        <f t="shared" si="17"/>
        <v>0</v>
      </c>
      <c r="V17" s="774">
        <f t="shared" si="17"/>
        <v>0</v>
      </c>
      <c r="W17" s="774">
        <f t="shared" si="17"/>
        <v>0</v>
      </c>
      <c r="X17" s="774">
        <f t="shared" si="17"/>
        <v>0</v>
      </c>
      <c r="Y17" s="774">
        <f t="shared" si="17"/>
        <v>0</v>
      </c>
      <c r="Z17" s="774">
        <f t="shared" si="10"/>
        <v>0</v>
      </c>
      <c r="AA17" s="817">
        <f>Z17*'Attachment H-11A '!$I$248</f>
        <v>0</v>
      </c>
      <c r="AB17" s="774">
        <f>AA17*'Attachment H-11A '!$D$145</f>
        <v>0</v>
      </c>
      <c r="AC17" s="774">
        <f t="shared" si="11"/>
        <v>0</v>
      </c>
    </row>
    <row r="18" spans="1:29">
      <c r="A18" s="818">
        <f t="shared" si="12"/>
        <v>1.08</v>
      </c>
      <c r="B18" s="694"/>
      <c r="C18" s="815"/>
      <c r="D18" s="816"/>
      <c r="E18" s="842"/>
      <c r="F18" s="842"/>
      <c r="G18" s="842"/>
      <c r="H18" s="843"/>
      <c r="I18" s="774">
        <f t="shared" si="4"/>
        <v>0</v>
      </c>
      <c r="J18" s="774">
        <f t="shared" si="3"/>
        <v>0</v>
      </c>
      <c r="K18" s="774">
        <f t="shared" si="5"/>
        <v>0</v>
      </c>
      <c r="L18" s="774">
        <f t="shared" si="6"/>
        <v>0</v>
      </c>
      <c r="M18" s="774">
        <f t="shared" si="7"/>
        <v>0</v>
      </c>
      <c r="N18" s="774">
        <f t="shared" si="8"/>
        <v>0</v>
      </c>
      <c r="O18" s="774">
        <f t="shared" ref="O18:Y18" si="18">IF(N18-$K18&gt;=0,N18-$K18,0)</f>
        <v>0</v>
      </c>
      <c r="P18" s="774">
        <f t="shared" si="18"/>
        <v>0</v>
      </c>
      <c r="Q18" s="774">
        <f t="shared" si="18"/>
        <v>0</v>
      </c>
      <c r="R18" s="774">
        <f>IF(Q18-$K18&gt;=0,Q18-$K18,0)</f>
        <v>0</v>
      </c>
      <c r="S18" s="774">
        <f t="shared" si="18"/>
        <v>0</v>
      </c>
      <c r="T18" s="774">
        <f t="shared" si="18"/>
        <v>0</v>
      </c>
      <c r="U18" s="774">
        <f t="shared" si="18"/>
        <v>0</v>
      </c>
      <c r="V18" s="774">
        <f>IF(U18-$K18&gt;=0,U18-$K18,0)</f>
        <v>0</v>
      </c>
      <c r="W18" s="774">
        <f t="shared" si="18"/>
        <v>0</v>
      </c>
      <c r="X18" s="774">
        <f t="shared" si="18"/>
        <v>0</v>
      </c>
      <c r="Y18" s="774">
        <f t="shared" si="18"/>
        <v>0</v>
      </c>
      <c r="Z18" s="774">
        <f t="shared" si="10"/>
        <v>0</v>
      </c>
      <c r="AA18" s="817">
        <f>Z18*'Attachment H-11A '!$I$248</f>
        <v>0</v>
      </c>
      <c r="AB18" s="774">
        <f>AA18*'Attachment H-11A '!$D$145</f>
        <v>0</v>
      </c>
      <c r="AC18" s="774">
        <f t="shared" si="11"/>
        <v>0</v>
      </c>
    </row>
    <row r="19" spans="1:29">
      <c r="A19" s="818">
        <f t="shared" si="12"/>
        <v>1.0900000000000001</v>
      </c>
      <c r="B19" s="694"/>
      <c r="C19" s="815"/>
      <c r="D19" s="816"/>
      <c r="E19" s="842"/>
      <c r="F19" s="842"/>
      <c r="G19" s="842"/>
      <c r="H19" s="843"/>
      <c r="I19" s="774">
        <f t="shared" si="4"/>
        <v>0</v>
      </c>
      <c r="J19" s="774">
        <f t="shared" si="3"/>
        <v>0</v>
      </c>
      <c r="K19" s="774">
        <f t="shared" si="5"/>
        <v>0</v>
      </c>
      <c r="L19" s="774">
        <f t="shared" si="6"/>
        <v>0</v>
      </c>
      <c r="M19" s="774">
        <f t="shared" si="7"/>
        <v>0</v>
      </c>
      <c r="N19" s="774">
        <f t="shared" si="8"/>
        <v>0</v>
      </c>
      <c r="O19" s="774">
        <f t="shared" ref="O19:Y19" si="19">IF(N19-$K19&gt;=0,N19-$K19,0)</f>
        <v>0</v>
      </c>
      <c r="P19" s="774">
        <f t="shared" si="19"/>
        <v>0</v>
      </c>
      <c r="Q19" s="774">
        <f t="shared" si="19"/>
        <v>0</v>
      </c>
      <c r="R19" s="774">
        <f t="shared" si="19"/>
        <v>0</v>
      </c>
      <c r="S19" s="774">
        <f t="shared" si="19"/>
        <v>0</v>
      </c>
      <c r="T19" s="774">
        <f t="shared" si="19"/>
        <v>0</v>
      </c>
      <c r="U19" s="774">
        <f t="shared" si="19"/>
        <v>0</v>
      </c>
      <c r="V19" s="774">
        <f t="shared" si="19"/>
        <v>0</v>
      </c>
      <c r="W19" s="774">
        <f t="shared" si="19"/>
        <v>0</v>
      </c>
      <c r="X19" s="774">
        <f t="shared" si="19"/>
        <v>0</v>
      </c>
      <c r="Y19" s="774">
        <f t="shared" si="19"/>
        <v>0</v>
      </c>
      <c r="Z19" s="774">
        <f t="shared" si="10"/>
        <v>0</v>
      </c>
      <c r="AA19" s="817">
        <f>Z19*'Attachment H-11A '!$I$248</f>
        <v>0</v>
      </c>
      <c r="AB19" s="774">
        <f>AA19*'Attachment H-11A '!$D$145</f>
        <v>0</v>
      </c>
      <c r="AC19" s="774">
        <f t="shared" si="11"/>
        <v>0</v>
      </c>
    </row>
    <row r="20" spans="1:29">
      <c r="A20" s="818">
        <f t="shared" si="12"/>
        <v>1.1000000000000001</v>
      </c>
      <c r="B20" s="694"/>
      <c r="C20" s="815"/>
      <c r="D20" s="816"/>
      <c r="E20" s="842"/>
      <c r="F20" s="842"/>
      <c r="G20" s="842"/>
      <c r="H20" s="843"/>
      <c r="I20" s="774">
        <f t="shared" si="4"/>
        <v>0</v>
      </c>
      <c r="J20" s="774">
        <f t="shared" si="3"/>
        <v>0</v>
      </c>
      <c r="K20" s="774">
        <f t="shared" si="5"/>
        <v>0</v>
      </c>
      <c r="L20" s="774">
        <f t="shared" si="6"/>
        <v>0</v>
      </c>
      <c r="M20" s="774">
        <f t="shared" si="7"/>
        <v>0</v>
      </c>
      <c r="N20" s="774">
        <f t="shared" si="8"/>
        <v>0</v>
      </c>
      <c r="O20" s="774">
        <f t="shared" ref="O20:Y20" si="20">IF(N20-$K20&gt;=0,N20-$K20,0)</f>
        <v>0</v>
      </c>
      <c r="P20" s="774">
        <f t="shared" si="20"/>
        <v>0</v>
      </c>
      <c r="Q20" s="774">
        <f>IF(P20-$K20&gt;=0,P20-$K20,0)</f>
        <v>0</v>
      </c>
      <c r="R20" s="774">
        <f t="shared" si="20"/>
        <v>0</v>
      </c>
      <c r="S20" s="774">
        <f t="shared" si="20"/>
        <v>0</v>
      </c>
      <c r="T20" s="774">
        <f t="shared" si="20"/>
        <v>0</v>
      </c>
      <c r="U20" s="774">
        <f>IF(T20-$K20&gt;=0,T20-$K20,0)</f>
        <v>0</v>
      </c>
      <c r="V20" s="774">
        <f t="shared" si="20"/>
        <v>0</v>
      </c>
      <c r="W20" s="774">
        <f t="shared" si="20"/>
        <v>0</v>
      </c>
      <c r="X20" s="774">
        <f>IF(W20-$K20&gt;=0,W20-$K20,0)</f>
        <v>0</v>
      </c>
      <c r="Y20" s="774">
        <f t="shared" si="20"/>
        <v>0</v>
      </c>
      <c r="Z20" s="774">
        <f>SUM(M20:Y20)/13</f>
        <v>0</v>
      </c>
      <c r="AA20" s="817">
        <f>Z20*'Attachment H-11A '!$I$248</f>
        <v>0</v>
      </c>
      <c r="AB20" s="774">
        <f>AA20*'Attachment H-11A '!$D$145</f>
        <v>0</v>
      </c>
      <c r="AC20" s="774">
        <f t="shared" si="11"/>
        <v>0</v>
      </c>
    </row>
    <row r="21" spans="1:29" ht="17.5" customHeight="1">
      <c r="A21" s="760"/>
      <c r="B21" s="760"/>
      <c r="C21" s="694"/>
      <c r="D21" s="774"/>
      <c r="E21" s="774"/>
      <c r="F21" s="774"/>
      <c r="G21" s="774"/>
      <c r="H21" s="774"/>
      <c r="I21" s="693"/>
      <c r="J21" s="693"/>
      <c r="K21" s="693"/>
      <c r="L21" s="693"/>
      <c r="M21" s="774"/>
      <c r="N21" s="774"/>
      <c r="O21" s="774"/>
      <c r="P21" s="774"/>
      <c r="Q21" s="774"/>
      <c r="R21" s="774"/>
      <c r="S21" s="774"/>
      <c r="T21" s="774"/>
      <c r="U21" s="774"/>
      <c r="V21" s="774"/>
      <c r="W21" s="774"/>
      <c r="X21" s="760"/>
      <c r="Y21" s="760"/>
      <c r="Z21" s="760"/>
      <c r="AA21" s="811"/>
      <c r="AB21" s="760"/>
      <c r="AC21" s="760"/>
    </row>
    <row r="22" spans="1:29" ht="17.5" customHeight="1">
      <c r="A22" s="760"/>
      <c r="B22" s="760"/>
      <c r="C22" s="694"/>
      <c r="D22" s="774"/>
      <c r="E22" s="774"/>
      <c r="F22" s="774"/>
      <c r="G22" s="774"/>
      <c r="H22" s="774"/>
      <c r="I22" s="774"/>
      <c r="J22" s="774"/>
      <c r="K22" s="774"/>
      <c r="L22" s="774"/>
      <c r="M22" s="774"/>
      <c r="N22" s="774"/>
      <c r="O22" s="774"/>
      <c r="P22" s="774"/>
      <c r="Q22" s="774"/>
      <c r="R22" s="774"/>
      <c r="S22" s="774"/>
      <c r="T22" s="774"/>
      <c r="U22" s="774"/>
      <c r="V22" s="774"/>
      <c r="W22" s="774"/>
      <c r="X22" s="760"/>
      <c r="Y22" s="760"/>
      <c r="Z22" s="760"/>
      <c r="AA22" s="811"/>
      <c r="AB22" s="760"/>
      <c r="AC22" s="760"/>
    </row>
    <row r="23" spans="1:29" ht="15.65" customHeight="1">
      <c r="A23" s="760"/>
      <c r="B23" s="760"/>
      <c r="C23" s="694"/>
      <c r="D23" s="774"/>
      <c r="E23" s="774"/>
      <c r="F23" s="774"/>
      <c r="G23" s="774"/>
      <c r="H23" s="774"/>
      <c r="I23" s="774"/>
      <c r="J23" s="774"/>
      <c r="K23" s="774"/>
      <c r="L23" s="774"/>
      <c r="M23" s="774"/>
      <c r="N23" s="774"/>
      <c r="O23" s="774"/>
      <c r="P23" s="774"/>
      <c r="Q23" s="774"/>
      <c r="R23" s="774"/>
      <c r="S23" s="774"/>
      <c r="T23" s="774"/>
      <c r="U23" s="774"/>
      <c r="V23" s="774"/>
      <c r="W23" s="774"/>
      <c r="X23" s="760"/>
      <c r="Y23" s="760"/>
      <c r="Z23" s="760"/>
      <c r="AA23" s="811"/>
      <c r="AB23" s="760"/>
      <c r="AC23" s="760"/>
    </row>
    <row r="24" spans="1:29" s="824" customFormat="1" ht="16" thickBot="1">
      <c r="A24" s="819">
        <v>2</v>
      </c>
      <c r="B24" s="819"/>
      <c r="C24" s="820" t="s">
        <v>9</v>
      </c>
      <c r="D24" s="821"/>
      <c r="E24" s="821"/>
      <c r="F24" s="821"/>
      <c r="G24" s="821"/>
      <c r="H24" s="821"/>
      <c r="I24" s="821"/>
      <c r="J24" s="821"/>
      <c r="K24" s="821"/>
      <c r="L24" s="821"/>
      <c r="M24" s="821"/>
      <c r="N24" s="821"/>
      <c r="O24" s="821"/>
      <c r="P24" s="821"/>
      <c r="Q24" s="821"/>
      <c r="R24" s="821"/>
      <c r="S24" s="821"/>
      <c r="T24" s="821"/>
      <c r="U24" s="821"/>
      <c r="V24" s="821"/>
      <c r="W24" s="821"/>
      <c r="X24" s="819"/>
      <c r="Y24" s="819"/>
      <c r="Z24" s="822"/>
      <c r="AA24" s="823"/>
      <c r="AB24" s="822"/>
      <c r="AC24" s="847">
        <f>SUM(AC10:AC20)</f>
        <v>0</v>
      </c>
    </row>
    <row r="25" spans="1:29" ht="16" thickTop="1">
      <c r="A25" s="760"/>
      <c r="B25" s="760"/>
      <c r="C25" s="694"/>
      <c r="D25" s="774"/>
      <c r="E25" s="774"/>
      <c r="F25" s="774"/>
      <c r="G25" s="774"/>
      <c r="H25" s="774"/>
      <c r="I25" s="774"/>
      <c r="J25" s="774"/>
      <c r="K25" s="774"/>
      <c r="L25" s="774"/>
      <c r="M25" s="774"/>
      <c r="N25" s="774"/>
      <c r="O25" s="774"/>
      <c r="P25" s="774"/>
      <c r="Q25" s="774"/>
      <c r="R25" s="774"/>
      <c r="S25" s="774"/>
      <c r="T25" s="774"/>
      <c r="U25" s="774"/>
      <c r="V25" s="774"/>
      <c r="W25" s="774"/>
      <c r="X25" s="760"/>
      <c r="Y25" s="760"/>
      <c r="Z25" s="760"/>
      <c r="AA25" s="811"/>
      <c r="AB25" s="760"/>
      <c r="AC25" s="760"/>
    </row>
    <row r="26" spans="1:29">
      <c r="A26" s="760"/>
      <c r="B26" s="760"/>
      <c r="C26" s="694"/>
      <c r="D26" s="774"/>
      <c r="E26" s="774"/>
      <c r="F26" s="774"/>
      <c r="G26" s="774"/>
      <c r="H26" s="774"/>
      <c r="I26" s="774"/>
      <c r="J26" s="774"/>
      <c r="K26" s="774"/>
      <c r="L26" s="774"/>
      <c r="M26" s="774"/>
      <c r="N26" s="774"/>
      <c r="O26" s="774"/>
      <c r="P26" s="774"/>
      <c r="Q26" s="774"/>
      <c r="R26" s="774"/>
      <c r="S26" s="774"/>
      <c r="T26" s="774"/>
      <c r="U26" s="774"/>
      <c r="V26" s="774"/>
      <c r="W26" s="774"/>
      <c r="X26" s="760"/>
      <c r="Y26" s="760"/>
      <c r="Z26" s="760"/>
      <c r="AA26" s="811"/>
      <c r="AB26" s="760"/>
      <c r="AC26" s="760"/>
    </row>
    <row r="27" spans="1:29">
      <c r="A27" s="760"/>
      <c r="B27" s="760"/>
      <c r="C27" s="694"/>
      <c r="D27" s="774"/>
      <c r="E27" s="774"/>
      <c r="F27" s="774"/>
      <c r="G27" s="774"/>
      <c r="H27" s="774"/>
      <c r="I27" s="774"/>
      <c r="J27" s="774"/>
      <c r="K27" s="774"/>
      <c r="L27" s="774"/>
      <c r="M27" s="774"/>
      <c r="N27" s="774"/>
      <c r="O27" s="774"/>
      <c r="P27" s="774"/>
      <c r="Q27" s="774"/>
      <c r="R27" s="774"/>
      <c r="S27" s="774"/>
      <c r="T27" s="774"/>
      <c r="U27" s="774"/>
      <c r="V27" s="774"/>
      <c r="W27" s="774"/>
      <c r="X27" s="760"/>
      <c r="Y27" s="760"/>
      <c r="Z27" s="760"/>
      <c r="AA27" s="811"/>
      <c r="AB27" s="760"/>
      <c r="AC27" s="760"/>
    </row>
    <row r="28" spans="1:29">
      <c r="C28" s="777" t="s">
        <v>176</v>
      </c>
      <c r="D28" s="694"/>
      <c r="E28" s="694"/>
      <c r="G28" s="694"/>
    </row>
    <row r="29" spans="1:29">
      <c r="C29" s="694" t="s">
        <v>1214</v>
      </c>
    </row>
    <row r="30" spans="1:29">
      <c r="C30" s="694" t="s">
        <v>1221</v>
      </c>
    </row>
    <row r="31" spans="1:29">
      <c r="C31" s="694" t="s">
        <v>1222</v>
      </c>
    </row>
    <row r="32" spans="1:29">
      <c r="C32" s="694" t="s">
        <v>1223</v>
      </c>
      <c r="D32" s="694"/>
      <c r="E32" s="694"/>
      <c r="F32" s="694"/>
      <c r="G32" s="694"/>
      <c r="H32" s="694"/>
    </row>
    <row r="33" spans="3:3">
      <c r="C33" s="694" t="s">
        <v>1224</v>
      </c>
    </row>
    <row r="34" spans="3:3">
      <c r="C34" s="694" t="s">
        <v>1225</v>
      </c>
    </row>
    <row r="35" spans="3:3">
      <c r="C35" s="694" t="s">
        <v>1226</v>
      </c>
    </row>
    <row r="36" spans="3:3">
      <c r="C36" s="694" t="s">
        <v>1227</v>
      </c>
    </row>
    <row r="52" ht="14.15" customHeight="1"/>
  </sheetData>
  <pageMargins left="0.7" right="0.7" top="0.75" bottom="0.75" header="0.3" footer="0.3"/>
  <pageSetup scale="21" orientation="portrait" r:id="rId1"/>
  <ignoredErrors>
    <ignoredError sqref="O9" twoDigitTextYear="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8091A-93B5-402B-8792-789F66A08CAF}">
  <sheetPr codeName="Sheet27"/>
  <dimension ref="A1:AH21"/>
  <sheetViews>
    <sheetView view="pageBreakPreview" zoomScale="90" zoomScaleNormal="100" zoomScaleSheetLayoutView="90" workbookViewId="0"/>
  </sheetViews>
  <sheetFormatPr defaultColWidth="5" defaultRowHeight="15.5"/>
  <cols>
    <col min="1" max="1" width="5.07421875" style="760" bestFit="1" customWidth="1"/>
    <col min="2" max="2" width="2.07421875" style="694" bestFit="1" customWidth="1"/>
    <col min="3" max="3" width="13.84375" style="694" customWidth="1"/>
    <col min="4" max="4" width="2.07421875" style="694" bestFit="1" customWidth="1"/>
    <col min="5" max="5" width="35" style="774" customWidth="1"/>
    <col min="6" max="6" width="2.07421875" style="694" bestFit="1" customWidth="1"/>
    <col min="7" max="7" width="15.07421875" style="774" bestFit="1" customWidth="1"/>
    <col min="8" max="8" width="2.07421875" style="694" bestFit="1" customWidth="1"/>
    <col min="9" max="9" width="10.69140625" style="774" customWidth="1"/>
    <col min="10" max="10" width="2.07421875" style="694" bestFit="1" customWidth="1"/>
    <col min="11" max="11" width="10.69140625" style="774" customWidth="1"/>
    <col min="12" max="12" width="2.07421875" style="694" bestFit="1" customWidth="1"/>
    <col min="13" max="13" width="10.69140625" style="774" customWidth="1"/>
    <col min="14" max="14" width="2.07421875" style="694" bestFit="1" customWidth="1"/>
    <col min="15" max="15" width="10.69140625" style="774" customWidth="1"/>
    <col min="16" max="16" width="2.07421875" style="694" bestFit="1" customWidth="1"/>
    <col min="17" max="17" width="10.69140625" style="774" customWidth="1"/>
    <col min="18" max="18" width="2.07421875" style="694" bestFit="1" customWidth="1"/>
    <col min="19" max="19" width="10.69140625" style="774" customWidth="1"/>
    <col min="20" max="20" width="2.07421875" style="694" bestFit="1" customWidth="1"/>
    <col min="21" max="21" width="10.69140625" style="774" customWidth="1"/>
    <col min="22" max="22" width="2.07421875" style="694" bestFit="1" customWidth="1"/>
    <col min="23" max="23" width="10.69140625" style="774" customWidth="1"/>
    <col min="24" max="24" width="2.07421875" style="694" bestFit="1" customWidth="1"/>
    <col min="25" max="25" width="12.69140625" style="774" customWidth="1"/>
    <col min="26" max="26" width="2.07421875" style="694" bestFit="1" customWidth="1"/>
    <col min="27" max="27" width="11.53515625" style="774" customWidth="1"/>
    <col min="28" max="28" width="2.07421875" style="694" bestFit="1" customWidth="1"/>
    <col min="29" max="29" width="11.4609375" style="774" customWidth="1"/>
    <col min="30" max="30" width="2.07421875" style="694" bestFit="1" customWidth="1"/>
    <col min="31" max="31" width="12.07421875" style="760" customWidth="1"/>
    <col min="32" max="32" width="2.07421875" style="694" bestFit="1" customWidth="1"/>
    <col min="33" max="33" width="10.69140625" style="760" customWidth="1"/>
    <col min="34" max="34" width="2.07421875" style="694" customWidth="1"/>
    <col min="35" max="248" width="5" style="694"/>
    <col min="249" max="249" width="4.69140625" style="694" customWidth="1"/>
    <col min="250" max="250" width="2" style="694" customWidth="1"/>
    <col min="251" max="251" width="40.69140625" style="694" customWidth="1"/>
    <col min="252" max="252" width="3.53515625" style="694" customWidth="1"/>
    <col min="253" max="253" width="11.07421875" style="694" customWidth="1"/>
    <col min="254" max="254" width="2.69140625" style="694" customWidth="1"/>
    <col min="255" max="255" width="11.07421875" style="694" customWidth="1"/>
    <col min="256" max="256" width="2.69140625" style="694" customWidth="1"/>
    <col min="257" max="257" width="11.07421875" style="694" customWidth="1"/>
    <col min="258" max="258" width="2.69140625" style="694" customWidth="1"/>
    <col min="259" max="259" width="19.07421875" style="694" bestFit="1" customWidth="1"/>
    <col min="260" max="260" width="1.84375" style="694" customWidth="1"/>
    <col min="261" max="261" width="6.69140625" style="694" customWidth="1"/>
    <col min="262" max="262" width="14.84375" style="694" customWidth="1"/>
    <col min="263" max="263" width="9" style="694" bestFit="1" customWidth="1"/>
    <col min="264" max="504" width="5" style="694"/>
    <col min="505" max="505" width="4.69140625" style="694" customWidth="1"/>
    <col min="506" max="506" width="2" style="694" customWidth="1"/>
    <col min="507" max="507" width="40.69140625" style="694" customWidth="1"/>
    <col min="508" max="508" width="3.53515625" style="694" customWidth="1"/>
    <col min="509" max="509" width="11.07421875" style="694" customWidth="1"/>
    <col min="510" max="510" width="2.69140625" style="694" customWidth="1"/>
    <col min="511" max="511" width="11.07421875" style="694" customWidth="1"/>
    <col min="512" max="512" width="2.69140625" style="694" customWidth="1"/>
    <col min="513" max="513" width="11.07421875" style="694" customWidth="1"/>
    <col min="514" max="514" width="2.69140625" style="694" customWidth="1"/>
    <col min="515" max="515" width="19.07421875" style="694" bestFit="1" customWidth="1"/>
    <col min="516" max="516" width="1.84375" style="694" customWidth="1"/>
    <col min="517" max="517" width="6.69140625" style="694" customWidth="1"/>
    <col min="518" max="518" width="14.84375" style="694" customWidth="1"/>
    <col min="519" max="519" width="9" style="694" bestFit="1" customWidth="1"/>
    <col min="520" max="760" width="5" style="694"/>
    <col min="761" max="761" width="4.69140625" style="694" customWidth="1"/>
    <col min="762" max="762" width="2" style="694" customWidth="1"/>
    <col min="763" max="763" width="40.69140625" style="694" customWidth="1"/>
    <col min="764" max="764" width="3.53515625" style="694" customWidth="1"/>
    <col min="765" max="765" width="11.07421875" style="694" customWidth="1"/>
    <col min="766" max="766" width="2.69140625" style="694" customWidth="1"/>
    <col min="767" max="767" width="11.07421875" style="694" customWidth="1"/>
    <col min="768" max="768" width="2.69140625" style="694" customWidth="1"/>
    <col min="769" max="769" width="11.07421875" style="694" customWidth="1"/>
    <col min="770" max="770" width="2.69140625" style="694" customWidth="1"/>
    <col min="771" max="771" width="19.07421875" style="694" bestFit="1" customWidth="1"/>
    <col min="772" max="772" width="1.84375" style="694" customWidth="1"/>
    <col min="773" max="773" width="6.69140625" style="694" customWidth="1"/>
    <col min="774" max="774" width="14.84375" style="694" customWidth="1"/>
    <col min="775" max="775" width="9" style="694" bestFit="1" customWidth="1"/>
    <col min="776" max="1016" width="5" style="694"/>
    <col min="1017" max="1017" width="4.69140625" style="694" customWidth="1"/>
    <col min="1018" max="1018" width="2" style="694" customWidth="1"/>
    <col min="1019" max="1019" width="40.69140625" style="694" customWidth="1"/>
    <col min="1020" max="1020" width="3.53515625" style="694" customWidth="1"/>
    <col min="1021" max="1021" width="11.07421875" style="694" customWidth="1"/>
    <col min="1022" max="1022" width="2.69140625" style="694" customWidth="1"/>
    <col min="1023" max="1023" width="11.07421875" style="694" customWidth="1"/>
    <col min="1024" max="1024" width="2.69140625" style="694" customWidth="1"/>
    <col min="1025" max="1025" width="11.07421875" style="694" customWidth="1"/>
    <col min="1026" max="1026" width="2.69140625" style="694" customWidth="1"/>
    <col min="1027" max="1027" width="19.07421875" style="694" bestFit="1" customWidth="1"/>
    <col min="1028" max="1028" width="1.84375" style="694" customWidth="1"/>
    <col min="1029" max="1029" width="6.69140625" style="694" customWidth="1"/>
    <col min="1030" max="1030" width="14.84375" style="694" customWidth="1"/>
    <col min="1031" max="1031" width="9" style="694" bestFit="1" customWidth="1"/>
    <col min="1032" max="1272" width="5" style="694"/>
    <col min="1273" max="1273" width="4.69140625" style="694" customWidth="1"/>
    <col min="1274" max="1274" width="2" style="694" customWidth="1"/>
    <col min="1275" max="1275" width="40.69140625" style="694" customWidth="1"/>
    <col min="1276" max="1276" width="3.53515625" style="694" customWidth="1"/>
    <col min="1277" max="1277" width="11.07421875" style="694" customWidth="1"/>
    <col min="1278" max="1278" width="2.69140625" style="694" customWidth="1"/>
    <col min="1279" max="1279" width="11.07421875" style="694" customWidth="1"/>
    <col min="1280" max="1280" width="2.69140625" style="694" customWidth="1"/>
    <col min="1281" max="1281" width="11.07421875" style="694" customWidth="1"/>
    <col min="1282" max="1282" width="2.69140625" style="694" customWidth="1"/>
    <col min="1283" max="1283" width="19.07421875" style="694" bestFit="1" customWidth="1"/>
    <col min="1284" max="1284" width="1.84375" style="694" customWidth="1"/>
    <col min="1285" max="1285" width="6.69140625" style="694" customWidth="1"/>
    <col min="1286" max="1286" width="14.84375" style="694" customWidth="1"/>
    <col min="1287" max="1287" width="9" style="694" bestFit="1" customWidth="1"/>
    <col min="1288" max="1528" width="5" style="694"/>
    <col min="1529" max="1529" width="4.69140625" style="694" customWidth="1"/>
    <col min="1530" max="1530" width="2" style="694" customWidth="1"/>
    <col min="1531" max="1531" width="40.69140625" style="694" customWidth="1"/>
    <col min="1532" max="1532" width="3.53515625" style="694" customWidth="1"/>
    <col min="1533" max="1533" width="11.07421875" style="694" customWidth="1"/>
    <col min="1534" max="1534" width="2.69140625" style="694" customWidth="1"/>
    <col min="1535" max="1535" width="11.07421875" style="694" customWidth="1"/>
    <col min="1536" max="1536" width="2.69140625" style="694" customWidth="1"/>
    <col min="1537" max="1537" width="11.07421875" style="694" customWidth="1"/>
    <col min="1538" max="1538" width="2.69140625" style="694" customWidth="1"/>
    <col min="1539" max="1539" width="19.07421875" style="694" bestFit="1" customWidth="1"/>
    <col min="1540" max="1540" width="1.84375" style="694" customWidth="1"/>
    <col min="1541" max="1541" width="6.69140625" style="694" customWidth="1"/>
    <col min="1542" max="1542" width="14.84375" style="694" customWidth="1"/>
    <col min="1543" max="1543" width="9" style="694" bestFit="1" customWidth="1"/>
    <col min="1544" max="1784" width="5" style="694"/>
    <col min="1785" max="1785" width="4.69140625" style="694" customWidth="1"/>
    <col min="1786" max="1786" width="2" style="694" customWidth="1"/>
    <col min="1787" max="1787" width="40.69140625" style="694" customWidth="1"/>
    <col min="1788" max="1788" width="3.53515625" style="694" customWidth="1"/>
    <col min="1789" max="1789" width="11.07421875" style="694" customWidth="1"/>
    <col min="1790" max="1790" width="2.69140625" style="694" customWidth="1"/>
    <col min="1791" max="1791" width="11.07421875" style="694" customWidth="1"/>
    <col min="1792" max="1792" width="2.69140625" style="694" customWidth="1"/>
    <col min="1793" max="1793" width="11.07421875" style="694" customWidth="1"/>
    <col min="1794" max="1794" width="2.69140625" style="694" customWidth="1"/>
    <col min="1795" max="1795" width="19.07421875" style="694" bestFit="1" customWidth="1"/>
    <col min="1796" max="1796" width="1.84375" style="694" customWidth="1"/>
    <col min="1797" max="1797" width="6.69140625" style="694" customWidth="1"/>
    <col min="1798" max="1798" width="14.84375" style="694" customWidth="1"/>
    <col min="1799" max="1799" width="9" style="694" bestFit="1" customWidth="1"/>
    <col min="1800" max="2040" width="5" style="694"/>
    <col min="2041" max="2041" width="4.69140625" style="694" customWidth="1"/>
    <col min="2042" max="2042" width="2" style="694" customWidth="1"/>
    <col min="2043" max="2043" width="40.69140625" style="694" customWidth="1"/>
    <col min="2044" max="2044" width="3.53515625" style="694" customWidth="1"/>
    <col min="2045" max="2045" width="11.07421875" style="694" customWidth="1"/>
    <col min="2046" max="2046" width="2.69140625" style="694" customWidth="1"/>
    <col min="2047" max="2047" width="11.07421875" style="694" customWidth="1"/>
    <col min="2048" max="2048" width="2.69140625" style="694" customWidth="1"/>
    <col min="2049" max="2049" width="11.07421875" style="694" customWidth="1"/>
    <col min="2050" max="2050" width="2.69140625" style="694" customWidth="1"/>
    <col min="2051" max="2051" width="19.07421875" style="694" bestFit="1" customWidth="1"/>
    <col min="2052" max="2052" width="1.84375" style="694" customWidth="1"/>
    <col min="2053" max="2053" width="6.69140625" style="694" customWidth="1"/>
    <col min="2054" max="2054" width="14.84375" style="694" customWidth="1"/>
    <col min="2055" max="2055" width="9" style="694" bestFit="1" customWidth="1"/>
    <col min="2056" max="2296" width="5" style="694"/>
    <col min="2297" max="2297" width="4.69140625" style="694" customWidth="1"/>
    <col min="2298" max="2298" width="2" style="694" customWidth="1"/>
    <col min="2299" max="2299" width="40.69140625" style="694" customWidth="1"/>
    <col min="2300" max="2300" width="3.53515625" style="694" customWidth="1"/>
    <col min="2301" max="2301" width="11.07421875" style="694" customWidth="1"/>
    <col min="2302" max="2302" width="2.69140625" style="694" customWidth="1"/>
    <col min="2303" max="2303" width="11.07421875" style="694" customWidth="1"/>
    <col min="2304" max="2304" width="2.69140625" style="694" customWidth="1"/>
    <col min="2305" max="2305" width="11.07421875" style="694" customWidth="1"/>
    <col min="2306" max="2306" width="2.69140625" style="694" customWidth="1"/>
    <col min="2307" max="2307" width="19.07421875" style="694" bestFit="1" customWidth="1"/>
    <col min="2308" max="2308" width="1.84375" style="694" customWidth="1"/>
    <col min="2309" max="2309" width="6.69140625" style="694" customWidth="1"/>
    <col min="2310" max="2310" width="14.84375" style="694" customWidth="1"/>
    <col min="2311" max="2311" width="9" style="694" bestFit="1" customWidth="1"/>
    <col min="2312" max="2552" width="5" style="694"/>
    <col min="2553" max="2553" width="4.69140625" style="694" customWidth="1"/>
    <col min="2554" max="2554" width="2" style="694" customWidth="1"/>
    <col min="2555" max="2555" width="40.69140625" style="694" customWidth="1"/>
    <col min="2556" max="2556" width="3.53515625" style="694" customWidth="1"/>
    <col min="2557" max="2557" width="11.07421875" style="694" customWidth="1"/>
    <col min="2558" max="2558" width="2.69140625" style="694" customWidth="1"/>
    <col min="2559" max="2559" width="11.07421875" style="694" customWidth="1"/>
    <col min="2560" max="2560" width="2.69140625" style="694" customWidth="1"/>
    <col min="2561" max="2561" width="11.07421875" style="694" customWidth="1"/>
    <col min="2562" max="2562" width="2.69140625" style="694" customWidth="1"/>
    <col min="2563" max="2563" width="19.07421875" style="694" bestFit="1" customWidth="1"/>
    <col min="2564" max="2564" width="1.84375" style="694" customWidth="1"/>
    <col min="2565" max="2565" width="6.69140625" style="694" customWidth="1"/>
    <col min="2566" max="2566" width="14.84375" style="694" customWidth="1"/>
    <col min="2567" max="2567" width="9" style="694" bestFit="1" customWidth="1"/>
    <col min="2568" max="2808" width="5" style="694"/>
    <col min="2809" max="2809" width="4.69140625" style="694" customWidth="1"/>
    <col min="2810" max="2810" width="2" style="694" customWidth="1"/>
    <col min="2811" max="2811" width="40.69140625" style="694" customWidth="1"/>
    <col min="2812" max="2812" width="3.53515625" style="694" customWidth="1"/>
    <col min="2813" max="2813" width="11.07421875" style="694" customWidth="1"/>
    <col min="2814" max="2814" width="2.69140625" style="694" customWidth="1"/>
    <col min="2815" max="2815" width="11.07421875" style="694" customWidth="1"/>
    <col min="2816" max="2816" width="2.69140625" style="694" customWidth="1"/>
    <col min="2817" max="2817" width="11.07421875" style="694" customWidth="1"/>
    <col min="2818" max="2818" width="2.69140625" style="694" customWidth="1"/>
    <col min="2819" max="2819" width="19.07421875" style="694" bestFit="1" customWidth="1"/>
    <col min="2820" max="2820" width="1.84375" style="694" customWidth="1"/>
    <col min="2821" max="2821" width="6.69140625" style="694" customWidth="1"/>
    <col min="2822" max="2822" width="14.84375" style="694" customWidth="1"/>
    <col min="2823" max="2823" width="9" style="694" bestFit="1" customWidth="1"/>
    <col min="2824" max="3064" width="5" style="694"/>
    <col min="3065" max="3065" width="4.69140625" style="694" customWidth="1"/>
    <col min="3066" max="3066" width="2" style="694" customWidth="1"/>
    <col min="3067" max="3067" width="40.69140625" style="694" customWidth="1"/>
    <col min="3068" max="3068" width="3.53515625" style="694" customWidth="1"/>
    <col min="3069" max="3069" width="11.07421875" style="694" customWidth="1"/>
    <col min="3070" max="3070" width="2.69140625" style="694" customWidth="1"/>
    <col min="3071" max="3071" width="11.07421875" style="694" customWidth="1"/>
    <col min="3072" max="3072" width="2.69140625" style="694" customWidth="1"/>
    <col min="3073" max="3073" width="11.07421875" style="694" customWidth="1"/>
    <col min="3074" max="3074" width="2.69140625" style="694" customWidth="1"/>
    <col min="3075" max="3075" width="19.07421875" style="694" bestFit="1" customWidth="1"/>
    <col min="3076" max="3076" width="1.84375" style="694" customWidth="1"/>
    <col min="3077" max="3077" width="6.69140625" style="694" customWidth="1"/>
    <col min="3078" max="3078" width="14.84375" style="694" customWidth="1"/>
    <col min="3079" max="3079" width="9" style="694" bestFit="1" customWidth="1"/>
    <col min="3080" max="3320" width="5" style="694"/>
    <col min="3321" max="3321" width="4.69140625" style="694" customWidth="1"/>
    <col min="3322" max="3322" width="2" style="694" customWidth="1"/>
    <col min="3323" max="3323" width="40.69140625" style="694" customWidth="1"/>
    <col min="3324" max="3324" width="3.53515625" style="694" customWidth="1"/>
    <col min="3325" max="3325" width="11.07421875" style="694" customWidth="1"/>
    <col min="3326" max="3326" width="2.69140625" style="694" customWidth="1"/>
    <col min="3327" max="3327" width="11.07421875" style="694" customWidth="1"/>
    <col min="3328" max="3328" width="2.69140625" style="694" customWidth="1"/>
    <col min="3329" max="3329" width="11.07421875" style="694" customWidth="1"/>
    <col min="3330" max="3330" width="2.69140625" style="694" customWidth="1"/>
    <col min="3331" max="3331" width="19.07421875" style="694" bestFit="1" customWidth="1"/>
    <col min="3332" max="3332" width="1.84375" style="694" customWidth="1"/>
    <col min="3333" max="3333" width="6.69140625" style="694" customWidth="1"/>
    <col min="3334" max="3334" width="14.84375" style="694" customWidth="1"/>
    <col min="3335" max="3335" width="9" style="694" bestFit="1" customWidth="1"/>
    <col min="3336" max="3576" width="5" style="694"/>
    <col min="3577" max="3577" width="4.69140625" style="694" customWidth="1"/>
    <col min="3578" max="3578" width="2" style="694" customWidth="1"/>
    <col min="3579" max="3579" width="40.69140625" style="694" customWidth="1"/>
    <col min="3580" max="3580" width="3.53515625" style="694" customWidth="1"/>
    <col min="3581" max="3581" width="11.07421875" style="694" customWidth="1"/>
    <col min="3582" max="3582" width="2.69140625" style="694" customWidth="1"/>
    <col min="3583" max="3583" width="11.07421875" style="694" customWidth="1"/>
    <col min="3584" max="3584" width="2.69140625" style="694" customWidth="1"/>
    <col min="3585" max="3585" width="11.07421875" style="694" customWidth="1"/>
    <col min="3586" max="3586" width="2.69140625" style="694" customWidth="1"/>
    <col min="3587" max="3587" width="19.07421875" style="694" bestFit="1" customWidth="1"/>
    <col min="3588" max="3588" width="1.84375" style="694" customWidth="1"/>
    <col min="3589" max="3589" width="6.69140625" style="694" customWidth="1"/>
    <col min="3590" max="3590" width="14.84375" style="694" customWidth="1"/>
    <col min="3591" max="3591" width="9" style="694" bestFit="1" customWidth="1"/>
    <col min="3592" max="3832" width="5" style="694"/>
    <col min="3833" max="3833" width="4.69140625" style="694" customWidth="1"/>
    <col min="3834" max="3834" width="2" style="694" customWidth="1"/>
    <col min="3835" max="3835" width="40.69140625" style="694" customWidth="1"/>
    <col min="3836" max="3836" width="3.53515625" style="694" customWidth="1"/>
    <col min="3837" max="3837" width="11.07421875" style="694" customWidth="1"/>
    <col min="3838" max="3838" width="2.69140625" style="694" customWidth="1"/>
    <col min="3839" max="3839" width="11.07421875" style="694" customWidth="1"/>
    <col min="3840" max="3840" width="2.69140625" style="694" customWidth="1"/>
    <col min="3841" max="3841" width="11.07421875" style="694" customWidth="1"/>
    <col min="3842" max="3842" width="2.69140625" style="694" customWidth="1"/>
    <col min="3843" max="3843" width="19.07421875" style="694" bestFit="1" customWidth="1"/>
    <col min="3844" max="3844" width="1.84375" style="694" customWidth="1"/>
    <col min="3845" max="3845" width="6.69140625" style="694" customWidth="1"/>
    <col min="3846" max="3846" width="14.84375" style="694" customWidth="1"/>
    <col min="3847" max="3847" width="9" style="694" bestFit="1" customWidth="1"/>
    <col min="3848" max="4088" width="5" style="694"/>
    <col min="4089" max="4089" width="4.69140625" style="694" customWidth="1"/>
    <col min="4090" max="4090" width="2" style="694" customWidth="1"/>
    <col min="4091" max="4091" width="40.69140625" style="694" customWidth="1"/>
    <col min="4092" max="4092" width="3.53515625" style="694" customWidth="1"/>
    <col min="4093" max="4093" width="11.07421875" style="694" customWidth="1"/>
    <col min="4094" max="4094" width="2.69140625" style="694" customWidth="1"/>
    <col min="4095" max="4095" width="11.07421875" style="694" customWidth="1"/>
    <col min="4096" max="4096" width="2.69140625" style="694" customWidth="1"/>
    <col min="4097" max="4097" width="11.07421875" style="694" customWidth="1"/>
    <col min="4098" max="4098" width="2.69140625" style="694" customWidth="1"/>
    <col min="4099" max="4099" width="19.07421875" style="694" bestFit="1" customWidth="1"/>
    <col min="4100" max="4100" width="1.84375" style="694" customWidth="1"/>
    <col min="4101" max="4101" width="6.69140625" style="694" customWidth="1"/>
    <col min="4102" max="4102" width="14.84375" style="694" customWidth="1"/>
    <col min="4103" max="4103" width="9" style="694" bestFit="1" customWidth="1"/>
    <col min="4104" max="4344" width="5" style="694"/>
    <col min="4345" max="4345" width="4.69140625" style="694" customWidth="1"/>
    <col min="4346" max="4346" width="2" style="694" customWidth="1"/>
    <col min="4347" max="4347" width="40.69140625" style="694" customWidth="1"/>
    <col min="4348" max="4348" width="3.53515625" style="694" customWidth="1"/>
    <col min="4349" max="4349" width="11.07421875" style="694" customWidth="1"/>
    <col min="4350" max="4350" width="2.69140625" style="694" customWidth="1"/>
    <col min="4351" max="4351" width="11.07421875" style="694" customWidth="1"/>
    <col min="4352" max="4352" width="2.69140625" style="694" customWidth="1"/>
    <col min="4353" max="4353" width="11.07421875" style="694" customWidth="1"/>
    <col min="4354" max="4354" width="2.69140625" style="694" customWidth="1"/>
    <col min="4355" max="4355" width="19.07421875" style="694" bestFit="1" customWidth="1"/>
    <col min="4356" max="4356" width="1.84375" style="694" customWidth="1"/>
    <col min="4357" max="4357" width="6.69140625" style="694" customWidth="1"/>
    <col min="4358" max="4358" width="14.84375" style="694" customWidth="1"/>
    <col min="4359" max="4359" width="9" style="694" bestFit="1" customWidth="1"/>
    <col min="4360" max="4600" width="5" style="694"/>
    <col min="4601" max="4601" width="4.69140625" style="694" customWidth="1"/>
    <col min="4602" max="4602" width="2" style="694" customWidth="1"/>
    <col min="4603" max="4603" width="40.69140625" style="694" customWidth="1"/>
    <col min="4604" max="4604" width="3.53515625" style="694" customWidth="1"/>
    <col min="4605" max="4605" width="11.07421875" style="694" customWidth="1"/>
    <col min="4606" max="4606" width="2.69140625" style="694" customWidth="1"/>
    <col min="4607" max="4607" width="11.07421875" style="694" customWidth="1"/>
    <col min="4608" max="4608" width="2.69140625" style="694" customWidth="1"/>
    <col min="4609" max="4609" width="11.07421875" style="694" customWidth="1"/>
    <col min="4610" max="4610" width="2.69140625" style="694" customWidth="1"/>
    <col min="4611" max="4611" width="19.07421875" style="694" bestFit="1" customWidth="1"/>
    <col min="4612" max="4612" width="1.84375" style="694" customWidth="1"/>
    <col min="4613" max="4613" width="6.69140625" style="694" customWidth="1"/>
    <col min="4614" max="4614" width="14.84375" style="694" customWidth="1"/>
    <col min="4615" max="4615" width="9" style="694" bestFit="1" customWidth="1"/>
    <col min="4616" max="4856" width="5" style="694"/>
    <col min="4857" max="4857" width="4.69140625" style="694" customWidth="1"/>
    <col min="4858" max="4858" width="2" style="694" customWidth="1"/>
    <col min="4859" max="4859" width="40.69140625" style="694" customWidth="1"/>
    <col min="4860" max="4860" width="3.53515625" style="694" customWidth="1"/>
    <col min="4861" max="4861" width="11.07421875" style="694" customWidth="1"/>
    <col min="4862" max="4862" width="2.69140625" style="694" customWidth="1"/>
    <col min="4863" max="4863" width="11.07421875" style="694" customWidth="1"/>
    <col min="4864" max="4864" width="2.69140625" style="694" customWidth="1"/>
    <col min="4865" max="4865" width="11.07421875" style="694" customWidth="1"/>
    <col min="4866" max="4866" width="2.69140625" style="694" customWidth="1"/>
    <col min="4867" max="4867" width="19.07421875" style="694" bestFit="1" customWidth="1"/>
    <col min="4868" max="4868" width="1.84375" style="694" customWidth="1"/>
    <col min="4869" max="4869" width="6.69140625" style="694" customWidth="1"/>
    <col min="4870" max="4870" width="14.84375" style="694" customWidth="1"/>
    <col min="4871" max="4871" width="9" style="694" bestFit="1" customWidth="1"/>
    <col min="4872" max="5112" width="5" style="694"/>
    <col min="5113" max="5113" width="4.69140625" style="694" customWidth="1"/>
    <col min="5114" max="5114" width="2" style="694" customWidth="1"/>
    <col min="5115" max="5115" width="40.69140625" style="694" customWidth="1"/>
    <col min="5116" max="5116" width="3.53515625" style="694" customWidth="1"/>
    <col min="5117" max="5117" width="11.07421875" style="694" customWidth="1"/>
    <col min="5118" max="5118" width="2.69140625" style="694" customWidth="1"/>
    <col min="5119" max="5119" width="11.07421875" style="694" customWidth="1"/>
    <col min="5120" max="5120" width="2.69140625" style="694" customWidth="1"/>
    <col min="5121" max="5121" width="11.07421875" style="694" customWidth="1"/>
    <col min="5122" max="5122" width="2.69140625" style="694" customWidth="1"/>
    <col min="5123" max="5123" width="19.07421875" style="694" bestFit="1" customWidth="1"/>
    <col min="5124" max="5124" width="1.84375" style="694" customWidth="1"/>
    <col min="5125" max="5125" width="6.69140625" style="694" customWidth="1"/>
    <col min="5126" max="5126" width="14.84375" style="694" customWidth="1"/>
    <col min="5127" max="5127" width="9" style="694" bestFit="1" customWidth="1"/>
    <col min="5128" max="5368" width="5" style="694"/>
    <col min="5369" max="5369" width="4.69140625" style="694" customWidth="1"/>
    <col min="5370" max="5370" width="2" style="694" customWidth="1"/>
    <col min="5371" max="5371" width="40.69140625" style="694" customWidth="1"/>
    <col min="5372" max="5372" width="3.53515625" style="694" customWidth="1"/>
    <col min="5373" max="5373" width="11.07421875" style="694" customWidth="1"/>
    <col min="5374" max="5374" width="2.69140625" style="694" customWidth="1"/>
    <col min="5375" max="5375" width="11.07421875" style="694" customWidth="1"/>
    <col min="5376" max="5376" width="2.69140625" style="694" customWidth="1"/>
    <col min="5377" max="5377" width="11.07421875" style="694" customWidth="1"/>
    <col min="5378" max="5378" width="2.69140625" style="694" customWidth="1"/>
    <col min="5379" max="5379" width="19.07421875" style="694" bestFit="1" customWidth="1"/>
    <col min="5380" max="5380" width="1.84375" style="694" customWidth="1"/>
    <col min="5381" max="5381" width="6.69140625" style="694" customWidth="1"/>
    <col min="5382" max="5382" width="14.84375" style="694" customWidth="1"/>
    <col min="5383" max="5383" width="9" style="694" bestFit="1" customWidth="1"/>
    <col min="5384" max="5624" width="5" style="694"/>
    <col min="5625" max="5625" width="4.69140625" style="694" customWidth="1"/>
    <col min="5626" max="5626" width="2" style="694" customWidth="1"/>
    <col min="5627" max="5627" width="40.69140625" style="694" customWidth="1"/>
    <col min="5628" max="5628" width="3.53515625" style="694" customWidth="1"/>
    <col min="5629" max="5629" width="11.07421875" style="694" customWidth="1"/>
    <col min="5630" max="5630" width="2.69140625" style="694" customWidth="1"/>
    <col min="5631" max="5631" width="11.07421875" style="694" customWidth="1"/>
    <col min="5632" max="5632" width="2.69140625" style="694" customWidth="1"/>
    <col min="5633" max="5633" width="11.07421875" style="694" customWidth="1"/>
    <col min="5634" max="5634" width="2.69140625" style="694" customWidth="1"/>
    <col min="5635" max="5635" width="19.07421875" style="694" bestFit="1" customWidth="1"/>
    <col min="5636" max="5636" width="1.84375" style="694" customWidth="1"/>
    <col min="5637" max="5637" width="6.69140625" style="694" customWidth="1"/>
    <col min="5638" max="5638" width="14.84375" style="694" customWidth="1"/>
    <col min="5639" max="5639" width="9" style="694" bestFit="1" customWidth="1"/>
    <col min="5640" max="5880" width="5" style="694"/>
    <col min="5881" max="5881" width="4.69140625" style="694" customWidth="1"/>
    <col min="5882" max="5882" width="2" style="694" customWidth="1"/>
    <col min="5883" max="5883" width="40.69140625" style="694" customWidth="1"/>
    <col min="5884" max="5884" width="3.53515625" style="694" customWidth="1"/>
    <col min="5885" max="5885" width="11.07421875" style="694" customWidth="1"/>
    <col min="5886" max="5886" width="2.69140625" style="694" customWidth="1"/>
    <col min="5887" max="5887" width="11.07421875" style="694" customWidth="1"/>
    <col min="5888" max="5888" width="2.69140625" style="694" customWidth="1"/>
    <col min="5889" max="5889" width="11.07421875" style="694" customWidth="1"/>
    <col min="5890" max="5890" width="2.69140625" style="694" customWidth="1"/>
    <col min="5891" max="5891" width="19.07421875" style="694" bestFit="1" customWidth="1"/>
    <col min="5892" max="5892" width="1.84375" style="694" customWidth="1"/>
    <col min="5893" max="5893" width="6.69140625" style="694" customWidth="1"/>
    <col min="5894" max="5894" width="14.84375" style="694" customWidth="1"/>
    <col min="5895" max="5895" width="9" style="694" bestFit="1" customWidth="1"/>
    <col min="5896" max="6136" width="5" style="694"/>
    <col min="6137" max="6137" width="4.69140625" style="694" customWidth="1"/>
    <col min="6138" max="6138" width="2" style="694" customWidth="1"/>
    <col min="6139" max="6139" width="40.69140625" style="694" customWidth="1"/>
    <col min="6140" max="6140" width="3.53515625" style="694" customWidth="1"/>
    <col min="6141" max="6141" width="11.07421875" style="694" customWidth="1"/>
    <col min="6142" max="6142" width="2.69140625" style="694" customWidth="1"/>
    <col min="6143" max="6143" width="11.07421875" style="694" customWidth="1"/>
    <col min="6144" max="6144" width="2.69140625" style="694" customWidth="1"/>
    <col min="6145" max="6145" width="11.07421875" style="694" customWidth="1"/>
    <col min="6146" max="6146" width="2.69140625" style="694" customWidth="1"/>
    <col min="6147" max="6147" width="19.07421875" style="694" bestFit="1" customWidth="1"/>
    <col min="6148" max="6148" width="1.84375" style="694" customWidth="1"/>
    <col min="6149" max="6149" width="6.69140625" style="694" customWidth="1"/>
    <col min="6150" max="6150" width="14.84375" style="694" customWidth="1"/>
    <col min="6151" max="6151" width="9" style="694" bestFit="1" customWidth="1"/>
    <col min="6152" max="6392" width="5" style="694"/>
    <col min="6393" max="6393" width="4.69140625" style="694" customWidth="1"/>
    <col min="6394" max="6394" width="2" style="694" customWidth="1"/>
    <col min="6395" max="6395" width="40.69140625" style="694" customWidth="1"/>
    <col min="6396" max="6396" width="3.53515625" style="694" customWidth="1"/>
    <col min="6397" max="6397" width="11.07421875" style="694" customWidth="1"/>
    <col min="6398" max="6398" width="2.69140625" style="694" customWidth="1"/>
    <col min="6399" max="6399" width="11.07421875" style="694" customWidth="1"/>
    <col min="6400" max="6400" width="2.69140625" style="694" customWidth="1"/>
    <col min="6401" max="6401" width="11.07421875" style="694" customWidth="1"/>
    <col min="6402" max="6402" width="2.69140625" style="694" customWidth="1"/>
    <col min="6403" max="6403" width="19.07421875" style="694" bestFit="1" customWidth="1"/>
    <col min="6404" max="6404" width="1.84375" style="694" customWidth="1"/>
    <col min="6405" max="6405" width="6.69140625" style="694" customWidth="1"/>
    <col min="6406" max="6406" width="14.84375" style="694" customWidth="1"/>
    <col min="6407" max="6407" width="9" style="694" bestFit="1" customWidth="1"/>
    <col min="6408" max="6648" width="5" style="694"/>
    <col min="6649" max="6649" width="4.69140625" style="694" customWidth="1"/>
    <col min="6650" max="6650" width="2" style="694" customWidth="1"/>
    <col min="6651" max="6651" width="40.69140625" style="694" customWidth="1"/>
    <col min="6652" max="6652" width="3.53515625" style="694" customWidth="1"/>
    <col min="6653" max="6653" width="11.07421875" style="694" customWidth="1"/>
    <col min="6654" max="6654" width="2.69140625" style="694" customWidth="1"/>
    <col min="6655" max="6655" width="11.07421875" style="694" customWidth="1"/>
    <col min="6656" max="6656" width="2.69140625" style="694" customWidth="1"/>
    <col min="6657" max="6657" width="11.07421875" style="694" customWidth="1"/>
    <col min="6658" max="6658" width="2.69140625" style="694" customWidth="1"/>
    <col min="6659" max="6659" width="19.07421875" style="694" bestFit="1" customWidth="1"/>
    <col min="6660" max="6660" width="1.84375" style="694" customWidth="1"/>
    <col min="6661" max="6661" width="6.69140625" style="694" customWidth="1"/>
    <col min="6662" max="6662" width="14.84375" style="694" customWidth="1"/>
    <col min="6663" max="6663" width="9" style="694" bestFit="1" customWidth="1"/>
    <col min="6664" max="6904" width="5" style="694"/>
    <col min="6905" max="6905" width="4.69140625" style="694" customWidth="1"/>
    <col min="6906" max="6906" width="2" style="694" customWidth="1"/>
    <col min="6907" max="6907" width="40.69140625" style="694" customWidth="1"/>
    <col min="6908" max="6908" width="3.53515625" style="694" customWidth="1"/>
    <col min="6909" max="6909" width="11.07421875" style="694" customWidth="1"/>
    <col min="6910" max="6910" width="2.69140625" style="694" customWidth="1"/>
    <col min="6911" max="6911" width="11.07421875" style="694" customWidth="1"/>
    <col min="6912" max="6912" width="2.69140625" style="694" customWidth="1"/>
    <col min="6913" max="6913" width="11.07421875" style="694" customWidth="1"/>
    <col min="6914" max="6914" width="2.69140625" style="694" customWidth="1"/>
    <col min="6915" max="6915" width="19.07421875" style="694" bestFit="1" customWidth="1"/>
    <col min="6916" max="6916" width="1.84375" style="694" customWidth="1"/>
    <col min="6917" max="6917" width="6.69140625" style="694" customWidth="1"/>
    <col min="6918" max="6918" width="14.84375" style="694" customWidth="1"/>
    <col min="6919" max="6919" width="9" style="694" bestFit="1" customWidth="1"/>
    <col min="6920" max="7160" width="5" style="694"/>
    <col min="7161" max="7161" width="4.69140625" style="694" customWidth="1"/>
    <col min="7162" max="7162" width="2" style="694" customWidth="1"/>
    <col min="7163" max="7163" width="40.69140625" style="694" customWidth="1"/>
    <col min="7164" max="7164" width="3.53515625" style="694" customWidth="1"/>
    <col min="7165" max="7165" width="11.07421875" style="694" customWidth="1"/>
    <col min="7166" max="7166" width="2.69140625" style="694" customWidth="1"/>
    <col min="7167" max="7167" width="11.07421875" style="694" customWidth="1"/>
    <col min="7168" max="7168" width="2.69140625" style="694" customWidth="1"/>
    <col min="7169" max="7169" width="11.07421875" style="694" customWidth="1"/>
    <col min="7170" max="7170" width="2.69140625" style="694" customWidth="1"/>
    <col min="7171" max="7171" width="19.07421875" style="694" bestFit="1" customWidth="1"/>
    <col min="7172" max="7172" width="1.84375" style="694" customWidth="1"/>
    <col min="7173" max="7173" width="6.69140625" style="694" customWidth="1"/>
    <col min="7174" max="7174" width="14.84375" style="694" customWidth="1"/>
    <col min="7175" max="7175" width="9" style="694" bestFit="1" customWidth="1"/>
    <col min="7176" max="7416" width="5" style="694"/>
    <col min="7417" max="7417" width="4.69140625" style="694" customWidth="1"/>
    <col min="7418" max="7418" width="2" style="694" customWidth="1"/>
    <col min="7419" max="7419" width="40.69140625" style="694" customWidth="1"/>
    <col min="7420" max="7420" width="3.53515625" style="694" customWidth="1"/>
    <col min="7421" max="7421" width="11.07421875" style="694" customWidth="1"/>
    <col min="7422" max="7422" width="2.69140625" style="694" customWidth="1"/>
    <col min="7423" max="7423" width="11.07421875" style="694" customWidth="1"/>
    <col min="7424" max="7424" width="2.69140625" style="694" customWidth="1"/>
    <col min="7425" max="7425" width="11.07421875" style="694" customWidth="1"/>
    <col min="7426" max="7426" width="2.69140625" style="694" customWidth="1"/>
    <col min="7427" max="7427" width="19.07421875" style="694" bestFit="1" customWidth="1"/>
    <col min="7428" max="7428" width="1.84375" style="694" customWidth="1"/>
    <col min="7429" max="7429" width="6.69140625" style="694" customWidth="1"/>
    <col min="7430" max="7430" width="14.84375" style="694" customWidth="1"/>
    <col min="7431" max="7431" width="9" style="694" bestFit="1" customWidth="1"/>
    <col min="7432" max="7672" width="5" style="694"/>
    <col min="7673" max="7673" width="4.69140625" style="694" customWidth="1"/>
    <col min="7674" max="7674" width="2" style="694" customWidth="1"/>
    <col min="7675" max="7675" width="40.69140625" style="694" customWidth="1"/>
    <col min="7676" max="7676" width="3.53515625" style="694" customWidth="1"/>
    <col min="7677" max="7677" width="11.07421875" style="694" customWidth="1"/>
    <col min="7678" max="7678" width="2.69140625" style="694" customWidth="1"/>
    <col min="7679" max="7679" width="11.07421875" style="694" customWidth="1"/>
    <col min="7680" max="7680" width="2.69140625" style="694" customWidth="1"/>
    <col min="7681" max="7681" width="11.07421875" style="694" customWidth="1"/>
    <col min="7682" max="7682" width="2.69140625" style="694" customWidth="1"/>
    <col min="7683" max="7683" width="19.07421875" style="694" bestFit="1" customWidth="1"/>
    <col min="7684" max="7684" width="1.84375" style="694" customWidth="1"/>
    <col min="7685" max="7685" width="6.69140625" style="694" customWidth="1"/>
    <col min="7686" max="7686" width="14.84375" style="694" customWidth="1"/>
    <col min="7687" max="7687" width="9" style="694" bestFit="1" customWidth="1"/>
    <col min="7688" max="7928" width="5" style="694"/>
    <col min="7929" max="7929" width="4.69140625" style="694" customWidth="1"/>
    <col min="7930" max="7930" width="2" style="694" customWidth="1"/>
    <col min="7931" max="7931" width="40.69140625" style="694" customWidth="1"/>
    <col min="7932" max="7932" width="3.53515625" style="694" customWidth="1"/>
    <col min="7933" max="7933" width="11.07421875" style="694" customWidth="1"/>
    <col min="7934" max="7934" width="2.69140625" style="694" customWidth="1"/>
    <col min="7935" max="7935" width="11.07421875" style="694" customWidth="1"/>
    <col min="7936" max="7936" width="2.69140625" style="694" customWidth="1"/>
    <col min="7937" max="7937" width="11.07421875" style="694" customWidth="1"/>
    <col min="7938" max="7938" width="2.69140625" style="694" customWidth="1"/>
    <col min="7939" max="7939" width="19.07421875" style="694" bestFit="1" customWidth="1"/>
    <col min="7940" max="7940" width="1.84375" style="694" customWidth="1"/>
    <col min="7941" max="7941" width="6.69140625" style="694" customWidth="1"/>
    <col min="7942" max="7942" width="14.84375" style="694" customWidth="1"/>
    <col min="7943" max="7943" width="9" style="694" bestFit="1" customWidth="1"/>
    <col min="7944" max="8184" width="5" style="694"/>
    <col min="8185" max="8185" width="4.69140625" style="694" customWidth="1"/>
    <col min="8186" max="8186" width="2" style="694" customWidth="1"/>
    <col min="8187" max="8187" width="40.69140625" style="694" customWidth="1"/>
    <col min="8188" max="8188" width="3.53515625" style="694" customWidth="1"/>
    <col min="8189" max="8189" width="11.07421875" style="694" customWidth="1"/>
    <col min="8190" max="8190" width="2.69140625" style="694" customWidth="1"/>
    <col min="8191" max="8191" width="11.07421875" style="694" customWidth="1"/>
    <col min="8192" max="8192" width="2.69140625" style="694" customWidth="1"/>
    <col min="8193" max="8193" width="11.07421875" style="694" customWidth="1"/>
    <col min="8194" max="8194" width="2.69140625" style="694" customWidth="1"/>
    <col min="8195" max="8195" width="19.07421875" style="694" bestFit="1" customWidth="1"/>
    <col min="8196" max="8196" width="1.84375" style="694" customWidth="1"/>
    <col min="8197" max="8197" width="6.69140625" style="694" customWidth="1"/>
    <col min="8198" max="8198" width="14.84375" style="694" customWidth="1"/>
    <col min="8199" max="8199" width="9" style="694" bestFit="1" customWidth="1"/>
    <col min="8200" max="8440" width="5" style="694"/>
    <col min="8441" max="8441" width="4.69140625" style="694" customWidth="1"/>
    <col min="8442" max="8442" width="2" style="694" customWidth="1"/>
    <col min="8443" max="8443" width="40.69140625" style="694" customWidth="1"/>
    <col min="8444" max="8444" width="3.53515625" style="694" customWidth="1"/>
    <col min="8445" max="8445" width="11.07421875" style="694" customWidth="1"/>
    <col min="8446" max="8446" width="2.69140625" style="694" customWidth="1"/>
    <col min="8447" max="8447" width="11.07421875" style="694" customWidth="1"/>
    <col min="8448" max="8448" width="2.69140625" style="694" customWidth="1"/>
    <col min="8449" max="8449" width="11.07421875" style="694" customWidth="1"/>
    <col min="8450" max="8450" width="2.69140625" style="694" customWidth="1"/>
    <col min="8451" max="8451" width="19.07421875" style="694" bestFit="1" customWidth="1"/>
    <col min="8452" max="8452" width="1.84375" style="694" customWidth="1"/>
    <col min="8453" max="8453" width="6.69140625" style="694" customWidth="1"/>
    <col min="8454" max="8454" width="14.84375" style="694" customWidth="1"/>
    <col min="8455" max="8455" width="9" style="694" bestFit="1" customWidth="1"/>
    <col min="8456" max="8696" width="5" style="694"/>
    <col min="8697" max="8697" width="4.69140625" style="694" customWidth="1"/>
    <col min="8698" max="8698" width="2" style="694" customWidth="1"/>
    <col min="8699" max="8699" width="40.69140625" style="694" customWidth="1"/>
    <col min="8700" max="8700" width="3.53515625" style="694" customWidth="1"/>
    <col min="8701" max="8701" width="11.07421875" style="694" customWidth="1"/>
    <col min="8702" max="8702" width="2.69140625" style="694" customWidth="1"/>
    <col min="8703" max="8703" width="11.07421875" style="694" customWidth="1"/>
    <col min="8704" max="8704" width="2.69140625" style="694" customWidth="1"/>
    <col min="8705" max="8705" width="11.07421875" style="694" customWidth="1"/>
    <col min="8706" max="8706" width="2.69140625" style="694" customWidth="1"/>
    <col min="8707" max="8707" width="19.07421875" style="694" bestFit="1" customWidth="1"/>
    <col min="8708" max="8708" width="1.84375" style="694" customWidth="1"/>
    <col min="8709" max="8709" width="6.69140625" style="694" customWidth="1"/>
    <col min="8710" max="8710" width="14.84375" style="694" customWidth="1"/>
    <col min="8711" max="8711" width="9" style="694" bestFit="1" customWidth="1"/>
    <col min="8712" max="8952" width="5" style="694"/>
    <col min="8953" max="8953" width="4.69140625" style="694" customWidth="1"/>
    <col min="8954" max="8954" width="2" style="694" customWidth="1"/>
    <col min="8955" max="8955" width="40.69140625" style="694" customWidth="1"/>
    <col min="8956" max="8956" width="3.53515625" style="694" customWidth="1"/>
    <col min="8957" max="8957" width="11.07421875" style="694" customWidth="1"/>
    <col min="8958" max="8958" width="2.69140625" style="694" customWidth="1"/>
    <col min="8959" max="8959" width="11.07421875" style="694" customWidth="1"/>
    <col min="8960" max="8960" width="2.69140625" style="694" customWidth="1"/>
    <col min="8961" max="8961" width="11.07421875" style="694" customWidth="1"/>
    <col min="8962" max="8962" width="2.69140625" style="694" customWidth="1"/>
    <col min="8963" max="8963" width="19.07421875" style="694" bestFit="1" customWidth="1"/>
    <col min="8964" max="8964" width="1.84375" style="694" customWidth="1"/>
    <col min="8965" max="8965" width="6.69140625" style="694" customWidth="1"/>
    <col min="8966" max="8966" width="14.84375" style="694" customWidth="1"/>
    <col min="8967" max="8967" width="9" style="694" bestFit="1" customWidth="1"/>
    <col min="8968" max="9208" width="5" style="694"/>
    <col min="9209" max="9209" width="4.69140625" style="694" customWidth="1"/>
    <col min="9210" max="9210" width="2" style="694" customWidth="1"/>
    <col min="9211" max="9211" width="40.69140625" style="694" customWidth="1"/>
    <col min="9212" max="9212" width="3.53515625" style="694" customWidth="1"/>
    <col min="9213" max="9213" width="11.07421875" style="694" customWidth="1"/>
    <col min="9214" max="9214" width="2.69140625" style="694" customWidth="1"/>
    <col min="9215" max="9215" width="11.07421875" style="694" customWidth="1"/>
    <col min="9216" max="9216" width="2.69140625" style="694" customWidth="1"/>
    <col min="9217" max="9217" width="11.07421875" style="694" customWidth="1"/>
    <col min="9218" max="9218" width="2.69140625" style="694" customWidth="1"/>
    <col min="9219" max="9219" width="19.07421875" style="694" bestFit="1" customWidth="1"/>
    <col min="9220" max="9220" width="1.84375" style="694" customWidth="1"/>
    <col min="9221" max="9221" width="6.69140625" style="694" customWidth="1"/>
    <col min="9222" max="9222" width="14.84375" style="694" customWidth="1"/>
    <col min="9223" max="9223" width="9" style="694" bestFit="1" customWidth="1"/>
    <col min="9224" max="9464" width="5" style="694"/>
    <col min="9465" max="9465" width="4.69140625" style="694" customWidth="1"/>
    <col min="9466" max="9466" width="2" style="694" customWidth="1"/>
    <col min="9467" max="9467" width="40.69140625" style="694" customWidth="1"/>
    <col min="9468" max="9468" width="3.53515625" style="694" customWidth="1"/>
    <col min="9469" max="9469" width="11.07421875" style="694" customWidth="1"/>
    <col min="9470" max="9470" width="2.69140625" style="694" customWidth="1"/>
    <col min="9471" max="9471" width="11.07421875" style="694" customWidth="1"/>
    <col min="9472" max="9472" width="2.69140625" style="694" customWidth="1"/>
    <col min="9473" max="9473" width="11.07421875" style="694" customWidth="1"/>
    <col min="9474" max="9474" width="2.69140625" style="694" customWidth="1"/>
    <col min="9475" max="9475" width="19.07421875" style="694" bestFit="1" customWidth="1"/>
    <col min="9476" max="9476" width="1.84375" style="694" customWidth="1"/>
    <col min="9477" max="9477" width="6.69140625" style="694" customWidth="1"/>
    <col min="9478" max="9478" width="14.84375" style="694" customWidth="1"/>
    <col min="9479" max="9479" width="9" style="694" bestFit="1" customWidth="1"/>
    <col min="9480" max="9720" width="5" style="694"/>
    <col min="9721" max="9721" width="4.69140625" style="694" customWidth="1"/>
    <col min="9722" max="9722" width="2" style="694" customWidth="1"/>
    <col min="9723" max="9723" width="40.69140625" style="694" customWidth="1"/>
    <col min="9724" max="9724" width="3.53515625" style="694" customWidth="1"/>
    <col min="9725" max="9725" width="11.07421875" style="694" customWidth="1"/>
    <col min="9726" max="9726" width="2.69140625" style="694" customWidth="1"/>
    <col min="9727" max="9727" width="11.07421875" style="694" customWidth="1"/>
    <col min="9728" max="9728" width="2.69140625" style="694" customWidth="1"/>
    <col min="9729" max="9729" width="11.07421875" style="694" customWidth="1"/>
    <col min="9730" max="9730" width="2.69140625" style="694" customWidth="1"/>
    <col min="9731" max="9731" width="19.07421875" style="694" bestFit="1" customWidth="1"/>
    <col min="9732" max="9732" width="1.84375" style="694" customWidth="1"/>
    <col min="9733" max="9733" width="6.69140625" style="694" customWidth="1"/>
    <col min="9734" max="9734" width="14.84375" style="694" customWidth="1"/>
    <col min="9735" max="9735" width="9" style="694" bestFit="1" customWidth="1"/>
    <col min="9736" max="9976" width="5" style="694"/>
    <col min="9977" max="9977" width="4.69140625" style="694" customWidth="1"/>
    <col min="9978" max="9978" width="2" style="694" customWidth="1"/>
    <col min="9979" max="9979" width="40.69140625" style="694" customWidth="1"/>
    <col min="9980" max="9980" width="3.53515625" style="694" customWidth="1"/>
    <col min="9981" max="9981" width="11.07421875" style="694" customWidth="1"/>
    <col min="9982" max="9982" width="2.69140625" style="694" customWidth="1"/>
    <col min="9983" max="9983" width="11.07421875" style="694" customWidth="1"/>
    <col min="9984" max="9984" width="2.69140625" style="694" customWidth="1"/>
    <col min="9985" max="9985" width="11.07421875" style="694" customWidth="1"/>
    <col min="9986" max="9986" width="2.69140625" style="694" customWidth="1"/>
    <col min="9987" max="9987" width="19.07421875" style="694" bestFit="1" customWidth="1"/>
    <col min="9988" max="9988" width="1.84375" style="694" customWidth="1"/>
    <col min="9989" max="9989" width="6.69140625" style="694" customWidth="1"/>
    <col min="9990" max="9990" width="14.84375" style="694" customWidth="1"/>
    <col min="9991" max="9991" width="9" style="694" bestFit="1" customWidth="1"/>
    <col min="9992" max="10232" width="5" style="694"/>
    <col min="10233" max="10233" width="4.69140625" style="694" customWidth="1"/>
    <col min="10234" max="10234" width="2" style="694" customWidth="1"/>
    <col min="10235" max="10235" width="40.69140625" style="694" customWidth="1"/>
    <col min="10236" max="10236" width="3.53515625" style="694" customWidth="1"/>
    <col min="10237" max="10237" width="11.07421875" style="694" customWidth="1"/>
    <col min="10238" max="10238" width="2.69140625" style="694" customWidth="1"/>
    <col min="10239" max="10239" width="11.07421875" style="694" customWidth="1"/>
    <col min="10240" max="10240" width="2.69140625" style="694" customWidth="1"/>
    <col min="10241" max="10241" width="11.07421875" style="694" customWidth="1"/>
    <col min="10242" max="10242" width="2.69140625" style="694" customWidth="1"/>
    <col min="10243" max="10243" width="19.07421875" style="694" bestFit="1" customWidth="1"/>
    <col min="10244" max="10244" width="1.84375" style="694" customWidth="1"/>
    <col min="10245" max="10245" width="6.69140625" style="694" customWidth="1"/>
    <col min="10246" max="10246" width="14.84375" style="694" customWidth="1"/>
    <col min="10247" max="10247" width="9" style="694" bestFit="1" customWidth="1"/>
    <col min="10248" max="10488" width="5" style="694"/>
    <col min="10489" max="10489" width="4.69140625" style="694" customWidth="1"/>
    <col min="10490" max="10490" width="2" style="694" customWidth="1"/>
    <col min="10491" max="10491" width="40.69140625" style="694" customWidth="1"/>
    <col min="10492" max="10492" width="3.53515625" style="694" customWidth="1"/>
    <col min="10493" max="10493" width="11.07421875" style="694" customWidth="1"/>
    <col min="10494" max="10494" width="2.69140625" style="694" customWidth="1"/>
    <col min="10495" max="10495" width="11.07421875" style="694" customWidth="1"/>
    <col min="10496" max="10496" width="2.69140625" style="694" customWidth="1"/>
    <col min="10497" max="10497" width="11.07421875" style="694" customWidth="1"/>
    <col min="10498" max="10498" width="2.69140625" style="694" customWidth="1"/>
    <col min="10499" max="10499" width="19.07421875" style="694" bestFit="1" customWidth="1"/>
    <col min="10500" max="10500" width="1.84375" style="694" customWidth="1"/>
    <col min="10501" max="10501" width="6.69140625" style="694" customWidth="1"/>
    <col min="10502" max="10502" width="14.84375" style="694" customWidth="1"/>
    <col min="10503" max="10503" width="9" style="694" bestFit="1" customWidth="1"/>
    <col min="10504" max="10744" width="5" style="694"/>
    <col min="10745" max="10745" width="4.69140625" style="694" customWidth="1"/>
    <col min="10746" max="10746" width="2" style="694" customWidth="1"/>
    <col min="10747" max="10747" width="40.69140625" style="694" customWidth="1"/>
    <col min="10748" max="10748" width="3.53515625" style="694" customWidth="1"/>
    <col min="10749" max="10749" width="11.07421875" style="694" customWidth="1"/>
    <col min="10750" max="10750" width="2.69140625" style="694" customWidth="1"/>
    <col min="10751" max="10751" width="11.07421875" style="694" customWidth="1"/>
    <col min="10752" max="10752" width="2.69140625" style="694" customWidth="1"/>
    <col min="10753" max="10753" width="11.07421875" style="694" customWidth="1"/>
    <col min="10754" max="10754" width="2.69140625" style="694" customWidth="1"/>
    <col min="10755" max="10755" width="19.07421875" style="694" bestFit="1" customWidth="1"/>
    <col min="10756" max="10756" width="1.84375" style="694" customWidth="1"/>
    <col min="10757" max="10757" width="6.69140625" style="694" customWidth="1"/>
    <col min="10758" max="10758" width="14.84375" style="694" customWidth="1"/>
    <col min="10759" max="10759" width="9" style="694" bestFit="1" customWidth="1"/>
    <col min="10760" max="11000" width="5" style="694"/>
    <col min="11001" max="11001" width="4.69140625" style="694" customWidth="1"/>
    <col min="11002" max="11002" width="2" style="694" customWidth="1"/>
    <col min="11003" max="11003" width="40.69140625" style="694" customWidth="1"/>
    <col min="11004" max="11004" width="3.53515625" style="694" customWidth="1"/>
    <col min="11005" max="11005" width="11.07421875" style="694" customWidth="1"/>
    <col min="11006" max="11006" width="2.69140625" style="694" customWidth="1"/>
    <col min="11007" max="11007" width="11.07421875" style="694" customWidth="1"/>
    <col min="11008" max="11008" width="2.69140625" style="694" customWidth="1"/>
    <col min="11009" max="11009" width="11.07421875" style="694" customWidth="1"/>
    <col min="11010" max="11010" width="2.69140625" style="694" customWidth="1"/>
    <col min="11011" max="11011" width="19.07421875" style="694" bestFit="1" customWidth="1"/>
    <col min="11012" max="11012" width="1.84375" style="694" customWidth="1"/>
    <col min="11013" max="11013" width="6.69140625" style="694" customWidth="1"/>
    <col min="11014" max="11014" width="14.84375" style="694" customWidth="1"/>
    <col min="11015" max="11015" width="9" style="694" bestFit="1" customWidth="1"/>
    <col min="11016" max="11256" width="5" style="694"/>
    <col min="11257" max="11257" width="4.69140625" style="694" customWidth="1"/>
    <col min="11258" max="11258" width="2" style="694" customWidth="1"/>
    <col min="11259" max="11259" width="40.69140625" style="694" customWidth="1"/>
    <col min="11260" max="11260" width="3.53515625" style="694" customWidth="1"/>
    <col min="11261" max="11261" width="11.07421875" style="694" customWidth="1"/>
    <col min="11262" max="11262" width="2.69140625" style="694" customWidth="1"/>
    <col min="11263" max="11263" width="11.07421875" style="694" customWidth="1"/>
    <col min="11264" max="11264" width="2.69140625" style="694" customWidth="1"/>
    <col min="11265" max="11265" width="11.07421875" style="694" customWidth="1"/>
    <col min="11266" max="11266" width="2.69140625" style="694" customWidth="1"/>
    <col min="11267" max="11267" width="19.07421875" style="694" bestFit="1" customWidth="1"/>
    <col min="11268" max="11268" width="1.84375" style="694" customWidth="1"/>
    <col min="11269" max="11269" width="6.69140625" style="694" customWidth="1"/>
    <col min="11270" max="11270" width="14.84375" style="694" customWidth="1"/>
    <col min="11271" max="11271" width="9" style="694" bestFit="1" customWidth="1"/>
    <col min="11272" max="11512" width="5" style="694"/>
    <col min="11513" max="11513" width="4.69140625" style="694" customWidth="1"/>
    <col min="11514" max="11514" width="2" style="694" customWidth="1"/>
    <col min="11515" max="11515" width="40.69140625" style="694" customWidth="1"/>
    <col min="11516" max="11516" width="3.53515625" style="694" customWidth="1"/>
    <col min="11517" max="11517" width="11.07421875" style="694" customWidth="1"/>
    <col min="11518" max="11518" width="2.69140625" style="694" customWidth="1"/>
    <col min="11519" max="11519" width="11.07421875" style="694" customWidth="1"/>
    <col min="11520" max="11520" width="2.69140625" style="694" customWidth="1"/>
    <col min="11521" max="11521" width="11.07421875" style="694" customWidth="1"/>
    <col min="11522" max="11522" width="2.69140625" style="694" customWidth="1"/>
    <col min="11523" max="11523" width="19.07421875" style="694" bestFit="1" customWidth="1"/>
    <col min="11524" max="11524" width="1.84375" style="694" customWidth="1"/>
    <col min="11525" max="11525" width="6.69140625" style="694" customWidth="1"/>
    <col min="11526" max="11526" width="14.84375" style="694" customWidth="1"/>
    <col min="11527" max="11527" width="9" style="694" bestFit="1" customWidth="1"/>
    <col min="11528" max="11768" width="5" style="694"/>
    <col min="11769" max="11769" width="4.69140625" style="694" customWidth="1"/>
    <col min="11770" max="11770" width="2" style="694" customWidth="1"/>
    <col min="11771" max="11771" width="40.69140625" style="694" customWidth="1"/>
    <col min="11772" max="11772" width="3.53515625" style="694" customWidth="1"/>
    <col min="11773" max="11773" width="11.07421875" style="694" customWidth="1"/>
    <col min="11774" max="11774" width="2.69140625" style="694" customWidth="1"/>
    <col min="11775" max="11775" width="11.07421875" style="694" customWidth="1"/>
    <col min="11776" max="11776" width="2.69140625" style="694" customWidth="1"/>
    <col min="11777" max="11777" width="11.07421875" style="694" customWidth="1"/>
    <col min="11778" max="11778" width="2.69140625" style="694" customWidth="1"/>
    <col min="11779" max="11779" width="19.07421875" style="694" bestFit="1" customWidth="1"/>
    <col min="11780" max="11780" width="1.84375" style="694" customWidth="1"/>
    <col min="11781" max="11781" width="6.69140625" style="694" customWidth="1"/>
    <col min="11782" max="11782" width="14.84375" style="694" customWidth="1"/>
    <col min="11783" max="11783" width="9" style="694" bestFit="1" customWidth="1"/>
    <col min="11784" max="12024" width="5" style="694"/>
    <col min="12025" max="12025" width="4.69140625" style="694" customWidth="1"/>
    <col min="12026" max="12026" width="2" style="694" customWidth="1"/>
    <col min="12027" max="12027" width="40.69140625" style="694" customWidth="1"/>
    <col min="12028" max="12028" width="3.53515625" style="694" customWidth="1"/>
    <col min="12029" max="12029" width="11.07421875" style="694" customWidth="1"/>
    <col min="12030" max="12030" width="2.69140625" style="694" customWidth="1"/>
    <col min="12031" max="12031" width="11.07421875" style="694" customWidth="1"/>
    <col min="12032" max="12032" width="2.69140625" style="694" customWidth="1"/>
    <col min="12033" max="12033" width="11.07421875" style="694" customWidth="1"/>
    <col min="12034" max="12034" width="2.69140625" style="694" customWidth="1"/>
    <col min="12035" max="12035" width="19.07421875" style="694" bestFit="1" customWidth="1"/>
    <col min="12036" max="12036" width="1.84375" style="694" customWidth="1"/>
    <col min="12037" max="12037" width="6.69140625" style="694" customWidth="1"/>
    <col min="12038" max="12038" width="14.84375" style="694" customWidth="1"/>
    <col min="12039" max="12039" width="9" style="694" bestFit="1" customWidth="1"/>
    <col min="12040" max="12280" width="5" style="694"/>
    <col min="12281" max="12281" width="4.69140625" style="694" customWidth="1"/>
    <col min="12282" max="12282" width="2" style="694" customWidth="1"/>
    <col min="12283" max="12283" width="40.69140625" style="694" customWidth="1"/>
    <col min="12284" max="12284" width="3.53515625" style="694" customWidth="1"/>
    <col min="12285" max="12285" width="11.07421875" style="694" customWidth="1"/>
    <col min="12286" max="12286" width="2.69140625" style="694" customWidth="1"/>
    <col min="12287" max="12287" width="11.07421875" style="694" customWidth="1"/>
    <col min="12288" max="12288" width="2.69140625" style="694" customWidth="1"/>
    <col min="12289" max="12289" width="11.07421875" style="694" customWidth="1"/>
    <col min="12290" max="12290" width="2.69140625" style="694" customWidth="1"/>
    <col min="12291" max="12291" width="19.07421875" style="694" bestFit="1" customWidth="1"/>
    <col min="12292" max="12292" width="1.84375" style="694" customWidth="1"/>
    <col min="12293" max="12293" width="6.69140625" style="694" customWidth="1"/>
    <col min="12294" max="12294" width="14.84375" style="694" customWidth="1"/>
    <col min="12295" max="12295" width="9" style="694" bestFit="1" customWidth="1"/>
    <col min="12296" max="12536" width="5" style="694"/>
    <col min="12537" max="12537" width="4.69140625" style="694" customWidth="1"/>
    <col min="12538" max="12538" width="2" style="694" customWidth="1"/>
    <col min="12539" max="12539" width="40.69140625" style="694" customWidth="1"/>
    <col min="12540" max="12540" width="3.53515625" style="694" customWidth="1"/>
    <col min="12541" max="12541" width="11.07421875" style="694" customWidth="1"/>
    <col min="12542" max="12542" width="2.69140625" style="694" customWidth="1"/>
    <col min="12543" max="12543" width="11.07421875" style="694" customWidth="1"/>
    <col min="12544" max="12544" width="2.69140625" style="694" customWidth="1"/>
    <col min="12545" max="12545" width="11.07421875" style="694" customWidth="1"/>
    <col min="12546" max="12546" width="2.69140625" style="694" customWidth="1"/>
    <col min="12547" max="12547" width="19.07421875" style="694" bestFit="1" customWidth="1"/>
    <col min="12548" max="12548" width="1.84375" style="694" customWidth="1"/>
    <col min="12549" max="12549" width="6.69140625" style="694" customWidth="1"/>
    <col min="12550" max="12550" width="14.84375" style="694" customWidth="1"/>
    <col min="12551" max="12551" width="9" style="694" bestFit="1" customWidth="1"/>
    <col min="12552" max="12792" width="5" style="694"/>
    <col min="12793" max="12793" width="4.69140625" style="694" customWidth="1"/>
    <col min="12794" max="12794" width="2" style="694" customWidth="1"/>
    <col min="12795" max="12795" width="40.69140625" style="694" customWidth="1"/>
    <col min="12796" max="12796" width="3.53515625" style="694" customWidth="1"/>
    <col min="12797" max="12797" width="11.07421875" style="694" customWidth="1"/>
    <col min="12798" max="12798" width="2.69140625" style="694" customWidth="1"/>
    <col min="12799" max="12799" width="11.07421875" style="694" customWidth="1"/>
    <col min="12800" max="12800" width="2.69140625" style="694" customWidth="1"/>
    <col min="12801" max="12801" width="11.07421875" style="694" customWidth="1"/>
    <col min="12802" max="12802" width="2.69140625" style="694" customWidth="1"/>
    <col min="12803" max="12803" width="19.07421875" style="694" bestFit="1" customWidth="1"/>
    <col min="12804" max="12804" width="1.84375" style="694" customWidth="1"/>
    <col min="12805" max="12805" width="6.69140625" style="694" customWidth="1"/>
    <col min="12806" max="12806" width="14.84375" style="694" customWidth="1"/>
    <col min="12807" max="12807" width="9" style="694" bestFit="1" customWidth="1"/>
    <col min="12808" max="13048" width="5" style="694"/>
    <col min="13049" max="13049" width="4.69140625" style="694" customWidth="1"/>
    <col min="13050" max="13050" width="2" style="694" customWidth="1"/>
    <col min="13051" max="13051" width="40.69140625" style="694" customWidth="1"/>
    <col min="13052" max="13052" width="3.53515625" style="694" customWidth="1"/>
    <col min="13053" max="13053" width="11.07421875" style="694" customWidth="1"/>
    <col min="13054" max="13054" width="2.69140625" style="694" customWidth="1"/>
    <col min="13055" max="13055" width="11.07421875" style="694" customWidth="1"/>
    <col min="13056" max="13056" width="2.69140625" style="694" customWidth="1"/>
    <col min="13057" max="13057" width="11.07421875" style="694" customWidth="1"/>
    <col min="13058" max="13058" width="2.69140625" style="694" customWidth="1"/>
    <col min="13059" max="13059" width="19.07421875" style="694" bestFit="1" customWidth="1"/>
    <col min="13060" max="13060" width="1.84375" style="694" customWidth="1"/>
    <col min="13061" max="13061" width="6.69140625" style="694" customWidth="1"/>
    <col min="13062" max="13062" width="14.84375" style="694" customWidth="1"/>
    <col min="13063" max="13063" width="9" style="694" bestFit="1" customWidth="1"/>
    <col min="13064" max="13304" width="5" style="694"/>
    <col min="13305" max="13305" width="4.69140625" style="694" customWidth="1"/>
    <col min="13306" max="13306" width="2" style="694" customWidth="1"/>
    <col min="13307" max="13307" width="40.69140625" style="694" customWidth="1"/>
    <col min="13308" max="13308" width="3.53515625" style="694" customWidth="1"/>
    <col min="13309" max="13309" width="11.07421875" style="694" customWidth="1"/>
    <col min="13310" max="13310" width="2.69140625" style="694" customWidth="1"/>
    <col min="13311" max="13311" width="11.07421875" style="694" customWidth="1"/>
    <col min="13312" max="13312" width="2.69140625" style="694" customWidth="1"/>
    <col min="13313" max="13313" width="11.07421875" style="694" customWidth="1"/>
    <col min="13314" max="13314" width="2.69140625" style="694" customWidth="1"/>
    <col min="13315" max="13315" width="19.07421875" style="694" bestFit="1" customWidth="1"/>
    <col min="13316" max="13316" width="1.84375" style="694" customWidth="1"/>
    <col min="13317" max="13317" width="6.69140625" style="694" customWidth="1"/>
    <col min="13318" max="13318" width="14.84375" style="694" customWidth="1"/>
    <col min="13319" max="13319" width="9" style="694" bestFit="1" customWidth="1"/>
    <col min="13320" max="13560" width="5" style="694"/>
    <col min="13561" max="13561" width="4.69140625" style="694" customWidth="1"/>
    <col min="13562" max="13562" width="2" style="694" customWidth="1"/>
    <col min="13563" max="13563" width="40.69140625" style="694" customWidth="1"/>
    <col min="13564" max="13564" width="3.53515625" style="694" customWidth="1"/>
    <col min="13565" max="13565" width="11.07421875" style="694" customWidth="1"/>
    <col min="13566" max="13566" width="2.69140625" style="694" customWidth="1"/>
    <col min="13567" max="13567" width="11.07421875" style="694" customWidth="1"/>
    <col min="13568" max="13568" width="2.69140625" style="694" customWidth="1"/>
    <col min="13569" max="13569" width="11.07421875" style="694" customWidth="1"/>
    <col min="13570" max="13570" width="2.69140625" style="694" customWidth="1"/>
    <col min="13571" max="13571" width="19.07421875" style="694" bestFit="1" customWidth="1"/>
    <col min="13572" max="13572" width="1.84375" style="694" customWidth="1"/>
    <col min="13573" max="13573" width="6.69140625" style="694" customWidth="1"/>
    <col min="13574" max="13574" width="14.84375" style="694" customWidth="1"/>
    <col min="13575" max="13575" width="9" style="694" bestFit="1" customWidth="1"/>
    <col min="13576" max="13816" width="5" style="694"/>
    <col min="13817" max="13817" width="4.69140625" style="694" customWidth="1"/>
    <col min="13818" max="13818" width="2" style="694" customWidth="1"/>
    <col min="13819" max="13819" width="40.69140625" style="694" customWidth="1"/>
    <col min="13820" max="13820" width="3.53515625" style="694" customWidth="1"/>
    <col min="13821" max="13821" width="11.07421875" style="694" customWidth="1"/>
    <col min="13822" max="13822" width="2.69140625" style="694" customWidth="1"/>
    <col min="13823" max="13823" width="11.07421875" style="694" customWidth="1"/>
    <col min="13824" max="13824" width="2.69140625" style="694" customWidth="1"/>
    <col min="13825" max="13825" width="11.07421875" style="694" customWidth="1"/>
    <col min="13826" max="13826" width="2.69140625" style="694" customWidth="1"/>
    <col min="13827" max="13827" width="19.07421875" style="694" bestFit="1" customWidth="1"/>
    <col min="13828" max="13828" width="1.84375" style="694" customWidth="1"/>
    <col min="13829" max="13829" width="6.69140625" style="694" customWidth="1"/>
    <col min="13830" max="13830" width="14.84375" style="694" customWidth="1"/>
    <col min="13831" max="13831" width="9" style="694" bestFit="1" customWidth="1"/>
    <col min="13832" max="14072" width="5" style="694"/>
    <col min="14073" max="14073" width="4.69140625" style="694" customWidth="1"/>
    <col min="14074" max="14074" width="2" style="694" customWidth="1"/>
    <col min="14075" max="14075" width="40.69140625" style="694" customWidth="1"/>
    <col min="14076" max="14076" width="3.53515625" style="694" customWidth="1"/>
    <col min="14077" max="14077" width="11.07421875" style="694" customWidth="1"/>
    <col min="14078" max="14078" width="2.69140625" style="694" customWidth="1"/>
    <col min="14079" max="14079" width="11.07421875" style="694" customWidth="1"/>
    <col min="14080" max="14080" width="2.69140625" style="694" customWidth="1"/>
    <col min="14081" max="14081" width="11.07421875" style="694" customWidth="1"/>
    <col min="14082" max="14082" width="2.69140625" style="694" customWidth="1"/>
    <col min="14083" max="14083" width="19.07421875" style="694" bestFit="1" customWidth="1"/>
    <col min="14084" max="14084" width="1.84375" style="694" customWidth="1"/>
    <col min="14085" max="14085" width="6.69140625" style="694" customWidth="1"/>
    <col min="14086" max="14086" width="14.84375" style="694" customWidth="1"/>
    <col min="14087" max="14087" width="9" style="694" bestFit="1" customWidth="1"/>
    <col min="14088" max="14328" width="5" style="694"/>
    <col min="14329" max="14329" width="4.69140625" style="694" customWidth="1"/>
    <col min="14330" max="14330" width="2" style="694" customWidth="1"/>
    <col min="14331" max="14331" width="40.69140625" style="694" customWidth="1"/>
    <col min="14332" max="14332" width="3.53515625" style="694" customWidth="1"/>
    <col min="14333" max="14333" width="11.07421875" style="694" customWidth="1"/>
    <col min="14334" max="14334" width="2.69140625" style="694" customWidth="1"/>
    <col min="14335" max="14335" width="11.07421875" style="694" customWidth="1"/>
    <col min="14336" max="14336" width="2.69140625" style="694" customWidth="1"/>
    <col min="14337" max="14337" width="11.07421875" style="694" customWidth="1"/>
    <col min="14338" max="14338" width="2.69140625" style="694" customWidth="1"/>
    <col min="14339" max="14339" width="19.07421875" style="694" bestFit="1" customWidth="1"/>
    <col min="14340" max="14340" width="1.84375" style="694" customWidth="1"/>
    <col min="14341" max="14341" width="6.69140625" style="694" customWidth="1"/>
    <col min="14342" max="14342" width="14.84375" style="694" customWidth="1"/>
    <col min="14343" max="14343" width="9" style="694" bestFit="1" customWidth="1"/>
    <col min="14344" max="14584" width="5" style="694"/>
    <col min="14585" max="14585" width="4.69140625" style="694" customWidth="1"/>
    <col min="14586" max="14586" width="2" style="694" customWidth="1"/>
    <col min="14587" max="14587" width="40.69140625" style="694" customWidth="1"/>
    <col min="14588" max="14588" width="3.53515625" style="694" customWidth="1"/>
    <col min="14589" max="14589" width="11.07421875" style="694" customWidth="1"/>
    <col min="14590" max="14590" width="2.69140625" style="694" customWidth="1"/>
    <col min="14591" max="14591" width="11.07421875" style="694" customWidth="1"/>
    <col min="14592" max="14592" width="2.69140625" style="694" customWidth="1"/>
    <col min="14593" max="14593" width="11.07421875" style="694" customWidth="1"/>
    <col min="14594" max="14594" width="2.69140625" style="694" customWidth="1"/>
    <col min="14595" max="14595" width="19.07421875" style="694" bestFit="1" customWidth="1"/>
    <col min="14596" max="14596" width="1.84375" style="694" customWidth="1"/>
    <col min="14597" max="14597" width="6.69140625" style="694" customWidth="1"/>
    <col min="14598" max="14598" width="14.84375" style="694" customWidth="1"/>
    <col min="14599" max="14599" width="9" style="694" bestFit="1" customWidth="1"/>
    <col min="14600" max="14840" width="5" style="694"/>
    <col min="14841" max="14841" width="4.69140625" style="694" customWidth="1"/>
    <col min="14842" max="14842" width="2" style="694" customWidth="1"/>
    <col min="14843" max="14843" width="40.69140625" style="694" customWidth="1"/>
    <col min="14844" max="14844" width="3.53515625" style="694" customWidth="1"/>
    <col min="14845" max="14845" width="11.07421875" style="694" customWidth="1"/>
    <col min="14846" max="14846" width="2.69140625" style="694" customWidth="1"/>
    <col min="14847" max="14847" width="11.07421875" style="694" customWidth="1"/>
    <col min="14848" max="14848" width="2.69140625" style="694" customWidth="1"/>
    <col min="14849" max="14849" width="11.07421875" style="694" customWidth="1"/>
    <col min="14850" max="14850" width="2.69140625" style="694" customWidth="1"/>
    <col min="14851" max="14851" width="19.07421875" style="694" bestFit="1" customWidth="1"/>
    <col min="14852" max="14852" width="1.84375" style="694" customWidth="1"/>
    <col min="14853" max="14853" width="6.69140625" style="694" customWidth="1"/>
    <col min="14854" max="14854" width="14.84375" style="694" customWidth="1"/>
    <col min="14855" max="14855" width="9" style="694" bestFit="1" customWidth="1"/>
    <col min="14856" max="15096" width="5" style="694"/>
    <col min="15097" max="15097" width="4.69140625" style="694" customWidth="1"/>
    <col min="15098" max="15098" width="2" style="694" customWidth="1"/>
    <col min="15099" max="15099" width="40.69140625" style="694" customWidth="1"/>
    <col min="15100" max="15100" width="3.53515625" style="694" customWidth="1"/>
    <col min="15101" max="15101" width="11.07421875" style="694" customWidth="1"/>
    <col min="15102" max="15102" width="2.69140625" style="694" customWidth="1"/>
    <col min="15103" max="15103" width="11.07421875" style="694" customWidth="1"/>
    <col min="15104" max="15104" width="2.69140625" style="694" customWidth="1"/>
    <col min="15105" max="15105" width="11.07421875" style="694" customWidth="1"/>
    <col min="15106" max="15106" width="2.69140625" style="694" customWidth="1"/>
    <col min="15107" max="15107" width="19.07421875" style="694" bestFit="1" customWidth="1"/>
    <col min="15108" max="15108" width="1.84375" style="694" customWidth="1"/>
    <col min="15109" max="15109" width="6.69140625" style="694" customWidth="1"/>
    <col min="15110" max="15110" width="14.84375" style="694" customWidth="1"/>
    <col min="15111" max="15111" width="9" style="694" bestFit="1" customWidth="1"/>
    <col min="15112" max="15352" width="5" style="694"/>
    <col min="15353" max="15353" width="4.69140625" style="694" customWidth="1"/>
    <col min="15354" max="15354" width="2" style="694" customWidth="1"/>
    <col min="15355" max="15355" width="40.69140625" style="694" customWidth="1"/>
    <col min="15356" max="15356" width="3.53515625" style="694" customWidth="1"/>
    <col min="15357" max="15357" width="11.07421875" style="694" customWidth="1"/>
    <col min="15358" max="15358" width="2.69140625" style="694" customWidth="1"/>
    <col min="15359" max="15359" width="11.07421875" style="694" customWidth="1"/>
    <col min="15360" max="15360" width="2.69140625" style="694" customWidth="1"/>
    <col min="15361" max="15361" width="11.07421875" style="694" customWidth="1"/>
    <col min="15362" max="15362" width="2.69140625" style="694" customWidth="1"/>
    <col min="15363" max="15363" width="19.07421875" style="694" bestFit="1" customWidth="1"/>
    <col min="15364" max="15364" width="1.84375" style="694" customWidth="1"/>
    <col min="15365" max="15365" width="6.69140625" style="694" customWidth="1"/>
    <col min="15366" max="15366" width="14.84375" style="694" customWidth="1"/>
    <col min="15367" max="15367" width="9" style="694" bestFit="1" customWidth="1"/>
    <col min="15368" max="15608" width="5" style="694"/>
    <col min="15609" max="15609" width="4.69140625" style="694" customWidth="1"/>
    <col min="15610" max="15610" width="2" style="694" customWidth="1"/>
    <col min="15611" max="15611" width="40.69140625" style="694" customWidth="1"/>
    <col min="15612" max="15612" width="3.53515625" style="694" customWidth="1"/>
    <col min="15613" max="15613" width="11.07421875" style="694" customWidth="1"/>
    <col min="15614" max="15614" width="2.69140625" style="694" customWidth="1"/>
    <col min="15615" max="15615" width="11.07421875" style="694" customWidth="1"/>
    <col min="15616" max="15616" width="2.69140625" style="694" customWidth="1"/>
    <col min="15617" max="15617" width="11.07421875" style="694" customWidth="1"/>
    <col min="15618" max="15618" width="2.69140625" style="694" customWidth="1"/>
    <col min="15619" max="15619" width="19.07421875" style="694" bestFit="1" customWidth="1"/>
    <col min="15620" max="15620" width="1.84375" style="694" customWidth="1"/>
    <col min="15621" max="15621" width="6.69140625" style="694" customWidth="1"/>
    <col min="15622" max="15622" width="14.84375" style="694" customWidth="1"/>
    <col min="15623" max="15623" width="9" style="694" bestFit="1" customWidth="1"/>
    <col min="15624" max="15864" width="5" style="694"/>
    <col min="15865" max="15865" width="4.69140625" style="694" customWidth="1"/>
    <col min="15866" max="15866" width="2" style="694" customWidth="1"/>
    <col min="15867" max="15867" width="40.69140625" style="694" customWidth="1"/>
    <col min="15868" max="15868" width="3.53515625" style="694" customWidth="1"/>
    <col min="15869" max="15869" width="11.07421875" style="694" customWidth="1"/>
    <col min="15870" max="15870" width="2.69140625" style="694" customWidth="1"/>
    <col min="15871" max="15871" width="11.07421875" style="694" customWidth="1"/>
    <col min="15872" max="15872" width="2.69140625" style="694" customWidth="1"/>
    <col min="15873" max="15873" width="11.07421875" style="694" customWidth="1"/>
    <col min="15874" max="15874" width="2.69140625" style="694" customWidth="1"/>
    <col min="15875" max="15875" width="19.07421875" style="694" bestFit="1" customWidth="1"/>
    <col min="15876" max="15876" width="1.84375" style="694" customWidth="1"/>
    <col min="15877" max="15877" width="6.69140625" style="694" customWidth="1"/>
    <col min="15878" max="15878" width="14.84375" style="694" customWidth="1"/>
    <col min="15879" max="15879" width="9" style="694" bestFit="1" customWidth="1"/>
    <col min="15880" max="16120" width="5" style="694"/>
    <col min="16121" max="16121" width="4.69140625" style="694" customWidth="1"/>
    <col min="16122" max="16122" width="2" style="694" customWidth="1"/>
    <col min="16123" max="16123" width="40.69140625" style="694" customWidth="1"/>
    <col min="16124" max="16124" width="3.53515625" style="694" customWidth="1"/>
    <col min="16125" max="16125" width="11.07421875" style="694" customWidth="1"/>
    <col min="16126" max="16126" width="2.69140625" style="694" customWidth="1"/>
    <col min="16127" max="16127" width="11.07421875" style="694" customWidth="1"/>
    <col min="16128" max="16128" width="2.69140625" style="694" customWidth="1"/>
    <col min="16129" max="16129" width="11.07421875" style="694" customWidth="1"/>
    <col min="16130" max="16130" width="2.69140625" style="694" customWidth="1"/>
    <col min="16131" max="16131" width="19.07421875" style="694" bestFit="1" customWidth="1"/>
    <col min="16132" max="16132" width="1.84375" style="694" customWidth="1"/>
    <col min="16133" max="16133" width="6.69140625" style="694" customWidth="1"/>
    <col min="16134" max="16134" width="14.84375" style="694" customWidth="1"/>
    <col min="16135" max="16135" width="9" style="694" bestFit="1" customWidth="1"/>
    <col min="16136" max="16384" width="5" style="694"/>
  </cols>
  <sheetData>
    <row r="1" spans="1:34">
      <c r="AG1"/>
      <c r="AH1" s="65" t="str">
        <f>'Attachment H-11A '!K1&amp;""&amp;", Attachment 17"</f>
        <v>Attachment H -11A, Attachment 17</v>
      </c>
    </row>
    <row r="2" spans="1:34">
      <c r="AG2"/>
      <c r="AH2" s="65" t="s">
        <v>168</v>
      </c>
    </row>
    <row r="3" spans="1:34" ht="17.5">
      <c r="M3" s="886" t="s">
        <v>915</v>
      </c>
      <c r="N3" s="887"/>
      <c r="O3" s="886"/>
      <c r="P3" s="887"/>
      <c r="AG3"/>
      <c r="AH3" s="3" t="str">
        <f>'Attachment H-11A '!K4</f>
        <v>For the 12 months ended 12/31/2025</v>
      </c>
    </row>
    <row r="5" spans="1:34">
      <c r="C5" s="693" t="s">
        <v>688</v>
      </c>
      <c r="E5" s="693" t="str">
        <f>"("&amp;CHAR(CODE(MID(C5,2,1))+1)&amp;")"</f>
        <v>(B)</v>
      </c>
      <c r="F5" s="693"/>
      <c r="G5" s="693" t="str">
        <f t="shared" ref="G5:K5" si="0">"("&amp;CHAR(CODE(MID(E5,2,1))+1)&amp;")"</f>
        <v>(C)</v>
      </c>
      <c r="H5" s="693"/>
      <c r="I5" s="693" t="str">
        <f t="shared" si="0"/>
        <v>(D)</v>
      </c>
      <c r="J5" s="693"/>
      <c r="K5" s="693" t="str">
        <f t="shared" si="0"/>
        <v>(E)</v>
      </c>
      <c r="M5" s="693" t="str">
        <f>"("&amp;CHAR(CODE(MID(K5,2,1))+1)&amp;")"</f>
        <v>(F)</v>
      </c>
      <c r="O5" s="693" t="str">
        <f>"("&amp;CHAR(CODE(MID(M5,2,1))+1)&amp;")"</f>
        <v>(G)</v>
      </c>
      <c r="Q5" s="693" t="str">
        <f>"("&amp;CHAR(CODE(MID(O5,2,1))+1)&amp;")"</f>
        <v>(H)</v>
      </c>
      <c r="S5" s="693" t="str">
        <f>"("&amp;CHAR(CODE(MID(Q5,2,1))+1)&amp;")"</f>
        <v>(I)</v>
      </c>
      <c r="U5" s="693" t="str">
        <f>"("&amp;CHAR(CODE(MID(S5,2,1))+1)&amp;")"</f>
        <v>(J)</v>
      </c>
      <c r="W5" s="693" t="str">
        <f>"("&amp;CHAR(CODE(MID(U5,2,1))+1)&amp;")"</f>
        <v>(K)</v>
      </c>
      <c r="Y5" s="693" t="str">
        <f>"("&amp;CHAR(CODE(MID(W5,2,1))+1)&amp;")"</f>
        <v>(L)</v>
      </c>
      <c r="AA5" s="693" t="str">
        <f>"("&amp;CHAR(CODE(MID(Y5,2,1))+1)&amp;")"</f>
        <v>(M)</v>
      </c>
      <c r="AB5" s="693"/>
      <c r="AC5" s="693" t="str">
        <f t="shared" ref="AC5:AG5" si="1">"("&amp;CHAR(CODE(MID(AA5,2,1))+1)&amp;")"</f>
        <v>(N)</v>
      </c>
      <c r="AD5" s="693"/>
      <c r="AE5" s="693" t="str">
        <f t="shared" si="1"/>
        <v>(O)</v>
      </c>
      <c r="AF5" s="693"/>
      <c r="AG5" s="693" t="str">
        <f t="shared" si="1"/>
        <v>(P)</v>
      </c>
    </row>
    <row r="6" spans="1:34">
      <c r="E6" s="693"/>
      <c r="G6" s="693"/>
      <c r="I6" s="693"/>
      <c r="K6" s="693"/>
      <c r="M6" s="693"/>
      <c r="O6" s="693"/>
      <c r="Q6" s="693"/>
      <c r="S6" s="693"/>
      <c r="U6" s="693"/>
      <c r="W6" s="693"/>
      <c r="Y6" s="693"/>
      <c r="AA6" s="693"/>
      <c r="AC6" s="693"/>
      <c r="AH6" s="760"/>
    </row>
    <row r="7" spans="1:34">
      <c r="E7" s="693"/>
      <c r="G7" s="810">
        <v>2024</v>
      </c>
      <c r="I7" s="761">
        <f>$G$7+1</f>
        <v>2025</v>
      </c>
      <c r="K7" s="761">
        <f>$G$7+1</f>
        <v>2025</v>
      </c>
      <c r="M7" s="761">
        <f>$G$7+1</f>
        <v>2025</v>
      </c>
      <c r="O7" s="761">
        <f>$G$7+1</f>
        <v>2025</v>
      </c>
      <c r="Q7" s="761">
        <f>$G$7+1</f>
        <v>2025</v>
      </c>
      <c r="S7" s="761">
        <f>$G$7+1</f>
        <v>2025</v>
      </c>
      <c r="U7" s="761">
        <f>$G$7+1</f>
        <v>2025</v>
      </c>
      <c r="W7" s="761">
        <f>$G$7+1</f>
        <v>2025</v>
      </c>
      <c r="Y7" s="761">
        <f>$G$7+1</f>
        <v>2025</v>
      </c>
      <c r="AA7" s="761">
        <f>$G$7+1</f>
        <v>2025</v>
      </c>
      <c r="AC7" s="761">
        <f>$G$7+1</f>
        <v>2025</v>
      </c>
      <c r="AE7" s="761">
        <f>$G$7+1</f>
        <v>2025</v>
      </c>
      <c r="AH7" s="760"/>
    </row>
    <row r="8" spans="1:34" ht="38.15" customHeight="1">
      <c r="A8" s="762" t="s">
        <v>729</v>
      </c>
      <c r="B8" s="763"/>
      <c r="C8" s="764" t="s">
        <v>730</v>
      </c>
      <c r="D8" s="763"/>
      <c r="E8" s="765" t="s">
        <v>731</v>
      </c>
      <c r="F8" s="763"/>
      <c r="G8" s="767" t="s">
        <v>216</v>
      </c>
      <c r="H8" s="763"/>
      <c r="I8" s="767" t="s">
        <v>732</v>
      </c>
      <c r="J8" s="763"/>
      <c r="K8" s="767" t="s">
        <v>733</v>
      </c>
      <c r="L8" s="763"/>
      <c r="M8" s="767" t="s">
        <v>734</v>
      </c>
      <c r="N8" s="763"/>
      <c r="O8" s="767" t="s">
        <v>735</v>
      </c>
      <c r="P8" s="763"/>
      <c r="Q8" s="767" t="s">
        <v>736</v>
      </c>
      <c r="R8" s="763"/>
      <c r="S8" s="767" t="s">
        <v>737</v>
      </c>
      <c r="T8" s="763"/>
      <c r="U8" s="767" t="s">
        <v>738</v>
      </c>
      <c r="V8" s="763"/>
      <c r="W8" s="767" t="s">
        <v>739</v>
      </c>
      <c r="X8" s="763"/>
      <c r="Y8" s="767" t="s">
        <v>740</v>
      </c>
      <c r="Z8" s="763"/>
      <c r="AA8" s="767" t="s">
        <v>741</v>
      </c>
      <c r="AB8" s="763"/>
      <c r="AC8" s="767" t="s">
        <v>742</v>
      </c>
      <c r="AD8" s="763"/>
      <c r="AE8" s="767" t="s">
        <v>216</v>
      </c>
      <c r="AF8" s="763"/>
      <c r="AG8" s="767" t="s">
        <v>743</v>
      </c>
      <c r="AH8" s="768"/>
    </row>
    <row r="9" spans="1:34">
      <c r="A9" s="769"/>
      <c r="B9" s="770"/>
      <c r="C9" s="771"/>
      <c r="D9" s="770"/>
      <c r="E9" s="772"/>
      <c r="F9" s="770"/>
      <c r="G9" s="772"/>
      <c r="H9" s="770"/>
      <c r="I9" s="772"/>
      <c r="J9" s="770"/>
      <c r="K9" s="772"/>
      <c r="L9" s="770"/>
      <c r="M9" s="772"/>
      <c r="N9" s="770"/>
      <c r="O9" s="772"/>
      <c r="P9" s="770"/>
      <c r="Q9" s="772"/>
      <c r="R9" s="770"/>
      <c r="S9" s="772"/>
      <c r="T9" s="770"/>
      <c r="U9" s="772"/>
      <c r="V9" s="770"/>
      <c r="W9" s="772"/>
      <c r="X9" s="770"/>
      <c r="Y9" s="772"/>
      <c r="Z9" s="770"/>
      <c r="AA9" s="772"/>
      <c r="AB9" s="770"/>
      <c r="AC9" s="772"/>
      <c r="AD9" s="770"/>
      <c r="AE9" s="772"/>
      <c r="AF9" s="770"/>
      <c r="AG9" s="772"/>
      <c r="AH9" s="768"/>
    </row>
    <row r="10" spans="1:34">
      <c r="A10" s="769">
        <v>1</v>
      </c>
      <c r="B10" s="770"/>
      <c r="C10" s="771" t="s">
        <v>797</v>
      </c>
      <c r="D10" s="770"/>
      <c r="E10" s="772"/>
      <c r="F10" s="770"/>
      <c r="G10" s="772"/>
      <c r="H10" s="770"/>
      <c r="I10" s="772"/>
      <c r="J10" s="770"/>
      <c r="K10" s="772"/>
      <c r="L10" s="770"/>
      <c r="M10" s="772"/>
      <c r="N10" s="770"/>
      <c r="O10" s="772"/>
      <c r="P10" s="770"/>
      <c r="Q10" s="772"/>
      <c r="R10" s="770"/>
      <c r="S10" s="772"/>
      <c r="T10" s="770"/>
      <c r="U10" s="772"/>
      <c r="V10" s="770"/>
      <c r="W10" s="772"/>
      <c r="X10" s="770"/>
      <c r="Y10" s="772"/>
      <c r="Z10" s="770"/>
      <c r="AA10" s="772"/>
      <c r="AB10" s="770"/>
      <c r="AC10" s="772"/>
      <c r="AD10" s="770"/>
      <c r="AE10" s="772"/>
      <c r="AF10" s="770"/>
      <c r="AG10" s="772"/>
      <c r="AH10" s="768"/>
    </row>
    <row r="11" spans="1:34">
      <c r="C11" s="760"/>
      <c r="E11" s="760"/>
      <c r="G11" s="760"/>
      <c r="I11" s="760"/>
      <c r="K11" s="760"/>
      <c r="M11" s="760"/>
      <c r="O11" s="760"/>
      <c r="Q11" s="760"/>
      <c r="S11" s="760"/>
      <c r="U11" s="760"/>
      <c r="W11" s="760"/>
      <c r="Y11" s="760"/>
      <c r="AA11" s="760"/>
      <c r="AC11" s="760"/>
      <c r="AH11" s="760"/>
    </row>
    <row r="12" spans="1:34">
      <c r="A12" s="760" t="s">
        <v>433</v>
      </c>
      <c r="C12" s="773" t="s">
        <v>744</v>
      </c>
      <c r="E12" s="773"/>
      <c r="G12" s="773"/>
      <c r="I12" s="773"/>
      <c r="K12" s="773"/>
      <c r="M12" s="773"/>
      <c r="O12" s="773"/>
      <c r="Q12" s="773"/>
      <c r="S12" s="773"/>
      <c r="U12" s="773"/>
      <c r="W12" s="773"/>
      <c r="Y12" s="773"/>
      <c r="AA12" s="773"/>
      <c r="AC12" s="773"/>
      <c r="AE12" s="773"/>
      <c r="AG12" s="774">
        <f>SUM(G12:AE12)/13</f>
        <v>0</v>
      </c>
    </row>
    <row r="13" spans="1:34">
      <c r="A13" s="760" t="s">
        <v>434</v>
      </c>
      <c r="C13" s="773" t="s">
        <v>745</v>
      </c>
      <c r="E13" s="773"/>
      <c r="G13" s="773"/>
      <c r="I13" s="773"/>
      <c r="K13" s="773"/>
      <c r="M13" s="773"/>
      <c r="O13" s="773"/>
      <c r="Q13" s="773"/>
      <c r="S13" s="773"/>
      <c r="U13" s="773"/>
      <c r="W13" s="773"/>
      <c r="Y13" s="773"/>
      <c r="AA13" s="773"/>
      <c r="AC13" s="773"/>
      <c r="AE13" s="773"/>
      <c r="AG13" s="774">
        <f t="shared" ref="AG13" si="2">SUM(G13:AE13)/13</f>
        <v>0</v>
      </c>
    </row>
    <row r="14" spans="1:34">
      <c r="A14" s="760">
        <v>3</v>
      </c>
      <c r="C14" s="694" t="s">
        <v>746</v>
      </c>
      <c r="E14" s="775"/>
      <c r="G14" s="776">
        <f>SUM(G12:G13)</f>
        <v>0</v>
      </c>
      <c r="I14" s="776">
        <f>SUM(I12:I13)</f>
        <v>0</v>
      </c>
      <c r="K14" s="776">
        <f>SUM(K12:K13)</f>
        <v>0</v>
      </c>
      <c r="M14" s="776">
        <f>SUM(M12:M13)</f>
        <v>0</v>
      </c>
      <c r="O14" s="776">
        <f>SUM(O12:O13)</f>
        <v>0</v>
      </c>
      <c r="Q14" s="776">
        <f>SUM(Q12:Q13)</f>
        <v>0</v>
      </c>
      <c r="S14" s="776">
        <f>SUM(S12:S13)</f>
        <v>0</v>
      </c>
      <c r="U14" s="776">
        <f>SUM(U12:U13)</f>
        <v>0</v>
      </c>
      <c r="W14" s="776">
        <f>SUM(W12:W13)</f>
        <v>0</v>
      </c>
      <c r="Y14" s="776">
        <f>SUM(Y12:Y13)</f>
        <v>0</v>
      </c>
      <c r="AA14" s="776">
        <f>SUM(AA12:AA13)</f>
        <v>0</v>
      </c>
      <c r="AC14" s="776">
        <f>SUM(AC12:AC13)</f>
        <v>0</v>
      </c>
      <c r="AE14" s="776">
        <f>SUM(AE12:AE13)</f>
        <v>0</v>
      </c>
      <c r="AG14" s="776">
        <f>SUM(AG12:AG13)</f>
        <v>0</v>
      </c>
    </row>
    <row r="16" spans="1:34">
      <c r="A16" s="694"/>
      <c r="C16" s="777" t="s">
        <v>176</v>
      </c>
      <c r="E16" s="694"/>
      <c r="AE16" s="774"/>
    </row>
    <row r="17" spans="1:15" ht="15.65" customHeight="1">
      <c r="A17" s="694"/>
      <c r="C17" s="694" t="s">
        <v>912</v>
      </c>
      <c r="E17" s="694"/>
      <c r="G17" s="694"/>
      <c r="I17" s="694"/>
      <c r="K17" s="778"/>
      <c r="L17" s="778"/>
      <c r="M17" s="778"/>
      <c r="N17" s="778"/>
      <c r="O17" s="778"/>
    </row>
    <row r="18" spans="1:15">
      <c r="C18" s="694" t="s">
        <v>798</v>
      </c>
      <c r="I18" s="779"/>
      <c r="K18" s="778"/>
      <c r="L18" s="778"/>
      <c r="M18" s="778"/>
      <c r="N18" s="778"/>
      <c r="O18" s="778"/>
    </row>
    <row r="21" spans="1:15">
      <c r="C21" s="780"/>
      <c r="E21" s="779"/>
      <c r="G21" s="779"/>
    </row>
  </sheetData>
  <pageMargins left="0.7" right="0.7" top="0.75" bottom="0.75" header="0.3" footer="0.3"/>
  <pageSetup scale="3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A1:K17"/>
  <sheetViews>
    <sheetView view="pageBreakPreview" zoomScaleNormal="100" zoomScaleSheetLayoutView="100" workbookViewId="0"/>
  </sheetViews>
  <sheetFormatPr defaultColWidth="8.84375" defaultRowHeight="12.5"/>
  <cols>
    <col min="1" max="1" width="8.84375" style="95"/>
    <col min="2" max="2" width="2.84375" style="95" customWidth="1"/>
    <col min="3" max="3" width="24" style="95" customWidth="1"/>
    <col min="4" max="6" width="17.53515625" style="95" customWidth="1"/>
    <col min="7" max="7" width="21.53515625" style="95" customWidth="1"/>
    <col min="8" max="9" width="15.84375" style="95" customWidth="1"/>
    <col min="10" max="16384" width="8.84375" style="95"/>
  </cols>
  <sheetData>
    <row r="1" spans="1:11" ht="15.5">
      <c r="A1" s="42"/>
      <c r="B1" s="42"/>
      <c r="K1" s="65" t="str">
        <f>'Attachment H-11A '!K1&amp;""&amp;", Attachment 18"</f>
        <v>Attachment H -11A, Attachment 18</v>
      </c>
    </row>
    <row r="2" spans="1:11" ht="15.5">
      <c r="A2" s="96"/>
      <c r="B2" s="96"/>
      <c r="K2" s="65" t="s">
        <v>168</v>
      </c>
    </row>
    <row r="3" spans="1:11" ht="15.5">
      <c r="K3" s="3" t="str">
        <f>'Attachment H-11A '!K4</f>
        <v>For the 12 months ended 12/31/2025</v>
      </c>
    </row>
    <row r="4" spans="1:11" ht="13.5" thickBot="1">
      <c r="B4" s="108" t="s">
        <v>276</v>
      </c>
      <c r="C4" s="108"/>
      <c r="D4" s="108"/>
      <c r="E4" s="108"/>
      <c r="F4" s="108"/>
      <c r="G4" s="108"/>
      <c r="H4" s="108"/>
      <c r="I4" s="108"/>
    </row>
    <row r="6" spans="1:11">
      <c r="C6" s="95" t="s">
        <v>271</v>
      </c>
      <c r="D6" s="109">
        <v>0.21</v>
      </c>
      <c r="E6" s="856"/>
      <c r="F6" s="856"/>
    </row>
    <row r="7" spans="1:11" ht="34.5" customHeight="1">
      <c r="C7" s="489" t="s">
        <v>1163</v>
      </c>
    </row>
    <row r="8" spans="1:11">
      <c r="C8" s="110"/>
    </row>
    <row r="9" spans="1:11">
      <c r="C9" s="110"/>
    </row>
    <row r="10" spans="1:11" ht="13.5" thickBot="1">
      <c r="B10" s="108" t="s">
        <v>275</v>
      </c>
      <c r="C10" s="108"/>
      <c r="D10" s="108"/>
      <c r="E10" s="108"/>
      <c r="F10" s="108"/>
      <c r="G10" s="108"/>
      <c r="H10" s="108"/>
      <c r="I10" s="108"/>
    </row>
    <row r="11" spans="1:11" ht="13">
      <c r="B11" s="96"/>
      <c r="C11" s="96"/>
      <c r="D11" s="96"/>
      <c r="E11" s="96"/>
      <c r="F11" s="96"/>
      <c r="G11" s="96"/>
      <c r="H11" s="96"/>
      <c r="I11" s="96"/>
    </row>
    <row r="12" spans="1:11">
      <c r="D12" s="829" t="s">
        <v>1318</v>
      </c>
      <c r="E12" s="829"/>
      <c r="F12" s="829"/>
      <c r="G12" s="106" t="s">
        <v>277</v>
      </c>
    </row>
    <row r="13" spans="1:11" ht="58.5" customHeight="1">
      <c r="D13" s="106"/>
      <c r="E13" s="106"/>
      <c r="F13" s="106"/>
      <c r="G13" s="107" t="s">
        <v>1163</v>
      </c>
    </row>
    <row r="14" spans="1:11">
      <c r="C14" s="95" t="s">
        <v>272</v>
      </c>
      <c r="D14" s="109">
        <v>6.5000000000000002E-2</v>
      </c>
      <c r="E14" s="109"/>
      <c r="F14" s="109"/>
    </row>
    <row r="15" spans="1:11">
      <c r="C15" s="95" t="s">
        <v>273</v>
      </c>
      <c r="D15" s="109">
        <v>0.93479000000000001</v>
      </c>
      <c r="E15" s="109"/>
      <c r="F15" s="109"/>
    </row>
    <row r="16" spans="1:11" ht="13" thickBot="1">
      <c r="C16" s="95" t="s">
        <v>274</v>
      </c>
      <c r="D16" s="111">
        <f>D14*D15</f>
        <v>6.0761350000000006E-2</v>
      </c>
      <c r="E16" s="111">
        <f t="shared" ref="E16:F16" si="0">E14*E15</f>
        <v>0</v>
      </c>
      <c r="F16" s="111">
        <f t="shared" si="0"/>
        <v>0</v>
      </c>
      <c r="G16" s="111">
        <f>SUM(D16:F16)</f>
        <v>6.0761350000000006E-2</v>
      </c>
    </row>
    <row r="17" ht="13" thickTop="1"/>
  </sheetData>
  <pageMargins left="0.7" right="0.7" top="0.75" bottom="0.75" header="0.3" footer="0.3"/>
  <pageSetup scale="47"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E251-9F92-492F-BC81-3BE62E464A87}">
  <sheetPr codeName="Sheet28"/>
  <dimension ref="A3:AD36"/>
  <sheetViews>
    <sheetView view="pageBreakPreview" zoomScale="80" zoomScaleNormal="80" zoomScaleSheetLayoutView="80" workbookViewId="0"/>
  </sheetViews>
  <sheetFormatPr defaultRowHeight="15.5"/>
  <cols>
    <col min="1" max="1" width="6.3046875" customWidth="1"/>
    <col min="2" max="2" width="2" customWidth="1"/>
    <col min="3" max="3" width="21.4609375" customWidth="1"/>
    <col min="4" max="4" width="14.4609375" customWidth="1"/>
    <col min="5" max="5" width="13.07421875" customWidth="1"/>
    <col min="6" max="6" width="15.07421875" customWidth="1"/>
    <col min="7" max="7" width="14.3046875" customWidth="1"/>
    <col min="8" max="8" width="7.07421875" customWidth="1"/>
    <col min="9" max="9" width="15" customWidth="1"/>
    <col min="10" max="10" width="14.84375" customWidth="1"/>
    <col min="11" max="13" width="12.07421875" customWidth="1"/>
    <col min="14" max="27" width="12.4609375" customWidth="1"/>
    <col min="28" max="28" width="33.84375" customWidth="1"/>
    <col min="29" max="29" width="11.84375" customWidth="1"/>
    <col min="30" max="30" width="29.07421875" bestFit="1" customWidth="1"/>
  </cols>
  <sheetData>
    <row r="3" spans="1:30">
      <c r="AB3" s="826" t="str">
        <f>'Attachment H-11A '!K1&amp;""&amp;", Attachment 19"</f>
        <v>Attachment H -11A, Attachment 19</v>
      </c>
      <c r="AC3" s="825"/>
      <c r="AD3" s="826"/>
    </row>
    <row r="4" spans="1:30">
      <c r="N4" s="704"/>
      <c r="AB4" s="826" t="s">
        <v>168</v>
      </c>
      <c r="AC4" s="825"/>
      <c r="AD4" s="826"/>
    </row>
    <row r="5" spans="1:30" ht="17.5">
      <c r="M5" s="885" t="s">
        <v>920</v>
      </c>
      <c r="N5" s="885"/>
      <c r="AB5" s="827" t="str">
        <f>'Attachment H-11A '!K4</f>
        <v>For the 12 months ended 12/31/2025</v>
      </c>
      <c r="AC5" s="825"/>
      <c r="AD5" s="827"/>
    </row>
    <row r="9" spans="1:30">
      <c r="A9" s="760"/>
      <c r="B9" s="694"/>
      <c r="C9" s="693" t="s">
        <v>688</v>
      </c>
      <c r="D9" s="693" t="str">
        <f>"("&amp;CHAR(CODE(MID(C9,2,1))+1)&amp;")"</f>
        <v>(B)</v>
      </c>
      <c r="E9" s="693" t="str">
        <f>"("&amp;CHAR(CODE(MID(D9,2,1))+1)&amp;")"</f>
        <v>(C)</v>
      </c>
      <c r="F9" s="693" t="str">
        <f t="shared" ref="F9:H9" si="0">"("&amp;CHAR(CODE(MID(E9,2,1))+1)&amp;")"</f>
        <v>(D)</v>
      </c>
      <c r="G9" s="693" t="str">
        <f t="shared" si="0"/>
        <v>(E)</v>
      </c>
      <c r="H9" s="693" t="str">
        <f t="shared" si="0"/>
        <v>(F)</v>
      </c>
      <c r="I9" s="693" t="str">
        <f t="shared" ref="I9:AA9" si="1">"("&amp;CHAR(CODE(MID(H9,2,1))+1)&amp;")"</f>
        <v>(G)</v>
      </c>
      <c r="J9" s="693" t="str">
        <f t="shared" si="1"/>
        <v>(H)</v>
      </c>
      <c r="K9" s="693" t="str">
        <f t="shared" si="1"/>
        <v>(I)</v>
      </c>
      <c r="L9" s="693" t="str">
        <f t="shared" si="1"/>
        <v>(J)</v>
      </c>
      <c r="M9" s="693" t="str">
        <f t="shared" si="1"/>
        <v>(K)</v>
      </c>
      <c r="N9" s="693" t="str">
        <f t="shared" si="1"/>
        <v>(L)</v>
      </c>
      <c r="O9" s="693" t="str">
        <f t="shared" si="1"/>
        <v>(M)</v>
      </c>
      <c r="P9" s="693" t="str">
        <f t="shared" si="1"/>
        <v>(N)</v>
      </c>
      <c r="Q9" s="693" t="str">
        <f t="shared" si="1"/>
        <v>(O)</v>
      </c>
      <c r="R9" s="693" t="str">
        <f t="shared" si="1"/>
        <v>(P)</v>
      </c>
      <c r="S9" s="693" t="str">
        <f t="shared" si="1"/>
        <v>(Q)</v>
      </c>
      <c r="T9" s="693" t="str">
        <f t="shared" si="1"/>
        <v>(R)</v>
      </c>
      <c r="U9" s="693" t="str">
        <f t="shared" si="1"/>
        <v>(S)</v>
      </c>
      <c r="V9" s="693" t="str">
        <f t="shared" si="1"/>
        <v>(T)</v>
      </c>
      <c r="W9" s="693" t="str">
        <f t="shared" si="1"/>
        <v>(U)</v>
      </c>
      <c r="X9" s="693" t="str">
        <f t="shared" si="1"/>
        <v>(V)</v>
      </c>
      <c r="Y9" s="693" t="str">
        <f t="shared" si="1"/>
        <v>(W)</v>
      </c>
      <c r="Z9" s="693" t="str">
        <f t="shared" si="1"/>
        <v>(X)</v>
      </c>
      <c r="AA9" s="693" t="str">
        <f t="shared" si="1"/>
        <v>(Y)</v>
      </c>
      <c r="AB9" s="837"/>
      <c r="AC9" s="837"/>
      <c r="AD9" s="837"/>
    </row>
    <row r="10" spans="1:30">
      <c r="A10" s="760"/>
      <c r="B10" s="694"/>
      <c r="C10" s="694"/>
      <c r="D10" s="693"/>
      <c r="E10" s="693"/>
      <c r="F10" s="693"/>
      <c r="G10" s="693"/>
      <c r="H10" s="693"/>
      <c r="I10" s="693"/>
      <c r="J10" s="693"/>
      <c r="K10" s="693"/>
      <c r="L10" s="693"/>
      <c r="M10" s="693"/>
      <c r="N10" s="693"/>
      <c r="O10" s="693"/>
      <c r="P10" s="693"/>
      <c r="Q10" s="693"/>
      <c r="R10" s="693"/>
      <c r="S10" s="693"/>
      <c r="T10" s="693"/>
      <c r="U10" s="693"/>
      <c r="V10" s="693"/>
      <c r="W10" s="693"/>
      <c r="X10" s="693"/>
      <c r="Y10" s="760"/>
      <c r="Z10" s="760"/>
      <c r="AA10" s="760"/>
      <c r="AB10" s="838"/>
      <c r="AC10" s="760"/>
      <c r="AD10" s="760"/>
    </row>
    <row r="11" spans="1:30" ht="29.5" customHeight="1">
      <c r="A11" s="760"/>
      <c r="B11" s="694"/>
      <c r="C11" s="694"/>
      <c r="D11" s="694"/>
      <c r="E11" s="694"/>
      <c r="F11" s="694"/>
      <c r="G11" s="694"/>
      <c r="H11" s="694"/>
      <c r="I11" s="694"/>
      <c r="J11" s="694"/>
      <c r="K11" s="694"/>
      <c r="L11" s="694"/>
      <c r="M11" s="694"/>
      <c r="N11" s="853">
        <f>(MID(AB5:AB5,31,10)-1)</f>
        <v>2024</v>
      </c>
      <c r="O11" s="761">
        <f t="shared" ref="O11:Z11" si="2">$N$11+1</f>
        <v>2025</v>
      </c>
      <c r="P11" s="761">
        <f t="shared" si="2"/>
        <v>2025</v>
      </c>
      <c r="Q11" s="761">
        <f t="shared" si="2"/>
        <v>2025</v>
      </c>
      <c r="R11" s="761">
        <f t="shared" si="2"/>
        <v>2025</v>
      </c>
      <c r="S11" s="761">
        <f t="shared" si="2"/>
        <v>2025</v>
      </c>
      <c r="T11" s="761">
        <f t="shared" si="2"/>
        <v>2025</v>
      </c>
      <c r="U11" s="761">
        <f t="shared" si="2"/>
        <v>2025</v>
      </c>
      <c r="V11" s="761">
        <f t="shared" si="2"/>
        <v>2025</v>
      </c>
      <c r="W11" s="761">
        <f t="shared" si="2"/>
        <v>2025</v>
      </c>
      <c r="X11" s="761">
        <f t="shared" si="2"/>
        <v>2025</v>
      </c>
      <c r="Y11" s="761">
        <f t="shared" si="2"/>
        <v>2025</v>
      </c>
      <c r="Z11" s="761">
        <f t="shared" si="2"/>
        <v>2025</v>
      </c>
      <c r="AA11" s="760"/>
      <c r="AB11" s="838"/>
      <c r="AC11" s="760"/>
      <c r="AD11" s="760"/>
    </row>
    <row r="12" spans="1:30" ht="68.150000000000006" customHeight="1">
      <c r="A12" s="762" t="s">
        <v>159</v>
      </c>
      <c r="B12" s="812"/>
      <c r="C12" s="766" t="s">
        <v>810</v>
      </c>
      <c r="D12" s="766" t="s">
        <v>875</v>
      </c>
      <c r="E12" s="766" t="s">
        <v>803</v>
      </c>
      <c r="F12" s="766" t="s">
        <v>804</v>
      </c>
      <c r="G12" s="766" t="s">
        <v>780</v>
      </c>
      <c r="H12" s="766" t="s">
        <v>805</v>
      </c>
      <c r="I12" s="766" t="s">
        <v>779</v>
      </c>
      <c r="J12" s="766" t="s">
        <v>809</v>
      </c>
      <c r="K12" s="766" t="s">
        <v>788</v>
      </c>
      <c r="L12" s="766" t="s">
        <v>777</v>
      </c>
      <c r="M12" s="766" t="s">
        <v>806</v>
      </c>
      <c r="N12" s="767" t="s">
        <v>216</v>
      </c>
      <c r="O12" s="767" t="s">
        <v>732</v>
      </c>
      <c r="P12" s="767" t="s">
        <v>733</v>
      </c>
      <c r="Q12" s="767" t="s">
        <v>734</v>
      </c>
      <c r="R12" s="767" t="s">
        <v>735</v>
      </c>
      <c r="S12" s="767" t="s">
        <v>736</v>
      </c>
      <c r="T12" s="767" t="s">
        <v>737</v>
      </c>
      <c r="U12" s="767" t="s">
        <v>738</v>
      </c>
      <c r="V12" s="767" t="s">
        <v>739</v>
      </c>
      <c r="W12" s="767" t="s">
        <v>740</v>
      </c>
      <c r="X12" s="767" t="s">
        <v>741</v>
      </c>
      <c r="Y12" s="767" t="s">
        <v>742</v>
      </c>
      <c r="Z12" s="767" t="s">
        <v>216</v>
      </c>
      <c r="AA12" s="767" t="s">
        <v>807</v>
      </c>
      <c r="AB12" s="839"/>
      <c r="AC12" s="840"/>
      <c r="AD12" s="840"/>
    </row>
    <row r="13" spans="1:30">
      <c r="A13" s="818">
        <v>1</v>
      </c>
      <c r="B13" s="760"/>
      <c r="C13" s="815"/>
      <c r="D13" s="397"/>
      <c r="E13" s="397"/>
      <c r="F13" s="842"/>
      <c r="G13" s="842"/>
      <c r="H13" s="842"/>
      <c r="I13" s="843"/>
      <c r="J13" s="814">
        <f>IF(H13=0,0,(H13*12))</f>
        <v>0</v>
      </c>
      <c r="K13" s="814">
        <f>IF(J13=0,G13,(G13-J13+12))</f>
        <v>0</v>
      </c>
      <c r="L13" s="814">
        <f>IF(J13=0,0,IFERROR(F13/K13,0))</f>
        <v>0</v>
      </c>
      <c r="M13" s="814">
        <f>L13*12</f>
        <v>0</v>
      </c>
      <c r="N13" s="774">
        <f>F13</f>
        <v>0</v>
      </c>
      <c r="O13" s="774">
        <f>N13-L13</f>
        <v>0</v>
      </c>
      <c r="P13" s="774">
        <f>IF(O13-$L13&gt;=0,O13-$L13,0)</f>
        <v>0</v>
      </c>
      <c r="Q13" s="774">
        <f t="shared" ref="Q13" si="3">IF(P13-$L13&gt;=0,P13-$L13,0)</f>
        <v>0</v>
      </c>
      <c r="R13" s="774">
        <f t="shared" ref="R13" si="4">IF(Q13-$L13&gt;=0,Q13-$L13,0)</f>
        <v>0</v>
      </c>
      <c r="S13" s="774">
        <f t="shared" ref="S13" si="5">IF(R13-$L13&gt;=0,R13-$L13,0)</f>
        <v>0</v>
      </c>
      <c r="T13" s="774">
        <f t="shared" ref="T13" si="6">IF(S13-$L13&gt;=0,S13-$L13,0)</f>
        <v>0</v>
      </c>
      <c r="U13" s="774">
        <f t="shared" ref="U13" si="7">IF(T13-$L13&gt;=0,T13-$L13,0)</f>
        <v>0</v>
      </c>
      <c r="V13" s="774">
        <f t="shared" ref="V13" si="8">IF(U13-$L13&gt;=0,U13-$L13,0)</f>
        <v>0</v>
      </c>
      <c r="W13" s="774">
        <f t="shared" ref="W13" si="9">IF(V13-$L13&gt;=0,V13-$L13,0)</f>
        <v>0</v>
      </c>
      <c r="X13" s="774">
        <f>IF(W13-$L13&gt;=0,W13-$L13,0)</f>
        <v>0</v>
      </c>
      <c r="Y13" s="774">
        <f t="shared" ref="Y13" si="10">IF(X13-$L13&gt;=0,X13-$L13,0)</f>
        <v>0</v>
      </c>
      <c r="Z13" s="774">
        <f>IF(Y13-$L13&gt;=0,Y13-$L13,0)</f>
        <v>0</v>
      </c>
      <c r="AA13" s="958"/>
      <c r="AB13" s="841"/>
      <c r="AC13" s="775"/>
      <c r="AD13" s="775"/>
    </row>
    <row r="14" spans="1:30">
      <c r="A14" s="818">
        <v>1.01</v>
      </c>
      <c r="B14" s="694"/>
      <c r="C14" s="815"/>
      <c r="D14" s="397"/>
      <c r="E14" s="397"/>
      <c r="F14" s="842"/>
      <c r="G14" s="842"/>
      <c r="H14" s="842"/>
      <c r="I14" s="843"/>
      <c r="J14" s="814">
        <f>IF(H14=0,0,(H14*12))</f>
        <v>0</v>
      </c>
      <c r="K14" s="814">
        <f t="shared" ref="K14:K23" si="11">IF(J14=0,G14,(G14-J14+12))</f>
        <v>0</v>
      </c>
      <c r="L14" s="814">
        <f>IF(J14=0,0,IFERROR(F14/K14,0))</f>
        <v>0</v>
      </c>
      <c r="M14" s="814">
        <f>L14*12</f>
        <v>0</v>
      </c>
      <c r="N14" s="774">
        <f t="shared" ref="N14:N23" si="12">F14</f>
        <v>0</v>
      </c>
      <c r="O14" s="774">
        <f>N14-L14</f>
        <v>0</v>
      </c>
      <c r="P14" s="774">
        <f>IF(O14-$L14&gt;=0,O14-$L14,0)</f>
        <v>0</v>
      </c>
      <c r="Q14" s="774">
        <f t="shared" ref="Q14:Z14" si="13">IF(P14-$L14&gt;=0,P14-$L14,0)</f>
        <v>0</v>
      </c>
      <c r="R14" s="774">
        <f t="shared" si="13"/>
        <v>0</v>
      </c>
      <c r="S14" s="774">
        <f t="shared" si="13"/>
        <v>0</v>
      </c>
      <c r="T14" s="774">
        <f t="shared" si="13"/>
        <v>0</v>
      </c>
      <c r="U14" s="774">
        <f t="shared" si="13"/>
        <v>0</v>
      </c>
      <c r="V14" s="774">
        <f t="shared" si="13"/>
        <v>0</v>
      </c>
      <c r="W14" s="774">
        <f t="shared" si="13"/>
        <v>0</v>
      </c>
      <c r="X14" s="774">
        <f t="shared" si="13"/>
        <v>0</v>
      </c>
      <c r="Y14" s="774">
        <f t="shared" si="13"/>
        <v>0</v>
      </c>
      <c r="Z14" s="774">
        <f t="shared" si="13"/>
        <v>0</v>
      </c>
      <c r="AA14" s="958"/>
      <c r="AB14" s="841"/>
      <c r="AC14" s="775"/>
      <c r="AD14" s="775"/>
    </row>
    <row r="15" spans="1:30">
      <c r="A15" s="818">
        <f>A14+0.01</f>
        <v>1.02</v>
      </c>
      <c r="B15" s="694"/>
      <c r="C15" s="815"/>
      <c r="D15" s="816"/>
      <c r="E15" s="816"/>
      <c r="F15" s="842"/>
      <c r="G15" s="842"/>
      <c r="H15" s="842"/>
      <c r="I15" s="843"/>
      <c r="J15" s="814">
        <f>IF(H15=0,0,(H15*12))</f>
        <v>0</v>
      </c>
      <c r="K15" s="814">
        <f t="shared" si="11"/>
        <v>0</v>
      </c>
      <c r="L15" s="814">
        <f t="shared" ref="L15:L23" si="14">IF(J15=0,0,IFERROR(F15/K15,0))</f>
        <v>0</v>
      </c>
      <c r="M15" s="814">
        <f t="shared" ref="M15:M23" si="15">L15*12</f>
        <v>0</v>
      </c>
      <c r="N15" s="774">
        <f t="shared" si="12"/>
        <v>0</v>
      </c>
      <c r="O15" s="774">
        <f t="shared" ref="O15:O23" si="16">N15-L15</f>
        <v>0</v>
      </c>
      <c r="P15" s="774">
        <f t="shared" ref="P15:Z23" si="17">IF(O15-$L15&gt;=0,O15-$L15,0)</f>
        <v>0</v>
      </c>
      <c r="Q15" s="774">
        <f t="shared" si="17"/>
        <v>0</v>
      </c>
      <c r="R15" s="774">
        <f t="shared" si="17"/>
        <v>0</v>
      </c>
      <c r="S15" s="774">
        <f t="shared" si="17"/>
        <v>0</v>
      </c>
      <c r="T15" s="774">
        <f t="shared" si="17"/>
        <v>0</v>
      </c>
      <c r="U15" s="774">
        <f t="shared" si="17"/>
        <v>0</v>
      </c>
      <c r="V15" s="774">
        <f t="shared" si="17"/>
        <v>0</v>
      </c>
      <c r="W15" s="774">
        <f t="shared" si="17"/>
        <v>0</v>
      </c>
      <c r="X15" s="774">
        <f t="shared" si="17"/>
        <v>0</v>
      </c>
      <c r="Y15" s="774">
        <f t="shared" si="17"/>
        <v>0</v>
      </c>
      <c r="Z15" s="774">
        <f t="shared" si="17"/>
        <v>0</v>
      </c>
      <c r="AA15" s="958"/>
      <c r="AB15" s="841"/>
      <c r="AC15" s="775"/>
      <c r="AD15" s="775"/>
    </row>
    <row r="16" spans="1:30">
      <c r="A16" s="818">
        <f t="shared" ref="A16:A23" si="18">A15+0.01</f>
        <v>1.03</v>
      </c>
      <c r="B16" s="694"/>
      <c r="C16" s="815"/>
      <c r="D16" s="816"/>
      <c r="E16" s="816"/>
      <c r="F16" s="842"/>
      <c r="G16" s="842"/>
      <c r="H16" s="842"/>
      <c r="I16" s="843"/>
      <c r="J16" s="814">
        <f t="shared" ref="J16:J22" si="19">IF(H16=0,0,(H16*12))</f>
        <v>0</v>
      </c>
      <c r="K16" s="814">
        <f t="shared" si="11"/>
        <v>0</v>
      </c>
      <c r="L16" s="814">
        <f t="shared" si="14"/>
        <v>0</v>
      </c>
      <c r="M16" s="814">
        <f t="shared" si="15"/>
        <v>0</v>
      </c>
      <c r="N16" s="774">
        <f t="shared" si="12"/>
        <v>0</v>
      </c>
      <c r="O16" s="774">
        <f t="shared" si="16"/>
        <v>0</v>
      </c>
      <c r="P16" s="774">
        <f t="shared" si="17"/>
        <v>0</v>
      </c>
      <c r="Q16" s="774">
        <f t="shared" si="17"/>
        <v>0</v>
      </c>
      <c r="R16" s="774">
        <f t="shared" si="17"/>
        <v>0</v>
      </c>
      <c r="S16" s="774">
        <f t="shared" si="17"/>
        <v>0</v>
      </c>
      <c r="T16" s="774">
        <f t="shared" si="17"/>
        <v>0</v>
      </c>
      <c r="U16" s="774">
        <f t="shared" si="17"/>
        <v>0</v>
      </c>
      <c r="V16" s="774">
        <f t="shared" si="17"/>
        <v>0</v>
      </c>
      <c r="W16" s="774">
        <f t="shared" si="17"/>
        <v>0</v>
      </c>
      <c r="X16" s="774">
        <f t="shared" si="17"/>
        <v>0</v>
      </c>
      <c r="Y16" s="774">
        <f t="shared" si="17"/>
        <v>0</v>
      </c>
      <c r="Z16" s="774">
        <f t="shared" si="17"/>
        <v>0</v>
      </c>
      <c r="AA16" s="958"/>
      <c r="AB16" s="841"/>
      <c r="AC16" s="775"/>
      <c r="AD16" s="775"/>
    </row>
    <row r="17" spans="1:30">
      <c r="A17" s="818">
        <f t="shared" si="18"/>
        <v>1.04</v>
      </c>
      <c r="B17" s="694"/>
      <c r="C17" s="815"/>
      <c r="D17" s="816"/>
      <c r="E17" s="816"/>
      <c r="F17" s="842"/>
      <c r="G17" s="842"/>
      <c r="H17" s="842"/>
      <c r="I17" s="843"/>
      <c r="J17" s="814">
        <f t="shared" si="19"/>
        <v>0</v>
      </c>
      <c r="K17" s="814">
        <f t="shared" si="11"/>
        <v>0</v>
      </c>
      <c r="L17" s="814">
        <f t="shared" si="14"/>
        <v>0</v>
      </c>
      <c r="M17" s="814">
        <f t="shared" si="15"/>
        <v>0</v>
      </c>
      <c r="N17" s="774">
        <f t="shared" si="12"/>
        <v>0</v>
      </c>
      <c r="O17" s="774">
        <f t="shared" si="16"/>
        <v>0</v>
      </c>
      <c r="P17" s="774">
        <f t="shared" si="17"/>
        <v>0</v>
      </c>
      <c r="Q17" s="774">
        <f t="shared" si="17"/>
        <v>0</v>
      </c>
      <c r="R17" s="774">
        <f t="shared" si="17"/>
        <v>0</v>
      </c>
      <c r="S17" s="774">
        <f t="shared" si="17"/>
        <v>0</v>
      </c>
      <c r="T17" s="774">
        <f t="shared" si="17"/>
        <v>0</v>
      </c>
      <c r="U17" s="774">
        <f t="shared" si="17"/>
        <v>0</v>
      </c>
      <c r="V17" s="774">
        <f t="shared" si="17"/>
        <v>0</v>
      </c>
      <c r="W17" s="774">
        <f t="shared" si="17"/>
        <v>0</v>
      </c>
      <c r="X17" s="774">
        <f t="shared" si="17"/>
        <v>0</v>
      </c>
      <c r="Y17" s="774">
        <f t="shared" si="17"/>
        <v>0</v>
      </c>
      <c r="Z17" s="774">
        <f t="shared" si="17"/>
        <v>0</v>
      </c>
      <c r="AA17" s="958"/>
      <c r="AB17" s="841"/>
      <c r="AC17" s="775"/>
      <c r="AD17" s="775"/>
    </row>
    <row r="18" spans="1:30">
      <c r="A18" s="818">
        <f t="shared" si="18"/>
        <v>1.05</v>
      </c>
      <c r="B18" s="694"/>
      <c r="C18" s="815"/>
      <c r="D18" s="816"/>
      <c r="E18" s="816"/>
      <c r="F18" s="842"/>
      <c r="G18" s="842"/>
      <c r="H18" s="842"/>
      <c r="I18" s="843"/>
      <c r="J18" s="814">
        <f t="shared" si="19"/>
        <v>0</v>
      </c>
      <c r="K18" s="814">
        <f t="shared" si="11"/>
        <v>0</v>
      </c>
      <c r="L18" s="814">
        <f t="shared" si="14"/>
        <v>0</v>
      </c>
      <c r="M18" s="814">
        <f t="shared" si="15"/>
        <v>0</v>
      </c>
      <c r="N18" s="774">
        <f t="shared" si="12"/>
        <v>0</v>
      </c>
      <c r="O18" s="774">
        <f t="shared" si="16"/>
        <v>0</v>
      </c>
      <c r="P18" s="774">
        <f t="shared" si="17"/>
        <v>0</v>
      </c>
      <c r="Q18" s="774">
        <f t="shared" si="17"/>
        <v>0</v>
      </c>
      <c r="R18" s="774">
        <f t="shared" si="17"/>
        <v>0</v>
      </c>
      <c r="S18" s="774">
        <f t="shared" si="17"/>
        <v>0</v>
      </c>
      <c r="T18" s="774">
        <f t="shared" si="17"/>
        <v>0</v>
      </c>
      <c r="U18" s="774">
        <f t="shared" si="17"/>
        <v>0</v>
      </c>
      <c r="V18" s="774">
        <f t="shared" si="17"/>
        <v>0</v>
      </c>
      <c r="W18" s="774">
        <f t="shared" si="17"/>
        <v>0</v>
      </c>
      <c r="X18" s="774">
        <f t="shared" si="17"/>
        <v>0</v>
      </c>
      <c r="Y18" s="774">
        <f t="shared" si="17"/>
        <v>0</v>
      </c>
      <c r="Z18" s="774">
        <f t="shared" si="17"/>
        <v>0</v>
      </c>
      <c r="AA18" s="958"/>
      <c r="AB18" s="841"/>
      <c r="AC18" s="775"/>
      <c r="AD18" s="775"/>
    </row>
    <row r="19" spans="1:30">
      <c r="A19" s="818">
        <f t="shared" si="18"/>
        <v>1.06</v>
      </c>
      <c r="B19" s="694"/>
      <c r="C19" s="815"/>
      <c r="D19" s="816"/>
      <c r="E19" s="816"/>
      <c r="F19" s="842"/>
      <c r="G19" s="842"/>
      <c r="H19" s="842"/>
      <c r="I19" s="843"/>
      <c r="J19" s="814">
        <f t="shared" si="19"/>
        <v>0</v>
      </c>
      <c r="K19" s="814">
        <f t="shared" si="11"/>
        <v>0</v>
      </c>
      <c r="L19" s="814">
        <f t="shared" si="14"/>
        <v>0</v>
      </c>
      <c r="M19" s="814">
        <f t="shared" si="15"/>
        <v>0</v>
      </c>
      <c r="N19" s="774">
        <f t="shared" si="12"/>
        <v>0</v>
      </c>
      <c r="O19" s="774">
        <f t="shared" si="16"/>
        <v>0</v>
      </c>
      <c r="P19" s="774">
        <f t="shared" si="17"/>
        <v>0</v>
      </c>
      <c r="Q19" s="774">
        <f t="shared" si="17"/>
        <v>0</v>
      </c>
      <c r="R19" s="774">
        <f t="shared" si="17"/>
        <v>0</v>
      </c>
      <c r="S19" s="774">
        <f t="shared" si="17"/>
        <v>0</v>
      </c>
      <c r="T19" s="774">
        <f t="shared" si="17"/>
        <v>0</v>
      </c>
      <c r="U19" s="774">
        <f t="shared" si="17"/>
        <v>0</v>
      </c>
      <c r="V19" s="774">
        <f t="shared" si="17"/>
        <v>0</v>
      </c>
      <c r="W19" s="774">
        <f t="shared" si="17"/>
        <v>0</v>
      </c>
      <c r="X19" s="774">
        <f t="shared" si="17"/>
        <v>0</v>
      </c>
      <c r="Y19" s="774">
        <f t="shared" si="17"/>
        <v>0</v>
      </c>
      <c r="Z19" s="774">
        <f t="shared" si="17"/>
        <v>0</v>
      </c>
      <c r="AA19" s="958"/>
      <c r="AB19" s="841"/>
      <c r="AC19" s="775"/>
      <c r="AD19" s="775"/>
    </row>
    <row r="20" spans="1:30">
      <c r="A20" s="818">
        <f t="shared" si="18"/>
        <v>1.07</v>
      </c>
      <c r="B20" s="694"/>
      <c r="C20" s="815"/>
      <c r="D20" s="816"/>
      <c r="E20" s="816"/>
      <c r="F20" s="842"/>
      <c r="G20" s="842"/>
      <c r="H20" s="842"/>
      <c r="I20" s="843"/>
      <c r="J20" s="814">
        <f>IF(H20=0,0,(H20*12))</f>
        <v>0</v>
      </c>
      <c r="K20" s="814">
        <f t="shared" si="11"/>
        <v>0</v>
      </c>
      <c r="L20" s="814">
        <f t="shared" si="14"/>
        <v>0</v>
      </c>
      <c r="M20" s="814">
        <f t="shared" si="15"/>
        <v>0</v>
      </c>
      <c r="N20" s="774">
        <f t="shared" si="12"/>
        <v>0</v>
      </c>
      <c r="O20" s="774">
        <f t="shared" si="16"/>
        <v>0</v>
      </c>
      <c r="P20" s="774">
        <f t="shared" si="17"/>
        <v>0</v>
      </c>
      <c r="Q20" s="774">
        <f t="shared" si="17"/>
        <v>0</v>
      </c>
      <c r="R20" s="774">
        <f t="shared" si="17"/>
        <v>0</v>
      </c>
      <c r="S20" s="774">
        <f t="shared" si="17"/>
        <v>0</v>
      </c>
      <c r="T20" s="774">
        <f t="shared" si="17"/>
        <v>0</v>
      </c>
      <c r="U20" s="774">
        <f t="shared" si="17"/>
        <v>0</v>
      </c>
      <c r="V20" s="774">
        <f t="shared" si="17"/>
        <v>0</v>
      </c>
      <c r="W20" s="774">
        <f t="shared" si="17"/>
        <v>0</v>
      </c>
      <c r="X20" s="774">
        <f t="shared" si="17"/>
        <v>0</v>
      </c>
      <c r="Y20" s="774">
        <f t="shared" si="17"/>
        <v>0</v>
      </c>
      <c r="Z20" s="774">
        <f t="shared" si="17"/>
        <v>0</v>
      </c>
      <c r="AA20" s="958"/>
      <c r="AB20" s="841"/>
      <c r="AC20" s="775"/>
      <c r="AD20" s="775"/>
    </row>
    <row r="21" spans="1:30">
      <c r="A21" s="818">
        <f t="shared" si="18"/>
        <v>1.08</v>
      </c>
      <c r="B21" s="694"/>
      <c r="C21" s="815"/>
      <c r="D21" s="816"/>
      <c r="E21" s="816"/>
      <c r="F21" s="842"/>
      <c r="G21" s="842"/>
      <c r="H21" s="842"/>
      <c r="I21" s="843"/>
      <c r="J21" s="814">
        <f>IF(H21=0,0,(H21*12))</f>
        <v>0</v>
      </c>
      <c r="K21" s="814">
        <f t="shared" si="11"/>
        <v>0</v>
      </c>
      <c r="L21" s="814">
        <f t="shared" si="14"/>
        <v>0</v>
      </c>
      <c r="M21" s="814">
        <f t="shared" si="15"/>
        <v>0</v>
      </c>
      <c r="N21" s="774">
        <f t="shared" si="12"/>
        <v>0</v>
      </c>
      <c r="O21" s="774">
        <f t="shared" si="16"/>
        <v>0</v>
      </c>
      <c r="P21" s="774">
        <f t="shared" si="17"/>
        <v>0</v>
      </c>
      <c r="Q21" s="774">
        <f t="shared" si="17"/>
        <v>0</v>
      </c>
      <c r="R21" s="774">
        <f t="shared" si="17"/>
        <v>0</v>
      </c>
      <c r="S21" s="774">
        <f t="shared" si="17"/>
        <v>0</v>
      </c>
      <c r="T21" s="774">
        <f t="shared" si="17"/>
        <v>0</v>
      </c>
      <c r="U21" s="774">
        <f t="shared" si="17"/>
        <v>0</v>
      </c>
      <c r="V21" s="774">
        <f t="shared" si="17"/>
        <v>0</v>
      </c>
      <c r="W21" s="774">
        <f t="shared" si="17"/>
        <v>0</v>
      </c>
      <c r="X21" s="774">
        <f t="shared" si="17"/>
        <v>0</v>
      </c>
      <c r="Y21" s="774">
        <f t="shared" si="17"/>
        <v>0</v>
      </c>
      <c r="Z21" s="774">
        <f t="shared" si="17"/>
        <v>0</v>
      </c>
      <c r="AA21" s="958"/>
      <c r="AB21" s="841"/>
      <c r="AC21" s="775"/>
      <c r="AD21" s="775"/>
    </row>
    <row r="22" spans="1:30">
      <c r="A22" s="818">
        <f t="shared" si="18"/>
        <v>1.0900000000000001</v>
      </c>
      <c r="B22" s="694"/>
      <c r="C22" s="815"/>
      <c r="D22" s="816"/>
      <c r="E22" s="816"/>
      <c r="F22" s="842"/>
      <c r="G22" s="842"/>
      <c r="H22" s="842"/>
      <c r="I22" s="843"/>
      <c r="J22" s="814">
        <f t="shared" si="19"/>
        <v>0</v>
      </c>
      <c r="K22" s="814">
        <f t="shared" si="11"/>
        <v>0</v>
      </c>
      <c r="L22" s="814">
        <f t="shared" si="14"/>
        <v>0</v>
      </c>
      <c r="M22" s="814">
        <f t="shared" si="15"/>
        <v>0</v>
      </c>
      <c r="N22" s="774">
        <f t="shared" si="12"/>
        <v>0</v>
      </c>
      <c r="O22" s="774">
        <f t="shared" si="16"/>
        <v>0</v>
      </c>
      <c r="P22" s="774">
        <f t="shared" si="17"/>
        <v>0</v>
      </c>
      <c r="Q22" s="774">
        <f t="shared" si="17"/>
        <v>0</v>
      </c>
      <c r="R22" s="774">
        <f t="shared" si="17"/>
        <v>0</v>
      </c>
      <c r="S22" s="774">
        <f t="shared" si="17"/>
        <v>0</v>
      </c>
      <c r="T22" s="774">
        <f t="shared" si="17"/>
        <v>0</v>
      </c>
      <c r="U22" s="774">
        <f t="shared" si="17"/>
        <v>0</v>
      </c>
      <c r="V22" s="774">
        <f t="shared" si="17"/>
        <v>0</v>
      </c>
      <c r="W22" s="774">
        <f t="shared" si="17"/>
        <v>0</v>
      </c>
      <c r="X22" s="774">
        <f t="shared" si="17"/>
        <v>0</v>
      </c>
      <c r="Y22" s="774">
        <f t="shared" si="17"/>
        <v>0</v>
      </c>
      <c r="Z22" s="774">
        <f t="shared" si="17"/>
        <v>0</v>
      </c>
      <c r="AA22" s="958"/>
      <c r="AB22" s="841"/>
      <c r="AC22" s="775"/>
      <c r="AD22" s="775"/>
    </row>
    <row r="23" spans="1:30">
      <c r="A23" s="818">
        <f t="shared" si="18"/>
        <v>1.1000000000000001</v>
      </c>
      <c r="B23" s="694"/>
      <c r="C23" s="815"/>
      <c r="D23" s="816"/>
      <c r="E23" s="816"/>
      <c r="F23" s="842"/>
      <c r="G23" s="842"/>
      <c r="H23" s="842"/>
      <c r="I23" s="843"/>
      <c r="J23" s="814">
        <f>IF(H23=0,0,(H23*12))</f>
        <v>0</v>
      </c>
      <c r="K23" s="814">
        <f t="shared" si="11"/>
        <v>0</v>
      </c>
      <c r="L23" s="814">
        <f t="shared" si="14"/>
        <v>0</v>
      </c>
      <c r="M23" s="814">
        <f t="shared" si="15"/>
        <v>0</v>
      </c>
      <c r="N23" s="774">
        <f t="shared" si="12"/>
        <v>0</v>
      </c>
      <c r="O23" s="774">
        <f t="shared" si="16"/>
        <v>0</v>
      </c>
      <c r="P23" s="774">
        <f t="shared" si="17"/>
        <v>0</v>
      </c>
      <c r="Q23" s="774">
        <f t="shared" si="17"/>
        <v>0</v>
      </c>
      <c r="R23" s="774">
        <f t="shared" si="17"/>
        <v>0</v>
      </c>
      <c r="S23" s="774">
        <f t="shared" si="17"/>
        <v>0</v>
      </c>
      <c r="T23" s="774">
        <f t="shared" si="17"/>
        <v>0</v>
      </c>
      <c r="U23" s="774">
        <f t="shared" si="17"/>
        <v>0</v>
      </c>
      <c r="V23" s="774">
        <f t="shared" si="17"/>
        <v>0</v>
      </c>
      <c r="W23" s="774">
        <f t="shared" si="17"/>
        <v>0</v>
      </c>
      <c r="X23" s="774">
        <f t="shared" si="17"/>
        <v>0</v>
      </c>
      <c r="Y23" s="774">
        <f t="shared" si="17"/>
        <v>0</v>
      </c>
      <c r="Z23" s="774">
        <f t="shared" si="17"/>
        <v>0</v>
      </c>
      <c r="AA23" s="958"/>
      <c r="AB23" s="841"/>
      <c r="AC23" s="775"/>
      <c r="AD23" s="775"/>
    </row>
    <row r="24" spans="1:30" ht="17.5" customHeight="1">
      <c r="A24" s="760"/>
      <c r="B24" s="760"/>
      <c r="C24" s="694"/>
      <c r="D24" s="774"/>
      <c r="E24" s="774"/>
      <c r="F24" s="774"/>
      <c r="G24" s="774"/>
      <c r="H24" s="774"/>
      <c r="I24" s="774"/>
      <c r="J24" s="774"/>
      <c r="K24" s="774"/>
      <c r="L24" s="774"/>
      <c r="M24" s="774"/>
      <c r="N24" s="774"/>
      <c r="O24" s="774"/>
      <c r="P24" s="774"/>
      <c r="Q24" s="774"/>
      <c r="R24" s="774"/>
      <c r="S24" s="774"/>
      <c r="T24" s="774"/>
      <c r="U24" s="774"/>
      <c r="V24" s="774"/>
      <c r="W24" s="774"/>
      <c r="X24" s="774"/>
      <c r="Y24" s="760"/>
      <c r="Z24" s="760"/>
      <c r="AA24" s="760"/>
      <c r="AB24" s="838"/>
      <c r="AC24" s="760"/>
      <c r="AD24" s="760"/>
    </row>
    <row r="25" spans="1:30" ht="15.65" customHeight="1">
      <c r="A25" s="760"/>
      <c r="B25" s="760"/>
      <c r="C25" s="694"/>
      <c r="D25" s="774"/>
      <c r="E25" s="774"/>
      <c r="F25" s="774"/>
      <c r="G25" s="774"/>
      <c r="H25" s="774"/>
      <c r="I25" s="774"/>
      <c r="J25" s="774"/>
      <c r="K25" s="774"/>
      <c r="L25" s="774"/>
      <c r="M25" s="774"/>
      <c r="N25" s="774"/>
      <c r="O25" s="774"/>
      <c r="P25" s="774"/>
      <c r="Q25" s="774"/>
      <c r="R25" s="774"/>
      <c r="S25" s="774"/>
      <c r="T25" s="774"/>
      <c r="U25" s="774"/>
      <c r="V25" s="774"/>
      <c r="W25" s="774"/>
      <c r="X25" s="774"/>
      <c r="Y25" s="760"/>
      <c r="Z25" s="760"/>
      <c r="AA25" s="760"/>
      <c r="AB25" s="811"/>
      <c r="AC25" s="760"/>
      <c r="AD25" s="760"/>
    </row>
    <row r="26" spans="1:30" s="824" customFormat="1" ht="16" thickBot="1">
      <c r="A26" s="819">
        <v>2</v>
      </c>
      <c r="B26" s="819"/>
      <c r="C26" s="820" t="s">
        <v>9</v>
      </c>
      <c r="D26" s="844"/>
      <c r="E26" s="844"/>
      <c r="F26" s="844"/>
      <c r="G26" s="844"/>
      <c r="H26" s="844"/>
      <c r="I26" s="844"/>
      <c r="J26" s="844"/>
      <c r="K26" s="844"/>
      <c r="L26" s="844"/>
      <c r="M26" s="846">
        <f>SUM(M13:M25)</f>
        <v>0</v>
      </c>
      <c r="N26" s="844"/>
      <c r="O26" s="844"/>
      <c r="P26" s="844"/>
      <c r="Q26" s="844"/>
      <c r="R26" s="844"/>
      <c r="S26" s="844"/>
      <c r="T26" s="844"/>
      <c r="U26" s="844"/>
      <c r="V26" s="844"/>
      <c r="W26" s="844"/>
      <c r="X26" s="844"/>
      <c r="Y26" s="819"/>
      <c r="Z26" s="819"/>
      <c r="AA26" s="847">
        <f>SUM(AA13:AA25)</f>
        <v>0</v>
      </c>
      <c r="AB26" s="845"/>
      <c r="AC26" s="822"/>
      <c r="AD26" s="822"/>
    </row>
    <row r="27" spans="1:30" ht="16" thickTop="1">
      <c r="A27" s="760"/>
      <c r="B27" s="760"/>
      <c r="C27" s="694"/>
      <c r="D27" s="774"/>
      <c r="E27" s="774"/>
      <c r="F27" s="774"/>
      <c r="G27" s="774"/>
      <c r="H27" s="774"/>
      <c r="I27" s="774"/>
      <c r="J27" s="774"/>
      <c r="K27" s="774"/>
      <c r="L27" s="774"/>
      <c r="M27" s="774"/>
      <c r="N27" s="774"/>
      <c r="O27" s="774"/>
      <c r="P27" s="774"/>
      <c r="Q27" s="774"/>
      <c r="R27" s="774"/>
      <c r="S27" s="774"/>
      <c r="T27" s="774"/>
      <c r="U27" s="774"/>
      <c r="V27" s="774"/>
      <c r="W27" s="774"/>
      <c r="X27" s="774"/>
      <c r="Y27" s="760"/>
      <c r="Z27" s="760"/>
      <c r="AA27" s="760"/>
      <c r="AB27" s="811"/>
      <c r="AC27" s="760"/>
      <c r="AD27" s="760"/>
    </row>
    <row r="28" spans="1:30">
      <c r="A28" s="760"/>
      <c r="B28" s="760"/>
      <c r="C28" s="694"/>
      <c r="D28" s="774"/>
      <c r="E28" s="774"/>
      <c r="F28" s="774"/>
      <c r="G28" s="774"/>
      <c r="H28" s="774"/>
      <c r="I28" s="774"/>
      <c r="J28" s="774"/>
      <c r="K28" s="774"/>
      <c r="L28" s="774"/>
      <c r="M28" s="774"/>
      <c r="N28" s="774"/>
      <c r="O28" s="774"/>
      <c r="P28" s="774"/>
      <c r="Q28" s="774"/>
      <c r="R28" s="774"/>
      <c r="S28" s="774"/>
      <c r="T28" s="774"/>
      <c r="U28" s="774"/>
      <c r="V28" s="774"/>
      <c r="W28" s="774"/>
      <c r="X28" s="774"/>
      <c r="Y28" s="760"/>
      <c r="Z28" s="760"/>
      <c r="AA28" s="760"/>
      <c r="AB28" s="811"/>
      <c r="AC28" s="760"/>
      <c r="AD28" s="760"/>
    </row>
    <row r="29" spans="1:30">
      <c r="A29" s="760"/>
      <c r="B29" s="760"/>
      <c r="C29" s="694"/>
      <c r="D29" s="774"/>
      <c r="E29" s="774"/>
      <c r="F29" s="774"/>
      <c r="G29" s="774"/>
      <c r="H29" s="774"/>
      <c r="I29" s="774"/>
      <c r="J29" s="774"/>
      <c r="K29" s="774"/>
      <c r="L29" s="774"/>
      <c r="M29" s="774"/>
      <c r="N29" s="774"/>
      <c r="O29" s="774"/>
      <c r="P29" s="774"/>
      <c r="Q29" s="774"/>
      <c r="R29" s="774"/>
      <c r="S29" s="774"/>
      <c r="T29" s="774"/>
      <c r="U29" s="774"/>
      <c r="V29" s="774"/>
      <c r="W29" s="774"/>
      <c r="X29" s="774"/>
      <c r="Y29" s="760"/>
      <c r="Z29" s="760"/>
      <c r="AA29" s="760"/>
      <c r="AB29" s="811"/>
      <c r="AC29" s="760"/>
      <c r="AD29" s="760"/>
    </row>
    <row r="30" spans="1:30">
      <c r="C30" s="777" t="s">
        <v>176</v>
      </c>
      <c r="D30" s="694"/>
      <c r="E30" s="694"/>
      <c r="F30" s="694"/>
      <c r="H30" s="694"/>
    </row>
    <row r="31" spans="1:30">
      <c r="C31" s="694" t="s">
        <v>1215</v>
      </c>
    </row>
    <row r="32" spans="1:30">
      <c r="C32" s="694" t="s">
        <v>1216</v>
      </c>
    </row>
    <row r="33" spans="3:9">
      <c r="C33" s="694" t="s">
        <v>1217</v>
      </c>
    </row>
    <row r="34" spans="3:9">
      <c r="C34" s="694" t="s">
        <v>1218</v>
      </c>
    </row>
    <row r="35" spans="3:9">
      <c r="C35" s="694" t="s">
        <v>1219</v>
      </c>
    </row>
    <row r="36" spans="3:9">
      <c r="C36" s="694" t="s">
        <v>1220</v>
      </c>
      <c r="D36" s="694"/>
      <c r="E36" s="694"/>
      <c r="F36" s="694"/>
      <c r="G36" s="694"/>
      <c r="H36" s="694"/>
      <c r="I36" s="694"/>
    </row>
  </sheetData>
  <pageMargins left="0.7" right="0.7" top="0.75" bottom="0.75" header="0.3" footer="0.3"/>
  <pageSetup scale="20" orientation="portrait" r:id="rId1"/>
  <ignoredErrors>
    <ignoredError sqref="P12" twoDigitTextYear="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6280-52B0-46B0-9A18-49FFCBCBAC05}">
  <sheetPr codeName="Sheet29"/>
  <dimension ref="A1:BE75"/>
  <sheetViews>
    <sheetView view="pageBreakPreview" zoomScaleNormal="100" zoomScaleSheetLayoutView="100" workbookViewId="0"/>
  </sheetViews>
  <sheetFormatPr defaultColWidth="8.84375" defaultRowHeight="15.5"/>
  <cols>
    <col min="1" max="1" width="4.4609375" style="1" customWidth="1"/>
    <col min="2" max="2" width="1.23046875" style="2" customWidth="1"/>
    <col min="3" max="3" width="9.765625" style="1" customWidth="1"/>
    <col min="4" max="4" width="1.07421875" style="1" customWidth="1"/>
    <col min="5" max="5" width="41.4609375" style="1" bestFit="1" customWidth="1"/>
    <col min="6" max="6" width="1.4609375" style="1" customWidth="1"/>
    <col min="7" max="7" width="13.4609375" style="1" bestFit="1" customWidth="1"/>
    <col min="8" max="8" width="1.07421875" style="1" customWidth="1"/>
    <col min="9" max="9" width="14.4609375" style="1" customWidth="1"/>
    <col min="10" max="10" width="2.07421875" style="1" customWidth="1"/>
    <col min="11" max="11" width="12" style="1" customWidth="1"/>
    <col min="12" max="12" width="2.3046875" style="1" customWidth="1"/>
    <col min="13" max="13" width="12" style="1" customWidth="1"/>
    <col min="14" max="14" width="2.23046875" style="1" customWidth="1"/>
    <col min="15" max="15" width="28.4609375" style="1" bestFit="1" customWidth="1"/>
    <col min="16" max="16" width="2.4609375" style="1" customWidth="1"/>
    <col min="17" max="17" width="19.53515625" style="1" bestFit="1" customWidth="1"/>
    <col min="18" max="18" width="1.765625" style="1" bestFit="1" customWidth="1"/>
    <col min="19" max="19" width="11.84375" style="1" customWidth="1"/>
    <col min="20" max="20" width="2" style="1" customWidth="1"/>
    <col min="21" max="21" width="14.69140625" style="1" bestFit="1" customWidth="1"/>
    <col min="22" max="22" width="2.07421875" style="1" customWidth="1"/>
    <col min="23" max="23" width="12.765625" style="1" customWidth="1"/>
    <col min="24" max="24" width="2.07421875" style="1" customWidth="1"/>
    <col min="25" max="25" width="12.23046875" style="1" bestFit="1" customWidth="1"/>
    <col min="26" max="26" width="11.69140625" style="1" bestFit="1" customWidth="1"/>
    <col min="27" max="27" width="9.3046875" style="1" bestFit="1" customWidth="1"/>
    <col min="28" max="16384" width="8.84375" style="1"/>
  </cols>
  <sheetData>
    <row r="1" spans="1:55">
      <c r="U1" s="1174" t="str">
        <f>'Attachment H-11A '!K1&amp;""&amp;", Attachment 20"</f>
        <v>Attachment H -11A, Attachment 20</v>
      </c>
      <c r="V1" s="1174"/>
      <c r="W1" s="1174"/>
      <c r="X1" s="1174"/>
      <c r="Y1" s="1174"/>
    </row>
    <row r="2" spans="1:55">
      <c r="U2" s="1175" t="s">
        <v>168</v>
      </c>
      <c r="V2" s="1175"/>
      <c r="W2" s="1175"/>
      <c r="X2" s="1175"/>
      <c r="Y2" s="1175"/>
    </row>
    <row r="3" spans="1:55">
      <c r="U3" s="1174" t="str">
        <f>'Attachment H-11A '!K4</f>
        <v>For the 12 months ended 12/31/2025</v>
      </c>
      <c r="V3" s="1174"/>
      <c r="W3" s="1174"/>
      <c r="X3" s="1174"/>
      <c r="Y3" s="1174"/>
    </row>
    <row r="5" spans="1:55">
      <c r="E5" s="693" t="s">
        <v>688</v>
      </c>
      <c r="F5" s="693"/>
      <c r="G5" s="693" t="str">
        <f>"("&amp;CHAR(CODE(MID(E5,2,1))+1)&amp;")"</f>
        <v>(B)</v>
      </c>
      <c r="I5" s="693" t="str">
        <f t="shared" ref="I5" si="0">"("&amp;CHAR(CODE(MID(G5,2,1))+1)&amp;")"</f>
        <v>(C)</v>
      </c>
      <c r="J5" s="693"/>
      <c r="K5" s="693" t="str">
        <f t="shared" ref="K5" si="1">"("&amp;CHAR(CODE(MID(I5,2,1))+1)&amp;")"</f>
        <v>(D)</v>
      </c>
      <c r="L5" s="693"/>
      <c r="M5" s="693" t="str">
        <f t="shared" ref="M5" si="2">"("&amp;CHAR(CODE(MID(K5,2,1))+1)&amp;")"</f>
        <v>(E)</v>
      </c>
      <c r="N5" s="693"/>
      <c r="O5" s="693" t="str">
        <f t="shared" ref="O5" si="3">"("&amp;CHAR(CODE(MID(M5,2,1))+1)&amp;")"</f>
        <v>(F)</v>
      </c>
      <c r="P5" s="693"/>
      <c r="Q5" s="693" t="str">
        <f t="shared" ref="Q5" si="4">"("&amp;CHAR(CODE(MID(O5,2,1))+1)&amp;")"</f>
        <v>(G)</v>
      </c>
      <c r="R5" s="693"/>
      <c r="S5" s="693" t="str">
        <f t="shared" ref="S5" si="5">"("&amp;CHAR(CODE(MID(Q5,2,1))+1)&amp;")"</f>
        <v>(H)</v>
      </c>
      <c r="T5" s="693"/>
      <c r="U5" s="693" t="str">
        <f t="shared" ref="U5" si="6">"("&amp;CHAR(CODE(MID(S5,2,1))+1)&amp;")"</f>
        <v>(I)</v>
      </c>
      <c r="V5" s="693"/>
      <c r="W5" s="693" t="str">
        <f t="shared" ref="W5" si="7">"("&amp;CHAR(CODE(MID(U5,2,1))+1)&amp;")"</f>
        <v>(J)</v>
      </c>
      <c r="X5" s="982"/>
      <c r="Y5" s="982" t="s">
        <v>1039</v>
      </c>
    </row>
    <row r="6" spans="1:55" s="779" customFormat="1" ht="30.5">
      <c r="A6" s="762" t="s">
        <v>5</v>
      </c>
      <c r="B6" s="769"/>
      <c r="C6" s="762" t="s">
        <v>984</v>
      </c>
      <c r="D6" s="769"/>
      <c r="E6" s="948" t="s">
        <v>985</v>
      </c>
      <c r="F6" s="949"/>
      <c r="G6" s="950" t="s">
        <v>986</v>
      </c>
      <c r="H6" s="769"/>
      <c r="I6" s="950" t="s">
        <v>987</v>
      </c>
      <c r="J6" s="951" t="s">
        <v>988</v>
      </c>
      <c r="K6" s="952" t="s">
        <v>989</v>
      </c>
      <c r="L6" s="953" t="s">
        <v>78</v>
      </c>
      <c r="M6" s="952" t="s">
        <v>990</v>
      </c>
      <c r="N6" s="952" t="s">
        <v>691</v>
      </c>
      <c r="O6" s="952" t="s">
        <v>1040</v>
      </c>
      <c r="P6" s="951" t="s">
        <v>78</v>
      </c>
      <c r="Q6" s="952" t="s">
        <v>991</v>
      </c>
      <c r="R6" s="954"/>
      <c r="S6" s="954"/>
      <c r="T6" s="951"/>
      <c r="U6" s="954"/>
      <c r="W6" s="955"/>
      <c r="Y6" s="983"/>
      <c r="AA6" s="955"/>
      <c r="AC6" s="955"/>
      <c r="AE6" s="955"/>
      <c r="AG6" s="955"/>
      <c r="AI6" s="955"/>
      <c r="AK6" s="955"/>
      <c r="AM6" s="955"/>
      <c r="AO6" s="769"/>
      <c r="AQ6" s="769"/>
      <c r="AS6" s="769"/>
      <c r="AT6" s="769"/>
      <c r="AU6" s="956"/>
      <c r="AW6" s="769"/>
      <c r="AY6" s="955"/>
      <c r="BA6" s="769"/>
      <c r="BC6" s="769"/>
    </row>
    <row r="7" spans="1:55" s="694" customFormat="1">
      <c r="A7" s="760">
        <v>1</v>
      </c>
      <c r="B7" s="760"/>
      <c r="C7" s="957">
        <v>560</v>
      </c>
      <c r="D7" s="760"/>
      <c r="E7" s="1" t="s">
        <v>641</v>
      </c>
      <c r="F7" s="1"/>
      <c r="G7" s="1" t="s">
        <v>992</v>
      </c>
      <c r="H7" s="760"/>
      <c r="I7" s="958">
        <v>123966.29999999999</v>
      </c>
      <c r="J7" s="760"/>
      <c r="K7" s="959">
        <f>'Attachment H-11A '!$I$205</f>
        <v>0.96404742576256197</v>
      </c>
      <c r="L7" s="760"/>
      <c r="M7" s="884">
        <f>I7*K7</f>
        <v>119509.39239630947</v>
      </c>
      <c r="N7" s="774"/>
      <c r="O7" s="958"/>
      <c r="P7" s="760"/>
      <c r="Q7" s="774">
        <f>M7-O7</f>
        <v>119509.39239630947</v>
      </c>
      <c r="R7" s="960"/>
      <c r="S7" s="960"/>
      <c r="T7" s="760"/>
      <c r="U7" s="960"/>
      <c r="W7" s="774"/>
      <c r="Y7" s="960"/>
      <c r="AA7" s="774"/>
      <c r="AC7" s="774"/>
      <c r="AE7" s="774"/>
      <c r="AG7" s="774"/>
      <c r="AI7" s="774"/>
      <c r="AK7" s="774"/>
      <c r="AM7" s="774"/>
      <c r="AO7" s="760"/>
      <c r="AQ7" s="760"/>
      <c r="AS7" s="760"/>
      <c r="AT7" s="760"/>
      <c r="AU7" s="811"/>
      <c r="AW7" s="760"/>
      <c r="AY7" s="774"/>
      <c r="BA7" s="760"/>
      <c r="BC7" s="760"/>
    </row>
    <row r="8" spans="1:55" s="694" customFormat="1" ht="15.65" customHeight="1">
      <c r="A8" s="760">
        <f>MAX($A$7:A7)+1</f>
        <v>2</v>
      </c>
      <c r="B8" s="760"/>
      <c r="C8" s="957">
        <v>561.1</v>
      </c>
      <c r="D8" s="760"/>
      <c r="E8" s="1" t="s">
        <v>642</v>
      </c>
      <c r="F8" s="1"/>
      <c r="G8" s="1" t="s">
        <v>993</v>
      </c>
      <c r="H8" s="760"/>
      <c r="I8" s="958">
        <v>272875.31000000006</v>
      </c>
      <c r="J8" s="760"/>
      <c r="K8" s="959">
        <f>'Attachment H-11A '!$I$205</f>
        <v>0.96404742576256197</v>
      </c>
      <c r="L8" s="760"/>
      <c r="M8" s="884">
        <f>I8*K8</f>
        <v>263064.74015966116</v>
      </c>
      <c r="N8" s="774"/>
      <c r="O8" s="958"/>
      <c r="P8" s="760"/>
      <c r="Q8" s="774">
        <f t="shared" ref="Q8:Q31" si="8">M8-O8</f>
        <v>263064.74015966116</v>
      </c>
      <c r="R8" s="960"/>
      <c r="W8" s="961"/>
      <c r="Y8" s="961"/>
      <c r="Z8" s="961"/>
      <c r="AA8" s="961"/>
      <c r="AB8" s="961"/>
      <c r="AC8" s="774"/>
      <c r="AE8" s="774"/>
      <c r="AG8" s="774"/>
      <c r="AI8" s="774"/>
      <c r="AK8" s="774"/>
      <c r="AM8" s="774"/>
      <c r="AO8" s="760"/>
      <c r="AQ8" s="760"/>
      <c r="AS8" s="760"/>
      <c r="AT8" s="760"/>
      <c r="AU8" s="811"/>
      <c r="AW8" s="760"/>
      <c r="AY8" s="760"/>
      <c r="BA8" s="760"/>
      <c r="BC8" s="760"/>
    </row>
    <row r="9" spans="1:55" s="694" customFormat="1">
      <c r="A9" s="760">
        <f>MAX($A$7:A8)+1</f>
        <v>3</v>
      </c>
      <c r="B9" s="760"/>
      <c r="C9" s="957">
        <v>561.20000000000005</v>
      </c>
      <c r="D9" s="760"/>
      <c r="E9" s="1" t="s">
        <v>643</v>
      </c>
      <c r="F9" s="1"/>
      <c r="G9" s="1" t="s">
        <v>994</v>
      </c>
      <c r="H9" s="760"/>
      <c r="I9" s="958">
        <v>668868.56999999995</v>
      </c>
      <c r="J9" s="760"/>
      <c r="K9" s="959">
        <f>'Attachment H-11A '!$I$205</f>
        <v>0.96404742576256197</v>
      </c>
      <c r="L9" s="760"/>
      <c r="M9" s="884">
        <f t="shared" ref="M9:M31" si="9">I9*K9</f>
        <v>644821.02308198588</v>
      </c>
      <c r="N9" s="774"/>
      <c r="O9" s="958"/>
      <c r="P9" s="760"/>
      <c r="Q9" s="774">
        <f t="shared" si="8"/>
        <v>644821.02308198588</v>
      </c>
      <c r="R9" s="960"/>
      <c r="W9" s="961"/>
      <c r="Y9" s="961"/>
      <c r="Z9" s="961"/>
      <c r="AA9" s="961"/>
      <c r="AB9" s="961"/>
      <c r="AC9" s="774"/>
      <c r="AE9" s="774"/>
      <c r="AG9" s="774"/>
      <c r="AI9" s="774"/>
      <c r="AK9" s="774"/>
      <c r="AM9" s="774"/>
      <c r="AO9" s="760"/>
      <c r="AQ9" s="760"/>
      <c r="AS9" s="760"/>
      <c r="AT9" s="760"/>
      <c r="AU9" s="811"/>
      <c r="AW9" s="760"/>
      <c r="AY9" s="760"/>
      <c r="BA9" s="760"/>
      <c r="BC9" s="760"/>
    </row>
    <row r="10" spans="1:55" s="694" customFormat="1">
      <c r="A10" s="760">
        <f>MAX($A$7:A9)+1</f>
        <v>4</v>
      </c>
      <c r="B10" s="760"/>
      <c r="C10" s="957">
        <v>561.29999999999995</v>
      </c>
      <c r="D10" s="760"/>
      <c r="E10" s="1" t="s">
        <v>644</v>
      </c>
      <c r="F10" s="1"/>
      <c r="G10" s="1" t="s">
        <v>995</v>
      </c>
      <c r="H10" s="760"/>
      <c r="I10" s="958"/>
      <c r="J10" s="760"/>
      <c r="K10" s="959">
        <f>'Attachment H-11A '!$I$205</f>
        <v>0.96404742576256197</v>
      </c>
      <c r="L10" s="760"/>
      <c r="M10" s="884">
        <f>I10*K10</f>
        <v>0</v>
      </c>
      <c r="N10" s="774"/>
      <c r="O10" s="958"/>
      <c r="P10" s="760"/>
      <c r="Q10" s="774">
        <f t="shared" si="8"/>
        <v>0</v>
      </c>
      <c r="R10" s="960"/>
      <c r="W10" s="961"/>
      <c r="Y10" s="961"/>
      <c r="Z10" s="961"/>
      <c r="AA10" s="961"/>
      <c r="AB10" s="961"/>
      <c r="AC10" s="774"/>
      <c r="AE10" s="774"/>
      <c r="AG10" s="774"/>
      <c r="AI10" s="774"/>
      <c r="AK10" s="774"/>
      <c r="AM10" s="774"/>
      <c r="AO10" s="760"/>
      <c r="AQ10" s="760"/>
      <c r="AS10" s="760"/>
      <c r="AT10" s="760"/>
      <c r="AU10" s="811"/>
      <c r="AW10" s="760"/>
      <c r="AY10" s="760"/>
      <c r="BA10" s="760"/>
      <c r="BC10" s="760"/>
    </row>
    <row r="11" spans="1:55" s="694" customFormat="1" ht="15.65" customHeight="1">
      <c r="A11" s="760">
        <f>MAX($A$7:A10)+1</f>
        <v>5</v>
      </c>
      <c r="B11" s="760"/>
      <c r="C11" s="957">
        <v>561.4</v>
      </c>
      <c r="D11" s="760"/>
      <c r="E11" s="1" t="s">
        <v>645</v>
      </c>
      <c r="F11" s="1"/>
      <c r="G11" s="1" t="s">
        <v>996</v>
      </c>
      <c r="H11" s="760"/>
      <c r="I11" s="958">
        <v>8393054.7600000016</v>
      </c>
      <c r="J11" s="760"/>
      <c r="K11" s="959">
        <f>'Attachment H-11A '!$I$205</f>
        <v>0.96404742576256197</v>
      </c>
      <c r="L11" s="760"/>
      <c r="M11" s="884">
        <f>I11*K11</f>
        <v>8091302.8356622187</v>
      </c>
      <c r="N11" s="774"/>
      <c r="O11" s="958">
        <f>M11</f>
        <v>8091302.8356622187</v>
      </c>
      <c r="P11" s="760"/>
      <c r="Q11" s="774">
        <f t="shared" si="8"/>
        <v>0</v>
      </c>
      <c r="R11" s="960"/>
      <c r="W11" s="961"/>
      <c r="Y11" s="961"/>
      <c r="Z11" s="961"/>
      <c r="AA11" s="961"/>
      <c r="AB11" s="961"/>
      <c r="AC11" s="774"/>
      <c r="AE11" s="774"/>
      <c r="AG11" s="774"/>
      <c r="AI11" s="774"/>
      <c r="AK11" s="774"/>
      <c r="AM11" s="774"/>
      <c r="AO11" s="760"/>
      <c r="AQ11" s="760"/>
      <c r="AS11" s="760"/>
      <c r="AT11" s="760"/>
      <c r="AU11" s="811"/>
      <c r="AW11" s="760"/>
      <c r="AY11" s="760"/>
      <c r="BA11" s="760"/>
      <c r="BC11" s="760"/>
    </row>
    <row r="12" spans="1:55" s="694" customFormat="1">
      <c r="A12" s="760">
        <f>MAX($A$7:A11)+1</f>
        <v>6</v>
      </c>
      <c r="B12" s="760"/>
      <c r="C12" s="957">
        <v>561.5</v>
      </c>
      <c r="D12" s="760"/>
      <c r="E12" s="1" t="s">
        <v>646</v>
      </c>
      <c r="F12" s="1"/>
      <c r="G12" s="1" t="s">
        <v>997</v>
      </c>
      <c r="H12" s="760"/>
      <c r="I12" s="958">
        <v>54593.189999999988</v>
      </c>
      <c r="J12" s="760"/>
      <c r="K12" s="959">
        <f>'Attachment H-11A '!$I$205</f>
        <v>0.96404742576256197</v>
      </c>
      <c r="L12" s="760"/>
      <c r="M12" s="884">
        <f t="shared" si="9"/>
        <v>52630.424283666427</v>
      </c>
      <c r="N12" s="774"/>
      <c r="O12" s="958"/>
      <c r="P12" s="760"/>
      <c r="Q12" s="774">
        <f>M12-O12</f>
        <v>52630.424283666427</v>
      </c>
      <c r="R12" s="960"/>
      <c r="W12" s="961"/>
      <c r="Y12" s="961"/>
      <c r="Z12" s="961"/>
      <c r="AA12" s="961"/>
      <c r="AB12" s="961"/>
      <c r="AC12" s="774"/>
      <c r="AE12" s="774"/>
      <c r="AG12" s="774"/>
      <c r="AI12" s="774"/>
      <c r="AK12" s="774"/>
      <c r="AM12" s="774"/>
      <c r="AO12" s="760"/>
      <c r="AQ12" s="760"/>
      <c r="AS12" s="760"/>
      <c r="AT12" s="760"/>
      <c r="AU12" s="811"/>
      <c r="AW12" s="760"/>
      <c r="AY12" s="760"/>
      <c r="BA12" s="760"/>
      <c r="BC12" s="760"/>
    </row>
    <row r="13" spans="1:55" s="694" customFormat="1">
      <c r="A13" s="760">
        <f>MAX($A$7:A12)+1</f>
        <v>7</v>
      </c>
      <c r="B13" s="760"/>
      <c r="C13" s="957">
        <v>561.6</v>
      </c>
      <c r="D13" s="760"/>
      <c r="E13" s="1" t="s">
        <v>647</v>
      </c>
      <c r="F13" s="1"/>
      <c r="G13" s="1" t="s">
        <v>998</v>
      </c>
      <c r="H13" s="760"/>
      <c r="I13" s="958"/>
      <c r="J13" s="760"/>
      <c r="K13" s="959">
        <f>'Attachment H-11A '!$I$205</f>
        <v>0.96404742576256197</v>
      </c>
      <c r="L13" s="760"/>
      <c r="M13" s="884">
        <f t="shared" si="9"/>
        <v>0</v>
      </c>
      <c r="N13" s="774"/>
      <c r="O13" s="958"/>
      <c r="P13" s="760"/>
      <c r="Q13" s="774">
        <f t="shared" si="8"/>
        <v>0</v>
      </c>
      <c r="R13" s="960"/>
      <c r="W13" s="961"/>
      <c r="Y13" s="961"/>
      <c r="Z13" s="961"/>
      <c r="AA13" s="961"/>
      <c r="AB13" s="961"/>
      <c r="AC13" s="774"/>
      <c r="AE13" s="774"/>
      <c r="AG13" s="774"/>
      <c r="AI13" s="774"/>
      <c r="AK13" s="774"/>
      <c r="AM13" s="774"/>
      <c r="AO13" s="760"/>
      <c r="AQ13" s="760"/>
      <c r="AS13" s="760"/>
      <c r="AT13" s="760"/>
      <c r="AU13" s="811"/>
      <c r="AW13" s="760"/>
      <c r="AY13" s="760"/>
      <c r="BA13" s="760"/>
      <c r="BC13" s="760"/>
    </row>
    <row r="14" spans="1:55" s="694" customFormat="1">
      <c r="A14" s="760">
        <f>MAX($A$7:A13)+1</f>
        <v>8</v>
      </c>
      <c r="B14" s="760"/>
      <c r="C14" s="957">
        <v>561.70000000000005</v>
      </c>
      <c r="D14" s="760"/>
      <c r="E14" s="1" t="s">
        <v>648</v>
      </c>
      <c r="F14" s="1"/>
      <c r="G14" s="1" t="s">
        <v>999</v>
      </c>
      <c r="H14" s="760"/>
      <c r="I14" s="958"/>
      <c r="J14" s="760"/>
      <c r="K14" s="959">
        <f>'Attachment H-11A '!$I$205</f>
        <v>0.96404742576256197</v>
      </c>
      <c r="L14" s="760"/>
      <c r="M14" s="884">
        <f t="shared" si="9"/>
        <v>0</v>
      </c>
      <c r="N14" s="774"/>
      <c r="O14" s="958"/>
      <c r="P14" s="760"/>
      <c r="Q14" s="774">
        <f t="shared" si="8"/>
        <v>0</v>
      </c>
      <c r="R14" s="960"/>
      <c r="W14" s="961"/>
      <c r="Y14" s="961"/>
      <c r="Z14" s="961"/>
      <c r="AA14" s="961"/>
      <c r="AB14" s="961"/>
      <c r="AC14" s="774"/>
      <c r="AE14" s="774"/>
      <c r="AG14" s="774"/>
      <c r="AI14" s="774"/>
      <c r="AK14" s="774"/>
      <c r="AM14" s="774"/>
      <c r="AO14" s="760"/>
      <c r="AQ14" s="760"/>
      <c r="AS14" s="760"/>
      <c r="AT14" s="760"/>
      <c r="AU14" s="811"/>
      <c r="AW14" s="760"/>
      <c r="AY14" s="760"/>
      <c r="BA14" s="760"/>
      <c r="BC14" s="760"/>
    </row>
    <row r="15" spans="1:55" s="694" customFormat="1">
      <c r="A15" s="760">
        <f>MAX($A$7:A14)+1</f>
        <v>9</v>
      </c>
      <c r="B15" s="760"/>
      <c r="C15" s="957">
        <v>561.79999999999995</v>
      </c>
      <c r="D15" s="760"/>
      <c r="E15" s="1" t="s">
        <v>649</v>
      </c>
      <c r="F15" s="1"/>
      <c r="G15" s="1" t="s">
        <v>1000</v>
      </c>
      <c r="H15" s="760"/>
      <c r="I15" s="958">
        <v>32638.439999999991</v>
      </c>
      <c r="J15" s="760"/>
      <c r="K15" s="959">
        <f>'Attachment H-11A '!$I$205</f>
        <v>0.96404742576256197</v>
      </c>
      <c r="L15" s="760"/>
      <c r="M15" s="884">
        <f>I15*K15</f>
        <v>31465.004062905824</v>
      </c>
      <c r="N15" s="774"/>
      <c r="O15" s="958">
        <f>M15</f>
        <v>31465.004062905824</v>
      </c>
      <c r="P15" s="760"/>
      <c r="Q15" s="774">
        <f t="shared" si="8"/>
        <v>0</v>
      </c>
      <c r="R15" s="960"/>
      <c r="W15" s="961"/>
      <c r="Y15" s="961"/>
      <c r="Z15" s="961"/>
      <c r="AA15" s="961"/>
      <c r="AB15" s="961"/>
      <c r="AC15" s="774"/>
      <c r="AE15" s="774"/>
      <c r="AG15" s="774"/>
      <c r="AI15" s="774"/>
      <c r="AK15" s="774"/>
      <c r="AM15" s="774"/>
      <c r="AO15" s="760"/>
      <c r="AQ15" s="760"/>
      <c r="AS15" s="760"/>
      <c r="AT15" s="760"/>
      <c r="AU15" s="811"/>
      <c r="AW15" s="760"/>
      <c r="AY15" s="760"/>
      <c r="BA15" s="760"/>
      <c r="BC15" s="760"/>
    </row>
    <row r="16" spans="1:55" s="694" customFormat="1">
      <c r="A16" s="760">
        <f>MAX($A$7:A15)+1</f>
        <v>10</v>
      </c>
      <c r="B16" s="760"/>
      <c r="C16" s="957">
        <v>562</v>
      </c>
      <c r="D16" s="760"/>
      <c r="E16" s="1" t="s">
        <v>650</v>
      </c>
      <c r="F16" s="1"/>
      <c r="G16" s="1" t="s">
        <v>1001</v>
      </c>
      <c r="H16" s="760"/>
      <c r="I16" s="958">
        <v>-324592.21999999991</v>
      </c>
      <c r="J16" s="760"/>
      <c r="K16" s="959">
        <f>'Attachment H-11A '!$I$205</f>
        <v>0.96404742576256197</v>
      </c>
      <c r="L16" s="760"/>
      <c r="M16" s="884">
        <f t="shared" si="9"/>
        <v>-312922.29411355511</v>
      </c>
      <c r="N16" s="774"/>
      <c r="O16" s="958"/>
      <c r="P16" s="760"/>
      <c r="Q16" s="774">
        <f t="shared" si="8"/>
        <v>-312922.29411355511</v>
      </c>
      <c r="R16" s="960"/>
      <c r="W16" s="961"/>
      <c r="Y16" s="961"/>
      <c r="Z16" s="961"/>
      <c r="AA16" s="961"/>
      <c r="AB16" s="961"/>
      <c r="AC16" s="774"/>
      <c r="AE16" s="774"/>
      <c r="AG16" s="774"/>
      <c r="AI16" s="774"/>
      <c r="AK16" s="774"/>
      <c r="AM16" s="774"/>
      <c r="AO16" s="760"/>
      <c r="AQ16" s="760"/>
      <c r="AS16" s="760"/>
      <c r="AT16" s="760"/>
      <c r="AU16" s="811"/>
      <c r="AW16" s="760"/>
      <c r="AY16" s="760"/>
      <c r="BA16" s="760"/>
      <c r="BC16" s="760"/>
    </row>
    <row r="17" spans="1:55" s="694" customFormat="1">
      <c r="A17" s="760">
        <f>MAX($A$7:A16)+1</f>
        <v>11</v>
      </c>
      <c r="B17" s="760"/>
      <c r="C17" s="957">
        <v>563</v>
      </c>
      <c r="D17" s="760"/>
      <c r="E17" s="1" t="s">
        <v>651</v>
      </c>
      <c r="F17" s="1"/>
      <c r="G17" s="1" t="s">
        <v>1002</v>
      </c>
      <c r="H17" s="760"/>
      <c r="I17" s="958">
        <v>238059.52000000002</v>
      </c>
      <c r="J17" s="760"/>
      <c r="K17" s="959">
        <f>'Attachment H-11A '!$I$205</f>
        <v>0.96404742576256197</v>
      </c>
      <c r="L17" s="760"/>
      <c r="M17" s="884">
        <f>I17*K17</f>
        <v>229500.66743427116</v>
      </c>
      <c r="N17" s="774"/>
      <c r="O17" s="958"/>
      <c r="P17" s="760"/>
      <c r="Q17" s="774">
        <f>M17-O17</f>
        <v>229500.66743427116</v>
      </c>
      <c r="R17" s="960"/>
      <c r="W17" s="961"/>
      <c r="Y17" s="961"/>
      <c r="Z17" s="961"/>
      <c r="AA17" s="961"/>
      <c r="AB17" s="961"/>
      <c r="AC17" s="774"/>
      <c r="AE17" s="774"/>
      <c r="AG17" s="774"/>
      <c r="AI17" s="774"/>
      <c r="AK17" s="774"/>
      <c r="AM17" s="774"/>
      <c r="AO17" s="760"/>
      <c r="AQ17" s="760"/>
      <c r="AS17" s="760"/>
      <c r="AT17" s="760"/>
      <c r="AU17" s="811"/>
      <c r="AW17" s="760"/>
      <c r="AY17" s="760"/>
      <c r="BA17" s="760"/>
      <c r="BC17" s="760"/>
    </row>
    <row r="18" spans="1:55" s="694" customFormat="1">
      <c r="A18" s="760">
        <f>MAX($A$7:A17)+1</f>
        <v>12</v>
      </c>
      <c r="B18" s="760"/>
      <c r="C18" s="957">
        <v>564</v>
      </c>
      <c r="D18" s="760"/>
      <c r="E18" s="1" t="s">
        <v>652</v>
      </c>
      <c r="F18" s="1"/>
      <c r="G18" s="1" t="s">
        <v>1003</v>
      </c>
      <c r="H18" s="760"/>
      <c r="I18" s="958"/>
      <c r="J18" s="760"/>
      <c r="K18" s="959">
        <f>'Attachment H-11A '!$I$205</f>
        <v>0.96404742576256197</v>
      </c>
      <c r="L18" s="760"/>
      <c r="M18" s="884">
        <f t="shared" si="9"/>
        <v>0</v>
      </c>
      <c r="N18" s="774"/>
      <c r="O18" s="958"/>
      <c r="P18" s="760"/>
      <c r="Q18" s="774">
        <f t="shared" si="8"/>
        <v>0</v>
      </c>
      <c r="R18" s="960"/>
      <c r="W18" s="961"/>
      <c r="Y18" s="961"/>
      <c r="Z18" s="961"/>
      <c r="AA18" s="961"/>
      <c r="AB18" s="961"/>
      <c r="AC18" s="774"/>
      <c r="AE18" s="774"/>
      <c r="AG18" s="774"/>
      <c r="AI18" s="774"/>
      <c r="AK18" s="774"/>
      <c r="AM18" s="774"/>
      <c r="AO18" s="760"/>
      <c r="AQ18" s="760"/>
      <c r="AS18" s="760"/>
      <c r="AT18" s="760"/>
      <c r="AU18" s="811"/>
      <c r="AW18" s="760"/>
      <c r="AY18" s="760"/>
      <c r="BA18" s="760"/>
      <c r="BC18" s="760"/>
    </row>
    <row r="19" spans="1:55" s="694" customFormat="1">
      <c r="A19" s="760">
        <f>MAX($A$7:A18)+1</f>
        <v>13</v>
      </c>
      <c r="B19" s="760"/>
      <c r="C19" s="957">
        <v>565</v>
      </c>
      <c r="D19" s="760"/>
      <c r="E19" s="1" t="s">
        <v>653</v>
      </c>
      <c r="F19" s="1"/>
      <c r="G19" s="1" t="s">
        <v>1004</v>
      </c>
      <c r="H19" s="760"/>
      <c r="I19" s="958">
        <v>118128488.36999997</v>
      </c>
      <c r="J19" s="760"/>
      <c r="K19" s="959">
        <f>'Attachment H-11A '!$I$205</f>
        <v>0.96404742576256197</v>
      </c>
      <c r="L19" s="760"/>
      <c r="M19" s="884">
        <f>I19*K19</f>
        <v>113881465.12232122</v>
      </c>
      <c r="N19" s="774"/>
      <c r="O19" s="958">
        <f>M19</f>
        <v>113881465.12232122</v>
      </c>
      <c r="P19" s="760"/>
      <c r="Q19" s="774">
        <f t="shared" si="8"/>
        <v>0</v>
      </c>
      <c r="R19" s="960"/>
      <c r="W19" s="961"/>
      <c r="Y19" s="961"/>
      <c r="Z19" s="961"/>
      <c r="AA19" s="961"/>
      <c r="AB19" s="961"/>
      <c r="AC19" s="774"/>
      <c r="AE19" s="774"/>
      <c r="AG19" s="774"/>
      <c r="AI19" s="774"/>
      <c r="AK19" s="774"/>
      <c r="AM19" s="774"/>
      <c r="AO19" s="760"/>
      <c r="AQ19" s="760"/>
      <c r="AS19" s="760"/>
      <c r="AT19" s="760"/>
      <c r="AU19" s="811"/>
      <c r="AW19" s="760"/>
      <c r="AY19" s="760"/>
      <c r="BA19" s="760"/>
      <c r="BC19" s="760"/>
    </row>
    <row r="20" spans="1:55" s="694" customFormat="1">
      <c r="A20" s="760">
        <f>MAX($A$7:A19)+1</f>
        <v>14</v>
      </c>
      <c r="B20" s="760"/>
      <c r="C20" s="957">
        <v>566</v>
      </c>
      <c r="D20" s="760"/>
      <c r="E20" s="1" t="s">
        <v>654</v>
      </c>
      <c r="F20" s="1"/>
      <c r="G20" s="1" t="s">
        <v>1005</v>
      </c>
      <c r="H20" s="760"/>
      <c r="I20" s="958">
        <v>1323553.9000000001</v>
      </c>
      <c r="J20" s="760"/>
      <c r="K20" s="959">
        <f>'Attachment H-11A '!$I$205</f>
        <v>0.96404742576256197</v>
      </c>
      <c r="L20" s="760"/>
      <c r="M20" s="884">
        <f t="shared" si="9"/>
        <v>1275968.7301529995</v>
      </c>
      <c r="N20" s="774"/>
      <c r="O20" s="958">
        <v>-2657177.8132250598</v>
      </c>
      <c r="P20" s="760"/>
      <c r="Q20" s="774">
        <f t="shared" si="8"/>
        <v>3933146.5433780593</v>
      </c>
      <c r="R20" s="960"/>
      <c r="S20" s="960"/>
      <c r="T20" s="760"/>
      <c r="U20" s="960"/>
      <c r="W20" s="774"/>
      <c r="Y20" s="960"/>
      <c r="AA20" s="774"/>
      <c r="AC20" s="774"/>
      <c r="AE20" s="774"/>
      <c r="AG20" s="774"/>
      <c r="AI20" s="774"/>
      <c r="AK20" s="774"/>
      <c r="AM20" s="774"/>
      <c r="AO20" s="760"/>
      <c r="AQ20" s="760"/>
      <c r="AS20" s="760"/>
      <c r="AT20" s="760"/>
      <c r="AU20" s="811"/>
      <c r="AW20" s="760"/>
      <c r="AY20" s="760"/>
      <c r="BA20" s="760"/>
      <c r="BC20" s="760"/>
    </row>
    <row r="21" spans="1:55" s="694" customFormat="1">
      <c r="A21" s="760">
        <f>MAX($A$7:A20)+1</f>
        <v>15</v>
      </c>
      <c r="B21" s="760"/>
      <c r="C21" s="957">
        <v>567</v>
      </c>
      <c r="D21" s="760"/>
      <c r="E21" s="1" t="s">
        <v>655</v>
      </c>
      <c r="F21" s="1"/>
      <c r="G21" s="1" t="s">
        <v>1006</v>
      </c>
      <c r="H21" s="760"/>
      <c r="I21" s="958">
        <v>550915.44000000006</v>
      </c>
      <c r="J21" s="760"/>
      <c r="K21" s="959">
        <f>'Attachment H-11A '!$I$205</f>
        <v>0.96404742576256197</v>
      </c>
      <c r="L21" s="760"/>
      <c r="M21" s="884">
        <f t="shared" si="9"/>
        <v>531108.61174484924</v>
      </c>
      <c r="N21" s="774"/>
      <c r="O21" s="958"/>
      <c r="P21" s="760"/>
      <c r="Q21" s="774">
        <f t="shared" si="8"/>
        <v>531108.61174484924</v>
      </c>
      <c r="R21" s="960"/>
      <c r="S21" s="960"/>
      <c r="T21" s="760"/>
      <c r="U21" s="960"/>
      <c r="W21" s="774"/>
      <c r="Y21" s="960"/>
      <c r="AA21" s="774"/>
      <c r="AC21" s="774"/>
      <c r="AE21" s="774"/>
      <c r="AG21" s="774"/>
      <c r="AI21" s="774"/>
      <c r="AK21" s="774"/>
      <c r="AM21" s="774"/>
      <c r="AO21" s="760"/>
      <c r="AQ21" s="760"/>
      <c r="AS21" s="760"/>
      <c r="AT21" s="760"/>
      <c r="AU21" s="811"/>
      <c r="AW21" s="760"/>
      <c r="AY21" s="760"/>
      <c r="BA21" s="760"/>
      <c r="BC21" s="760"/>
    </row>
    <row r="22" spans="1:55" s="694" customFormat="1">
      <c r="A22" s="760">
        <f>MAX($A$7:A21)+1</f>
        <v>16</v>
      </c>
      <c r="B22" s="760"/>
      <c r="C22" s="957">
        <v>568</v>
      </c>
      <c r="D22" s="760"/>
      <c r="E22" s="1" t="s">
        <v>656</v>
      </c>
      <c r="F22" s="1"/>
      <c r="G22" s="1" t="s">
        <v>1007</v>
      </c>
      <c r="H22" s="760"/>
      <c r="I22" s="958">
        <v>832179.2799999998</v>
      </c>
      <c r="J22" s="760"/>
      <c r="K22" s="959">
        <f>'Attachment H-11A '!$I$205</f>
        <v>0.96404742576256197</v>
      </c>
      <c r="L22" s="760"/>
      <c r="M22" s="884">
        <f t="shared" si="9"/>
        <v>802260.29265694204</v>
      </c>
      <c r="N22" s="774"/>
      <c r="O22" s="958">
        <v>1045</v>
      </c>
      <c r="P22" s="760"/>
      <c r="Q22" s="774">
        <f t="shared" si="8"/>
        <v>801215.29265694204</v>
      </c>
      <c r="R22" s="960"/>
      <c r="S22" s="960"/>
      <c r="T22" s="760"/>
      <c r="U22" s="960"/>
      <c r="W22" s="774"/>
      <c r="Y22" s="960"/>
      <c r="AA22" s="774"/>
      <c r="AC22" s="774"/>
      <c r="AE22" s="774"/>
      <c r="AG22" s="774"/>
      <c r="AI22" s="774"/>
      <c r="AK22" s="774"/>
      <c r="AM22" s="774"/>
      <c r="AO22" s="760"/>
      <c r="AQ22" s="760"/>
      <c r="AS22" s="760"/>
      <c r="AT22" s="760"/>
      <c r="AU22" s="811"/>
      <c r="AW22" s="760"/>
      <c r="AY22" s="760"/>
      <c r="BA22" s="760"/>
      <c r="BC22" s="760"/>
    </row>
    <row r="23" spans="1:55" s="694" customFormat="1">
      <c r="A23" s="760">
        <f>MAX($A$7:A22)+1</f>
        <v>17</v>
      </c>
      <c r="B23" s="760"/>
      <c r="C23" s="957">
        <v>569</v>
      </c>
      <c r="D23" s="760"/>
      <c r="E23" s="1" t="s">
        <v>657</v>
      </c>
      <c r="F23" s="1"/>
      <c r="G23" s="1" t="s">
        <v>1008</v>
      </c>
      <c r="H23" s="760"/>
      <c r="I23" s="958"/>
      <c r="J23" s="760"/>
      <c r="K23" s="959">
        <f>'Attachment H-11A '!$I$205</f>
        <v>0.96404742576256197</v>
      </c>
      <c r="L23" s="760"/>
      <c r="M23" s="884">
        <f t="shared" si="9"/>
        <v>0</v>
      </c>
      <c r="N23" s="774"/>
      <c r="O23" s="958"/>
      <c r="P23" s="760"/>
      <c r="Q23" s="774">
        <f t="shared" si="8"/>
        <v>0</v>
      </c>
      <c r="R23" s="960"/>
      <c r="S23" s="960"/>
      <c r="T23" s="760"/>
      <c r="U23" s="960"/>
      <c r="W23" s="774"/>
      <c r="Y23" s="960"/>
      <c r="AA23" s="774"/>
      <c r="AC23" s="774"/>
      <c r="AE23" s="774"/>
      <c r="AG23" s="774"/>
      <c r="AI23" s="774"/>
      <c r="AK23" s="774"/>
      <c r="AM23" s="774"/>
      <c r="AO23" s="760"/>
      <c r="AQ23" s="760"/>
      <c r="AS23" s="760"/>
      <c r="AT23" s="760"/>
      <c r="AU23" s="811"/>
      <c r="AW23" s="760"/>
      <c r="AY23" s="760"/>
      <c r="BA23" s="760"/>
      <c r="BC23" s="760"/>
    </row>
    <row r="24" spans="1:55" s="694" customFormat="1">
      <c r="A24" s="760">
        <f>MAX($A$7:A23)+1</f>
        <v>18</v>
      </c>
      <c r="B24" s="760"/>
      <c r="C24" s="957">
        <v>569.1</v>
      </c>
      <c r="D24" s="760"/>
      <c r="E24" s="1" t="s">
        <v>658</v>
      </c>
      <c r="F24" s="1"/>
      <c r="G24" s="1" t="s">
        <v>1009</v>
      </c>
      <c r="H24" s="760"/>
      <c r="I24" s="958">
        <v>22525.91</v>
      </c>
      <c r="J24" s="760"/>
      <c r="K24" s="959">
        <f>'Attachment H-11A '!$I$205</f>
        <v>0.96404742576256197</v>
      </c>
      <c r="L24" s="760"/>
      <c r="M24" s="884">
        <f>I24*K24</f>
        <v>21716.045548459151</v>
      </c>
      <c r="N24" s="774"/>
      <c r="O24" s="958"/>
      <c r="P24" s="760"/>
      <c r="Q24" s="774">
        <f t="shared" si="8"/>
        <v>21716.045548459151</v>
      </c>
      <c r="R24" s="960"/>
      <c r="S24" s="960"/>
      <c r="T24" s="760"/>
      <c r="U24" s="960"/>
      <c r="W24" s="774"/>
      <c r="Y24" s="960"/>
      <c r="AA24" s="774"/>
      <c r="AC24" s="774"/>
      <c r="AE24" s="774"/>
      <c r="AG24" s="774"/>
      <c r="AI24" s="774"/>
      <c r="AK24" s="774"/>
      <c r="AM24" s="774"/>
      <c r="AO24" s="760"/>
      <c r="AQ24" s="760"/>
      <c r="AS24" s="760"/>
      <c r="AT24" s="760"/>
      <c r="AU24" s="811"/>
      <c r="AW24" s="760"/>
      <c r="AY24" s="760"/>
      <c r="BA24" s="760"/>
      <c r="BC24" s="760"/>
    </row>
    <row r="25" spans="1:55" s="694" customFormat="1">
      <c r="A25" s="760">
        <f>MAX($A$7:A24)+1</f>
        <v>19</v>
      </c>
      <c r="B25" s="760"/>
      <c r="C25" s="957">
        <v>569.20000000000005</v>
      </c>
      <c r="D25" s="760"/>
      <c r="E25" s="1" t="s">
        <v>659</v>
      </c>
      <c r="F25" s="1"/>
      <c r="G25" s="1" t="s">
        <v>1010</v>
      </c>
      <c r="H25" s="760"/>
      <c r="I25" s="958">
        <v>36162.880000000005</v>
      </c>
      <c r="J25" s="760"/>
      <c r="K25" s="959">
        <f>'Attachment H-11A '!$I$205</f>
        <v>0.96404742576256197</v>
      </c>
      <c r="L25" s="760"/>
      <c r="M25" s="884">
        <f t="shared" si="9"/>
        <v>34862.731372160444</v>
      </c>
      <c r="N25" s="774"/>
      <c r="O25" s="958"/>
      <c r="P25" s="760"/>
      <c r="Q25" s="774">
        <f t="shared" si="8"/>
        <v>34862.731372160444</v>
      </c>
      <c r="R25" s="960"/>
      <c r="S25" s="960"/>
      <c r="T25" s="760"/>
      <c r="U25" s="960"/>
      <c r="W25" s="774"/>
      <c r="Y25" s="960"/>
      <c r="AA25" s="774"/>
      <c r="AC25" s="774"/>
      <c r="AE25" s="774"/>
      <c r="AG25" s="774"/>
      <c r="AI25" s="774"/>
      <c r="AK25" s="774"/>
      <c r="AM25" s="774"/>
      <c r="AO25" s="760"/>
      <c r="AQ25" s="760"/>
      <c r="AS25" s="760"/>
      <c r="AT25" s="760"/>
      <c r="AU25" s="811"/>
      <c r="AW25" s="760"/>
      <c r="AY25" s="760"/>
      <c r="BA25" s="760"/>
      <c r="BC25" s="760"/>
    </row>
    <row r="26" spans="1:55" s="694" customFormat="1">
      <c r="A26" s="760">
        <f>MAX($A$7:A25)+1</f>
        <v>20</v>
      </c>
      <c r="B26" s="760"/>
      <c r="C26" s="957">
        <v>569.29999999999995</v>
      </c>
      <c r="D26" s="760"/>
      <c r="E26" s="1" t="s">
        <v>660</v>
      </c>
      <c r="F26" s="1"/>
      <c r="G26" s="1" t="s">
        <v>1011</v>
      </c>
      <c r="H26" s="760"/>
      <c r="I26" s="958"/>
      <c r="J26" s="760"/>
      <c r="K26" s="959">
        <f>'Attachment H-11A '!$I$205</f>
        <v>0.96404742576256197</v>
      </c>
      <c r="L26" s="760"/>
      <c r="M26" s="884">
        <f t="shared" si="9"/>
        <v>0</v>
      </c>
      <c r="N26" s="774"/>
      <c r="O26" s="958"/>
      <c r="P26" s="760"/>
      <c r="Q26" s="774">
        <f t="shared" si="8"/>
        <v>0</v>
      </c>
      <c r="R26" s="960"/>
      <c r="S26" s="960"/>
      <c r="T26" s="760"/>
      <c r="U26" s="960"/>
      <c r="W26" s="774"/>
      <c r="Y26" s="960"/>
      <c r="AA26" s="774"/>
      <c r="AC26" s="774"/>
      <c r="AE26" s="774"/>
      <c r="AG26" s="774"/>
      <c r="AI26" s="774"/>
      <c r="AK26" s="774"/>
      <c r="AM26" s="774"/>
      <c r="AO26" s="760"/>
      <c r="AQ26" s="760"/>
      <c r="AS26" s="760"/>
      <c r="AT26" s="760"/>
      <c r="AU26" s="811"/>
      <c r="AW26" s="760"/>
      <c r="AY26" s="760"/>
      <c r="BA26" s="760"/>
      <c r="BC26" s="760"/>
    </row>
    <row r="27" spans="1:55" s="694" customFormat="1">
      <c r="A27" s="760">
        <f>MAX($A$7:A26)+1</f>
        <v>21</v>
      </c>
      <c r="B27" s="760"/>
      <c r="C27" s="957">
        <v>569.4</v>
      </c>
      <c r="D27" s="760"/>
      <c r="E27" s="1" t="s">
        <v>661</v>
      </c>
      <c r="F27" s="1"/>
      <c r="G27" s="1" t="s">
        <v>1012</v>
      </c>
      <c r="H27" s="760"/>
      <c r="I27" s="958"/>
      <c r="J27" s="760"/>
      <c r="K27" s="959">
        <f>'Attachment H-11A '!$I$205</f>
        <v>0.96404742576256197</v>
      </c>
      <c r="L27" s="760"/>
      <c r="M27" s="884">
        <f t="shared" si="9"/>
        <v>0</v>
      </c>
      <c r="N27" s="774"/>
      <c r="O27" s="958"/>
      <c r="P27" s="760"/>
      <c r="Q27" s="774">
        <f t="shared" si="8"/>
        <v>0</v>
      </c>
      <c r="R27" s="960"/>
      <c r="S27" s="960"/>
      <c r="T27" s="760"/>
      <c r="U27" s="960"/>
      <c r="W27" s="774"/>
      <c r="Y27" s="960"/>
      <c r="AA27" s="774"/>
      <c r="AC27" s="774"/>
      <c r="AE27" s="774"/>
      <c r="AG27" s="774"/>
      <c r="AI27" s="774"/>
      <c r="AK27" s="774"/>
      <c r="AM27" s="774"/>
      <c r="AO27" s="760"/>
      <c r="AQ27" s="760"/>
      <c r="AS27" s="760"/>
      <c r="AT27" s="760"/>
      <c r="AU27" s="811"/>
      <c r="AW27" s="760"/>
      <c r="AY27" s="760"/>
      <c r="BA27" s="760"/>
      <c r="BC27" s="760"/>
    </row>
    <row r="28" spans="1:55" s="694" customFormat="1">
      <c r="A28" s="760">
        <f>MAX($A$7:A27)+1</f>
        <v>22</v>
      </c>
      <c r="B28" s="760"/>
      <c r="C28" s="957">
        <v>570</v>
      </c>
      <c r="D28" s="760"/>
      <c r="E28" s="1" t="s">
        <v>662</v>
      </c>
      <c r="F28" s="1"/>
      <c r="G28" s="1" t="s">
        <v>1013</v>
      </c>
      <c r="H28" s="760"/>
      <c r="I28" s="958">
        <v>4564388.4499999974</v>
      </c>
      <c r="J28" s="760"/>
      <c r="K28" s="959">
        <f>'Attachment H-11A '!$I$205</f>
        <v>0.96404742576256197</v>
      </c>
      <c r="L28" s="760"/>
      <c r="M28" s="884">
        <f t="shared" si="9"/>
        <v>4400286.9354028674</v>
      </c>
      <c r="N28" s="774"/>
      <c r="O28" s="958">
        <v>369</v>
      </c>
      <c r="P28" s="760"/>
      <c r="Q28" s="774">
        <f t="shared" si="8"/>
        <v>4399917.9354028674</v>
      </c>
      <c r="R28" s="960"/>
      <c r="S28" s="960"/>
      <c r="T28" s="760"/>
      <c r="U28" s="960"/>
      <c r="W28" s="774"/>
      <c r="Y28" s="960"/>
      <c r="AA28" s="774"/>
      <c r="AC28" s="774"/>
      <c r="AE28" s="774"/>
      <c r="AG28" s="774"/>
      <c r="AI28" s="774"/>
      <c r="AK28" s="774"/>
      <c r="AM28" s="774"/>
      <c r="AO28" s="760"/>
      <c r="AQ28" s="760"/>
      <c r="AS28" s="760"/>
      <c r="AT28" s="760"/>
      <c r="AU28" s="811"/>
      <c r="AW28" s="760"/>
      <c r="AY28" s="760"/>
      <c r="BA28" s="760"/>
      <c r="BC28" s="760"/>
    </row>
    <row r="29" spans="1:55" s="694" customFormat="1">
      <c r="A29" s="760">
        <f>MAX($A$7:A28)+1</f>
        <v>23</v>
      </c>
      <c r="B29" s="760"/>
      <c r="C29" s="957">
        <v>571</v>
      </c>
      <c r="D29" s="760"/>
      <c r="E29" s="1" t="s">
        <v>663</v>
      </c>
      <c r="F29" s="1"/>
      <c r="G29" s="1" t="s">
        <v>1014</v>
      </c>
      <c r="H29" s="760"/>
      <c r="I29" s="958">
        <v>16049918.659999993</v>
      </c>
      <c r="J29" s="760"/>
      <c r="K29" s="959">
        <f>'Attachment H-11A '!$I$205</f>
        <v>0.96404742576256197</v>
      </c>
      <c r="L29" s="760"/>
      <c r="M29" s="884">
        <f t="shared" si="9"/>
        <v>15472882.767871501</v>
      </c>
      <c r="N29" s="774"/>
      <c r="O29" s="958">
        <v>11278421.66</v>
      </c>
      <c r="P29" s="760"/>
      <c r="Q29" s="774">
        <f t="shared" si="8"/>
        <v>4194461.1078715008</v>
      </c>
      <c r="R29" s="960"/>
      <c r="S29" s="960"/>
      <c r="T29" s="760"/>
      <c r="U29" s="960"/>
      <c r="W29" s="774"/>
      <c r="Y29" s="960"/>
      <c r="AA29" s="774"/>
      <c r="AC29" s="774"/>
      <c r="AE29" s="774"/>
      <c r="AG29" s="774"/>
      <c r="AI29" s="774"/>
      <c r="AK29" s="774"/>
      <c r="AM29" s="774"/>
      <c r="AO29" s="760"/>
      <c r="AQ29" s="760"/>
      <c r="AS29" s="760"/>
      <c r="AT29" s="760"/>
      <c r="AU29" s="811"/>
      <c r="AW29" s="760"/>
      <c r="AY29" s="760"/>
      <c r="BA29" s="760"/>
      <c r="BC29" s="760"/>
    </row>
    <row r="30" spans="1:55" s="694" customFormat="1">
      <c r="A30" s="760">
        <f>MAX($A$7:A29)+1</f>
        <v>24</v>
      </c>
      <c r="B30" s="760"/>
      <c r="C30" s="957">
        <v>572</v>
      </c>
      <c r="D30" s="760"/>
      <c r="E30" s="1" t="s">
        <v>664</v>
      </c>
      <c r="F30" s="1"/>
      <c r="G30" s="1" t="s">
        <v>1015</v>
      </c>
      <c r="H30" s="760"/>
      <c r="I30" s="958"/>
      <c r="J30" s="760"/>
      <c r="K30" s="959">
        <f>'Attachment H-11A '!$I$205</f>
        <v>0.96404742576256197</v>
      </c>
      <c r="L30" s="760"/>
      <c r="M30" s="884">
        <f t="shared" si="9"/>
        <v>0</v>
      </c>
      <c r="N30" s="774"/>
      <c r="O30" s="958"/>
      <c r="P30" s="760"/>
      <c r="Q30" s="774">
        <f t="shared" si="8"/>
        <v>0</v>
      </c>
      <c r="R30" s="960"/>
      <c r="S30" s="960"/>
      <c r="T30" s="760"/>
      <c r="U30" s="960"/>
      <c r="W30" s="774"/>
      <c r="Y30" s="960"/>
      <c r="AA30" s="774"/>
      <c r="AC30" s="774"/>
      <c r="AE30" s="774"/>
      <c r="AG30" s="774"/>
      <c r="AI30" s="774"/>
      <c r="AK30" s="774"/>
      <c r="AM30" s="774"/>
      <c r="AO30" s="760"/>
      <c r="AQ30" s="760"/>
      <c r="AS30" s="760"/>
      <c r="AT30" s="760"/>
      <c r="AU30" s="811"/>
      <c r="AW30" s="760"/>
      <c r="AY30" s="760"/>
      <c r="BA30" s="760"/>
      <c r="BC30" s="760"/>
    </row>
    <row r="31" spans="1:55" s="694" customFormat="1">
      <c r="A31" s="760">
        <f>MAX($A$7:A30)+1</f>
        <v>25</v>
      </c>
      <c r="B31" s="760"/>
      <c r="C31" s="957">
        <v>573</v>
      </c>
      <c r="D31" s="760"/>
      <c r="E31" s="1" t="s">
        <v>665</v>
      </c>
      <c r="F31" s="1"/>
      <c r="G31" s="1" t="s">
        <v>1016</v>
      </c>
      <c r="H31" s="760"/>
      <c r="I31" s="958"/>
      <c r="J31" s="760"/>
      <c r="K31" s="959">
        <f>'Attachment H-11A '!$I$205</f>
        <v>0.96404742576256197</v>
      </c>
      <c r="L31" s="760"/>
      <c r="M31" s="962">
        <f t="shared" si="9"/>
        <v>0</v>
      </c>
      <c r="N31" s="774"/>
      <c r="O31" s="958"/>
      <c r="P31" s="760"/>
      <c r="Q31" s="774">
        <f t="shared" si="8"/>
        <v>0</v>
      </c>
      <c r="R31" s="960"/>
      <c r="S31" s="960"/>
      <c r="T31" s="760"/>
      <c r="U31" s="960"/>
      <c r="W31" s="774"/>
      <c r="Y31" s="960"/>
      <c r="AA31" s="774"/>
      <c r="AC31" s="774"/>
      <c r="AE31" s="774"/>
      <c r="AG31" s="774"/>
      <c r="AI31" s="774"/>
      <c r="AK31" s="774"/>
      <c r="AM31" s="774"/>
      <c r="AO31" s="760"/>
      <c r="AQ31" s="760"/>
      <c r="AS31" s="760"/>
      <c r="AT31" s="760"/>
      <c r="AU31" s="811"/>
      <c r="AW31" s="760"/>
      <c r="AY31" s="760"/>
      <c r="BA31" s="760"/>
      <c r="BC31" s="760"/>
    </row>
    <row r="32" spans="1:55" s="694" customFormat="1">
      <c r="A32" s="760">
        <f>MAX($A$7:A31)+1</f>
        <v>26</v>
      </c>
      <c r="B32" s="760"/>
      <c r="D32" s="760"/>
      <c r="E32" s="963" t="str">
        <f>"Sum of Lines "&amp;A7&amp;" through "&amp;A31</f>
        <v>Sum of Lines 1 through 25</v>
      </c>
      <c r="F32" s="963"/>
      <c r="G32" s="963"/>
      <c r="H32" s="760"/>
      <c r="I32" s="776">
        <f>SUM(I7:I31)</f>
        <v>150967596.75999996</v>
      </c>
      <c r="J32" s="760"/>
      <c r="K32" s="760"/>
      <c r="L32" s="760"/>
      <c r="M32" s="964">
        <f>SUM(M7:M31)</f>
        <v>145539923.03003848</v>
      </c>
      <c r="N32" s="776"/>
      <c r="O32" s="776">
        <f>SUM(O7:O31)</f>
        <v>130626890.80882128</v>
      </c>
      <c r="P32" s="760"/>
      <c r="Q32" s="776">
        <f>SUM(Q7:Q31)</f>
        <v>14913032.221217178</v>
      </c>
      <c r="R32" s="960"/>
      <c r="S32" s="960"/>
      <c r="T32" s="760"/>
      <c r="U32" s="960"/>
      <c r="W32" s="774"/>
      <c r="Y32" s="960"/>
      <c r="AA32" s="774"/>
      <c r="AC32" s="774"/>
      <c r="AE32" s="774"/>
      <c r="AG32" s="774"/>
      <c r="AI32" s="774"/>
      <c r="AK32" s="774"/>
      <c r="AM32" s="774"/>
      <c r="AO32" s="760"/>
      <c r="AQ32" s="760"/>
      <c r="AS32" s="760"/>
      <c r="AT32" s="760"/>
      <c r="AU32" s="811"/>
      <c r="AW32" s="760"/>
      <c r="AY32" s="760"/>
      <c r="BA32" s="760"/>
      <c r="BC32" s="760"/>
    </row>
    <row r="33" spans="1:57" s="694" customFormat="1">
      <c r="A33" s="760"/>
      <c r="B33" s="760"/>
      <c r="C33" s="957"/>
      <c r="D33" s="760"/>
      <c r="E33" s="774"/>
      <c r="F33" s="774"/>
      <c r="G33" s="774"/>
      <c r="H33" s="760"/>
      <c r="I33" s="774"/>
      <c r="J33" s="760"/>
      <c r="K33" s="760"/>
      <c r="L33" s="760"/>
      <c r="M33" s="760"/>
      <c r="N33" s="760"/>
      <c r="O33" s="760"/>
      <c r="P33" s="760"/>
      <c r="Q33" s="760"/>
      <c r="R33" s="760"/>
      <c r="S33" s="760"/>
      <c r="T33" s="760"/>
      <c r="U33" s="774"/>
      <c r="V33" s="774"/>
      <c r="W33" s="774"/>
      <c r="X33" s="760"/>
      <c r="Y33" s="774"/>
      <c r="AA33" s="774"/>
      <c r="AC33" s="774"/>
      <c r="AE33" s="774"/>
      <c r="AG33" s="774"/>
      <c r="AI33" s="774"/>
      <c r="AK33" s="774"/>
      <c r="AM33" s="774"/>
      <c r="AO33" s="774"/>
      <c r="AQ33" s="760"/>
      <c r="AS33" s="760"/>
      <c r="AU33" s="760"/>
      <c r="AV33" s="760"/>
      <c r="AW33" s="811"/>
      <c r="AY33" s="760"/>
      <c r="BA33" s="760"/>
      <c r="BC33" s="760"/>
      <c r="BE33" s="760"/>
    </row>
    <row r="34" spans="1:57" s="694" customFormat="1">
      <c r="A34" s="760"/>
      <c r="B34" s="760"/>
      <c r="C34" s="957"/>
      <c r="D34" s="760"/>
      <c r="E34" s="774"/>
      <c r="F34" s="774"/>
      <c r="G34" s="774"/>
      <c r="H34" s="760"/>
      <c r="I34" s="965"/>
      <c r="J34" s="760"/>
      <c r="K34" s="966"/>
      <c r="L34" s="966"/>
      <c r="M34" s="966"/>
      <c r="N34" s="760"/>
      <c r="O34" s="760"/>
      <c r="P34" s="760"/>
      <c r="Q34" s="760"/>
      <c r="R34" s="760"/>
      <c r="S34" s="760"/>
      <c r="T34" s="760"/>
      <c r="U34" s="774"/>
      <c r="V34" s="774"/>
      <c r="W34" s="774"/>
      <c r="X34" s="760"/>
      <c r="Y34" s="774"/>
      <c r="AA34" s="774"/>
      <c r="AC34" s="774"/>
      <c r="AE34" s="774"/>
      <c r="AG34" s="774"/>
      <c r="AI34" s="774"/>
      <c r="AK34" s="774"/>
      <c r="AM34" s="774"/>
      <c r="AO34" s="774"/>
      <c r="AQ34" s="760"/>
      <c r="AS34" s="760"/>
      <c r="AU34" s="760"/>
      <c r="AV34" s="760"/>
      <c r="AW34" s="811"/>
      <c r="AY34" s="760"/>
      <c r="BA34" s="760"/>
      <c r="BC34" s="760"/>
      <c r="BE34" s="760"/>
    </row>
    <row r="35" spans="1:57" s="694" customFormat="1">
      <c r="A35" s="760"/>
      <c r="B35" s="760"/>
      <c r="C35" s="957"/>
      <c r="D35" s="760"/>
      <c r="E35" s="774"/>
      <c r="F35" s="774"/>
      <c r="G35" s="774"/>
      <c r="H35" s="760"/>
      <c r="I35" s="774"/>
      <c r="J35" s="760"/>
      <c r="K35" s="760"/>
      <c r="L35" s="760"/>
      <c r="M35" s="760"/>
      <c r="N35" s="760"/>
      <c r="O35" s="760"/>
      <c r="P35" s="760"/>
      <c r="Q35" s="760"/>
      <c r="R35" s="760"/>
      <c r="S35" s="760"/>
      <c r="T35" s="760"/>
      <c r="U35" s="774"/>
      <c r="V35" s="774"/>
      <c r="W35" s="774"/>
      <c r="X35" s="760"/>
      <c r="Y35" s="774"/>
      <c r="AA35" s="774"/>
      <c r="AC35" s="774"/>
      <c r="AE35" s="774"/>
      <c r="AG35" s="774"/>
      <c r="AI35" s="774"/>
      <c r="AK35" s="774"/>
      <c r="AM35" s="774"/>
      <c r="AO35" s="774"/>
      <c r="AQ35" s="760"/>
      <c r="AS35" s="760"/>
      <c r="AU35" s="760"/>
      <c r="AV35" s="760"/>
      <c r="AW35" s="811"/>
      <c r="AY35" s="760"/>
      <c r="BA35" s="760"/>
      <c r="BC35" s="760"/>
      <c r="BE35" s="760"/>
    </row>
    <row r="36" spans="1:57" s="694" customFormat="1">
      <c r="A36" s="760"/>
      <c r="B36" s="760"/>
      <c r="C36" s="957"/>
      <c r="D36" s="760"/>
      <c r="E36" s="774"/>
      <c r="F36" s="774"/>
      <c r="G36" s="774"/>
      <c r="H36" s="760"/>
      <c r="I36" s="981"/>
      <c r="J36" s="760"/>
      <c r="K36" s="760"/>
      <c r="L36" s="760"/>
      <c r="M36" s="760"/>
      <c r="N36" s="760"/>
      <c r="O36" s="760"/>
      <c r="P36" s="760"/>
      <c r="Q36" s="760"/>
      <c r="R36" s="760"/>
      <c r="S36" s="760"/>
      <c r="T36" s="760"/>
      <c r="U36" s="774"/>
      <c r="V36" s="774"/>
      <c r="W36" s="774"/>
      <c r="X36" s="760"/>
      <c r="Y36" s="774"/>
      <c r="AA36" s="774"/>
      <c r="AC36" s="774"/>
      <c r="AE36" s="774"/>
      <c r="AG36" s="774"/>
      <c r="AI36" s="774"/>
      <c r="AK36" s="774"/>
      <c r="AM36" s="774"/>
      <c r="AO36" s="774"/>
      <c r="AQ36" s="760"/>
      <c r="AS36" s="760"/>
      <c r="AU36" s="760"/>
      <c r="AV36" s="760"/>
      <c r="AW36" s="811"/>
      <c r="AY36" s="760"/>
      <c r="BA36" s="760"/>
      <c r="BC36" s="760"/>
      <c r="BE36" s="760"/>
    </row>
    <row r="37" spans="1:57" s="694" customFormat="1" ht="46.15" customHeight="1">
      <c r="A37" s="762" t="s">
        <v>5</v>
      </c>
      <c r="B37" s="769"/>
      <c r="C37" s="762" t="s">
        <v>984</v>
      </c>
      <c r="D37" s="769"/>
      <c r="E37" s="967" t="s">
        <v>985</v>
      </c>
      <c r="F37" s="968"/>
      <c r="G37" s="952" t="s">
        <v>986</v>
      </c>
      <c r="H37" s="769"/>
      <c r="I37" s="952" t="s">
        <v>987</v>
      </c>
      <c r="J37" s="951" t="s">
        <v>691</v>
      </c>
      <c r="K37" s="953" t="s">
        <v>1042</v>
      </c>
      <c r="L37" s="953" t="s">
        <v>691</v>
      </c>
      <c r="M37" s="953" t="s">
        <v>1228</v>
      </c>
      <c r="N37" s="953" t="s">
        <v>78</v>
      </c>
      <c r="O37" s="953" t="s">
        <v>1037</v>
      </c>
      <c r="P37" s="769" t="s">
        <v>988</v>
      </c>
      <c r="Q37" s="952" t="s">
        <v>10</v>
      </c>
      <c r="R37" s="953" t="s">
        <v>78</v>
      </c>
      <c r="S37" s="952" t="s">
        <v>1038</v>
      </c>
      <c r="T37" s="952" t="s">
        <v>691</v>
      </c>
      <c r="U37" s="952" t="s">
        <v>1040</v>
      </c>
      <c r="V37" s="951" t="s">
        <v>78</v>
      </c>
      <c r="W37" s="952" t="s">
        <v>991</v>
      </c>
      <c r="Y37" s="774"/>
      <c r="AA37" s="774"/>
      <c r="AC37" s="774"/>
      <c r="AE37" s="774"/>
      <c r="AG37" s="774"/>
      <c r="AI37" s="774"/>
      <c r="AK37" s="774"/>
      <c r="AM37" s="774"/>
      <c r="AO37" s="760"/>
      <c r="AQ37" s="760"/>
      <c r="AS37" s="760"/>
      <c r="AT37" s="760"/>
      <c r="AU37" s="811"/>
      <c r="AW37" s="760"/>
      <c r="AY37" s="760"/>
      <c r="BA37" s="760"/>
      <c r="BC37" s="760"/>
    </row>
    <row r="38" spans="1:57" s="694" customFormat="1">
      <c r="A38" s="760">
        <f>MAX($A$7:A33)+1</f>
        <v>27</v>
      </c>
      <c r="B38" s="760"/>
      <c r="C38" s="957">
        <v>920</v>
      </c>
      <c r="D38" s="760"/>
      <c r="E38" s="1" t="s">
        <v>666</v>
      </c>
      <c r="F38" s="1"/>
      <c r="G38" s="1" t="s">
        <v>1017</v>
      </c>
      <c r="H38" s="760"/>
      <c r="I38" s="958">
        <v>-3756728.2300000004</v>
      </c>
      <c r="J38" s="760"/>
      <c r="K38" s="958"/>
      <c r="L38" s="958"/>
      <c r="M38" s="958"/>
      <c r="N38" s="760"/>
      <c r="O38" s="964">
        <f t="shared" ref="O38:O51" si="10">I38-K38-M38</f>
        <v>-3756728.2300000004</v>
      </c>
      <c r="P38" s="964"/>
      <c r="Q38" s="959">
        <f>'Attachment H-11A '!$I$213</f>
        <v>3.3378594941179174E-2</v>
      </c>
      <c r="R38" s="969"/>
      <c r="S38" s="884">
        <f t="shared" ref="S38:S51" si="11">O38*Q38</f>
        <v>-125394.30989326301</v>
      </c>
      <c r="T38" s="774"/>
      <c r="U38" s="958"/>
      <c r="V38" s="760"/>
      <c r="W38" s="774">
        <f t="shared" ref="W38:W51" si="12">S38-U38+M38</f>
        <v>-125394.30989326301</v>
      </c>
      <c r="Y38" s="774"/>
      <c r="AA38" s="774"/>
      <c r="AC38" s="774"/>
      <c r="AE38" s="774"/>
      <c r="AG38" s="774"/>
      <c r="AI38" s="774"/>
      <c r="AK38" s="774"/>
      <c r="AM38" s="774"/>
      <c r="AO38" s="760"/>
      <c r="AQ38" s="760"/>
      <c r="AS38" s="760"/>
      <c r="AT38" s="760"/>
      <c r="AU38" s="811"/>
      <c r="AW38" s="760"/>
      <c r="AY38" s="760"/>
      <c r="BA38" s="760"/>
      <c r="BC38" s="760"/>
    </row>
    <row r="39" spans="1:57" s="694" customFormat="1">
      <c r="A39" s="760">
        <f>MAX($A$7:A38)+1</f>
        <v>28</v>
      </c>
      <c r="B39" s="760"/>
      <c r="C39" s="957">
        <v>921</v>
      </c>
      <c r="D39" s="760"/>
      <c r="E39" s="1" t="s">
        <v>667</v>
      </c>
      <c r="F39" s="1"/>
      <c r="G39" s="1" t="s">
        <v>1018</v>
      </c>
      <c r="H39" s="760"/>
      <c r="I39" s="958">
        <v>1198236.4800000002</v>
      </c>
      <c r="J39" s="760"/>
      <c r="K39" s="958"/>
      <c r="L39" s="958"/>
      <c r="M39" s="958"/>
      <c r="N39" s="760"/>
      <c r="O39" s="964">
        <f t="shared" si="10"/>
        <v>1198236.4800000002</v>
      </c>
      <c r="P39" s="964"/>
      <c r="Q39" s="969">
        <f>'Attachment H-11A '!$I$213</f>
        <v>3.3378594941179174E-2</v>
      </c>
      <c r="R39" s="969"/>
      <c r="S39" s="884">
        <f t="shared" si="11"/>
        <v>39995.450109664351</v>
      </c>
      <c r="T39" s="774"/>
      <c r="U39" s="958">
        <f>6500*Q39</f>
        <v>216.96086711766463</v>
      </c>
      <c r="V39" s="760"/>
      <c r="W39" s="774">
        <f t="shared" si="12"/>
        <v>39778.48924254669</v>
      </c>
      <c r="Y39" s="774"/>
      <c r="AA39" s="774"/>
      <c r="AC39" s="774"/>
      <c r="AE39" s="774"/>
      <c r="AG39" s="774"/>
      <c r="AI39" s="774"/>
      <c r="AK39" s="774"/>
      <c r="AM39" s="774"/>
      <c r="AO39" s="760"/>
      <c r="AQ39" s="760"/>
      <c r="AS39" s="760"/>
      <c r="AT39" s="760"/>
      <c r="AU39" s="811"/>
      <c r="AW39" s="760"/>
      <c r="AY39" s="760"/>
      <c r="BA39" s="760"/>
      <c r="BC39" s="760"/>
    </row>
    <row r="40" spans="1:57" s="694" customFormat="1">
      <c r="A40" s="760">
        <f>MAX($A$7:A39)+1</f>
        <v>29</v>
      </c>
      <c r="B40" s="760"/>
      <c r="C40" s="957" t="s">
        <v>668</v>
      </c>
      <c r="D40" s="760"/>
      <c r="E40" s="1" t="s">
        <v>669</v>
      </c>
      <c r="F40" s="1"/>
      <c r="G40" s="1" t="s">
        <v>1019</v>
      </c>
      <c r="H40" s="760"/>
      <c r="I40" s="958"/>
      <c r="J40" s="760"/>
      <c r="K40" s="958"/>
      <c r="L40" s="958"/>
      <c r="M40" s="958"/>
      <c r="N40" s="760"/>
      <c r="O40" s="964">
        <f t="shared" si="10"/>
        <v>0</v>
      </c>
      <c r="P40" s="964"/>
      <c r="Q40" s="969">
        <f>'Attachment H-11A '!$I$213</f>
        <v>3.3378594941179174E-2</v>
      </c>
      <c r="R40" s="969"/>
      <c r="S40" s="884">
        <f t="shared" si="11"/>
        <v>0</v>
      </c>
      <c r="T40" s="774"/>
      <c r="U40" s="958"/>
      <c r="V40" s="760"/>
      <c r="W40" s="774">
        <f t="shared" si="12"/>
        <v>0</v>
      </c>
      <c r="Y40" s="774"/>
      <c r="AA40" s="774"/>
      <c r="AC40" s="774"/>
      <c r="AE40" s="774"/>
      <c r="AG40" s="774"/>
      <c r="AI40" s="774"/>
      <c r="AK40" s="774"/>
      <c r="AM40" s="774"/>
      <c r="AO40" s="760"/>
      <c r="AQ40" s="760"/>
      <c r="AS40" s="760"/>
      <c r="AT40" s="760"/>
      <c r="AU40" s="811"/>
      <c r="AW40" s="760"/>
      <c r="AY40" s="760"/>
      <c r="BA40" s="760"/>
      <c r="BC40" s="760"/>
    </row>
    <row r="41" spans="1:57" s="694" customFormat="1">
      <c r="A41" s="760">
        <f>MAX($A$7:A40)+1</f>
        <v>30</v>
      </c>
      <c r="B41" s="760"/>
      <c r="C41" s="957">
        <v>923</v>
      </c>
      <c r="D41" s="760"/>
      <c r="E41" s="1" t="s">
        <v>670</v>
      </c>
      <c r="F41" s="1"/>
      <c r="G41" s="1" t="s">
        <v>1020</v>
      </c>
      <c r="H41" s="760"/>
      <c r="I41" s="958">
        <v>41036854.040000014</v>
      </c>
      <c r="J41" s="760"/>
      <c r="K41" s="958"/>
      <c r="L41" s="958"/>
      <c r="M41" s="958"/>
      <c r="N41" s="760"/>
      <c r="O41" s="964">
        <f t="shared" si="10"/>
        <v>41036854.040000014</v>
      </c>
      <c r="P41" s="964"/>
      <c r="Q41" s="969">
        <f>'Attachment H-11A '!$I$213</f>
        <v>3.3378594941179174E-2</v>
      </c>
      <c r="R41" s="969"/>
      <c r="S41" s="884">
        <f t="shared" si="11"/>
        <v>1369752.5286614527</v>
      </c>
      <c r="T41" s="774"/>
      <c r="U41" s="958">
        <f>2298595*Q41</f>
        <v>76723.87143881974</v>
      </c>
      <c r="V41" s="760"/>
      <c r="W41" s="774">
        <f t="shared" si="12"/>
        <v>1293028.657222633</v>
      </c>
      <c r="Y41" s="774"/>
      <c r="AA41" s="774"/>
      <c r="AC41" s="774"/>
      <c r="AE41" s="774"/>
      <c r="AG41" s="774"/>
      <c r="AI41" s="774"/>
      <c r="AK41" s="774"/>
      <c r="AM41" s="774"/>
      <c r="AO41" s="760"/>
      <c r="AQ41" s="760"/>
      <c r="AS41" s="760"/>
      <c r="AT41" s="760"/>
      <c r="AU41" s="811"/>
      <c r="AW41" s="760"/>
      <c r="AY41" s="760"/>
      <c r="BA41" s="760"/>
      <c r="BC41" s="760"/>
    </row>
    <row r="42" spans="1:57" s="694" customFormat="1" ht="15.65" customHeight="1">
      <c r="A42" s="760">
        <f>MAX($A$7:A41)+1</f>
        <v>31</v>
      </c>
      <c r="B42" s="760"/>
      <c r="C42" s="957">
        <v>924</v>
      </c>
      <c r="D42" s="760"/>
      <c r="E42" s="1" t="s">
        <v>671</v>
      </c>
      <c r="F42" s="1"/>
      <c r="G42" s="1" t="s">
        <v>1021</v>
      </c>
      <c r="H42" s="760"/>
      <c r="I42" s="958">
        <v>1344725.4000000004</v>
      </c>
      <c r="J42" s="760"/>
      <c r="K42" s="958"/>
      <c r="L42" s="958"/>
      <c r="M42" s="958"/>
      <c r="N42" s="760"/>
      <c r="O42" s="964">
        <f t="shared" si="10"/>
        <v>1344725.4000000004</v>
      </c>
      <c r="P42" s="964"/>
      <c r="Q42" s="969">
        <f>'Attachment H-11A '!$I$213</f>
        <v>3.3378594941179174E-2</v>
      </c>
      <c r="R42" s="969"/>
      <c r="S42" s="884">
        <f t="shared" si="11"/>
        <v>44885.044433715157</v>
      </c>
      <c r="T42" s="774"/>
      <c r="U42" s="958"/>
      <c r="V42" s="760"/>
      <c r="W42" s="774">
        <f t="shared" si="12"/>
        <v>44885.044433715157</v>
      </c>
      <c r="X42" s="970"/>
      <c r="Y42" s="774"/>
      <c r="AA42" s="774"/>
      <c r="AC42" s="774"/>
      <c r="AE42" s="774"/>
      <c r="AG42" s="774"/>
      <c r="AI42" s="774"/>
      <c r="AK42" s="774"/>
      <c r="AM42" s="774"/>
      <c r="AO42" s="760"/>
      <c r="AQ42" s="760"/>
      <c r="AS42" s="760"/>
      <c r="AT42" s="760"/>
      <c r="AU42" s="811"/>
      <c r="AW42" s="760"/>
      <c r="AY42" s="760"/>
      <c r="BA42" s="760"/>
      <c r="BC42" s="760"/>
    </row>
    <row r="43" spans="1:57" s="694" customFormat="1">
      <c r="A43" s="760">
        <f>MAX($A$7:A42)+1</f>
        <v>32</v>
      </c>
      <c r="B43" s="760"/>
      <c r="C43" s="957">
        <v>925</v>
      </c>
      <c r="D43" s="760"/>
      <c r="E43" s="1" t="s">
        <v>672</v>
      </c>
      <c r="F43" s="1"/>
      <c r="G43" s="1" t="s">
        <v>1022</v>
      </c>
      <c r="H43" s="760"/>
      <c r="I43" s="958">
        <v>3342327.4699999997</v>
      </c>
      <c r="J43" s="760"/>
      <c r="K43" s="958"/>
      <c r="L43" s="958"/>
      <c r="M43" s="958"/>
      <c r="N43" s="760"/>
      <c r="O43" s="964">
        <f t="shared" si="10"/>
        <v>3342327.4699999997</v>
      </c>
      <c r="P43" s="964"/>
      <c r="Q43" s="969">
        <f>'Attachment H-11A '!$I$213</f>
        <v>3.3378594941179174E-2</v>
      </c>
      <c r="R43" s="969"/>
      <c r="S43" s="884">
        <f t="shared" si="11"/>
        <v>111562.19478190618</v>
      </c>
      <c r="T43" s="774"/>
      <c r="U43" s="958"/>
      <c r="V43" s="760"/>
      <c r="W43" s="774">
        <f t="shared" si="12"/>
        <v>111562.19478190618</v>
      </c>
      <c r="Y43" s="774"/>
      <c r="AA43" s="774"/>
      <c r="AC43" s="774"/>
      <c r="AE43" s="774"/>
      <c r="AG43" s="774"/>
      <c r="AI43" s="774"/>
      <c r="AK43" s="774"/>
      <c r="AM43" s="774"/>
      <c r="AO43" s="760"/>
      <c r="AQ43" s="760"/>
      <c r="AS43" s="760"/>
      <c r="AT43" s="760"/>
      <c r="AU43" s="811"/>
      <c r="AW43" s="760"/>
      <c r="AY43" s="760"/>
      <c r="BA43" s="760"/>
      <c r="BC43" s="760"/>
    </row>
    <row r="44" spans="1:57" s="694" customFormat="1">
      <c r="A44" s="760">
        <f>MAX($A$7:A43)+1</f>
        <v>33</v>
      </c>
      <c r="B44" s="760"/>
      <c r="C44" s="957">
        <v>926</v>
      </c>
      <c r="D44" s="760"/>
      <c r="E44" s="1" t="s">
        <v>673</v>
      </c>
      <c r="F44" s="1"/>
      <c r="G44" s="1" t="s">
        <v>1023</v>
      </c>
      <c r="H44" s="760"/>
      <c r="I44" s="958">
        <v>-1138602.4200000011</v>
      </c>
      <c r="J44" s="760"/>
      <c r="K44" s="958"/>
      <c r="L44" s="958"/>
      <c r="M44" s="958"/>
      <c r="N44" s="760"/>
      <c r="O44" s="964">
        <f>I44-K44-M44</f>
        <v>-1138602.4200000011</v>
      </c>
      <c r="P44" s="964"/>
      <c r="Q44" s="969">
        <f>'Attachment H-11A '!$I$213</f>
        <v>3.3378594941179174E-2</v>
      </c>
      <c r="R44" s="969"/>
      <c r="S44" s="884">
        <f>O44*Q44</f>
        <v>-38004.948976226398</v>
      </c>
      <c r="T44" s="774"/>
      <c r="U44" s="958">
        <f>-452415*Q44</f>
        <v>-15100.977030313576</v>
      </c>
      <c r="V44" s="760"/>
      <c r="W44" s="774">
        <f>S44-U44+M44</f>
        <v>-22903.971945912825</v>
      </c>
      <c r="Y44" s="774"/>
      <c r="AA44" s="774"/>
      <c r="AC44" s="774"/>
      <c r="AE44" s="774"/>
      <c r="AG44" s="774"/>
      <c r="AI44" s="774"/>
      <c r="AK44" s="774"/>
      <c r="AM44" s="774"/>
      <c r="AO44" s="760"/>
      <c r="AQ44" s="760"/>
      <c r="AS44" s="760"/>
      <c r="AT44" s="760"/>
      <c r="AU44" s="811"/>
      <c r="AW44" s="760"/>
      <c r="AY44" s="760"/>
      <c r="BA44" s="760"/>
      <c r="BC44" s="760"/>
    </row>
    <row r="45" spans="1:57" s="694" customFormat="1">
      <c r="A45" s="760">
        <f>MAX($A$7:A44)+1</f>
        <v>34</v>
      </c>
      <c r="B45" s="760"/>
      <c r="C45" s="957">
        <v>927</v>
      </c>
      <c r="D45" s="760"/>
      <c r="E45" s="1" t="s">
        <v>674</v>
      </c>
      <c r="F45" s="1"/>
      <c r="G45" s="1" t="s">
        <v>1024</v>
      </c>
      <c r="H45" s="760"/>
      <c r="I45" s="958"/>
      <c r="J45" s="760"/>
      <c r="K45" s="958"/>
      <c r="L45" s="958"/>
      <c r="M45" s="958"/>
      <c r="N45" s="760"/>
      <c r="O45" s="964">
        <f t="shared" si="10"/>
        <v>0</v>
      </c>
      <c r="P45" s="964"/>
      <c r="Q45" s="969">
        <f>'Attachment H-11A '!$I$213</f>
        <v>3.3378594941179174E-2</v>
      </c>
      <c r="R45" s="969"/>
      <c r="S45" s="884">
        <f t="shared" si="11"/>
        <v>0</v>
      </c>
      <c r="T45" s="774"/>
      <c r="U45" s="958"/>
      <c r="V45" s="760"/>
      <c r="W45" s="774">
        <f t="shared" si="12"/>
        <v>0</v>
      </c>
      <c r="Y45" s="774"/>
      <c r="AA45" s="774"/>
      <c r="AC45" s="774"/>
      <c r="AE45" s="774"/>
      <c r="AG45" s="774"/>
      <c r="AI45" s="774"/>
      <c r="AK45" s="774"/>
      <c r="AM45" s="774"/>
      <c r="AO45" s="760"/>
      <c r="AQ45" s="760"/>
      <c r="AS45" s="760"/>
      <c r="AT45" s="760"/>
      <c r="AU45" s="811"/>
      <c r="AW45" s="760"/>
      <c r="AY45" s="760"/>
      <c r="BA45" s="760"/>
      <c r="BC45" s="760"/>
    </row>
    <row r="46" spans="1:57" s="694" customFormat="1">
      <c r="A46" s="760">
        <f>MAX($A$7:A45)+1</f>
        <v>35</v>
      </c>
      <c r="B46" s="760"/>
      <c r="C46" s="957">
        <v>928</v>
      </c>
      <c r="D46" s="760"/>
      <c r="E46" s="1" t="s">
        <v>675</v>
      </c>
      <c r="F46" s="1"/>
      <c r="G46" s="1" t="s">
        <v>1025</v>
      </c>
      <c r="H46" s="760"/>
      <c r="I46" s="958">
        <v>2378738.1</v>
      </c>
      <c r="J46" s="760"/>
      <c r="K46" s="958">
        <f>I46</f>
        <v>2378738.1</v>
      </c>
      <c r="L46" s="958"/>
      <c r="M46" s="958"/>
      <c r="N46" s="760"/>
      <c r="O46" s="964">
        <f t="shared" si="10"/>
        <v>0</v>
      </c>
      <c r="P46" s="964"/>
      <c r="Q46" s="969">
        <v>1</v>
      </c>
      <c r="R46" s="969"/>
      <c r="S46" s="884">
        <f t="shared" si="11"/>
        <v>0</v>
      </c>
      <c r="T46" s="774"/>
      <c r="U46" s="958"/>
      <c r="V46" s="760"/>
      <c r="W46" s="774">
        <f t="shared" si="12"/>
        <v>0</v>
      </c>
      <c r="Y46" s="774"/>
      <c r="AA46" s="774"/>
      <c r="AC46" s="774"/>
      <c r="AE46" s="774"/>
      <c r="AG46" s="774"/>
      <c r="AI46" s="774"/>
      <c r="AK46" s="774"/>
      <c r="AM46" s="774"/>
      <c r="AO46" s="760"/>
      <c r="AQ46" s="760"/>
      <c r="AS46" s="760"/>
      <c r="AT46" s="760"/>
      <c r="AU46" s="811"/>
      <c r="AW46" s="760"/>
      <c r="AY46" s="760"/>
      <c r="BA46" s="760"/>
      <c r="BC46" s="760"/>
    </row>
    <row r="47" spans="1:57" s="694" customFormat="1">
      <c r="A47" s="760">
        <f>MAX($A$7:A46)+1</f>
        <v>36</v>
      </c>
      <c r="B47" s="760"/>
      <c r="C47" s="957" t="s">
        <v>676</v>
      </c>
      <c r="D47" s="760"/>
      <c r="E47" s="1" t="s">
        <v>677</v>
      </c>
      <c r="F47" s="1"/>
      <c r="G47" s="1" t="s">
        <v>1026</v>
      </c>
      <c r="H47" s="760"/>
      <c r="I47" s="958"/>
      <c r="J47" s="760"/>
      <c r="K47" s="958"/>
      <c r="L47" s="958"/>
      <c r="M47" s="958"/>
      <c r="N47" s="760"/>
      <c r="O47" s="964">
        <f t="shared" si="10"/>
        <v>0</v>
      </c>
      <c r="P47" s="964"/>
      <c r="Q47" s="969">
        <f>'Attachment H-11A '!$I$213</f>
        <v>3.3378594941179174E-2</v>
      </c>
      <c r="R47" s="969"/>
      <c r="S47" s="884">
        <f t="shared" si="11"/>
        <v>0</v>
      </c>
      <c r="T47" s="774"/>
      <c r="U47" s="958"/>
      <c r="V47" s="760"/>
      <c r="W47" s="774">
        <f t="shared" si="12"/>
        <v>0</v>
      </c>
      <c r="Y47" s="774"/>
      <c r="AA47" s="774"/>
      <c r="AC47" s="774"/>
      <c r="AE47" s="774"/>
      <c r="AG47" s="774"/>
      <c r="AI47" s="774"/>
      <c r="AK47" s="774"/>
      <c r="AM47" s="774"/>
      <c r="AO47" s="760"/>
      <c r="AQ47" s="760"/>
      <c r="AS47" s="760"/>
      <c r="AT47" s="760"/>
      <c r="AU47" s="811"/>
      <c r="AW47" s="760"/>
      <c r="AY47" s="760"/>
      <c r="BA47" s="760"/>
      <c r="BC47" s="760"/>
    </row>
    <row r="48" spans="1:57" s="694" customFormat="1">
      <c r="A48" s="760">
        <f>MAX($A$7:A47)+1</f>
        <v>37</v>
      </c>
      <c r="B48" s="760"/>
      <c r="C48" s="957">
        <v>930.1</v>
      </c>
      <c r="D48" s="760"/>
      <c r="E48" s="1" t="s">
        <v>678</v>
      </c>
      <c r="F48" s="1"/>
      <c r="G48" s="1" t="s">
        <v>1027</v>
      </c>
      <c r="H48" s="760"/>
      <c r="I48" s="958">
        <v>147474.12</v>
      </c>
      <c r="J48" s="760"/>
      <c r="K48" s="958"/>
      <c r="L48" s="958"/>
      <c r="M48" s="958"/>
      <c r="N48" s="760"/>
      <c r="O48" s="964">
        <f t="shared" si="10"/>
        <v>147474.12</v>
      </c>
      <c r="P48" s="964"/>
      <c r="Q48" s="969">
        <f>'Attachment H-11A '!$I$213</f>
        <v>3.3378594941179174E-2</v>
      </c>
      <c r="R48" s="969"/>
      <c r="S48" s="884">
        <f t="shared" si="11"/>
        <v>4922.4789157868499</v>
      </c>
      <c r="T48" s="774"/>
      <c r="U48" s="958">
        <f>S48</f>
        <v>4922.4789157868499</v>
      </c>
      <c r="V48" s="760"/>
      <c r="W48" s="774">
        <f t="shared" si="12"/>
        <v>0</v>
      </c>
      <c r="Y48" s="774"/>
      <c r="AA48" s="774"/>
      <c r="AC48" s="774"/>
      <c r="AE48" s="774"/>
      <c r="AG48" s="774"/>
      <c r="AI48" s="774"/>
      <c r="AK48" s="774"/>
      <c r="AM48" s="774"/>
      <c r="AO48" s="760"/>
      <c r="AQ48" s="760"/>
      <c r="AS48" s="760"/>
      <c r="AT48" s="760"/>
      <c r="AU48" s="811"/>
      <c r="AW48" s="760"/>
      <c r="AY48" s="760"/>
      <c r="BA48" s="760"/>
      <c r="BC48" s="760"/>
    </row>
    <row r="49" spans="1:55" s="694" customFormat="1">
      <c r="A49" s="760">
        <f>MAX($A$7:A48)+1</f>
        <v>38</v>
      </c>
      <c r="B49" s="760"/>
      <c r="C49" s="957">
        <v>930.2</v>
      </c>
      <c r="D49" s="760"/>
      <c r="E49" s="1" t="s">
        <v>679</v>
      </c>
      <c r="F49" s="1"/>
      <c r="G49" s="1" t="s">
        <v>1028</v>
      </c>
      <c r="H49" s="760"/>
      <c r="I49" s="958">
        <v>818261.31999999844</v>
      </c>
      <c r="J49" s="760"/>
      <c r="K49" s="958"/>
      <c r="L49" s="958"/>
      <c r="M49" s="958"/>
      <c r="N49" s="760"/>
      <c r="O49" s="964">
        <f t="shared" si="10"/>
        <v>818261.31999999844</v>
      </c>
      <c r="P49" s="964"/>
      <c r="Q49" s="969">
        <f>'Attachment H-11A '!$I$213</f>
        <v>3.3378594941179174E-2</v>
      </c>
      <c r="R49" s="969"/>
      <c r="S49" s="884">
        <f t="shared" si="11"/>
        <v>27312.413156314542</v>
      </c>
      <c r="T49" s="774"/>
      <c r="U49" s="958">
        <f>(-1476074)*Q49</f>
        <v>-49269.276149206111</v>
      </c>
      <c r="V49" s="760"/>
      <c r="W49" s="774">
        <f t="shared" si="12"/>
        <v>76581.689305520646</v>
      </c>
      <c r="Y49" s="774"/>
      <c r="AA49" s="774"/>
      <c r="AC49" s="774"/>
      <c r="AE49" s="774"/>
      <c r="AG49" s="774"/>
      <c r="AI49" s="774"/>
      <c r="AK49" s="774"/>
      <c r="AM49" s="774"/>
      <c r="AO49" s="760"/>
      <c r="AQ49" s="760"/>
      <c r="AS49" s="760"/>
      <c r="AT49" s="760"/>
      <c r="AU49" s="811"/>
      <c r="AW49" s="760"/>
      <c r="AY49" s="760"/>
      <c r="BA49" s="760"/>
      <c r="BC49" s="760"/>
    </row>
    <row r="50" spans="1:55" s="694" customFormat="1">
      <c r="A50" s="760">
        <f>MAX($A$7:A49)+1</f>
        <v>39</v>
      </c>
      <c r="B50" s="760"/>
      <c r="C50" s="957">
        <v>931</v>
      </c>
      <c r="D50" s="760"/>
      <c r="E50" s="1" t="s">
        <v>655</v>
      </c>
      <c r="F50" s="1"/>
      <c r="G50" s="1" t="s">
        <v>1029</v>
      </c>
      <c r="H50" s="760"/>
      <c r="I50" s="958">
        <v>912171.54000000015</v>
      </c>
      <c r="J50" s="760"/>
      <c r="K50" s="958"/>
      <c r="L50" s="958"/>
      <c r="M50" s="958"/>
      <c r="N50" s="760"/>
      <c r="O50" s="964">
        <f t="shared" si="10"/>
        <v>912171.54000000015</v>
      </c>
      <c r="P50" s="964"/>
      <c r="Q50" s="969">
        <f>'Attachment H-11A '!$I$213</f>
        <v>3.3378594941179174E-2</v>
      </c>
      <c r="R50" s="969"/>
      <c r="S50" s="884">
        <f t="shared" si="11"/>
        <v>30447.004350531621</v>
      </c>
      <c r="T50" s="774"/>
      <c r="U50" s="958"/>
      <c r="V50" s="760"/>
      <c r="W50" s="774">
        <f t="shared" si="12"/>
        <v>30447.004350531621</v>
      </c>
      <c r="Y50" s="774"/>
      <c r="AA50" s="774"/>
      <c r="AC50" s="774"/>
      <c r="AE50" s="774"/>
      <c r="AG50" s="774"/>
      <c r="AI50" s="774"/>
      <c r="AK50" s="774"/>
      <c r="AM50" s="774"/>
      <c r="AO50" s="760"/>
      <c r="AQ50" s="760"/>
      <c r="AS50" s="760"/>
      <c r="AT50" s="760"/>
      <c r="AU50" s="811"/>
      <c r="AW50" s="760"/>
      <c r="AY50" s="760"/>
      <c r="BA50" s="760"/>
      <c r="BC50" s="760"/>
    </row>
    <row r="51" spans="1:55" s="694" customFormat="1">
      <c r="A51" s="760">
        <f>MAX($A$7:A50)+1</f>
        <v>40</v>
      </c>
      <c r="B51" s="760"/>
      <c r="C51" s="957">
        <v>935</v>
      </c>
      <c r="D51" s="760"/>
      <c r="E51" s="1" t="s">
        <v>680</v>
      </c>
      <c r="F51" s="1"/>
      <c r="G51" s="1" t="s">
        <v>1030</v>
      </c>
      <c r="H51" s="760"/>
      <c r="I51" s="958">
        <v>6158869.1999999965</v>
      </c>
      <c r="J51" s="760"/>
      <c r="K51" s="958"/>
      <c r="L51" s="958"/>
      <c r="M51" s="958"/>
      <c r="N51" s="760"/>
      <c r="O51" s="964">
        <f t="shared" si="10"/>
        <v>6158869.1999999965</v>
      </c>
      <c r="P51" s="774"/>
      <c r="Q51" s="969">
        <f>'Attachment H-11A '!$I$213</f>
        <v>3.3378594941179174E-2</v>
      </c>
      <c r="R51" s="969"/>
      <c r="S51" s="884">
        <f t="shared" si="11"/>
        <v>205574.40032250411</v>
      </c>
      <c r="T51" s="774"/>
      <c r="U51" s="958"/>
      <c r="V51" s="760"/>
      <c r="W51" s="774">
        <f t="shared" si="12"/>
        <v>205574.40032250411</v>
      </c>
      <c r="Y51" s="774"/>
      <c r="AA51" s="774"/>
      <c r="AC51" s="774"/>
      <c r="AE51" s="774"/>
      <c r="AG51" s="774"/>
      <c r="AI51" s="774"/>
      <c r="AK51" s="774"/>
      <c r="AM51" s="774"/>
      <c r="AO51" s="760"/>
      <c r="AQ51" s="760"/>
      <c r="AS51" s="760"/>
      <c r="AT51" s="760"/>
      <c r="AU51" s="811"/>
      <c r="AW51" s="760"/>
      <c r="AY51" s="760"/>
      <c r="BA51" s="760"/>
      <c r="BC51" s="760"/>
    </row>
    <row r="52" spans="1:55" s="694" customFormat="1">
      <c r="A52" s="760">
        <f>MAX($A$7:A51)+1</f>
        <v>41</v>
      </c>
      <c r="B52" s="760"/>
      <c r="C52" s="971"/>
      <c r="D52" s="760"/>
      <c r="E52" s="963" t="str">
        <f>"Sum of Lines "&amp;A38&amp;" through "&amp;A51</f>
        <v>Sum of Lines 27 through 40</v>
      </c>
      <c r="F52" s="963"/>
      <c r="G52" s="963"/>
      <c r="H52" s="760"/>
      <c r="I52" s="776">
        <f>SUM(I38:I51)</f>
        <v>52442327.020000003</v>
      </c>
      <c r="J52" s="760"/>
      <c r="K52" s="776">
        <f>SUM(K38:K51)</f>
        <v>2378738.1</v>
      </c>
      <c r="L52" s="775"/>
      <c r="M52" s="776">
        <f>SUM(M38:M51)</f>
        <v>0</v>
      </c>
      <c r="N52" s="760"/>
      <c r="O52" s="776">
        <f>SUM(O38:O51)</f>
        <v>50063588.920000002</v>
      </c>
      <c r="P52" s="776"/>
      <c r="Q52" s="776"/>
      <c r="R52" s="776"/>
      <c r="S52" s="776">
        <f>SUM(S38:S51)</f>
        <v>1671052.255862386</v>
      </c>
      <c r="T52" s="776"/>
      <c r="U52" s="776">
        <f>SUM(U38:U51)</f>
        <v>17493.058042204575</v>
      </c>
      <c r="V52" s="760"/>
      <c r="W52" s="776">
        <f>SUM(W38:W51)</f>
        <v>1653559.1978201815</v>
      </c>
      <c r="Y52" s="774"/>
      <c r="AA52" s="774"/>
      <c r="AC52" s="774"/>
      <c r="AE52" s="774"/>
      <c r="AG52" s="774"/>
      <c r="AI52" s="774"/>
      <c r="AK52" s="774"/>
      <c r="AM52" s="774"/>
      <c r="AO52" s="760"/>
      <c r="AQ52" s="760"/>
      <c r="AS52" s="760"/>
      <c r="AT52" s="760"/>
      <c r="AU52" s="811"/>
      <c r="AW52" s="760"/>
      <c r="AY52" s="760"/>
      <c r="BA52" s="760"/>
      <c r="BC52" s="760"/>
    </row>
    <row r="53" spans="1:55">
      <c r="A53" s="760"/>
    </row>
    <row r="54" spans="1:55">
      <c r="A54" s="760">
        <f>MAX($A$7:A53)+1</f>
        <v>42</v>
      </c>
      <c r="W54" s="16" t="str">
        <f>"Total OpEx (Line "&amp;A32&amp;" + Line "&amp;A52&amp;")"</f>
        <v>Total OpEx (Line 26 + Line 41)</v>
      </c>
      <c r="Y54" s="972">
        <f>W52+Q32</f>
        <v>16566591.419037359</v>
      </c>
    </row>
    <row r="56" spans="1:55">
      <c r="B56" s="979" t="s">
        <v>206</v>
      </c>
      <c r="C56" s="980"/>
    </row>
    <row r="57" spans="1:55" ht="15.65" customHeight="1">
      <c r="B57" s="2" t="s">
        <v>237</v>
      </c>
      <c r="C57" s="1164" t="s">
        <v>1231</v>
      </c>
      <c r="D57" s="1164"/>
      <c r="E57" s="1164"/>
      <c r="F57" s="1164"/>
      <c r="G57" s="1164"/>
      <c r="H57" s="1164"/>
      <c r="I57" s="1164"/>
      <c r="J57" s="1164"/>
      <c r="K57" s="1164"/>
      <c r="L57" s="1164"/>
      <c r="M57" s="1164"/>
      <c r="N57" s="1164"/>
      <c r="O57" s="1164"/>
      <c r="P57" s="973"/>
      <c r="Q57" s="973"/>
      <c r="R57" s="973"/>
      <c r="S57" s="973"/>
      <c r="T57" s="973"/>
      <c r="U57" s="973"/>
      <c r="V57" s="973"/>
      <c r="W57" s="973"/>
      <c r="X57" s="973"/>
      <c r="Y57" s="973"/>
      <c r="Z57" s="699"/>
    </row>
    <row r="58" spans="1:55">
      <c r="C58" s="1164"/>
      <c r="D58" s="1164"/>
      <c r="E58" s="1164"/>
      <c r="F58" s="1164"/>
      <c r="G58" s="1164"/>
      <c r="H58" s="1164"/>
      <c r="I58" s="1164"/>
      <c r="J58" s="1164"/>
      <c r="K58" s="1164"/>
      <c r="L58" s="1164"/>
      <c r="M58" s="1164"/>
      <c r="N58" s="1164"/>
      <c r="O58" s="1164"/>
      <c r="P58" s="973"/>
      <c r="Q58" s="973"/>
      <c r="R58" s="973"/>
      <c r="S58" s="973"/>
      <c r="T58" s="973"/>
      <c r="U58" s="973"/>
      <c r="V58" s="973"/>
      <c r="W58" s="973"/>
      <c r="X58" s="973"/>
      <c r="Y58" s="973"/>
    </row>
    <row r="59" spans="1:55" ht="36" customHeight="1">
      <c r="C59" s="1164"/>
      <c r="D59" s="1164"/>
      <c r="E59" s="1164"/>
      <c r="F59" s="1164"/>
      <c r="G59" s="1164"/>
      <c r="H59" s="1164"/>
      <c r="I59" s="1164"/>
      <c r="J59" s="1164"/>
      <c r="K59" s="1164"/>
      <c r="L59" s="1164"/>
      <c r="M59" s="1164"/>
      <c r="N59" s="1164"/>
      <c r="O59" s="1164"/>
      <c r="P59" s="973"/>
      <c r="Q59" s="973"/>
      <c r="R59" s="973"/>
      <c r="S59" s="973"/>
      <c r="T59" s="973"/>
      <c r="U59" s="973"/>
      <c r="V59" s="973"/>
      <c r="W59" s="973"/>
      <c r="X59" s="973"/>
      <c r="Y59" s="973"/>
    </row>
    <row r="60" spans="1:55" ht="6" customHeight="1">
      <c r="C60" s="1164"/>
      <c r="D60" s="1164"/>
      <c r="E60" s="1164"/>
      <c r="F60" s="1164"/>
      <c r="G60" s="1164"/>
      <c r="H60" s="1164"/>
      <c r="I60" s="1164"/>
      <c r="J60" s="1164"/>
      <c r="K60" s="1164"/>
      <c r="L60" s="1164"/>
      <c r="M60" s="1164"/>
      <c r="N60" s="1164"/>
      <c r="O60" s="1164"/>
      <c r="P60" s="973"/>
      <c r="Q60" s="973"/>
      <c r="R60" s="973"/>
      <c r="S60" s="973"/>
      <c r="T60" s="973"/>
      <c r="U60" s="973"/>
      <c r="V60" s="973"/>
      <c r="W60" s="973"/>
      <c r="X60" s="973"/>
      <c r="Y60" s="973"/>
    </row>
    <row r="61" spans="1:55">
      <c r="B61" s="2" t="s">
        <v>238</v>
      </c>
      <c r="C61" s="1164" t="s">
        <v>1229</v>
      </c>
      <c r="D61" s="1164"/>
      <c r="E61" s="1164"/>
      <c r="F61" s="1164"/>
      <c r="G61" s="1164"/>
      <c r="H61" s="1164"/>
      <c r="I61" s="1164"/>
      <c r="J61" s="1164"/>
      <c r="K61" s="1164"/>
      <c r="L61" s="1164"/>
      <c r="M61" s="1164"/>
      <c r="N61" s="1164"/>
      <c r="O61" s="1164"/>
      <c r="P61" s="1164"/>
      <c r="Q61" s="1164"/>
      <c r="R61" s="1164"/>
      <c r="S61" s="1164"/>
      <c r="T61" s="1164"/>
      <c r="U61" s="1164"/>
      <c r="V61" s="1164"/>
      <c r="W61" s="1164"/>
      <c r="X61" s="1164"/>
      <c r="Y61" s="1164"/>
    </row>
    <row r="62" spans="1:55" ht="15.65" customHeight="1">
      <c r="B62" s="2" t="s">
        <v>356</v>
      </c>
      <c r="C62" s="973" t="s">
        <v>1230</v>
      </c>
      <c r="D62" s="973"/>
      <c r="E62" s="973"/>
      <c r="F62" s="973"/>
      <c r="G62" s="973"/>
      <c r="H62" s="973"/>
      <c r="I62" s="973"/>
      <c r="J62" s="973"/>
      <c r="K62" s="973"/>
      <c r="L62" s="973"/>
      <c r="M62" s="973"/>
      <c r="N62" s="973"/>
      <c r="O62" s="973"/>
      <c r="P62" s="973"/>
      <c r="Q62" s="973"/>
      <c r="R62" s="973"/>
      <c r="S62" s="973"/>
      <c r="T62" s="973"/>
      <c r="U62" s="973"/>
      <c r="V62" s="973"/>
      <c r="W62" s="973"/>
      <c r="X62" s="973"/>
      <c r="Y62" s="973"/>
    </row>
    <row r="63" spans="1:55">
      <c r="B63" s="2" t="s">
        <v>240</v>
      </c>
      <c r="C63" s="973" t="s">
        <v>1041</v>
      </c>
      <c r="D63" s="973"/>
      <c r="E63" s="973"/>
      <c r="F63" s="973"/>
      <c r="G63" s="973"/>
      <c r="H63" s="973"/>
      <c r="I63" s="973"/>
      <c r="J63" s="973"/>
      <c r="K63" s="973"/>
      <c r="L63" s="973"/>
      <c r="M63" s="973"/>
      <c r="N63" s="973"/>
      <c r="O63" s="973"/>
      <c r="P63" s="973"/>
      <c r="Q63" s="973"/>
      <c r="R63" s="973"/>
      <c r="S63" s="973"/>
      <c r="T63" s="973"/>
      <c r="U63" s="973"/>
      <c r="V63" s="973"/>
      <c r="W63" s="973"/>
      <c r="X63" s="973"/>
      <c r="Y63" s="973"/>
    </row>
    <row r="64" spans="1:55" ht="15.65" customHeight="1">
      <c r="C64" s="973"/>
      <c r="D64" s="973"/>
      <c r="E64" s="973"/>
      <c r="F64" s="973"/>
      <c r="G64" s="973"/>
      <c r="H64" s="973"/>
      <c r="I64" s="973"/>
      <c r="J64" s="973"/>
      <c r="K64" s="973"/>
      <c r="L64" s="973"/>
      <c r="M64" s="973"/>
      <c r="N64" s="973"/>
      <c r="O64" s="973"/>
      <c r="P64" s="973"/>
      <c r="Q64" s="973"/>
      <c r="R64" s="973"/>
      <c r="S64" s="973"/>
      <c r="T64" s="973"/>
      <c r="U64" s="973"/>
      <c r="V64" s="973"/>
      <c r="W64" s="973"/>
      <c r="X64" s="973"/>
      <c r="Y64" s="973"/>
    </row>
    <row r="65" spans="3:25">
      <c r="C65" s="973"/>
      <c r="D65" s="973"/>
      <c r="E65" s="973"/>
      <c r="F65" s="973"/>
      <c r="G65" s="973"/>
      <c r="H65" s="973"/>
      <c r="I65" s="973"/>
      <c r="J65" s="973"/>
      <c r="K65" s="973"/>
      <c r="L65" s="973"/>
      <c r="M65" s="973"/>
      <c r="N65" s="973"/>
      <c r="O65" s="973"/>
      <c r="P65" s="973"/>
      <c r="Q65" s="973"/>
      <c r="R65" s="973"/>
      <c r="S65" s="973"/>
      <c r="T65" s="973"/>
      <c r="U65" s="973"/>
      <c r="V65" s="973"/>
      <c r="W65" s="973"/>
      <c r="X65" s="973"/>
      <c r="Y65" s="973"/>
    </row>
    <row r="66" spans="3:25">
      <c r="C66" s="974"/>
      <c r="D66" s="974"/>
      <c r="E66" s="974"/>
      <c r="F66" s="974"/>
      <c r="G66" s="974"/>
      <c r="H66" s="974"/>
      <c r="I66" s="974"/>
      <c r="J66" s="974"/>
      <c r="K66" s="974"/>
      <c r="L66" s="974"/>
      <c r="M66" s="974"/>
      <c r="N66" s="974"/>
      <c r="O66" s="974"/>
      <c r="P66" s="974"/>
      <c r="Q66" s="974"/>
      <c r="R66" s="974"/>
      <c r="S66" s="974"/>
      <c r="T66" s="974"/>
      <c r="U66" s="974"/>
      <c r="V66" s="974"/>
      <c r="W66" s="974"/>
      <c r="X66" s="974"/>
      <c r="Y66" s="974"/>
    </row>
    <row r="71" spans="3:25">
      <c r="C71" s="975"/>
      <c r="D71" s="976"/>
      <c r="E71" s="976"/>
      <c r="F71" s="976"/>
      <c r="G71" s="976"/>
      <c r="H71" s="976"/>
      <c r="I71" s="976"/>
      <c r="J71" s="976"/>
      <c r="K71" s="976"/>
      <c r="L71" s="976"/>
      <c r="M71" s="976"/>
      <c r="N71" s="976"/>
      <c r="O71" s="976"/>
      <c r="P71" s="976"/>
      <c r="Q71" s="976"/>
      <c r="R71" s="976"/>
      <c r="S71" s="976"/>
      <c r="T71" s="976"/>
      <c r="U71" s="976"/>
      <c r="V71" s="976"/>
      <c r="W71" s="976"/>
    </row>
    <row r="72" spans="3:25">
      <c r="D72" s="976"/>
      <c r="E72" s="976"/>
      <c r="F72" s="976"/>
      <c r="G72" s="976"/>
      <c r="H72" s="976"/>
      <c r="I72" s="976"/>
      <c r="J72" s="976"/>
      <c r="K72" s="976"/>
      <c r="L72" s="976"/>
      <c r="M72" s="976"/>
      <c r="N72" s="976"/>
      <c r="O72" s="976"/>
      <c r="P72" s="976"/>
      <c r="Q72" s="976"/>
      <c r="R72" s="976"/>
      <c r="S72" s="976"/>
      <c r="T72" s="976"/>
      <c r="U72" s="976"/>
      <c r="V72" s="976"/>
      <c r="W72" s="976"/>
    </row>
    <row r="73" spans="3:25">
      <c r="D73" s="976"/>
      <c r="E73" s="976"/>
      <c r="F73" s="976"/>
      <c r="G73" s="976"/>
      <c r="H73" s="976"/>
      <c r="I73" s="976"/>
      <c r="J73" s="976"/>
      <c r="K73" s="976"/>
      <c r="L73" s="976"/>
      <c r="M73" s="976"/>
      <c r="N73" s="976"/>
      <c r="O73" s="976"/>
      <c r="P73" s="976"/>
      <c r="Q73" s="976"/>
      <c r="R73" s="976"/>
      <c r="S73" s="976"/>
      <c r="T73" s="976"/>
      <c r="U73" s="976"/>
      <c r="V73" s="976"/>
      <c r="W73" s="976"/>
    </row>
    <row r="74" spans="3:25">
      <c r="D74" s="976"/>
      <c r="E74" s="976"/>
      <c r="F74" s="976"/>
      <c r="G74" s="976"/>
      <c r="H74" s="976"/>
      <c r="I74" s="976"/>
      <c r="J74" s="976"/>
      <c r="K74" s="976"/>
      <c r="L74" s="976"/>
      <c r="M74" s="976"/>
      <c r="N74" s="976"/>
      <c r="O74" s="976"/>
      <c r="P74" s="976"/>
      <c r="Q74" s="976"/>
      <c r="R74" s="976"/>
      <c r="S74" s="976"/>
      <c r="T74" s="976"/>
      <c r="U74" s="976"/>
      <c r="V74" s="976"/>
      <c r="W74" s="976"/>
    </row>
    <row r="75" spans="3:25">
      <c r="D75" s="976"/>
      <c r="E75" s="976"/>
      <c r="F75" s="976"/>
      <c r="G75" s="976"/>
      <c r="H75" s="976"/>
      <c r="I75" s="976"/>
      <c r="J75" s="976"/>
      <c r="K75" s="976"/>
      <c r="L75" s="976"/>
      <c r="M75" s="976"/>
      <c r="N75" s="976"/>
      <c r="O75" s="976"/>
      <c r="P75" s="976"/>
      <c r="Q75" s="976"/>
      <c r="R75" s="976"/>
      <c r="S75" s="976"/>
      <c r="T75" s="976"/>
      <c r="U75" s="976"/>
      <c r="V75" s="976"/>
      <c r="W75" s="976"/>
    </row>
  </sheetData>
  <mergeCells count="5">
    <mergeCell ref="C57:O60"/>
    <mergeCell ref="C61:Y61"/>
    <mergeCell ref="U1:Y1"/>
    <mergeCell ref="U2:Y2"/>
    <mergeCell ref="U3:Y3"/>
  </mergeCells>
  <pageMargins left="0.7" right="0.7" top="0.75" bottom="0.75" header="0.3" footer="0.3"/>
  <pageSetup scale="32" orientation="portrait" r:id="rId1"/>
  <ignoredErrors>
    <ignoredError sqref="O4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Attachment H-11A </vt:lpstr>
      <vt:lpstr>Attachment 1 - Sched 1A</vt:lpstr>
      <vt:lpstr>Attachment 2 - ROE Calcs</vt:lpstr>
      <vt:lpstr>Attach 2a - Scaled ROE Adder</vt:lpstr>
      <vt:lpstr>Attach 2b - Incent ROE NITS</vt:lpstr>
      <vt:lpstr>Attachment 3 - Gross Plant</vt:lpstr>
      <vt:lpstr>Attachment 4 - Accum Depr</vt:lpstr>
      <vt:lpstr>Attachment 5 - ADIT Summary</vt:lpstr>
      <vt:lpstr>Attachment 5a - ADIT Detail</vt:lpstr>
      <vt:lpstr>Attachment 5b - ADIT Norm PTRR</vt:lpstr>
      <vt:lpstr>Attachment 5c - ADIT Norm ATRR</vt:lpstr>
      <vt:lpstr>Attachment 6 - PBOP</vt:lpstr>
      <vt:lpstr>Attachment 7 - Taxes Other </vt:lpstr>
      <vt:lpstr>Attachment 8 - Cap Structure</vt:lpstr>
      <vt:lpstr>Attach 9 - Stated-value Inputs</vt:lpstr>
      <vt:lpstr>Attachment 10 - Debt Cost</vt:lpstr>
      <vt:lpstr>Attachment 11 - TEC</vt:lpstr>
      <vt:lpstr>Attach 11a - TEC Cost Support</vt:lpstr>
      <vt:lpstr>Attachment 12 - TEC True-up</vt:lpstr>
      <vt:lpstr>Attachment 13 - NITS True-Up</vt:lpstr>
      <vt:lpstr>Attachment 13a - TEC True-Up</vt:lpstr>
      <vt:lpstr>Attachment 13b - PJM Billings</vt:lpstr>
      <vt:lpstr>Attachment 14 - Other RB</vt:lpstr>
      <vt:lpstr>Attach 15 - Excess_Def ADIT</vt:lpstr>
      <vt:lpstr>Attachment 16 - Abandoned Plant</vt:lpstr>
      <vt:lpstr>Attachment 17 - CWIP in RB</vt:lpstr>
      <vt:lpstr>Attachment 18 - Tax Rates</vt:lpstr>
      <vt:lpstr>Attachment 19 - Reg Asset</vt:lpstr>
      <vt:lpstr>Attachment 20 - O&amp;M and A&amp;G</vt:lpstr>
      <vt:lpstr>'Attach 11a - TEC Cost Support'!Print_Area</vt:lpstr>
      <vt:lpstr>'Attach 2a - Scaled ROE Adder'!Print_Area</vt:lpstr>
      <vt:lpstr>'Attach 2b - Incent ROE NITS'!Print_Area</vt:lpstr>
      <vt:lpstr>'Attach 9 - Stated-value Inputs'!Print_Area</vt:lpstr>
      <vt:lpstr>'Attachment 1 - Sched 1A'!Print_Area</vt:lpstr>
      <vt:lpstr>'Attachment 10 - Debt Cost'!Print_Area</vt:lpstr>
      <vt:lpstr>'Attachment 11 - TEC'!Print_Area</vt:lpstr>
      <vt:lpstr>'Attachment 12 - TEC True-up'!Print_Area</vt:lpstr>
      <vt:lpstr>'Attachment 13 - NITS True-Up'!Print_Area</vt:lpstr>
      <vt:lpstr>'Attachment 18 - Tax Rates'!Print_Area</vt:lpstr>
      <vt:lpstr>'Attachment 19 - Reg Asset'!Print_Area</vt:lpstr>
      <vt:lpstr>'Attachment 2 - ROE Calcs'!Print_Area</vt:lpstr>
      <vt:lpstr>'Attachment 3 - Gross Plant'!Print_Area</vt:lpstr>
      <vt:lpstr>'Attachment 5 - ADIT Summary'!Print_Area</vt:lpstr>
      <vt:lpstr>'Attachment 5a - ADIT Detail'!Print_Area</vt:lpstr>
      <vt:lpstr>'Attachment 5b - ADIT Norm PTRR'!Print_Area</vt:lpstr>
      <vt:lpstr>'Attachment 7 - Taxes Other '!Print_Area</vt:lpstr>
      <vt:lpstr>'Attachment 8 - Cap Structure'!Print_Area</vt:lpstr>
      <vt:lpstr>'Attachment H-11A '!Print_Area</vt:lpstr>
      <vt:lpstr>'Attachment 11 - TEC'!Print_Titles</vt:lpstr>
      <vt:lpstr>'Attachment 12 - TEC True-up'!Print_Titles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Schock, Michael C</dc:creator>
  <cp:lastModifiedBy>Marx, Justin P</cp:lastModifiedBy>
  <cp:lastPrinted>2019-10-25T16:30:20Z</cp:lastPrinted>
  <dcterms:created xsi:type="dcterms:W3CDTF">2008-03-20T17:17:42Z</dcterms:created>
  <dcterms:modified xsi:type="dcterms:W3CDTF">2024-10-01T17:35:04Z</dcterms:modified>
</cp:coreProperties>
</file>