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1 Formula Rate/"/>
    </mc:Choice>
  </mc:AlternateContent>
  <xr:revisionPtr revIDLastSave="1255" documentId="14_{C8E12B7B-97C8-481B-9B28-47F2268DC206}" xr6:coauthVersionLast="45" xr6:coauthVersionMax="45" xr10:uidLastSave="{BF4C89B6-3D7E-4EB3-A254-3F42468C040E}"/>
  <workbookProtection workbookAlgorithmName="SHA-512" workbookHashValue="qGXGyPWDNbnxcSvSRl+Izav+quckdIIOAVWEfVqizpP8G4DYIM0OMsuMRsIb5y+9QXMAkA80EpB6r8sXe4QUXw==" workbookSaltValue="sCuhD2Kep7IXoynK4EkwFg==" workbookSpinCount="100000" lockStructure="1"/>
  <bookViews>
    <workbookView xWindow="-120" yWindow="-120" windowWidth="29040" windowHeight="15840" tabRatio="900"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Liabilities'!$A$1:$S$46</definedName>
    <definedName name="_xlnm.Print_Area" localSheetId="1">'1A - ADIT'!$A$1:$I$104</definedName>
    <definedName name="_xlnm.Print_Area" localSheetId="2">'1B - ADIT Proration'!$A$1:$W$67</definedName>
    <definedName name="_xlnm.Print_Area" localSheetId="3">'1C - ADIT Prior Year'!$A$1:$I$96</definedName>
    <definedName name="_xlnm.Print_Area" localSheetId="5">'1E - ADIT True-Up Proration'!$A$1:$Q$153</definedName>
    <definedName name="_xlnm.Print_Area" localSheetId="6">'2 - Other Taxes'!$A$1:$J$61</definedName>
    <definedName name="_xlnm.Print_Area" localSheetId="7">'3 - Revenue Credits'!$A$2:$F$47</definedName>
    <definedName name="_xlnm.Print_Area" localSheetId="8">'4 - Cost Support'!$A$1:$V$360</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A'!$A$3:$H$344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ADIT'!$B$1:$I$92</definedName>
    <definedName name="Z_28948E05_8F34_4F1E_96FB_A80A6A844600_.wvu.PrintArea" localSheetId="3" hidden="1">'1C - ADIT Prior Year'!$B$1:$I$83</definedName>
    <definedName name="Z_28948E05_8F34_4F1E_96FB_A80A6A844600_.wvu.PrintArea" localSheetId="7" hidden="1">'3 - Revenue Credits'!$A$2:$D$44</definedName>
    <definedName name="Z_28948E05_8F34_4F1E_96FB_A80A6A844600_.wvu.PrintArea" localSheetId="0" hidden="1">'Appendix A'!$A$2:$H$333</definedName>
    <definedName name="Z_28948E05_8F34_4F1E_96FB_A80A6A844600_.wvu.Rows" localSheetId="0" hidden="1">'Appendix A'!#REF!</definedName>
    <definedName name="Z_3A38DF7A_C35E_4DD3_9893_26310A3EF836_.wvu.PrintArea" localSheetId="7" hidden="1">'3 - Revenue Credits'!$A$2:$D$44</definedName>
    <definedName name="Z_3A38DF7A_C35E_4DD3_9893_26310A3EF836_.wvu.PrintArea" localSheetId="0" hidden="1">'Appendix A'!$A$2:$H$333</definedName>
    <definedName name="Z_416404B7_8533_4A12_ABD0_58CFDEB49D80_.wvu.PrintArea" localSheetId="1" hidden="1">'1A - ADIT'!$B$1:$I$102</definedName>
    <definedName name="Z_416404B7_8533_4A12_ABD0_58CFDEB49D80_.wvu.PrintArea" localSheetId="3" hidden="1">'1C - ADIT Prior Year'!$B$1:$I$88</definedName>
    <definedName name="Z_416404B7_8533_4A12_ABD0_58CFDEB49D80_.wvu.PrintArea" localSheetId="6" hidden="1">'2 - Other Taxes'!$A$1:$H$61</definedName>
    <definedName name="Z_416404B7_8533_4A12_ABD0_58CFDEB49D80_.wvu.PrintArea" localSheetId="7" hidden="1">'3 - Revenue Credits'!$A$2:$D$47</definedName>
    <definedName name="Z_416404B7_8533_4A12_ABD0_58CFDEB49D80_.wvu.PrintArea" localSheetId="8" hidden="1">'4 - Cost Support'!$A$1:$U$190</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A'!$A$3:$H$336</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Credits'!$A$2:$D$44</definedName>
    <definedName name="Z_4C7C2344_134C_465A_ADEB_A5E96AAE2308_.wvu.PrintArea" localSheetId="0" hidden="1">'Appendix A'!$A$2:$H$333</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ADIT'!$B$1:$I$92</definedName>
    <definedName name="Z_63011E91_4609_4523_98FE_FD252E915668_.wvu.PrintArea" localSheetId="3" hidden="1">'1C - ADIT Prior Year'!$B$1:$I$83</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ADIT'!$B$1:$I$92</definedName>
    <definedName name="Z_6928E596_79BD_4CEC_9F0D_07E62D69B2A5_.wvu.PrintArea" localSheetId="3" hidden="1">'1C - ADIT Prior Year'!$B$1:$I$83</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ADIT'!$B$1:$I$92</definedName>
    <definedName name="Z_71B42B22_A376_44B5_B0C1_23FC1AA3DBA2_.wvu.PrintArea" localSheetId="3" hidden="1">'1C - ADIT Prior Year'!$B$1:$I$83</definedName>
    <definedName name="Z_71B42B22_A376_44B5_B0C1_23FC1AA3DBA2_.wvu.PrintArea" localSheetId="7" hidden="1">'3 - Revenue Credits'!$A$2:$D$44</definedName>
    <definedName name="Z_71B42B22_A376_44B5_B0C1_23FC1AA3DBA2_.wvu.PrintArea" localSheetId="0" hidden="1">'Appendix A'!$A$2:$H$333</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ADIT'!$B$1:$I$92</definedName>
    <definedName name="Z_8FBB4DC9_2D51_4AB9_80D8_F8474B404C29_.wvu.PrintArea" localSheetId="3" hidden="1">'1C - ADIT Prior Year'!$B$1:$I$83</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ADIT'!$B$1:$I$92</definedName>
    <definedName name="Z_B647CB7F_C846_4278_B6B1_1EF7F3C004F5_.wvu.PrintArea" localSheetId="3" hidden="1">'1C - ADIT Prior Year'!$B$1:$I$83</definedName>
    <definedName name="Z_DA967730_B71F_4038_B1B7_9D4790729C5D_.wvu.PrintArea" localSheetId="7" hidden="1">'3 - Revenue Credits'!$A$2:$D$44</definedName>
    <definedName name="Z_DA967730_B71F_4038_B1B7_9D4790729C5D_.wvu.PrintArea" localSheetId="0" hidden="1">'Appendix A'!$A$2:$H$333</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ADIT'!$B$1:$I$92</definedName>
    <definedName name="Z_DC91DEF3_837B_4BB9_A81E_3B78C5914E6C_.wvu.PrintArea" localSheetId="3" hidden="1">'1C - ADIT Prior Year'!$B$1:$I$83</definedName>
    <definedName name="Z_DC91DEF3_837B_4BB9_A81E_3B78C5914E6C_.wvu.PrintArea" localSheetId="7" hidden="1">'3 - Revenue Credits'!$A$2:$D$44</definedName>
    <definedName name="Z_DC91DEF3_837B_4BB9_A81E_3B78C5914E6C_.wvu.PrintArea" localSheetId="0" hidden="1">'Appendix A'!$A$2:$H$333</definedName>
    <definedName name="Z_F96D6087_3330_4A81_95EC_26BA83722A49_.wvu.PrintArea" localSheetId="7" hidden="1">'3 - Revenue Credits'!$A$2:$D$44</definedName>
    <definedName name="Z_F96D6087_3330_4A81_95EC_26BA83722A49_.wvu.PrintArea" localSheetId="0" hidden="1">'Appendix A'!$A$2:$H$333</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ADIT'!$B$1:$I$92</definedName>
    <definedName name="Z_FAAD9AAC_1337_43AB_BF1F_CCF9DFCF5B78_.wvu.PrintArea" localSheetId="3" hidden="1">'1C - ADIT Prior Year'!$B$1:$I$83</definedName>
    <definedName name="Z_FAAD9AAC_1337_43AB_BF1F_CCF9DFCF5B78_.wvu.PrintArea" localSheetId="7" hidden="1">'3 - Revenue Credits'!$A$2:$D$44</definedName>
    <definedName name="Z_FAAD9AAC_1337_43AB_BF1F_CCF9DFCF5B78_.wvu.PrintArea" localSheetId="0" hidden="1">'Appendix A'!$A$2:$H$333</definedName>
    <definedName name="zero">#REF!</definedName>
  </definedNames>
  <calcPr calcId="191028"/>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0" i="1" l="1"/>
  <c r="H241" i="1"/>
  <c r="F241" i="1"/>
  <c r="F240" i="1"/>
  <c r="D87" i="2" l="1"/>
  <c r="S72" i="7" l="1"/>
  <c r="S56" i="7" l="1"/>
  <c r="R56" i="7"/>
  <c r="H255" i="1" l="1"/>
  <c r="T313" i="7" l="1"/>
  <c r="O312" i="7"/>
  <c r="P312" i="7"/>
  <c r="Q312" i="7"/>
  <c r="R312" i="7"/>
  <c r="S312" i="7"/>
  <c r="N312" i="7"/>
  <c r="M312" i="7"/>
  <c r="S196" i="7" l="1"/>
  <c r="R196" i="7"/>
  <c r="Q196" i="7"/>
  <c r="G28" i="14"/>
  <c r="H141" i="1" l="1"/>
  <c r="M34" i="40" l="1"/>
  <c r="L34" i="40"/>
  <c r="L33" i="40"/>
  <c r="M33" i="40" s="1"/>
  <c r="L32" i="40"/>
  <c r="M32" i="40" s="1"/>
  <c r="L31" i="40"/>
  <c r="M31" i="40" s="1"/>
  <c r="L30" i="40"/>
  <c r="M30" i="40" s="1"/>
  <c r="L29" i="40"/>
  <c r="M29" i="40" s="1"/>
  <c r="L28" i="40"/>
  <c r="M28" i="40" s="1"/>
  <c r="M24" i="40"/>
  <c r="L24" i="40"/>
  <c r="M23" i="40"/>
  <c r="M25" i="40" s="1"/>
  <c r="L25" i="40" l="1"/>
  <c r="L36" i="40"/>
  <c r="M36" i="40"/>
  <c r="M20" i="40"/>
  <c r="M19" i="40"/>
  <c r="M18" i="40"/>
  <c r="M17" i="40"/>
  <c r="M16" i="40"/>
  <c r="M15" i="40"/>
  <c r="M14" i="40"/>
  <c r="M13" i="40"/>
  <c r="M12" i="40"/>
  <c r="M11" i="40"/>
  <c r="M10" i="40"/>
  <c r="M9" i="40"/>
  <c r="M21" i="40" s="1"/>
  <c r="L21" i="40"/>
  <c r="L20" i="40"/>
  <c r="L19" i="40"/>
  <c r="L18" i="40"/>
  <c r="L17" i="40"/>
  <c r="L16" i="40"/>
  <c r="L15" i="40"/>
  <c r="L14" i="40"/>
  <c r="L13" i="40"/>
  <c r="L12" i="40"/>
  <c r="L11" i="40"/>
  <c r="L10" i="40"/>
  <c r="L9" i="40"/>
  <c r="J31" i="42"/>
  <c r="D17" i="5" l="1"/>
  <c r="L19" i="45" l="1"/>
  <c r="N13" i="45" l="1"/>
  <c r="N38" i="45"/>
  <c r="N36" i="45"/>
  <c r="L38" i="45"/>
  <c r="A23" i="41" l="1"/>
  <c r="A24" i="41" s="1"/>
  <c r="A25" i="41" s="1"/>
  <c r="A26" i="41" s="1"/>
  <c r="A27" i="41" s="1"/>
  <c r="A28" i="41" s="1"/>
  <c r="A29" i="41" s="1"/>
  <c r="A30" i="41" s="1"/>
  <c r="A31" i="41" s="1"/>
  <c r="A32" i="41" s="1"/>
  <c r="A33" i="41" s="1"/>
  <c r="H48" i="2" l="1"/>
  <c r="G48" i="2"/>
  <c r="N32" i="45" l="1"/>
  <c r="F35" i="41"/>
  <c r="R136" i="7"/>
  <c r="S136" i="7"/>
  <c r="T111" i="7"/>
  <c r="U111" i="7" s="1"/>
  <c r="T196" i="7" l="1"/>
  <c r="T161" i="7"/>
  <c r="E255" i="1"/>
  <c r="E177" i="1"/>
  <c r="E176" i="1"/>
  <c r="E174" i="1"/>
  <c r="E173" i="1"/>
  <c r="E151" i="1"/>
  <c r="E150" i="1"/>
  <c r="E144" i="1"/>
  <c r="E143" i="1"/>
  <c r="E142" i="1"/>
  <c r="E140" i="1"/>
  <c r="Y13" i="46"/>
  <c r="H97" i="43"/>
  <c r="G97" i="43"/>
  <c r="F97" i="43"/>
  <c r="E97" i="43"/>
  <c r="D97" i="43"/>
  <c r="C97" i="43"/>
  <c r="C49" i="43"/>
  <c r="H85" i="14"/>
  <c r="E85" i="14"/>
  <c r="C85" i="14"/>
  <c r="H40" i="14"/>
  <c r="G40" i="14"/>
  <c r="E40" i="14"/>
  <c r="D40" i="14"/>
  <c r="E48" i="2"/>
  <c r="F299" i="1"/>
  <c r="H299" i="1"/>
  <c r="F285" i="1"/>
  <c r="F250" i="1"/>
  <c r="H220" i="1"/>
  <c r="H198" i="1"/>
  <c r="F211" i="1"/>
  <c r="F186" i="1"/>
  <c r="H144" i="1"/>
  <c r="F93" i="1"/>
  <c r="F128" i="1"/>
  <c r="T136" i="7" l="1"/>
  <c r="T55" i="7"/>
  <c r="T56" i="7"/>
  <c r="T47" i="7"/>
  <c r="T40" i="7"/>
  <c r="T17" i="7" l="1"/>
  <c r="A13" i="45" l="1"/>
  <c r="A15" i="45" s="1"/>
  <c r="A17" i="45" s="1"/>
  <c r="A19" i="45" s="1"/>
  <c r="A21" i="45" s="1"/>
  <c r="A23" i="45" s="1"/>
  <c r="A32" i="45" s="1"/>
  <c r="A34" i="45" s="1"/>
  <c r="A36" i="45" s="1"/>
  <c r="A38" i="45" s="1"/>
  <c r="A40" i="45" s="1"/>
  <c r="A42" i="45" s="1"/>
  <c r="A44" i="45" s="1"/>
  <c r="E16" i="40" l="1"/>
  <c r="C21" i="40"/>
  <c r="D36" i="14" l="1"/>
  <c r="D44" i="2"/>
  <c r="D32" i="14" l="1"/>
  <c r="D40" i="2"/>
  <c r="H163" i="1" l="1"/>
  <c r="L35" i="41" l="1"/>
  <c r="S10" i="41"/>
  <c r="G35" i="41"/>
  <c r="H35" i="41"/>
  <c r="I35" i="41"/>
  <c r="J35" i="41"/>
  <c r="K35" i="41"/>
  <c r="M35" i="41"/>
  <c r="N35" i="41"/>
  <c r="O35" i="41"/>
  <c r="P35" i="41"/>
  <c r="Q35" i="41"/>
  <c r="R35" i="41"/>
  <c r="I44" i="42" l="1"/>
  <c r="J16" i="50" l="1"/>
  <c r="S20" i="41"/>
  <c r="S21" i="41"/>
  <c r="S22" i="41"/>
  <c r="S23" i="41"/>
  <c r="S24" i="41"/>
  <c r="S25" i="41"/>
  <c r="S26" i="41"/>
  <c r="S27" i="41"/>
  <c r="S28" i="41"/>
  <c r="S29" i="41"/>
  <c r="S30" i="41"/>
  <c r="S31" i="41"/>
  <c r="S32" i="41"/>
  <c r="S33" i="41"/>
  <c r="F302" i="1" l="1"/>
  <c r="D89" i="2" l="1"/>
  <c r="D46" i="2"/>
  <c r="D45" i="2"/>
  <c r="F43" i="2"/>
  <c r="H42" i="2"/>
  <c r="G41" i="2"/>
  <c r="G39" i="2"/>
  <c r="F38" i="2"/>
  <c r="G36" i="2"/>
  <c r="G37" i="2"/>
  <c r="G35" i="2"/>
  <c r="D84" i="14"/>
  <c r="G83" i="14"/>
  <c r="F82" i="14"/>
  <c r="D81" i="14"/>
  <c r="D85" i="14" s="1"/>
  <c r="G80" i="14"/>
  <c r="F79" i="14"/>
  <c r="F85" i="14" s="1"/>
  <c r="G78" i="14"/>
  <c r="G85" i="14" s="1"/>
  <c r="D38" i="14"/>
  <c r="D37" i="14"/>
  <c r="F35" i="14"/>
  <c r="H34" i="14"/>
  <c r="G33" i="14"/>
  <c r="G31" i="14"/>
  <c r="F30" i="14"/>
  <c r="G29" i="14"/>
  <c r="G27" i="14"/>
  <c r="E25" i="4" l="1"/>
  <c r="E24" i="4"/>
  <c r="T206" i="7" l="1"/>
  <c r="T207" i="7"/>
  <c r="T208" i="7"/>
  <c r="T205" i="7"/>
  <c r="E89" i="1" l="1"/>
  <c r="H173" i="1" l="1"/>
  <c r="E12" i="4" l="1"/>
  <c r="A10" i="50" l="1"/>
  <c r="J20" i="50"/>
  <c r="A12" i="50" l="1"/>
  <c r="A14" i="50" s="1"/>
  <c r="A16" i="50" s="1"/>
  <c r="F168" i="7"/>
  <c r="E303" i="1"/>
  <c r="L16" i="50" l="1"/>
  <c r="A18" i="50"/>
  <c r="A20" i="50" s="1"/>
  <c r="S64" i="42"/>
  <c r="O64" i="42"/>
  <c r="L20" i="50" l="1"/>
  <c r="C48" i="42"/>
  <c r="D48" i="42"/>
  <c r="E48" i="42"/>
  <c r="F48" i="42"/>
  <c r="G48" i="42"/>
  <c r="H48" i="42"/>
  <c r="I48" i="42"/>
  <c r="J48" i="42"/>
  <c r="K48" i="42"/>
  <c r="B48" i="42"/>
  <c r="C28" i="42"/>
  <c r="D28" i="42"/>
  <c r="E28" i="42"/>
  <c r="F28" i="42"/>
  <c r="G28" i="42"/>
  <c r="H28" i="42"/>
  <c r="I28" i="42"/>
  <c r="J28" i="42"/>
  <c r="K28" i="42"/>
  <c r="O28" i="42"/>
  <c r="O48" i="42" s="1"/>
  <c r="S28" i="42"/>
  <c r="S48" i="42" s="1"/>
  <c r="B28" i="42"/>
  <c r="H56" i="14" l="1"/>
  <c r="H70" i="43" l="1"/>
  <c r="C14" i="42" l="1"/>
  <c r="C15" i="42"/>
  <c r="C16" i="42"/>
  <c r="C17" i="42"/>
  <c r="C18" i="42"/>
  <c r="C19" i="42"/>
  <c r="C20" i="42"/>
  <c r="C21" i="42"/>
  <c r="C22" i="42"/>
  <c r="C23" i="42"/>
  <c r="C13" i="42"/>
  <c r="F82" i="1" l="1"/>
  <c r="H81" i="1"/>
  <c r="H151" i="1" l="1"/>
  <c r="H143" i="1"/>
  <c r="T247" i="7" l="1"/>
  <c r="T242" i="7"/>
  <c r="T236" i="7" l="1"/>
  <c r="T235" i="7"/>
  <c r="T25" i="7" l="1"/>
  <c r="T23" i="7"/>
  <c r="H51" i="1" s="1"/>
  <c r="E76" i="1" l="1"/>
  <c r="E81" i="1"/>
  <c r="N31" i="44" l="1"/>
  <c r="N81" i="44" s="1"/>
  <c r="N132" i="44" s="1"/>
  <c r="S44" i="42"/>
  <c r="S24" i="42"/>
  <c r="A37" i="49"/>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I107" i="44"/>
  <c r="I108" i="44"/>
  <c r="I56" i="44"/>
  <c r="I57" i="44"/>
  <c r="F19" i="1" l="1"/>
  <c r="F22" i="45" l="1"/>
  <c r="C21" i="47"/>
  <c r="K185" i="7"/>
  <c r="K183" i="7"/>
  <c r="F74" i="49"/>
  <c r="J39" i="49" s="1"/>
  <c r="E74" i="49"/>
  <c r="I39" i="49" s="1"/>
  <c r="I38" i="49"/>
  <c r="J38" i="49" s="1"/>
  <c r="B3" i="49"/>
  <c r="B2" i="49"/>
  <c r="E302" i="1"/>
  <c r="J40" i="49" l="1"/>
  <c r="I40" i="49"/>
  <c r="F19" i="48"/>
  <c r="F23" i="48" s="1"/>
  <c r="A14" i="48"/>
  <c r="K40" i="49" l="1"/>
  <c r="I41" i="49"/>
  <c r="A16" i="48"/>
  <c r="F27" i="48"/>
  <c r="F29" i="48" s="1"/>
  <c r="H300" i="1" s="1"/>
  <c r="F21" i="48"/>
  <c r="A17" i="48" l="1"/>
  <c r="A19" i="48" s="1"/>
  <c r="Y16" i="47"/>
  <c r="W16" i="47"/>
  <c r="U16" i="47"/>
  <c r="S16" i="47"/>
  <c r="Q16" i="47"/>
  <c r="O16" i="47"/>
  <c r="M16" i="47"/>
  <c r="K16" i="47"/>
  <c r="I16" i="47"/>
  <c r="G16" i="47"/>
  <c r="C19" i="48" l="1"/>
  <c r="A21" i="48"/>
  <c r="A23" i="48" s="1"/>
  <c r="A25" i="48" s="1"/>
  <c r="A26" i="48" s="1"/>
  <c r="A27" i="48" s="1"/>
  <c r="A29" i="48" s="1"/>
  <c r="F300" i="1" s="1"/>
  <c r="C23" i="48"/>
  <c r="C21" i="48"/>
  <c r="B355" i="7" l="1"/>
  <c r="B350" i="7"/>
  <c r="B345" i="7"/>
  <c r="B340" i="7"/>
  <c r="B335" i="7"/>
  <c r="B330" i="7"/>
  <c r="T327" i="7"/>
  <c r="M11" i="47" s="1"/>
  <c r="B325" i="7"/>
  <c r="B320" i="7"/>
  <c r="B315" i="7"/>
  <c r="T357" i="7"/>
  <c r="Y11" i="47" s="1"/>
  <c r="T356" i="7"/>
  <c r="Y10" i="47" s="1"/>
  <c r="T352" i="7"/>
  <c r="W11" i="47" s="1"/>
  <c r="T351" i="7"/>
  <c r="W10" i="47" s="1"/>
  <c r="T347" i="7"/>
  <c r="U11" i="47" s="1"/>
  <c r="T346" i="7"/>
  <c r="U10" i="47" s="1"/>
  <c r="T342" i="7"/>
  <c r="S11" i="47" s="1"/>
  <c r="T341" i="7"/>
  <c r="S10" i="47" s="1"/>
  <c r="T337" i="7"/>
  <c r="Q11" i="47" s="1"/>
  <c r="T336" i="7"/>
  <c r="Q10" i="47" s="1"/>
  <c r="T332" i="7"/>
  <c r="O11" i="47" s="1"/>
  <c r="T331" i="7"/>
  <c r="O10" i="47" s="1"/>
  <c r="T326" i="7"/>
  <c r="M10" i="47" s="1"/>
  <c r="T322" i="7"/>
  <c r="K11" i="47" s="1"/>
  <c r="T321" i="7"/>
  <c r="K10" i="47" s="1"/>
  <c r="T317" i="7"/>
  <c r="I11" i="47" s="1"/>
  <c r="T316" i="7"/>
  <c r="I10" i="47" s="1"/>
  <c r="T312" i="7"/>
  <c r="G11" i="47" s="1"/>
  <c r="T311" i="7"/>
  <c r="G10" i="47" s="1"/>
  <c r="A11" i="47"/>
  <c r="C12" i="47" s="1"/>
  <c r="A12" i="47" l="1"/>
  <c r="I68" i="43"/>
  <c r="I66" i="2" s="1"/>
  <c r="B302" i="7"/>
  <c r="B297" i="7"/>
  <c r="B292" i="7"/>
  <c r="B287" i="7"/>
  <c r="B282" i="7"/>
  <c r="B277" i="7"/>
  <c r="B272" i="7"/>
  <c r="B267" i="7"/>
  <c r="B262" i="7"/>
  <c r="B257" i="7"/>
  <c r="T305" i="7"/>
  <c r="T300" i="7"/>
  <c r="W13" i="46" s="1"/>
  <c r="T295" i="7"/>
  <c r="U13" i="46" s="1"/>
  <c r="T290" i="7"/>
  <c r="S13" i="46" s="1"/>
  <c r="T285" i="7"/>
  <c r="Q13" i="46" s="1"/>
  <c r="T280" i="7"/>
  <c r="O13" i="46" s="1"/>
  <c r="T275" i="7"/>
  <c r="M13" i="46" s="1"/>
  <c r="T270" i="7"/>
  <c r="K13" i="46" s="1"/>
  <c r="T265" i="7"/>
  <c r="I13" i="46" s="1"/>
  <c r="T260" i="7"/>
  <c r="G13" i="46" s="1"/>
  <c r="E301" i="1"/>
  <c r="A11" i="46"/>
  <c r="J2" i="46"/>
  <c r="K2" i="47" s="1"/>
  <c r="J1" i="46"/>
  <c r="K1" i="47" s="1"/>
  <c r="T304" i="7"/>
  <c r="T303" i="7"/>
  <c r="T299" i="7"/>
  <c r="T298" i="7"/>
  <c r="T294" i="7"/>
  <c r="T293" i="7"/>
  <c r="T289" i="7"/>
  <c r="T288" i="7"/>
  <c r="T284" i="7"/>
  <c r="T283" i="7"/>
  <c r="T279" i="7"/>
  <c r="T278" i="7"/>
  <c r="T274" i="7"/>
  <c r="T273" i="7"/>
  <c r="T269" i="7"/>
  <c r="T268" i="7"/>
  <c r="T264" i="7"/>
  <c r="T263" i="7"/>
  <c r="T259" i="7"/>
  <c r="T258"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30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L40" i="45"/>
  <c r="L44" i="45" s="1"/>
  <c r="J40" i="45"/>
  <c r="H40" i="45"/>
  <c r="F40" i="45"/>
  <c r="N34" i="45"/>
  <c r="E126" i="1"/>
  <c r="E124" i="1"/>
  <c r="E120" i="1"/>
  <c r="E115" i="1"/>
  <c r="E113" i="1"/>
  <c r="E108" i="1"/>
  <c r="E107" i="1"/>
  <c r="E103" i="1"/>
  <c r="E93" i="1"/>
  <c r="E70" i="1"/>
  <c r="E67" i="1"/>
  <c r="C18" i="46" l="1"/>
  <c r="N40" i="45"/>
  <c r="C19" i="47"/>
  <c r="A21" i="47"/>
  <c r="A23" i="47" s="1"/>
  <c r="C28" i="47" s="1"/>
  <c r="J187" i="7"/>
  <c r="J188" i="7" s="1"/>
  <c r="C23" i="47" l="1"/>
  <c r="I132" i="44"/>
  <c r="E132" i="44"/>
  <c r="C132" i="44"/>
  <c r="C117" i="44"/>
  <c r="C66" i="44"/>
  <c r="H99" i="43"/>
  <c r="H98" i="43"/>
  <c r="H49" i="43"/>
  <c r="G49" i="43"/>
  <c r="E49" i="43"/>
  <c r="H100" i="43" l="1"/>
  <c r="E77" i="14"/>
  <c r="F77" i="14"/>
  <c r="G77" i="14"/>
  <c r="H62" i="14"/>
  <c r="G10" i="14" s="1"/>
  <c r="H59" i="14"/>
  <c r="H77" i="14" s="1"/>
  <c r="H75" i="14"/>
  <c r="H58" i="14"/>
  <c r="H76" i="14" s="1"/>
  <c r="H88" i="14" s="1"/>
  <c r="G11" i="14" s="1"/>
  <c r="D53" i="42"/>
  <c r="D33" i="42"/>
  <c r="L23" i="45" l="1"/>
  <c r="J19" i="45"/>
  <c r="H19" i="45"/>
  <c r="F19" i="45"/>
  <c r="N17" i="45"/>
  <c r="N15" i="45"/>
  <c r="N11" i="45"/>
  <c r="N19" i="45" l="1"/>
  <c r="B2" i="38"/>
  <c r="J2" i="45"/>
  <c r="A2" i="48" s="1"/>
  <c r="J1" i="45"/>
  <c r="A1" i="48" s="1"/>
  <c r="E208" i="1" l="1"/>
  <c r="E209" i="1"/>
  <c r="T137" i="7"/>
  <c r="H208" i="1" s="1"/>
  <c r="T138" i="7"/>
  <c r="H209" i="1" s="1"/>
  <c r="A13" i="4" l="1"/>
  <c r="G93" i="2"/>
  <c r="H93" i="2"/>
  <c r="H95" i="2"/>
  <c r="H94" i="2"/>
  <c r="H68" i="2"/>
  <c r="G14" i="43"/>
  <c r="G13" i="43"/>
  <c r="D70" i="43"/>
  <c r="G70" i="43"/>
  <c r="F13" i="43" s="1"/>
  <c r="F70" i="43"/>
  <c r="E13" i="43" s="1"/>
  <c r="C70" i="43"/>
  <c r="B62" i="43"/>
  <c r="B61" i="43"/>
  <c r="B60" i="43"/>
  <c r="H128" i="44"/>
  <c r="C128" i="44"/>
  <c r="F127" i="44"/>
  <c r="I127" i="44" s="1"/>
  <c r="F126" i="44"/>
  <c r="I126" i="44" s="1"/>
  <c r="D126" i="44"/>
  <c r="D125" i="44" s="1"/>
  <c r="D124" i="44" s="1"/>
  <c r="D123" i="44" s="1"/>
  <c r="D122" i="44" s="1"/>
  <c r="D121" i="44" s="1"/>
  <c r="D120" i="44" s="1"/>
  <c r="D119" i="44" s="1"/>
  <c r="D118" i="44" s="1"/>
  <c r="D117" i="44" s="1"/>
  <c r="D116" i="44" s="1"/>
  <c r="F125" i="44"/>
  <c r="I125" i="44" s="1"/>
  <c r="F124" i="44"/>
  <c r="I124" i="44" s="1"/>
  <c r="F123" i="44"/>
  <c r="I123" i="44" s="1"/>
  <c r="F122" i="44"/>
  <c r="I122" i="44" s="1"/>
  <c r="F121" i="44"/>
  <c r="I121" i="44" s="1"/>
  <c r="F120" i="44"/>
  <c r="I120" i="44" s="1"/>
  <c r="F119" i="44"/>
  <c r="I119" i="44" s="1"/>
  <c r="F118" i="44"/>
  <c r="I118" i="44" s="1"/>
  <c r="F117" i="44"/>
  <c r="I117" i="44" s="1"/>
  <c r="F116" i="44"/>
  <c r="I116" i="44" s="1"/>
  <c r="E116" i="44"/>
  <c r="E117" i="44" s="1"/>
  <c r="E118" i="44" s="1"/>
  <c r="E119" i="44" s="1"/>
  <c r="E120" i="44" s="1"/>
  <c r="E121" i="44" s="1"/>
  <c r="E122" i="44" s="1"/>
  <c r="E123" i="44" s="1"/>
  <c r="E124" i="44" s="1"/>
  <c r="E125" i="44" s="1"/>
  <c r="E126" i="44" s="1"/>
  <c r="E127" i="44" s="1"/>
  <c r="Q115" i="44"/>
  <c r="L115" i="44"/>
  <c r="H77" i="44"/>
  <c r="C77" i="44"/>
  <c r="F76" i="44"/>
  <c r="I76" i="44" s="1"/>
  <c r="F75" i="44"/>
  <c r="I75" i="44" s="1"/>
  <c r="D75" i="44"/>
  <c r="D74" i="44" s="1"/>
  <c r="D73" i="44" s="1"/>
  <c r="D72" i="44" s="1"/>
  <c r="D71" i="44" s="1"/>
  <c r="D70" i="44" s="1"/>
  <c r="D69" i="44" s="1"/>
  <c r="D68" i="44" s="1"/>
  <c r="D67" i="44" s="1"/>
  <c r="D66" i="44" s="1"/>
  <c r="D65" i="44" s="1"/>
  <c r="F74" i="44"/>
  <c r="I74" i="44" s="1"/>
  <c r="F73" i="44"/>
  <c r="I73" i="44" s="1"/>
  <c r="F72" i="44"/>
  <c r="I72" i="44" s="1"/>
  <c r="F71" i="44"/>
  <c r="I71" i="44" s="1"/>
  <c r="F70" i="44"/>
  <c r="I70" i="44" s="1"/>
  <c r="F69" i="44"/>
  <c r="I69" i="44" s="1"/>
  <c r="F68" i="44"/>
  <c r="I68" i="44" s="1"/>
  <c r="F67" i="44"/>
  <c r="I67" i="44" s="1"/>
  <c r="F66" i="44"/>
  <c r="I66" i="44" s="1"/>
  <c r="F65" i="44"/>
  <c r="I65" i="44" s="1"/>
  <c r="E65" i="44"/>
  <c r="E66" i="44" s="1"/>
  <c r="E67" i="44" s="1"/>
  <c r="E68" i="44" s="1"/>
  <c r="E69" i="44" s="1"/>
  <c r="E70" i="44" s="1"/>
  <c r="E71" i="44" s="1"/>
  <c r="E72" i="44" s="1"/>
  <c r="E73" i="44" s="1"/>
  <c r="E74" i="44" s="1"/>
  <c r="E75" i="44" s="1"/>
  <c r="E76" i="44" s="1"/>
  <c r="Q64" i="44"/>
  <c r="L64" i="44"/>
  <c r="H96" i="2" l="1"/>
  <c r="E70" i="43"/>
  <c r="D13" i="43" s="1"/>
  <c r="I128" i="44"/>
  <c r="J116" i="44"/>
  <c r="J117" i="44" s="1"/>
  <c r="J118" i="44" s="1"/>
  <c r="J119" i="44" s="1"/>
  <c r="J120" i="44" s="1"/>
  <c r="J121" i="44" s="1"/>
  <c r="J122" i="44" s="1"/>
  <c r="J123" i="44" s="1"/>
  <c r="J124" i="44" s="1"/>
  <c r="J125" i="44" s="1"/>
  <c r="J126" i="44" s="1"/>
  <c r="J127" i="44" s="1"/>
  <c r="J65" i="44"/>
  <c r="J66" i="44" s="1"/>
  <c r="J67" i="44" s="1"/>
  <c r="J68" i="44" s="1"/>
  <c r="J69" i="44" s="1"/>
  <c r="J70" i="44" s="1"/>
  <c r="J71" i="44" s="1"/>
  <c r="J72" i="44" s="1"/>
  <c r="J73" i="44" s="1"/>
  <c r="J74" i="44" s="1"/>
  <c r="J75" i="44" s="1"/>
  <c r="J76" i="44" s="1"/>
  <c r="I77" i="44"/>
  <c r="G11" i="2" l="1"/>
  <c r="G10" i="2"/>
  <c r="C32" i="42"/>
  <c r="C52" i="42" s="1"/>
  <c r="C33" i="42"/>
  <c r="C53" i="42" s="1"/>
  <c r="C34" i="42"/>
  <c r="C54" i="42" s="1"/>
  <c r="C35" i="42"/>
  <c r="C55" i="42" s="1"/>
  <c r="C36" i="42"/>
  <c r="C56" i="42" s="1"/>
  <c r="C37" i="42"/>
  <c r="C57" i="42" s="1"/>
  <c r="C38" i="42"/>
  <c r="C58" i="42" s="1"/>
  <c r="C39" i="42"/>
  <c r="C59" i="42" s="1"/>
  <c r="C40" i="42"/>
  <c r="C60" i="42" s="1"/>
  <c r="C41" i="42"/>
  <c r="C61" i="42" s="1"/>
  <c r="C42" i="42"/>
  <c r="C62" i="42" s="1"/>
  <c r="C43" i="42"/>
  <c r="C63" i="42" s="1"/>
  <c r="C31" i="42"/>
  <c r="C51" i="42" s="1"/>
  <c r="K64" i="42"/>
  <c r="I64" i="42"/>
  <c r="D64" i="42"/>
  <c r="G63" i="42"/>
  <c r="G62" i="42"/>
  <c r="E62" i="42"/>
  <c r="E61" i="42" s="1"/>
  <c r="E60" i="42" s="1"/>
  <c r="E59" i="42" s="1"/>
  <c r="E58" i="42" s="1"/>
  <c r="E57" i="42" s="1"/>
  <c r="E56" i="42" s="1"/>
  <c r="E55" i="42" s="1"/>
  <c r="E54" i="42" s="1"/>
  <c r="E53" i="42" s="1"/>
  <c r="E52" i="42" s="1"/>
  <c r="G61" i="42"/>
  <c r="G60" i="42"/>
  <c r="G59" i="42"/>
  <c r="G58" i="42"/>
  <c r="G57" i="42"/>
  <c r="G56" i="42"/>
  <c r="G55" i="42"/>
  <c r="G54" i="42"/>
  <c r="G53" i="42"/>
  <c r="G52" i="42"/>
  <c r="F52" i="42"/>
  <c r="F53" i="42" s="1"/>
  <c r="F54" i="42" s="1"/>
  <c r="F55" i="42" s="1"/>
  <c r="F56" i="42" s="1"/>
  <c r="F57" i="42" s="1"/>
  <c r="F58" i="42" s="1"/>
  <c r="F59" i="42" s="1"/>
  <c r="F60" i="42" s="1"/>
  <c r="F61" i="42" s="1"/>
  <c r="F62" i="42" s="1"/>
  <c r="F63" i="42" s="1"/>
  <c r="G51" i="42"/>
  <c r="O44" i="42"/>
  <c r="K44" i="42"/>
  <c r="D44" i="42"/>
  <c r="G43" i="42"/>
  <c r="G42" i="42"/>
  <c r="E42" i="42"/>
  <c r="E41" i="42" s="1"/>
  <c r="E40" i="42" s="1"/>
  <c r="E39" i="42" s="1"/>
  <c r="E38" i="42" s="1"/>
  <c r="E37" i="42" s="1"/>
  <c r="E36" i="42" s="1"/>
  <c r="E35" i="42" s="1"/>
  <c r="E34" i="42" s="1"/>
  <c r="E33" i="42" s="1"/>
  <c r="E32" i="42" s="1"/>
  <c r="G41" i="42"/>
  <c r="G40" i="42"/>
  <c r="G39" i="42"/>
  <c r="G38" i="42"/>
  <c r="G37" i="42"/>
  <c r="G36" i="42"/>
  <c r="G35" i="42"/>
  <c r="G34" i="42"/>
  <c r="G33" i="42"/>
  <c r="G32" i="42"/>
  <c r="F32" i="42"/>
  <c r="F33" i="42" s="1"/>
  <c r="F34" i="42" s="1"/>
  <c r="F35" i="42" s="1"/>
  <c r="F36" i="42" s="1"/>
  <c r="F37" i="42" s="1"/>
  <c r="F38" i="42" s="1"/>
  <c r="F39" i="42" s="1"/>
  <c r="F40" i="42" s="1"/>
  <c r="F41" i="42" s="1"/>
  <c r="F42" i="42" s="1"/>
  <c r="F43" i="42" s="1"/>
  <c r="G31" i="42"/>
  <c r="J63" i="42" l="1"/>
  <c r="J43" i="42"/>
  <c r="J33" i="42"/>
  <c r="J34" i="42"/>
  <c r="J41" i="42"/>
  <c r="J51" i="42"/>
  <c r="J37" i="42"/>
  <c r="J38" i="42"/>
  <c r="J42" i="42"/>
  <c r="J53" i="42"/>
  <c r="J55" i="42"/>
  <c r="J59" i="42"/>
  <c r="J35" i="42"/>
  <c r="J39" i="42"/>
  <c r="J52" i="42"/>
  <c r="J54" i="42"/>
  <c r="J56" i="42"/>
  <c r="J57" i="42"/>
  <c r="J58" i="42"/>
  <c r="J60" i="42"/>
  <c r="J61" i="42"/>
  <c r="J62" i="42"/>
  <c r="J32" i="42"/>
  <c r="J36" i="42"/>
  <c r="J40" i="42"/>
  <c r="J44" i="42" l="1"/>
  <c r="D20" i="2" s="1"/>
  <c r="J64" i="42"/>
  <c r="D21" i="2" s="1"/>
  <c r="G11" i="42" l="1"/>
  <c r="K24" i="42"/>
  <c r="A12" i="42"/>
  <c r="A13" i="42" s="1"/>
  <c r="A14" i="42" s="1"/>
  <c r="A15" i="42" s="1"/>
  <c r="A16" i="42" s="1"/>
  <c r="A17" i="42" s="1"/>
  <c r="A18" i="42" s="1"/>
  <c r="A19" i="42" s="1"/>
  <c r="A20" i="42" s="1"/>
  <c r="A21" i="42" s="1"/>
  <c r="A22" i="42" s="1"/>
  <c r="A23" i="42" s="1"/>
  <c r="A24" i="42" s="1"/>
  <c r="F12" i="42"/>
  <c r="F13" i="42" s="1"/>
  <c r="F14" i="42" s="1"/>
  <c r="F15" i="42" s="1"/>
  <c r="F16" i="42" s="1"/>
  <c r="F17" i="42" s="1"/>
  <c r="F18" i="42" s="1"/>
  <c r="F19" i="42" s="1"/>
  <c r="F20" i="42" s="1"/>
  <c r="F21" i="42" s="1"/>
  <c r="F22" i="42" s="1"/>
  <c r="F23" i="42" s="1"/>
  <c r="G12" i="42"/>
  <c r="G13" i="42"/>
  <c r="G14" i="42"/>
  <c r="G15" i="42"/>
  <c r="G16" i="42"/>
  <c r="G17" i="42"/>
  <c r="G18" i="42"/>
  <c r="G19" i="42"/>
  <c r="G20" i="42"/>
  <c r="G21" i="42"/>
  <c r="E22" i="42"/>
  <c r="E21" i="42" s="1"/>
  <c r="E20" i="42" s="1"/>
  <c r="E19" i="42" s="1"/>
  <c r="E18" i="42" s="1"/>
  <c r="E17" i="42" s="1"/>
  <c r="E16" i="42" s="1"/>
  <c r="E15" i="42" s="1"/>
  <c r="E14" i="42" s="1"/>
  <c r="E13" i="42" s="1"/>
  <c r="E12" i="42" s="1"/>
  <c r="G22" i="42"/>
  <c r="G23" i="42"/>
  <c r="D24" i="42"/>
  <c r="I24" i="42"/>
  <c r="A31" i="42" l="1"/>
  <c r="A32" i="42" s="1"/>
  <c r="A33" i="42" s="1"/>
  <c r="A34" i="42" s="1"/>
  <c r="A35" i="42" s="1"/>
  <c r="A36" i="42" s="1"/>
  <c r="A37" i="42" s="1"/>
  <c r="A38" i="42" s="1"/>
  <c r="A39" i="42" s="1"/>
  <c r="A40" i="42" s="1"/>
  <c r="A41" i="42" s="1"/>
  <c r="A42" i="42" s="1"/>
  <c r="A43" i="42" s="1"/>
  <c r="A44" i="42" s="1"/>
  <c r="I20" i="2" s="1"/>
  <c r="I19" i="2"/>
  <c r="J22" i="42"/>
  <c r="J19" i="42"/>
  <c r="J15" i="42"/>
  <c r="J12" i="42"/>
  <c r="J11" i="42"/>
  <c r="J23" i="42"/>
  <c r="J20" i="42"/>
  <c r="J16" i="42"/>
  <c r="J18" i="42"/>
  <c r="J14" i="42"/>
  <c r="J21" i="42"/>
  <c r="J17" i="42"/>
  <c r="J13" i="42"/>
  <c r="G13" i="4"/>
  <c r="G14" i="4"/>
  <c r="A14" i="4"/>
  <c r="A15" i="4" l="1"/>
  <c r="A19" i="4" s="1"/>
  <c r="A20" i="4" s="1"/>
  <c r="A24" i="4" s="1"/>
  <c r="A51" i="42"/>
  <c r="A52" i="42" s="1"/>
  <c r="A53" i="42" s="1"/>
  <c r="A54" i="42" s="1"/>
  <c r="A55" i="42" s="1"/>
  <c r="A56" i="42" s="1"/>
  <c r="A57" i="42" s="1"/>
  <c r="A58" i="42" s="1"/>
  <c r="A59" i="42" s="1"/>
  <c r="A60" i="42" s="1"/>
  <c r="A61" i="42" s="1"/>
  <c r="A62" i="42" s="1"/>
  <c r="A63" i="42" s="1"/>
  <c r="A64" i="42" s="1"/>
  <c r="I21" i="2" s="1"/>
  <c r="J24" i="42"/>
  <c r="D19" i="2" s="1"/>
  <c r="D22" i="2" s="1"/>
  <c r="G12" i="4"/>
  <c r="E15" i="4"/>
  <c r="I49" i="43"/>
  <c r="I40" i="14"/>
  <c r="F242" i="1"/>
  <c r="G15" i="4" l="1"/>
  <c r="H120" i="1" l="1"/>
  <c r="F121" i="1"/>
  <c r="H93" i="1"/>
  <c r="F94" i="1"/>
  <c r="D42" i="5" l="1"/>
  <c r="D43" i="5" s="1"/>
  <c r="D39" i="5" s="1"/>
  <c r="T133" i="7" l="1"/>
  <c r="H204" i="1" s="1"/>
  <c r="T134" i="7"/>
  <c r="H205" i="1" s="1"/>
  <c r="E204" i="1"/>
  <c r="E205" i="1"/>
  <c r="H48" i="43" l="1"/>
  <c r="H39" i="14"/>
  <c r="H47" i="2"/>
  <c r="E299" i="1"/>
  <c r="A10" i="40"/>
  <c r="A11" i="40" s="1"/>
  <c r="A12" i="40" s="1"/>
  <c r="A13" i="40" s="1"/>
  <c r="A14" i="40" s="1"/>
  <c r="A15" i="40" s="1"/>
  <c r="A16" i="40" s="1"/>
  <c r="A17" i="40" s="1"/>
  <c r="A18" i="40" s="1"/>
  <c r="A19" i="40" s="1"/>
  <c r="A20" i="40" s="1"/>
  <c r="F74" i="8"/>
  <c r="J39" i="8" s="1"/>
  <c r="A11" i="5"/>
  <c r="A21" i="40" l="1"/>
  <c r="A23" i="40" s="1"/>
  <c r="A24" i="40" s="1"/>
  <c r="H50" i="43"/>
  <c r="G12" i="43" s="1"/>
  <c r="G15" i="43" s="1"/>
  <c r="H41" i="14"/>
  <c r="G9" i="14" s="1"/>
  <c r="G12" i="14" s="1"/>
  <c r="A12" i="5"/>
  <c r="F26" i="44"/>
  <c r="F25" i="44"/>
  <c r="F24" i="44"/>
  <c r="F23" i="44"/>
  <c r="F22" i="44"/>
  <c r="F21" i="44"/>
  <c r="F20" i="44"/>
  <c r="F19" i="44"/>
  <c r="F18" i="44"/>
  <c r="F17" i="44"/>
  <c r="F16" i="44"/>
  <c r="F15" i="44"/>
  <c r="C27" i="44"/>
  <c r="C31" i="44"/>
  <c r="D25" i="44"/>
  <c r="D24" i="44" s="1"/>
  <c r="D23" i="44" s="1"/>
  <c r="D22" i="44" s="1"/>
  <c r="D21" i="44" s="1"/>
  <c r="D20" i="44" s="1"/>
  <c r="D19" i="44" s="1"/>
  <c r="D18" i="44" s="1"/>
  <c r="D17" i="44" s="1"/>
  <c r="D16" i="44" s="1"/>
  <c r="D15" i="44" s="1"/>
  <c r="E15" i="44"/>
  <c r="E16" i="44" s="1"/>
  <c r="E17" i="44" s="1"/>
  <c r="E18" i="44" s="1"/>
  <c r="E19" i="44" s="1"/>
  <c r="E20" i="44" s="1"/>
  <c r="E21" i="44" s="1"/>
  <c r="E22" i="44" s="1"/>
  <c r="E23" i="44" s="1"/>
  <c r="E24" i="44" s="1"/>
  <c r="E25" i="44" s="1"/>
  <c r="E26" i="44" s="1"/>
  <c r="E31" i="44"/>
  <c r="Q14" i="44"/>
  <c r="G99" i="43"/>
  <c r="E99" i="43"/>
  <c r="D99" i="43"/>
  <c r="C99" i="43"/>
  <c r="G98" i="43"/>
  <c r="G100" i="43" s="1"/>
  <c r="E98" i="43"/>
  <c r="D98" i="43"/>
  <c r="C98" i="43"/>
  <c r="F98" i="43"/>
  <c r="F99" i="43"/>
  <c r="D49" i="43"/>
  <c r="E48" i="43"/>
  <c r="E50" i="43" s="1"/>
  <c r="C48" i="43"/>
  <c r="D48" i="43"/>
  <c r="F49" i="43"/>
  <c r="G48" i="43"/>
  <c r="G50" i="43" s="1"/>
  <c r="A12" i="43"/>
  <c r="A10" i="14"/>
  <c r="G87" i="14"/>
  <c r="E87" i="14"/>
  <c r="D87" i="14"/>
  <c r="C87" i="14"/>
  <c r="G86" i="14"/>
  <c r="G88" i="14" s="1"/>
  <c r="E86" i="14"/>
  <c r="D86" i="14"/>
  <c r="C86" i="14"/>
  <c r="F86" i="14"/>
  <c r="F87" i="14"/>
  <c r="E39" i="14"/>
  <c r="E41" i="14" s="1"/>
  <c r="C39" i="14"/>
  <c r="D39" i="14"/>
  <c r="F40" i="14"/>
  <c r="A10" i="2"/>
  <c r="A25" i="40" l="1"/>
  <c r="A28" i="40" s="1"/>
  <c r="A29" i="40" s="1"/>
  <c r="A30" i="40" s="1"/>
  <c r="A31" i="40" s="1"/>
  <c r="A32" i="40" s="1"/>
  <c r="A33" i="40" s="1"/>
  <c r="D50" i="43"/>
  <c r="A13" i="43"/>
  <c r="A14" i="43" s="1"/>
  <c r="C100" i="43"/>
  <c r="A15" i="5"/>
  <c r="A16" i="5" s="1"/>
  <c r="A17" i="5" s="1"/>
  <c r="A18" i="5" s="1"/>
  <c r="A19" i="5" s="1"/>
  <c r="A20" i="5" s="1"/>
  <c r="A23" i="5" s="1"/>
  <c r="A24" i="5" s="1"/>
  <c r="A25" i="5" s="1"/>
  <c r="A26" i="5" s="1"/>
  <c r="A29" i="5" s="1"/>
  <c r="A30" i="5" s="1"/>
  <c r="D41" i="14"/>
  <c r="A11" i="14"/>
  <c r="A12" i="14" s="1"/>
  <c r="I12" i="14"/>
  <c r="E100" i="43"/>
  <c r="F48" i="43"/>
  <c r="F50" i="43" s="1"/>
  <c r="A11" i="2"/>
  <c r="I12" i="2"/>
  <c r="A15" i="43"/>
  <c r="F100" i="43"/>
  <c r="D100" i="43"/>
  <c r="C50" i="43"/>
  <c r="E88" i="14"/>
  <c r="F88" i="14"/>
  <c r="C88" i="14"/>
  <c r="F39" i="14"/>
  <c r="F41" i="14" s="1"/>
  <c r="C40" i="14"/>
  <c r="C41" i="14" s="1"/>
  <c r="G39" i="14"/>
  <c r="G41" i="14" s="1"/>
  <c r="A12" i="2"/>
  <c r="A34" i="40" l="1"/>
  <c r="A36" i="40" s="1"/>
  <c r="F255" i="1" s="1"/>
  <c r="I15" i="43"/>
  <c r="A13" i="14"/>
  <c r="A14" i="14" s="1"/>
  <c r="A15" i="14" s="1"/>
  <c r="A16" i="14" s="1"/>
  <c r="A27" i="14" s="1"/>
  <c r="A28" i="14" s="1"/>
  <c r="A29" i="14" s="1"/>
  <c r="A30" i="14" s="1"/>
  <c r="A31" i="14" s="1"/>
  <c r="A32" i="14" s="1"/>
  <c r="A33" i="14" s="1"/>
  <c r="A34" i="14" s="1"/>
  <c r="A35" i="14" s="1"/>
  <c r="A36" i="14" s="1"/>
  <c r="A37" i="14" s="1"/>
  <c r="A38" i="14" s="1"/>
  <c r="A39" i="14" s="1"/>
  <c r="A40" i="14" s="1"/>
  <c r="A41" i="14" s="1"/>
  <c r="A16" i="43"/>
  <c r="A13" i="2"/>
  <c r="A14" i="2" s="1"/>
  <c r="A15" i="2" s="1"/>
  <c r="A16" i="2" s="1"/>
  <c r="I17" i="2" s="1"/>
  <c r="B82" i="43"/>
  <c r="B81" i="43"/>
  <c r="B83" i="43"/>
  <c r="I31" i="44"/>
  <c r="L14" i="44"/>
  <c r="I3" i="44"/>
  <c r="I2" i="44"/>
  <c r="H27" i="44"/>
  <c r="A14" i="44"/>
  <c r="A15" i="44" s="1"/>
  <c r="A16" i="44" s="1"/>
  <c r="A17" i="44" s="1"/>
  <c r="A18" i="44" s="1"/>
  <c r="A19" i="44" s="1"/>
  <c r="A20" i="44" s="1"/>
  <c r="A21" i="44" s="1"/>
  <c r="A22" i="44" s="1"/>
  <c r="A23" i="44" s="1"/>
  <c r="A24" i="44" s="1"/>
  <c r="A25" i="44" s="1"/>
  <c r="A26" i="44" s="1"/>
  <c r="I22" i="43" s="1"/>
  <c r="D12" i="43"/>
  <c r="B1" i="2"/>
  <c r="A17" i="43" l="1"/>
  <c r="A18" i="43" s="1"/>
  <c r="A19" i="43" s="1"/>
  <c r="I20" i="43" s="1"/>
  <c r="I19" i="43"/>
  <c r="I16" i="2"/>
  <c r="I54" i="44"/>
  <c r="I105" i="44"/>
  <c r="I55" i="44"/>
  <c r="I106" i="44"/>
  <c r="I16" i="14"/>
  <c r="A60" i="14"/>
  <c r="A61" i="14" s="1"/>
  <c r="A62" i="14" s="1"/>
  <c r="I9" i="14"/>
  <c r="A17" i="2"/>
  <c r="A18" i="2" s="1"/>
  <c r="A20" i="43"/>
  <c r="A21" i="43" s="1"/>
  <c r="A22" i="43" s="1"/>
  <c r="A23" i="43" s="1"/>
  <c r="A24" i="43" s="1"/>
  <c r="A25" i="43" s="1"/>
  <c r="A36" i="43" s="1"/>
  <c r="A27" i="44"/>
  <c r="A33" i="44" s="1"/>
  <c r="A34" i="44" s="1"/>
  <c r="A35" i="44" s="1"/>
  <c r="A36" i="44" s="1"/>
  <c r="A37" i="44" s="1"/>
  <c r="A38" i="44" s="1"/>
  <c r="A39" i="44" s="1"/>
  <c r="A40" i="44" s="1"/>
  <c r="A41" i="44" s="1"/>
  <c r="A42" i="44" s="1"/>
  <c r="A43" i="44" s="1"/>
  <c r="A44" i="44" s="1"/>
  <c r="A64" i="44" s="1"/>
  <c r="A65" i="44" s="1"/>
  <c r="A66" i="44" s="1"/>
  <c r="A67" i="44" s="1"/>
  <c r="A68" i="44" s="1"/>
  <c r="A69" i="44" s="1"/>
  <c r="A70" i="44" s="1"/>
  <c r="A71" i="44" s="1"/>
  <c r="A72" i="44" s="1"/>
  <c r="A73" i="44" s="1"/>
  <c r="A74" i="44" s="1"/>
  <c r="A75" i="44" s="1"/>
  <c r="A76" i="44" s="1"/>
  <c r="F14" i="43"/>
  <c r="D14" i="43"/>
  <c r="D15" i="43" s="1"/>
  <c r="F12" i="43"/>
  <c r="I26" i="44"/>
  <c r="I24" i="44"/>
  <c r="I23" i="44"/>
  <c r="I25" i="44"/>
  <c r="E12" i="43"/>
  <c r="F15" i="43" l="1"/>
  <c r="I21" i="43"/>
  <c r="D19" i="43"/>
  <c r="A19" i="2"/>
  <c r="A20" i="2" s="1"/>
  <c r="A21" i="2" s="1"/>
  <c r="A22" i="2" s="1"/>
  <c r="A23" i="2" s="1"/>
  <c r="A77" i="44"/>
  <c r="A83" i="44" s="1"/>
  <c r="A84" i="44" s="1"/>
  <c r="A85" i="44" s="1"/>
  <c r="A86" i="44" s="1"/>
  <c r="A87" i="44" s="1"/>
  <c r="A88" i="44" s="1"/>
  <c r="A89" i="44" s="1"/>
  <c r="A90" i="44" s="1"/>
  <c r="A91" i="44" s="1"/>
  <c r="A92" i="44" s="1"/>
  <c r="A93" i="44" s="1"/>
  <c r="A94" i="44" s="1"/>
  <c r="A115" i="44" s="1"/>
  <c r="A116" i="44" s="1"/>
  <c r="A117" i="44" s="1"/>
  <c r="A118" i="44" s="1"/>
  <c r="A119" i="44" s="1"/>
  <c r="A120" i="44" s="1"/>
  <c r="A121" i="44" s="1"/>
  <c r="A122" i="44" s="1"/>
  <c r="A123" i="44" s="1"/>
  <c r="A124" i="44" s="1"/>
  <c r="A125" i="44" s="1"/>
  <c r="A126" i="44" s="1"/>
  <c r="A127" i="44" s="1"/>
  <c r="I23" i="43"/>
  <c r="I18" i="2"/>
  <c r="A37" i="43"/>
  <c r="A38" i="43" s="1"/>
  <c r="A39" i="43" s="1"/>
  <c r="A40" i="43" s="1"/>
  <c r="A41" i="43" s="1"/>
  <c r="A42" i="43" s="1"/>
  <c r="A43" i="43" s="1"/>
  <c r="A44" i="43" s="1"/>
  <c r="A45" i="43" s="1"/>
  <c r="A46" i="43" s="1"/>
  <c r="A78" i="14"/>
  <c r="A79" i="14" s="1"/>
  <c r="A80" i="14" s="1"/>
  <c r="A81" i="14" s="1"/>
  <c r="A82" i="14" s="1"/>
  <c r="A83" i="14" s="1"/>
  <c r="A84" i="14" s="1"/>
  <c r="A85" i="14" s="1"/>
  <c r="A86" i="14" s="1"/>
  <c r="A87" i="14" s="1"/>
  <c r="A88" i="14" s="1"/>
  <c r="I11" i="14" s="1"/>
  <c r="I10" i="14"/>
  <c r="E14" i="43"/>
  <c r="E15" i="43" s="1"/>
  <c r="I22" i="44"/>
  <c r="A35" i="2" l="1"/>
  <c r="A36" i="2" s="1"/>
  <c r="A37" i="2" s="1"/>
  <c r="A38" i="2" s="1"/>
  <c r="A39" i="2" s="1"/>
  <c r="A40" i="2" s="1"/>
  <c r="A41" i="2" s="1"/>
  <c r="A42" i="2" s="1"/>
  <c r="A43" i="2" s="1"/>
  <c r="A44" i="2" s="1"/>
  <c r="A45" i="2" s="1"/>
  <c r="A46" i="2" s="1"/>
  <c r="F67" i="1"/>
  <c r="I23" i="2"/>
  <c r="A128" i="44"/>
  <c r="A134" i="44" s="1"/>
  <c r="A135" i="44" s="1"/>
  <c r="A136" i="44" s="1"/>
  <c r="A137" i="44" s="1"/>
  <c r="A138" i="44" s="1"/>
  <c r="A139" i="44" s="1"/>
  <c r="A140" i="44" s="1"/>
  <c r="A141" i="44" s="1"/>
  <c r="A142" i="44" s="1"/>
  <c r="A143" i="44" s="1"/>
  <c r="A144" i="44" s="1"/>
  <c r="A145" i="44" s="1"/>
  <c r="I24" i="43"/>
  <c r="A47" i="43"/>
  <c r="A48" i="43" s="1"/>
  <c r="A49" i="43" s="1"/>
  <c r="A50" i="43" s="1"/>
  <c r="A68" i="43" s="1"/>
  <c r="A69" i="43" s="1"/>
  <c r="A70" i="43" s="1"/>
  <c r="I13" i="43" s="1"/>
  <c r="A47" i="2"/>
  <c r="A48" i="2" s="1"/>
  <c r="A49" i="2" s="1"/>
  <c r="I21" i="44"/>
  <c r="A90" i="43" l="1"/>
  <c r="A91" i="43" s="1"/>
  <c r="A92" i="43" s="1"/>
  <c r="A93" i="43" s="1"/>
  <c r="A94" i="43" s="1"/>
  <c r="A95" i="43" s="1"/>
  <c r="A96" i="43" s="1"/>
  <c r="A97" i="43" s="1"/>
  <c r="A98" i="43" s="1"/>
  <c r="A99" i="43" s="1"/>
  <c r="A100" i="43" s="1"/>
  <c r="I14" i="43" s="1"/>
  <c r="I12" i="43"/>
  <c r="A66" i="2"/>
  <c r="I9" i="2"/>
  <c r="I20" i="44"/>
  <c r="A67" i="2" l="1"/>
  <c r="A68" i="2" s="1"/>
  <c r="I10" i="2" s="1"/>
  <c r="A86" i="2"/>
  <c r="A87" i="2" s="1"/>
  <c r="A88" i="2" s="1"/>
  <c r="A89" i="2" s="1"/>
  <c r="A90" i="2" s="1"/>
  <c r="A91" i="2" s="1"/>
  <c r="A92" i="2" s="1"/>
  <c r="A93" i="2" s="1"/>
  <c r="A94" i="2" s="1"/>
  <c r="A95" i="2" s="1"/>
  <c r="A96" i="2" s="1"/>
  <c r="I11" i="2" s="1"/>
  <c r="I19" i="44"/>
  <c r="I18" i="44" l="1"/>
  <c r="I17" i="44" l="1"/>
  <c r="I15" i="44" l="1"/>
  <c r="I16" i="44"/>
  <c r="J15" i="44" l="1"/>
  <c r="J16" i="44" s="1"/>
  <c r="J17" i="44" s="1"/>
  <c r="J18" i="44" s="1"/>
  <c r="J19" i="44" s="1"/>
  <c r="J20" i="44" s="1"/>
  <c r="J21" i="44" s="1"/>
  <c r="J22" i="44" s="1"/>
  <c r="J23" i="44" s="1"/>
  <c r="J24" i="44" s="1"/>
  <c r="J25" i="44" s="1"/>
  <c r="J26" i="44" s="1"/>
  <c r="I27" i="44"/>
  <c r="B54" i="14" l="1"/>
  <c r="E95" i="2"/>
  <c r="G95" i="2"/>
  <c r="D95" i="2"/>
  <c r="C95" i="2"/>
  <c r="T237" i="7" l="1"/>
  <c r="H115" i="1" s="1"/>
  <c r="H30" i="1"/>
  <c r="H162" i="1"/>
  <c r="H161" i="1"/>
  <c r="H160" i="1"/>
  <c r="C162" i="1"/>
  <c r="C161" i="1"/>
  <c r="C160" i="1"/>
  <c r="F110" i="1"/>
  <c r="F87" i="1"/>
  <c r="T215" i="7"/>
  <c r="H124" i="1" s="1"/>
  <c r="H107" i="1"/>
  <c r="H108" i="1"/>
  <c r="H113" i="1"/>
  <c r="H164" i="1" l="1"/>
  <c r="H109" i="1"/>
  <c r="H103" i="1"/>
  <c r="E74" i="8" l="1"/>
  <c r="I39" i="8" s="1"/>
  <c r="H29" i="40" l="1"/>
  <c r="H30" i="40"/>
  <c r="H31" i="40"/>
  <c r="H32" i="40"/>
  <c r="H33" i="40"/>
  <c r="H28" i="40"/>
  <c r="H24" i="40"/>
  <c r="H23" i="40"/>
  <c r="H11" i="40"/>
  <c r="H12" i="40"/>
  <c r="H13" i="40"/>
  <c r="H14" i="40"/>
  <c r="H15" i="40"/>
  <c r="H16" i="40"/>
  <c r="H17" i="40"/>
  <c r="H18" i="40"/>
  <c r="H19" i="40"/>
  <c r="H20" i="40"/>
  <c r="H10" i="40"/>
  <c r="H9" i="40"/>
  <c r="E29" i="40"/>
  <c r="E30" i="40"/>
  <c r="E31" i="40"/>
  <c r="E32" i="40"/>
  <c r="J32" i="40" s="1"/>
  <c r="E28" i="40"/>
  <c r="J28" i="40" s="1"/>
  <c r="E23" i="40"/>
  <c r="E11" i="40"/>
  <c r="E12" i="40"/>
  <c r="E13" i="40"/>
  <c r="E14" i="40"/>
  <c r="E15" i="40"/>
  <c r="J16" i="40"/>
  <c r="E17" i="40"/>
  <c r="J17" i="40" s="1"/>
  <c r="E18" i="40"/>
  <c r="E19" i="40"/>
  <c r="J19" i="40" s="1"/>
  <c r="E10" i="40"/>
  <c r="J10" i="40" s="1"/>
  <c r="E9" i="40"/>
  <c r="F34" i="40"/>
  <c r="F25" i="40"/>
  <c r="F21" i="40"/>
  <c r="C34" i="40"/>
  <c r="C25" i="40"/>
  <c r="G19" i="40" l="1"/>
  <c r="G32" i="40"/>
  <c r="I32" i="40" s="1"/>
  <c r="K32" i="40" s="1"/>
  <c r="G16" i="40"/>
  <c r="I16" i="40" s="1"/>
  <c r="K16" i="40" s="1"/>
  <c r="G33" i="40"/>
  <c r="I33" i="40" s="1"/>
  <c r="J33" i="40"/>
  <c r="G20" i="40"/>
  <c r="I20" i="40" s="1"/>
  <c r="J20" i="40"/>
  <c r="G12" i="40"/>
  <c r="I12" i="40" s="1"/>
  <c r="J12" i="40"/>
  <c r="G11" i="40"/>
  <c r="I11" i="40" s="1"/>
  <c r="J11" i="40"/>
  <c r="G24" i="40"/>
  <c r="I24" i="40" s="1"/>
  <c r="J24" i="40"/>
  <c r="G31" i="40"/>
  <c r="J31" i="40"/>
  <c r="G13" i="40"/>
  <c r="I13" i="40" s="1"/>
  <c r="J13" i="40"/>
  <c r="G29" i="40"/>
  <c r="I29" i="40" s="1"/>
  <c r="J29" i="40"/>
  <c r="G9" i="40"/>
  <c r="I9" i="40" s="1"/>
  <c r="J9" i="40"/>
  <c r="G15" i="40"/>
  <c r="I15" i="40" s="1"/>
  <c r="J15" i="40"/>
  <c r="G17" i="40"/>
  <c r="I17" i="40" s="1"/>
  <c r="K17" i="40" s="1"/>
  <c r="G18" i="40"/>
  <c r="I18" i="40" s="1"/>
  <c r="J18" i="40"/>
  <c r="G14" i="40"/>
  <c r="I14" i="40" s="1"/>
  <c r="J14" i="40"/>
  <c r="G30" i="40"/>
  <c r="I30" i="40" s="1"/>
  <c r="J30" i="40"/>
  <c r="I19" i="40"/>
  <c r="K19" i="40" s="1"/>
  <c r="I31" i="40"/>
  <c r="F36" i="40"/>
  <c r="C36" i="40"/>
  <c r="E21" i="40"/>
  <c r="G10" i="40"/>
  <c r="I10" i="40" s="1"/>
  <c r="E25" i="40"/>
  <c r="G23" i="40"/>
  <c r="G28" i="40"/>
  <c r="I28" i="40" s="1"/>
  <c r="E34" i="40"/>
  <c r="H34" i="40"/>
  <c r="H25" i="40"/>
  <c r="H21" i="40"/>
  <c r="K24" i="40" l="1"/>
  <c r="K12" i="40"/>
  <c r="K18" i="40"/>
  <c r="K13" i="40"/>
  <c r="K11" i="40"/>
  <c r="K15" i="40"/>
  <c r="K29" i="40"/>
  <c r="K9" i="40"/>
  <c r="K20" i="40"/>
  <c r="J34" i="40"/>
  <c r="J25" i="40"/>
  <c r="J21" i="40"/>
  <c r="K33" i="40"/>
  <c r="K14" i="40"/>
  <c r="K30" i="40"/>
  <c r="K31" i="40"/>
  <c r="G21" i="40"/>
  <c r="G34" i="40"/>
  <c r="E36" i="40"/>
  <c r="I21" i="40"/>
  <c r="K10" i="40"/>
  <c r="I34" i="40"/>
  <c r="K28" i="40"/>
  <c r="G25" i="40"/>
  <c r="I23" i="40"/>
  <c r="H36" i="40"/>
  <c r="J36" i="40" l="1"/>
  <c r="G36" i="40"/>
  <c r="K34" i="40"/>
  <c r="K21" i="40"/>
  <c r="I25" i="40"/>
  <c r="I36" i="40" s="1"/>
  <c r="K23" i="40"/>
  <c r="K25" i="40" l="1"/>
  <c r="K36" i="40" s="1"/>
  <c r="H70" i="1" s="1"/>
  <c r="S16" i="41" l="1"/>
  <c r="S17" i="41"/>
  <c r="S19" i="41"/>
  <c r="S18" i="41"/>
  <c r="S15" i="41"/>
  <c r="S14" i="41"/>
  <c r="S13" i="41"/>
  <c r="S12" i="41"/>
  <c r="S11" i="41"/>
  <c r="A11" i="41"/>
  <c r="A12" i="41" s="1"/>
  <c r="A13" i="41" s="1"/>
  <c r="A14" i="41" s="1"/>
  <c r="A15" i="41" s="1"/>
  <c r="A16" i="41" s="1"/>
  <c r="A17" i="41" s="1"/>
  <c r="A18" i="41" s="1"/>
  <c r="S35" i="41" l="1"/>
  <c r="H73" i="1" s="1"/>
  <c r="A19" i="41"/>
  <c r="A20" i="41" s="1"/>
  <c r="A21" i="41" s="1"/>
  <c r="A22" i="41" s="1"/>
  <c r="A35" i="41" s="1"/>
  <c r="F73" i="1" s="1"/>
  <c r="F2" i="41"/>
  <c r="F1" i="41"/>
  <c r="B3" i="8"/>
  <c r="B2" i="8"/>
  <c r="I3" i="40"/>
  <c r="I2" i="40"/>
  <c r="A2" i="7"/>
  <c r="B2" i="14"/>
  <c r="B53" i="14" s="1"/>
  <c r="B72" i="14" s="1"/>
  <c r="B59" i="2"/>
  <c r="B80" i="2" s="1"/>
  <c r="B90" i="14" l="1"/>
  <c r="B73" i="14"/>
  <c r="G62" i="14"/>
  <c r="F10" i="14" s="1"/>
  <c r="F62" i="14"/>
  <c r="E10" i="14" s="1"/>
  <c r="E62" i="14"/>
  <c r="D10" i="14" s="1"/>
  <c r="C62" i="14"/>
  <c r="D61" i="14"/>
  <c r="D62" i="14" s="1"/>
  <c r="D59" i="14"/>
  <c r="D77" i="14" s="1"/>
  <c r="D88" i="14" s="1"/>
  <c r="D9" i="14"/>
  <c r="B99" i="2"/>
  <c r="B103" i="43" s="1"/>
  <c r="D94" i="2"/>
  <c r="E94" i="2"/>
  <c r="G94" i="2"/>
  <c r="G96" i="2" s="1"/>
  <c r="F11" i="2" s="1"/>
  <c r="C94" i="2"/>
  <c r="F94" i="2"/>
  <c r="F95" i="2"/>
  <c r="D68" i="2"/>
  <c r="D65" i="2"/>
  <c r="D85" i="2" s="1"/>
  <c r="F11" i="14" l="1"/>
  <c r="D11" i="14"/>
  <c r="E11" i="14"/>
  <c r="O24" i="42"/>
  <c r="F9" i="14"/>
  <c r="E9" i="14"/>
  <c r="E12" i="14" l="1"/>
  <c r="F12" i="14"/>
  <c r="D12" i="14"/>
  <c r="D16" i="14" s="1"/>
  <c r="D20" i="43" l="1"/>
  <c r="D21" i="43" s="1"/>
  <c r="D17" i="2"/>
  <c r="B1" i="14"/>
  <c r="A10" i="7"/>
  <c r="A11" i="7" s="1"/>
  <c r="F20" i="1" s="1"/>
  <c r="E198" i="1"/>
  <c r="E55" i="1"/>
  <c r="E53" i="1"/>
  <c r="E51" i="1"/>
  <c r="E20" i="1"/>
  <c r="H249" i="1"/>
  <c r="H233" i="1"/>
  <c r="A12" i="7" l="1"/>
  <c r="F54" i="1" s="1"/>
  <c r="B71" i="14"/>
  <c r="B52" i="14"/>
  <c r="H193" i="1"/>
  <c r="H150" i="1"/>
  <c r="H142" i="1"/>
  <c r="A13" i="7" l="1"/>
  <c r="A14" i="7" s="1"/>
  <c r="A17" i="7" s="1"/>
  <c r="F38" i="1" s="1"/>
  <c r="H10" i="1"/>
  <c r="H12" i="1"/>
  <c r="H13" i="1"/>
  <c r="A18" i="7" l="1"/>
  <c r="F40" i="1" s="1"/>
  <c r="T20" i="7"/>
  <c r="T19" i="7"/>
  <c r="H41" i="1" s="1"/>
  <c r="H38" i="1"/>
  <c r="H293" i="1" s="1"/>
  <c r="T10" i="7"/>
  <c r="T12" i="7"/>
  <c r="T13" i="7"/>
  <c r="T14" i="7"/>
  <c r="A19" i="7" l="1"/>
  <c r="F41" i="1" s="1"/>
  <c r="H54" i="1"/>
  <c r="E47" i="2"/>
  <c r="E49" i="2" s="1"/>
  <c r="D9" i="2" s="1"/>
  <c r="D48" i="2"/>
  <c r="A20" i="7" l="1"/>
  <c r="F42" i="1" s="1"/>
  <c r="E93" i="2"/>
  <c r="E96" i="2" s="1"/>
  <c r="A23" i="7" l="1"/>
  <c r="F51" i="1" s="1"/>
  <c r="D11" i="2"/>
  <c r="A24" i="7" l="1"/>
  <c r="F53" i="1" s="1"/>
  <c r="G47" i="2"/>
  <c r="A25" i="7" l="1"/>
  <c r="F55" i="1" s="1"/>
  <c r="H307" i="1"/>
  <c r="H278" i="1"/>
  <c r="H140" i="1"/>
  <c r="H42" i="1"/>
  <c r="H55" i="1"/>
  <c r="H177" i="1"/>
  <c r="H174" i="1"/>
  <c r="F93" i="2"/>
  <c r="F96" i="2" s="1"/>
  <c r="E11" i="2" s="1"/>
  <c r="H86" i="1"/>
  <c r="H89" i="1"/>
  <c r="H99" i="1"/>
  <c r="H187" i="7"/>
  <c r="T132" i="7"/>
  <c r="H203" i="1" s="1"/>
  <c r="T135" i="7"/>
  <c r="H206" i="1" s="1"/>
  <c r="H211" i="1"/>
  <c r="T129" i="7"/>
  <c r="H197" i="1" s="1"/>
  <c r="T130" i="7"/>
  <c r="H199" i="1" s="1"/>
  <c r="H232" i="1"/>
  <c r="H235" i="1" s="1"/>
  <c r="H303" i="1"/>
  <c r="D93" i="2"/>
  <c r="D96" i="2" s="1"/>
  <c r="B81" i="2"/>
  <c r="B79" i="2"/>
  <c r="B60" i="2"/>
  <c r="B58" i="2"/>
  <c r="E20" i="4"/>
  <c r="E41" i="4"/>
  <c r="I187" i="7"/>
  <c r="I188" i="7" s="1"/>
  <c r="E184" i="7"/>
  <c r="C168" i="7"/>
  <c r="C161" i="7"/>
  <c r="C146" i="7"/>
  <c r="A3" i="5"/>
  <c r="A2" i="5"/>
  <c r="A25" i="4"/>
  <c r="A26" i="4" s="1"/>
  <c r="A27" i="4" s="1"/>
  <c r="A3" i="4"/>
  <c r="A2" i="4"/>
  <c r="E307" i="1"/>
  <c r="C292" i="1"/>
  <c r="E278" i="1"/>
  <c r="C277" i="1"/>
  <c r="E221" i="1"/>
  <c r="E207" i="1"/>
  <c r="E206" i="1"/>
  <c r="E203" i="1"/>
  <c r="E202" i="1"/>
  <c r="E199" i="1"/>
  <c r="E197" i="1"/>
  <c r="E196" i="1"/>
  <c r="F179" i="1"/>
  <c r="F146" i="1"/>
  <c r="E86" i="1"/>
  <c r="E78" i="1"/>
  <c r="E73" i="1"/>
  <c r="F57" i="1"/>
  <c r="C57" i="1"/>
  <c r="E54" i="1"/>
  <c r="F44" i="1"/>
  <c r="E42" i="1"/>
  <c r="E41" i="1"/>
  <c r="E40" i="1"/>
  <c r="E38" i="1"/>
  <c r="E19" i="1"/>
  <c r="A19" i="1"/>
  <c r="A12" i="1"/>
  <c r="H237" i="1" l="1"/>
  <c r="H251" i="1" s="1"/>
  <c r="H250" i="1"/>
  <c r="A29" i="4"/>
  <c r="H188" i="7"/>
  <c r="K188" i="7" s="1"/>
  <c r="H76" i="1" s="1"/>
  <c r="K187" i="7"/>
  <c r="W17" i="46"/>
  <c r="S17" i="46"/>
  <c r="G17" i="46"/>
  <c r="H245" i="1"/>
  <c r="Y17" i="46"/>
  <c r="U17" i="46"/>
  <c r="Q17" i="46"/>
  <c r="M17" i="46"/>
  <c r="I17" i="46"/>
  <c r="H256" i="1"/>
  <c r="A20" i="1"/>
  <c r="A21" i="1" s="1"/>
  <c r="A34" i="4"/>
  <c r="A35" i="4" s="1"/>
  <c r="A36" i="4" s="1"/>
  <c r="A37" i="4" s="1"/>
  <c r="A38" i="4" s="1"/>
  <c r="A39" i="4" s="1"/>
  <c r="A40" i="4" s="1"/>
  <c r="A41" i="4" s="1"/>
  <c r="A43" i="4" s="1"/>
  <c r="A45" i="4" s="1"/>
  <c r="A47" i="4" s="1"/>
  <c r="A13" i="1"/>
  <c r="F14" i="1" s="1"/>
  <c r="H145" i="1"/>
  <c r="H78" i="1"/>
  <c r="H154" i="1"/>
  <c r="H152" i="1"/>
  <c r="H277" i="1"/>
  <c r="H14" i="1"/>
  <c r="C93" i="2"/>
  <c r="C96" i="2" s="1"/>
  <c r="K17" i="46" l="1"/>
  <c r="O17" i="46"/>
  <c r="H252" i="1"/>
  <c r="F21" i="1"/>
  <c r="H207" i="1"/>
  <c r="A14" i="1"/>
  <c r="F16" i="1" s="1"/>
  <c r="H257" i="1"/>
  <c r="H16" i="1"/>
  <c r="H279" i="1"/>
  <c r="H236" i="1"/>
  <c r="P63" i="42" l="1"/>
  <c r="Q63" i="42" s="1"/>
  <c r="R63" i="42" s="1"/>
  <c r="P62" i="42"/>
  <c r="Q62" i="42" s="1"/>
  <c r="R62" i="42" s="1"/>
  <c r="P61" i="42"/>
  <c r="Q61" i="42" s="1"/>
  <c r="R61" i="42" s="1"/>
  <c r="P60" i="42"/>
  <c r="Q60" i="42" s="1"/>
  <c r="R60" i="42" s="1"/>
  <c r="P59" i="42"/>
  <c r="Q59" i="42" s="1"/>
  <c r="R59" i="42" s="1"/>
  <c r="P58" i="42"/>
  <c r="Q58" i="42" s="1"/>
  <c r="R58" i="42" s="1"/>
  <c r="P57" i="42"/>
  <c r="Q57" i="42" s="1"/>
  <c r="R57" i="42" s="1"/>
  <c r="P56" i="42"/>
  <c r="Q56" i="42" s="1"/>
  <c r="R56" i="42" s="1"/>
  <c r="P55" i="42"/>
  <c r="Q55" i="42" s="1"/>
  <c r="R55" i="42" s="1"/>
  <c r="P54" i="42"/>
  <c r="Q54" i="42" s="1"/>
  <c r="R54" i="42" s="1"/>
  <c r="P53" i="42"/>
  <c r="Q53" i="42" s="1"/>
  <c r="R53" i="42" s="1"/>
  <c r="P52" i="42"/>
  <c r="Q52" i="42" s="1"/>
  <c r="R52" i="42" s="1"/>
  <c r="P51" i="42"/>
  <c r="Q51" i="42" s="1"/>
  <c r="R51" i="42" s="1"/>
  <c r="P42" i="42"/>
  <c r="Q42" i="42" s="1"/>
  <c r="R42" i="42" s="1"/>
  <c r="P37" i="42"/>
  <c r="Q37" i="42" s="1"/>
  <c r="R37" i="42" s="1"/>
  <c r="P34" i="42"/>
  <c r="Q34" i="42" s="1"/>
  <c r="R34" i="42" s="1"/>
  <c r="P31" i="42"/>
  <c r="Q31" i="42" s="1"/>
  <c r="R31" i="42" s="1"/>
  <c r="P14" i="42"/>
  <c r="Q14" i="42" s="1"/>
  <c r="R14" i="42" s="1"/>
  <c r="P18" i="42"/>
  <c r="Q18" i="42" s="1"/>
  <c r="R18" i="42" s="1"/>
  <c r="P22" i="42"/>
  <c r="Q22" i="42" s="1"/>
  <c r="R22" i="42" s="1"/>
  <c r="P19" i="42"/>
  <c r="Q19" i="42" s="1"/>
  <c r="R19" i="42" s="1"/>
  <c r="P41" i="42"/>
  <c r="Q41" i="42" s="1"/>
  <c r="R41" i="42" s="1"/>
  <c r="P38" i="42"/>
  <c r="Q38" i="42" s="1"/>
  <c r="R38" i="42" s="1"/>
  <c r="P32" i="42"/>
  <c r="Q32" i="42" s="1"/>
  <c r="R32" i="42" s="1"/>
  <c r="P12" i="42"/>
  <c r="Q12" i="42" s="1"/>
  <c r="R12" i="42" s="1"/>
  <c r="P20" i="42"/>
  <c r="Q20" i="42" s="1"/>
  <c r="R20" i="42" s="1"/>
  <c r="P40" i="42"/>
  <c r="Q40" i="42" s="1"/>
  <c r="R40" i="42" s="1"/>
  <c r="P35" i="42"/>
  <c r="Q35" i="42" s="1"/>
  <c r="R35" i="42" s="1"/>
  <c r="P39" i="42"/>
  <c r="Q39" i="42" s="1"/>
  <c r="R39" i="42" s="1"/>
  <c r="P36" i="42"/>
  <c r="Q36" i="42" s="1"/>
  <c r="R36" i="42" s="1"/>
  <c r="P33" i="42"/>
  <c r="Q33" i="42" s="1"/>
  <c r="R33" i="42" s="1"/>
  <c r="P15" i="42"/>
  <c r="Q15" i="42" s="1"/>
  <c r="R15" i="42" s="1"/>
  <c r="P23" i="42"/>
  <c r="Q23" i="42" s="1"/>
  <c r="R23" i="42" s="1"/>
  <c r="P16" i="42"/>
  <c r="Q16" i="42" s="1"/>
  <c r="R16" i="42" s="1"/>
  <c r="P11" i="42"/>
  <c r="Q11" i="42" s="1"/>
  <c r="R11" i="42" s="1"/>
  <c r="P43" i="42"/>
  <c r="Q43" i="42" s="1"/>
  <c r="R43" i="42" s="1"/>
  <c r="P17" i="42"/>
  <c r="Q17" i="42" s="1"/>
  <c r="R17" i="42" s="1"/>
  <c r="P21" i="42"/>
  <c r="Q21" i="42" s="1"/>
  <c r="R21" i="42" s="1"/>
  <c r="P13" i="42"/>
  <c r="Q13" i="42" s="1"/>
  <c r="R13" i="42" s="1"/>
  <c r="H82" i="1"/>
  <c r="H83" i="1" s="1"/>
  <c r="F21" i="45"/>
  <c r="F23" i="45" s="1"/>
  <c r="F42" i="45"/>
  <c r="F44" i="45" s="1"/>
  <c r="H242" i="1"/>
  <c r="H243" i="1" s="1"/>
  <c r="H244" i="1" s="1"/>
  <c r="H246" i="1" s="1"/>
  <c r="J93" i="44"/>
  <c r="L93" i="44" s="1"/>
  <c r="J91" i="44"/>
  <c r="L91" i="44" s="1"/>
  <c r="J89" i="44"/>
  <c r="L89" i="44" s="1"/>
  <c r="J87" i="44"/>
  <c r="L87" i="44" s="1"/>
  <c r="J85" i="44"/>
  <c r="L85" i="44" s="1"/>
  <c r="J83" i="44"/>
  <c r="L83" i="44" s="1"/>
  <c r="J92" i="44"/>
  <c r="L92" i="44" s="1"/>
  <c r="J86" i="44"/>
  <c r="L86" i="44" s="1"/>
  <c r="J138" i="44"/>
  <c r="L138" i="44" s="1"/>
  <c r="J134" i="44"/>
  <c r="L134" i="44" s="1"/>
  <c r="J145" i="44"/>
  <c r="L145" i="44" s="1"/>
  <c r="J143" i="44"/>
  <c r="L143" i="44" s="1"/>
  <c r="J141" i="44"/>
  <c r="L141" i="44" s="1"/>
  <c r="J139" i="44"/>
  <c r="L139" i="44" s="1"/>
  <c r="J137" i="44"/>
  <c r="L137" i="44" s="1"/>
  <c r="J135" i="44"/>
  <c r="L135" i="44" s="1"/>
  <c r="J94" i="44"/>
  <c r="L94" i="44" s="1"/>
  <c r="J90" i="44"/>
  <c r="L90" i="44" s="1"/>
  <c r="J88" i="44"/>
  <c r="L88" i="44" s="1"/>
  <c r="J84" i="44"/>
  <c r="L84" i="44" s="1"/>
  <c r="J144" i="44"/>
  <c r="L144" i="44" s="1"/>
  <c r="J142" i="44"/>
  <c r="L142" i="44" s="1"/>
  <c r="J140" i="44"/>
  <c r="L140" i="44" s="1"/>
  <c r="J136" i="44"/>
  <c r="L136" i="44" s="1"/>
  <c r="F13" i="2"/>
  <c r="H94" i="1"/>
  <c r="H95" i="1" s="1"/>
  <c r="H121" i="1"/>
  <c r="H122" i="1" s="1"/>
  <c r="J37" i="44"/>
  <c r="L37" i="44" s="1"/>
  <c r="J41" i="44"/>
  <c r="L41" i="44" s="1"/>
  <c r="J33" i="44"/>
  <c r="L33" i="44" s="1"/>
  <c r="J39" i="44"/>
  <c r="L39" i="44" s="1"/>
  <c r="J43" i="44"/>
  <c r="L43" i="44" s="1"/>
  <c r="F16" i="43"/>
  <c r="F19" i="43" s="1"/>
  <c r="J36" i="44"/>
  <c r="L36" i="44" s="1"/>
  <c r="J44" i="44"/>
  <c r="L44" i="44" s="1"/>
  <c r="J34" i="44"/>
  <c r="L34" i="44" s="1"/>
  <c r="J38" i="44"/>
  <c r="L38" i="44" s="1"/>
  <c r="J42" i="44"/>
  <c r="L42" i="44" s="1"/>
  <c r="J35" i="44"/>
  <c r="L35" i="44" s="1"/>
  <c r="J40" i="44"/>
  <c r="L40" i="44" s="1"/>
  <c r="G68" i="2"/>
  <c r="F10" i="2" s="1"/>
  <c r="F13" i="14"/>
  <c r="F16" i="14" s="1"/>
  <c r="H110" i="1"/>
  <c r="H111" i="1" s="1"/>
  <c r="H179" i="1"/>
  <c r="H57" i="1"/>
  <c r="H87" i="1"/>
  <c r="F27" i="4"/>
  <c r="H44" i="1"/>
  <c r="H146" i="1"/>
  <c r="H280" i="1"/>
  <c r="R24" i="42" l="1"/>
  <c r="F19" i="2" s="1"/>
  <c r="R44" i="42"/>
  <c r="F20" i="2" s="1"/>
  <c r="R64" i="42"/>
  <c r="F21" i="2" s="1"/>
  <c r="F20" i="43"/>
  <c r="F21" i="43" s="1"/>
  <c r="F17" i="2"/>
  <c r="H147" i="1"/>
  <c r="H88" i="1"/>
  <c r="F22" i="2" l="1"/>
  <c r="H90" i="1"/>
  <c r="A23" i="1" l="1"/>
  <c r="F24" i="1" s="1"/>
  <c r="A24" i="1" l="1"/>
  <c r="A26" i="1" s="1"/>
  <c r="F68" i="2" l="1"/>
  <c r="E10" i="2" s="1"/>
  <c r="A27" i="1"/>
  <c r="F27" i="1"/>
  <c r="H22" i="45" l="1"/>
  <c r="I17" i="43"/>
  <c r="I14" i="2"/>
  <c r="I14" i="14"/>
  <c r="A29" i="1"/>
  <c r="A30" i="1" s="1"/>
  <c r="F104" i="1"/>
  <c r="F155" i="1"/>
  <c r="A31" i="1" l="1"/>
  <c r="A32" i="1" s="1"/>
  <c r="A33" i="1" s="1"/>
  <c r="A38" i="1" s="1"/>
  <c r="J22" i="45" l="1"/>
  <c r="E18" i="5"/>
  <c r="E11" i="5"/>
  <c r="I15" i="2"/>
  <c r="I15" i="14"/>
  <c r="I18" i="43"/>
  <c r="F116" i="1"/>
  <c r="F32" i="1"/>
  <c r="F165" i="1"/>
  <c r="F33" i="1"/>
  <c r="A40" i="1" l="1"/>
  <c r="A41" i="1" s="1"/>
  <c r="A42" i="1" s="1"/>
  <c r="F43" i="1" s="1"/>
  <c r="F277" i="1" l="1"/>
  <c r="A43" i="1"/>
  <c r="A44" i="1" s="1"/>
  <c r="F45" i="1" s="1"/>
  <c r="A45" i="1" l="1"/>
  <c r="A47" i="1" l="1"/>
  <c r="F47" i="1"/>
  <c r="F23" i="1" l="1"/>
  <c r="A51" i="1"/>
  <c r="A53" i="1" l="1"/>
  <c r="A54" i="1" l="1"/>
  <c r="A55" i="1" s="1"/>
  <c r="A56" i="1" s="1"/>
  <c r="A31" i="7"/>
  <c r="F12" i="1" l="1"/>
  <c r="A32" i="7"/>
  <c r="F56" i="1"/>
  <c r="F13" i="1" l="1"/>
  <c r="A33" i="7"/>
  <c r="A40" i="7" s="1"/>
  <c r="A57" i="1"/>
  <c r="A58" i="1" s="1"/>
  <c r="F10" i="1" l="1"/>
  <c r="A60" i="1"/>
  <c r="F60" i="1"/>
  <c r="F58" i="1"/>
  <c r="F78" i="1" l="1"/>
  <c r="A62" i="1"/>
  <c r="F62" i="1"/>
  <c r="A47" i="7" l="1"/>
  <c r="F81" i="1" s="1"/>
  <c r="A67" i="1"/>
  <c r="F264" i="1"/>
  <c r="F26" i="1"/>
  <c r="A55" i="7" l="1"/>
  <c r="F86" i="1" s="1"/>
  <c r="A70" i="1"/>
  <c r="A73" i="1" s="1"/>
  <c r="A76" i="1" l="1"/>
  <c r="A78" i="1" s="1"/>
  <c r="F293" i="1"/>
  <c r="A56" i="7"/>
  <c r="A81" i="1"/>
  <c r="F89" i="1" l="1"/>
  <c r="A62" i="7"/>
  <c r="A82" i="1"/>
  <c r="A83" i="1" s="1"/>
  <c r="A86" i="1" s="1"/>
  <c r="F83" i="1" l="1"/>
  <c r="F135" i="1"/>
  <c r="A87" i="1"/>
  <c r="A88" i="1" s="1"/>
  <c r="A63" i="7" l="1"/>
  <c r="A64" i="7" s="1"/>
  <c r="F88" i="1"/>
  <c r="A89" i="1"/>
  <c r="A65" i="7" l="1"/>
  <c r="F136" i="1" s="1"/>
  <c r="A90" i="1"/>
  <c r="F90" i="1"/>
  <c r="A72" i="7" l="1"/>
  <c r="F141" i="1" s="1"/>
  <c r="A93" i="1"/>
  <c r="A94" i="1" s="1"/>
  <c r="A95" i="1" s="1"/>
  <c r="A98" i="1" s="1"/>
  <c r="A99" i="1" s="1"/>
  <c r="A100" i="1" s="1"/>
  <c r="A78" i="7" l="1"/>
  <c r="F140" i="1" s="1"/>
  <c r="F95" i="1"/>
  <c r="A103" i="1"/>
  <c r="F100" i="1"/>
  <c r="A104" i="1" l="1"/>
  <c r="A105" i="1" s="1"/>
  <c r="A107" i="1" l="1"/>
  <c r="F105" i="1"/>
  <c r="A108" i="1" l="1"/>
  <c r="A109" i="1" s="1"/>
  <c r="F109" i="1" l="1"/>
  <c r="A110" i="1"/>
  <c r="A111" i="1" s="1"/>
  <c r="F111" i="1" l="1"/>
  <c r="A113" i="1"/>
  <c r="A115" i="1" l="1"/>
  <c r="A116" i="1" l="1"/>
  <c r="A117" i="1" s="1"/>
  <c r="A79" i="7"/>
  <c r="A80" i="7" s="1"/>
  <c r="F143" i="1" l="1"/>
  <c r="A87" i="7"/>
  <c r="F142" i="1" s="1"/>
  <c r="F151" i="1"/>
  <c r="A120" i="1"/>
  <c r="A121" i="1" s="1"/>
  <c r="A122" i="1" s="1"/>
  <c r="A124" i="1" s="1"/>
  <c r="A126" i="1" s="1"/>
  <c r="A128" i="1" s="1"/>
  <c r="F117" i="1"/>
  <c r="F122" i="1" l="1"/>
  <c r="A130" i="1"/>
  <c r="A88" i="7"/>
  <c r="F150" i="1" s="1"/>
  <c r="A95" i="7" l="1"/>
  <c r="F144" i="1" s="1"/>
  <c r="F265" i="1"/>
  <c r="F130" i="1"/>
  <c r="A135" i="1"/>
  <c r="F266" i="1"/>
  <c r="A102" i="7" l="1"/>
  <c r="F173" i="1" s="1"/>
  <c r="A136" i="1"/>
  <c r="A137" i="1" s="1"/>
  <c r="A140" i="1" s="1"/>
  <c r="A103" i="7" l="1"/>
  <c r="F176" i="1" s="1"/>
  <c r="F137" i="1"/>
  <c r="A141" i="1"/>
  <c r="A104" i="7" l="1"/>
  <c r="F177" i="1" s="1"/>
  <c r="A142" i="1"/>
  <c r="A143" i="1" s="1"/>
  <c r="A144" i="1" s="1"/>
  <c r="A145" i="1" s="1"/>
  <c r="F154" i="1"/>
  <c r="A111" i="7" l="1"/>
  <c r="H12" i="4" s="1"/>
  <c r="F145" i="1"/>
  <c r="A146" i="1"/>
  <c r="A147" i="1" s="1"/>
  <c r="A150" i="1" s="1"/>
  <c r="A151" i="1" s="1"/>
  <c r="A152" i="1" s="1"/>
  <c r="A112" i="7" l="1"/>
  <c r="A113" i="7"/>
  <c r="A120" i="7" s="1"/>
  <c r="A121" i="7" s="1"/>
  <c r="A122" i="7" s="1"/>
  <c r="A123" i="7" s="1"/>
  <c r="A124" i="7" s="1"/>
  <c r="A125" i="7" s="1"/>
  <c r="A126" i="7" s="1"/>
  <c r="F191" i="1" s="1"/>
  <c r="F152" i="1"/>
  <c r="F147" i="1"/>
  <c r="A154" i="1"/>
  <c r="A127" i="7" l="1"/>
  <c r="F193" i="1" s="1"/>
  <c r="A155" i="1"/>
  <c r="F156" i="1" s="1"/>
  <c r="A156" i="1" l="1"/>
  <c r="A158" i="1" l="1"/>
  <c r="F158" i="1"/>
  <c r="A160" i="1" l="1"/>
  <c r="A161" i="1" l="1"/>
  <c r="A162" i="1" s="1"/>
  <c r="A163" i="1" s="1"/>
  <c r="A164" i="1" s="1"/>
  <c r="A165" i="1" s="1"/>
  <c r="A166" i="1" s="1"/>
  <c r="F164" i="1" l="1"/>
  <c r="F166" i="1"/>
  <c r="A168" i="1"/>
  <c r="F168" i="1"/>
  <c r="F268" i="1" l="1"/>
  <c r="F98" i="1"/>
  <c r="A173" i="1"/>
  <c r="A174" i="1" s="1"/>
  <c r="A176" i="1" s="1"/>
  <c r="A177" i="1" s="1"/>
  <c r="A178" i="1" s="1"/>
  <c r="A179" i="1" s="1"/>
  <c r="A180" i="1" s="1"/>
  <c r="F182" i="1" s="1"/>
  <c r="F178" i="1" l="1"/>
  <c r="A182" i="1"/>
  <c r="F180" i="1"/>
  <c r="A186" i="1" l="1"/>
  <c r="F269" i="1"/>
  <c r="A188" i="1" l="1"/>
  <c r="F188" i="1"/>
  <c r="A191" i="1" l="1"/>
  <c r="F270" i="1"/>
  <c r="A193" i="1" l="1"/>
  <c r="A196" i="1" l="1"/>
  <c r="A197" i="1" l="1"/>
  <c r="A198" i="1" l="1"/>
  <c r="A199" i="1" l="1"/>
  <c r="F200" i="1" l="1"/>
  <c r="A200" i="1"/>
  <c r="F212" i="1" s="1"/>
  <c r="A202" i="1" l="1"/>
  <c r="A203" i="1" l="1"/>
  <c r="A204" i="1" s="1"/>
  <c r="A205" i="1" s="1"/>
  <c r="A206" i="1" s="1"/>
  <c r="A207" i="1" s="1"/>
  <c r="A208" i="1" s="1"/>
  <c r="A209" i="1" s="1"/>
  <c r="A210" i="1" s="1"/>
  <c r="F210" i="1" l="1"/>
  <c r="A211" i="1"/>
  <c r="F219" i="1"/>
  <c r="A212" i="1" l="1"/>
  <c r="F213" i="1" s="1"/>
  <c r="F220" i="1"/>
  <c r="A213" i="1" l="1"/>
  <c r="F217" i="1" s="1"/>
  <c r="A215" i="1" l="1"/>
  <c r="F215" i="1"/>
  <c r="F216" i="1"/>
  <c r="A216" i="1" l="1"/>
  <c r="A217" i="1" l="1"/>
  <c r="C16" i="46" l="1"/>
  <c r="A219" i="1"/>
  <c r="A220" i="1" l="1"/>
  <c r="F223" i="1"/>
  <c r="A221" i="1" l="1"/>
  <c r="F224" i="1"/>
  <c r="A223" i="1" l="1"/>
  <c r="F225" i="1"/>
  <c r="A224" i="1" l="1"/>
  <c r="A225" i="1" l="1"/>
  <c r="A226" i="1" s="1"/>
  <c r="A228" i="1" l="1"/>
  <c r="A231" i="1" s="1"/>
  <c r="A232" i="1" s="1"/>
  <c r="A233" i="1" s="1"/>
  <c r="A234" i="1" s="1"/>
  <c r="F226" i="1"/>
  <c r="F228" i="1"/>
  <c r="F271" i="1" l="1"/>
  <c r="A235" i="1"/>
  <c r="A236" i="1" l="1"/>
  <c r="F258" i="1" s="1"/>
  <c r="A237" i="1" l="1"/>
  <c r="C17" i="46" l="1"/>
  <c r="F251" i="1"/>
  <c r="A240" i="1"/>
  <c r="A241" i="1" s="1"/>
  <c r="A242" i="1" s="1"/>
  <c r="A243" i="1" s="1"/>
  <c r="F245" i="1"/>
  <c r="F256" i="1" s="1"/>
  <c r="A244" i="1" l="1"/>
  <c r="F244" i="1"/>
  <c r="F243" i="1"/>
  <c r="A245" i="1" l="1"/>
  <c r="F246" i="1" s="1"/>
  <c r="A246" i="1" l="1"/>
  <c r="A249" i="1" s="1"/>
  <c r="A250" i="1" l="1"/>
  <c r="A251" i="1" l="1"/>
  <c r="A252" i="1" l="1"/>
  <c r="A255" i="1" s="1"/>
  <c r="F252" i="1"/>
  <c r="A256" i="1" l="1"/>
  <c r="A257" i="1" s="1"/>
  <c r="A258" i="1" s="1"/>
  <c r="F257" i="1"/>
  <c r="F259" i="1" l="1"/>
  <c r="A259" i="1"/>
  <c r="A264" i="1" l="1"/>
  <c r="A265" i="1" s="1"/>
  <c r="A266" i="1" s="1"/>
  <c r="A268" i="1" s="1"/>
  <c r="F272" i="1"/>
  <c r="A269" i="1" l="1"/>
  <c r="A270" i="1" s="1"/>
  <c r="A271" i="1" s="1"/>
  <c r="A272" i="1" s="1"/>
  <c r="A274" i="1" s="1"/>
  <c r="F274" i="1"/>
  <c r="F292" i="1" l="1"/>
  <c r="A277" i="1"/>
  <c r="F281" i="1"/>
  <c r="A278" i="1" l="1"/>
  <c r="A279" i="1" s="1"/>
  <c r="F279" i="1"/>
  <c r="F280" i="1" l="1"/>
  <c r="A280" i="1"/>
  <c r="A281" i="1" s="1"/>
  <c r="F282" i="1" l="1"/>
  <c r="A282" i="1"/>
  <c r="A285" i="1" l="1"/>
  <c r="A287" i="1" s="1"/>
  <c r="F287" i="1"/>
  <c r="A292" i="1" l="1"/>
  <c r="F298" i="1"/>
  <c r="A293" i="1" l="1"/>
  <c r="A294" i="1" s="1"/>
  <c r="A295" i="1" s="1"/>
  <c r="F296" i="1"/>
  <c r="F294" i="1"/>
  <c r="F295" i="1"/>
  <c r="A296" i="1"/>
  <c r="A298" i="1" s="1"/>
  <c r="C14" i="47"/>
  <c r="A299" i="1" l="1"/>
  <c r="A300" i="1" l="1"/>
  <c r="A301" i="1" s="1"/>
  <c r="A302" i="1" l="1"/>
  <c r="A303" i="1" s="1"/>
  <c r="A304" i="1" s="1"/>
  <c r="A307" i="1" s="1"/>
  <c r="A308" i="1" s="1"/>
  <c r="F308" i="1" l="1"/>
  <c r="F304" i="1"/>
  <c r="F310" i="1"/>
  <c r="A310" i="1"/>
  <c r="A311" i="1" l="1"/>
  <c r="A312" i="1" s="1"/>
  <c r="F312" i="1"/>
  <c r="F311" i="1"/>
  <c r="F314" i="1"/>
  <c r="F313" i="1"/>
  <c r="A313" i="1"/>
  <c r="A314" i="1" s="1"/>
  <c r="F47" i="2"/>
  <c r="F48" i="2" l="1"/>
  <c r="F49" i="2" l="1"/>
  <c r="E9" i="2" s="1"/>
  <c r="E12" i="2" l="1"/>
  <c r="I38" i="8"/>
  <c r="I40" i="8" l="1"/>
  <c r="J38" i="8"/>
  <c r="J40" i="8" s="1"/>
  <c r="C66" i="2"/>
  <c r="K40" i="8" l="1"/>
  <c r="I41" i="8" s="1"/>
  <c r="C68" i="2"/>
  <c r="D47" i="2" l="1"/>
  <c r="D49" i="2" s="1"/>
  <c r="C47" i="2"/>
  <c r="A31" i="5"/>
  <c r="A32" i="5" s="1"/>
  <c r="A33" i="5" s="1"/>
  <c r="A35" i="5" s="1"/>
  <c r="A36" i="5" l="1"/>
  <c r="C42" i="5"/>
  <c r="C37" i="5" l="1"/>
  <c r="A37" i="5"/>
  <c r="A39" i="5" l="1"/>
  <c r="A40" i="5" s="1"/>
  <c r="A42" i="5" s="1"/>
  <c r="C40" i="5"/>
  <c r="A128" i="7"/>
  <c r="F196" i="1" s="1"/>
  <c r="A43" i="5" l="1"/>
  <c r="C43" i="5"/>
  <c r="A129" i="7"/>
  <c r="F197" i="1" s="1"/>
  <c r="A130" i="7" l="1"/>
  <c r="F199" i="1" s="1"/>
  <c r="A131" i="7" l="1"/>
  <c r="F202" i="1" s="1"/>
  <c r="A132" i="7" l="1"/>
  <c r="F203" i="1" s="1"/>
  <c r="A133" i="7" l="1"/>
  <c r="F204" i="1" s="1"/>
  <c r="A134" i="7" l="1"/>
  <c r="F205" i="1" s="1"/>
  <c r="A135" i="7" l="1"/>
  <c r="F206" i="1" s="1"/>
  <c r="A136" i="7" l="1"/>
  <c r="F207" i="1" s="1"/>
  <c r="A137" i="7" l="1"/>
  <c r="F208" i="1" s="1"/>
  <c r="A138" i="7" l="1"/>
  <c r="F209" i="1" s="1"/>
  <c r="A139" i="7" l="1"/>
  <c r="F198" i="1" s="1"/>
  <c r="A146" i="7" l="1"/>
  <c r="F232" i="1" s="1"/>
  <c r="A147" i="7" l="1"/>
  <c r="F233" i="1" s="1"/>
  <c r="A153" i="7" l="1"/>
  <c r="A154" i="7" l="1"/>
  <c r="A155" i="7" l="1"/>
  <c r="F249" i="1" l="1"/>
  <c r="A161" i="7"/>
  <c r="F278" i="1" l="1"/>
  <c r="A168" i="7"/>
  <c r="F303" i="1" s="1"/>
  <c r="A176" i="7" l="1"/>
  <c r="F307" i="1" s="1"/>
  <c r="A183" i="7" l="1"/>
  <c r="A184" i="7" l="1"/>
  <c r="A185" i="7" s="1"/>
  <c r="F174" i="1" s="1"/>
  <c r="A187" i="7" l="1"/>
  <c r="A188" i="7" s="1"/>
  <c r="F76" i="1" s="1"/>
  <c r="E187" i="7"/>
  <c r="E185" i="7"/>
  <c r="A196" i="7" l="1"/>
  <c r="E188" i="7"/>
  <c r="F70" i="1" l="1"/>
  <c r="A205" i="7"/>
  <c r="F103" i="1"/>
  <c r="A206" i="7" l="1"/>
  <c r="F107" i="1" s="1"/>
  <c r="A207" i="7" l="1"/>
  <c r="F108" i="1" s="1"/>
  <c r="A208" i="7" l="1"/>
  <c r="F113" i="1" s="1"/>
  <c r="A215" i="7" l="1"/>
  <c r="F124" i="1" s="1"/>
  <c r="A220" i="7" l="1"/>
  <c r="F160" i="1" s="1"/>
  <c r="A221" i="7" l="1"/>
  <c r="F161" i="1" s="1"/>
  <c r="A222" i="7" l="1"/>
  <c r="A223" i="7" s="1"/>
  <c r="A228" i="7" l="1"/>
  <c r="F163" i="1"/>
  <c r="F162" i="1"/>
  <c r="F30" i="1"/>
  <c r="A229" i="7" l="1"/>
  <c r="F31" i="1" s="1"/>
  <c r="A235" i="7" l="1"/>
  <c r="A236" i="7" s="1"/>
  <c r="A237" i="7" s="1"/>
  <c r="F115" i="1" s="1"/>
  <c r="A242" i="7" l="1"/>
  <c r="A247" i="7" s="1"/>
  <c r="F120" i="1" s="1"/>
  <c r="A252" i="7"/>
  <c r="F126" i="1" s="1"/>
  <c r="A258" i="7" l="1"/>
  <c r="A259" i="7" l="1"/>
  <c r="C10" i="46"/>
  <c r="A260" i="7" l="1"/>
  <c r="C11" i="46"/>
  <c r="A263" i="7" l="1"/>
  <c r="A264" i="7" s="1"/>
  <c r="A265" i="7" s="1"/>
  <c r="A268" i="7" s="1"/>
  <c r="A269" i="7" s="1"/>
  <c r="A270" i="7" s="1"/>
  <c r="A273" i="7" s="1"/>
  <c r="A274" i="7" s="1"/>
  <c r="A275" i="7" s="1"/>
  <c r="A278" i="7" s="1"/>
  <c r="A279" i="7" s="1"/>
  <c r="A280" i="7" s="1"/>
  <c r="A283" i="7" s="1"/>
  <c r="A284" i="7" s="1"/>
  <c r="A285" i="7" s="1"/>
  <c r="A288" i="7" s="1"/>
  <c r="A289" i="7" s="1"/>
  <c r="A290" i="7" s="1"/>
  <c r="A293" i="7" s="1"/>
  <c r="A294" i="7" s="1"/>
  <c r="A295" i="7" s="1"/>
  <c r="A298" i="7" s="1"/>
  <c r="A299" i="7" s="1"/>
  <c r="A300" i="7" s="1"/>
  <c r="A303" i="7" s="1"/>
  <c r="A304" i="7" s="1"/>
  <c r="C13" i="46"/>
  <c r="A305" i="7" l="1"/>
  <c r="A311" i="7" s="1"/>
  <c r="A312" i="7" l="1"/>
  <c r="C10" i="47"/>
  <c r="A313" i="7" l="1"/>
  <c r="C11" i="47"/>
  <c r="A316" i="7" l="1"/>
  <c r="A317" i="7" s="1"/>
  <c r="A318" i="7" s="1"/>
  <c r="A321" i="7" s="1"/>
  <c r="A322" i="7" s="1"/>
  <c r="C16" i="47"/>
  <c r="A323" i="7" l="1"/>
  <c r="A326" i="7" s="1"/>
  <c r="A327" i="7" s="1"/>
  <c r="A328" i="7" s="1"/>
  <c r="A331" i="7" s="1"/>
  <c r="A332" i="7" s="1"/>
  <c r="A333" i="7" s="1"/>
  <c r="A336" i="7" s="1"/>
  <c r="A337" i="7" s="1"/>
  <c r="A338" i="7" s="1"/>
  <c r="A341" i="7" s="1"/>
  <c r="A342" i="7" s="1"/>
  <c r="A343" i="7" s="1"/>
  <c r="A346" i="7" s="1"/>
  <c r="A347" i="7" s="1"/>
  <c r="A348" i="7" s="1"/>
  <c r="A351" i="7" s="1"/>
  <c r="A352" i="7" s="1"/>
  <c r="A353" i="7" s="1"/>
  <c r="A356" i="7" s="1"/>
  <c r="A357" i="7" s="1"/>
  <c r="A358" i="7" s="1"/>
  <c r="C48" i="2"/>
  <c r="C49" i="2" s="1"/>
  <c r="G49" i="2"/>
  <c r="F9" i="2" s="1"/>
  <c r="F12" i="2" s="1"/>
  <c r="F16" i="2" s="1"/>
  <c r="F18" i="2" l="1"/>
  <c r="H49" i="2"/>
  <c r="G9" i="2"/>
  <c r="G12" i="2"/>
  <c r="E27" i="4" l="1"/>
  <c r="E29" i="4" l="1"/>
  <c r="E43" i="4" s="1"/>
  <c r="E47" i="4" s="1"/>
  <c r="G27" i="4"/>
  <c r="H176" i="1" l="1"/>
  <c r="H178" i="1" s="1"/>
  <c r="H180" i="1" s="1"/>
  <c r="H182" i="1" s="1"/>
  <c r="H269" i="1" s="1"/>
  <c r="T18" i="7"/>
  <c r="H40" i="1" s="1"/>
  <c r="H43" i="1" s="1"/>
  <c r="H45" i="1" s="1"/>
  <c r="H47" i="1" s="1"/>
  <c r="H23" i="1" l="1"/>
  <c r="T24" i="7"/>
  <c r="H53" i="1" s="1"/>
  <c r="H56" i="1" s="1"/>
  <c r="H58" i="1" s="1"/>
  <c r="H60" i="1" s="1"/>
  <c r="H62" i="1" s="1"/>
  <c r="H264" i="1" l="1"/>
  <c r="H26" i="1"/>
  <c r="T9" i="7" l="1"/>
  <c r="H19" i="1" s="1"/>
  <c r="T11" i="7" l="1"/>
  <c r="H20" i="1" s="1"/>
  <c r="H21" i="1" s="1"/>
  <c r="H27" i="1" s="1"/>
  <c r="H24" i="1"/>
  <c r="L41" i="42" l="1"/>
  <c r="M41" i="42" s="1"/>
  <c r="N41" i="42" s="1"/>
  <c r="L18" i="42"/>
  <c r="M18" i="42" s="1"/>
  <c r="N18" i="42" s="1"/>
  <c r="L33" i="42"/>
  <c r="M33" i="42" s="1"/>
  <c r="N33" i="42" s="1"/>
  <c r="L63" i="42"/>
  <c r="M63" i="42" s="1"/>
  <c r="N63" i="42" s="1"/>
  <c r="L59" i="42"/>
  <c r="M59" i="42" s="1"/>
  <c r="N59" i="42" s="1"/>
  <c r="L55" i="42"/>
  <c r="M55" i="42" s="1"/>
  <c r="N55" i="42" s="1"/>
  <c r="L51" i="42"/>
  <c r="M51" i="42" s="1"/>
  <c r="N51" i="42" s="1"/>
  <c r="L15" i="42"/>
  <c r="M15" i="42" s="1"/>
  <c r="N15" i="42" s="1"/>
  <c r="L16" i="42"/>
  <c r="M16" i="42" s="1"/>
  <c r="N16" i="42" s="1"/>
  <c r="L17" i="42"/>
  <c r="M17" i="42" s="1"/>
  <c r="N17" i="42" s="1"/>
  <c r="L13" i="42"/>
  <c r="M13" i="42" s="1"/>
  <c r="N13" i="42" s="1"/>
  <c r="L14" i="42"/>
  <c r="M14" i="42" s="1"/>
  <c r="N14" i="42" s="1"/>
  <c r="L39" i="42"/>
  <c r="M39" i="42" s="1"/>
  <c r="N39" i="42" s="1"/>
  <c r="L35" i="42"/>
  <c r="M35" i="42" s="1"/>
  <c r="N35" i="42" s="1"/>
  <c r="L60" i="42"/>
  <c r="M60" i="42" s="1"/>
  <c r="N60" i="42" s="1"/>
  <c r="L56" i="42"/>
  <c r="M56" i="42" s="1"/>
  <c r="N56" i="42" s="1"/>
  <c r="L52" i="42"/>
  <c r="M52" i="42" s="1"/>
  <c r="N52" i="42" s="1"/>
  <c r="L37" i="42"/>
  <c r="M37" i="42" s="1"/>
  <c r="N37" i="42" s="1"/>
  <c r="L36" i="42"/>
  <c r="M36" i="42" s="1"/>
  <c r="N36" i="42" s="1"/>
  <c r="L32" i="42"/>
  <c r="M32" i="42" s="1"/>
  <c r="N32" i="42" s="1"/>
  <c r="H42" i="45"/>
  <c r="H44" i="45" s="1"/>
  <c r="L34" i="42"/>
  <c r="M34" i="42" s="1"/>
  <c r="N34" i="42" s="1"/>
  <c r="L22" i="42"/>
  <c r="M22" i="42" s="1"/>
  <c r="N22" i="42" s="1"/>
  <c r="L12" i="42"/>
  <c r="M12" i="42" s="1"/>
  <c r="N12" i="42" s="1"/>
  <c r="L62" i="42"/>
  <c r="M62" i="42" s="1"/>
  <c r="N62" i="42" s="1"/>
  <c r="L58" i="42"/>
  <c r="M58" i="42" s="1"/>
  <c r="N58" i="42" s="1"/>
  <c r="L54" i="42"/>
  <c r="M54" i="42" s="1"/>
  <c r="N54" i="42" s="1"/>
  <c r="L43" i="42"/>
  <c r="M43" i="42" s="1"/>
  <c r="N43" i="42" s="1"/>
  <c r="L23" i="42"/>
  <c r="M23" i="42" s="1"/>
  <c r="N23" i="42" s="1"/>
  <c r="L11" i="42"/>
  <c r="M11" i="42" s="1"/>
  <c r="N11" i="42" s="1"/>
  <c r="L21" i="42"/>
  <c r="M21" i="42" s="1"/>
  <c r="N21" i="42" s="1"/>
  <c r="H21" i="45"/>
  <c r="H23" i="45" s="1"/>
  <c r="L31" i="42"/>
  <c r="M31" i="42" s="1"/>
  <c r="N31" i="42" s="1"/>
  <c r="L19" i="42"/>
  <c r="M19" i="42" s="1"/>
  <c r="N19" i="42" s="1"/>
  <c r="L20" i="42"/>
  <c r="M20" i="42" s="1"/>
  <c r="N20" i="42" s="1"/>
  <c r="L61" i="42"/>
  <c r="M61" i="42" s="1"/>
  <c r="N61" i="42" s="1"/>
  <c r="L57" i="42"/>
  <c r="M57" i="42" s="1"/>
  <c r="N57" i="42" s="1"/>
  <c r="L53" i="42"/>
  <c r="M53" i="42" s="1"/>
  <c r="N53" i="42" s="1"/>
  <c r="L40" i="42"/>
  <c r="M40" i="42" s="1"/>
  <c r="N40" i="42" s="1"/>
  <c r="L42" i="42"/>
  <c r="M42" i="42" s="1"/>
  <c r="N42" i="42" s="1"/>
  <c r="L38" i="42"/>
  <c r="M38" i="42" s="1"/>
  <c r="N38" i="42" s="1"/>
  <c r="F142" i="44"/>
  <c r="G142" i="44" s="1"/>
  <c r="F134" i="44"/>
  <c r="G134" i="44" s="1"/>
  <c r="F88" i="44"/>
  <c r="G88" i="44" s="1"/>
  <c r="F89" i="44"/>
  <c r="G89" i="44" s="1"/>
  <c r="F145" i="44"/>
  <c r="G145" i="44" s="1"/>
  <c r="F92" i="44"/>
  <c r="G92" i="44" s="1"/>
  <c r="F20" i="4"/>
  <c r="G20" i="4" s="1"/>
  <c r="G29" i="4" s="1"/>
  <c r="H186" i="1" s="1"/>
  <c r="H188" i="1" s="1"/>
  <c r="H270" i="1" s="1"/>
  <c r="E17" i="43"/>
  <c r="E19" i="43" s="1"/>
  <c r="F37" i="44"/>
  <c r="G37" i="44" s="1"/>
  <c r="F42" i="44"/>
  <c r="G42" i="44" s="1"/>
  <c r="F137" i="44"/>
  <c r="G137" i="44" s="1"/>
  <c r="F43" i="44"/>
  <c r="G43" i="44" s="1"/>
  <c r="F140" i="44"/>
  <c r="G140" i="44" s="1"/>
  <c r="F141" i="44"/>
  <c r="G141" i="44" s="1"/>
  <c r="F84" i="44"/>
  <c r="G84" i="44" s="1"/>
  <c r="F87" i="44"/>
  <c r="G87" i="44" s="1"/>
  <c r="F143" i="44"/>
  <c r="G143" i="44" s="1"/>
  <c r="F90" i="44"/>
  <c r="G90" i="44" s="1"/>
  <c r="F36" i="44"/>
  <c r="G36" i="44" s="1"/>
  <c r="F38" i="44"/>
  <c r="G38" i="44" s="1"/>
  <c r="F41" i="44"/>
  <c r="G41" i="44" s="1"/>
  <c r="F39" i="44"/>
  <c r="G39" i="44" s="1"/>
  <c r="H155" i="1"/>
  <c r="H156" i="1" s="1"/>
  <c r="H158" i="1" s="1"/>
  <c r="F136" i="44"/>
  <c r="G136" i="44" s="1"/>
  <c r="F91" i="44"/>
  <c r="G91" i="44" s="1"/>
  <c r="E14" i="2"/>
  <c r="E16" i="2" s="1"/>
  <c r="H104" i="1"/>
  <c r="H105" i="1" s="1"/>
  <c r="F138" i="44"/>
  <c r="G138" i="44" s="1"/>
  <c r="F135" i="44"/>
  <c r="G135" i="44" s="1"/>
  <c r="F93" i="44"/>
  <c r="G93" i="44" s="1"/>
  <c r="F85" i="44"/>
  <c r="G85" i="44" s="1"/>
  <c r="F139" i="44"/>
  <c r="G139" i="44" s="1"/>
  <c r="F86" i="44"/>
  <c r="G86" i="44" s="1"/>
  <c r="F40" i="44"/>
  <c r="G40" i="44" s="1"/>
  <c r="F35" i="44"/>
  <c r="G35" i="44" s="1"/>
  <c r="F33" i="44"/>
  <c r="G33" i="44" s="1"/>
  <c r="E14" i="14"/>
  <c r="E16" i="14" s="1"/>
  <c r="F144" i="44"/>
  <c r="G144" i="44" s="1"/>
  <c r="F94" i="44"/>
  <c r="G94" i="44" s="1"/>
  <c r="F83" i="44"/>
  <c r="G83" i="44" s="1"/>
  <c r="F44" i="44"/>
  <c r="G44" i="44" s="1"/>
  <c r="F34" i="44"/>
  <c r="G34" i="44" s="1"/>
  <c r="N64" i="42" l="1"/>
  <c r="E21" i="2" s="1"/>
  <c r="E17" i="2"/>
  <c r="E18" i="2" s="1"/>
  <c r="E20" i="43"/>
  <c r="E21" i="43" s="1"/>
  <c r="N24" i="42"/>
  <c r="E19" i="2" s="1"/>
  <c r="N44" i="42"/>
  <c r="E20" i="2" s="1"/>
  <c r="E22" i="2" l="1"/>
  <c r="T131" i="7" l="1"/>
  <c r="H202" i="1" s="1"/>
  <c r="H210" i="1" s="1"/>
  <c r="S126" i="7" l="1"/>
  <c r="H191" i="1" s="1"/>
  <c r="H219" i="1" s="1"/>
  <c r="H31" i="1" l="1"/>
  <c r="H32" i="1" s="1"/>
  <c r="H33" i="1" s="1"/>
  <c r="T43" i="42" l="1"/>
  <c r="U43" i="42" s="1"/>
  <c r="V43" i="42" s="1"/>
  <c r="T13" i="42"/>
  <c r="U13" i="42" s="1"/>
  <c r="V13" i="42" s="1"/>
  <c r="T53" i="42"/>
  <c r="U53" i="42" s="1"/>
  <c r="V53" i="42" s="1"/>
  <c r="O144" i="44"/>
  <c r="P144" i="44" s="1"/>
  <c r="Q144" i="44" s="1"/>
  <c r="L126" i="44" s="1"/>
  <c r="O85" i="44"/>
  <c r="P85" i="44" s="1"/>
  <c r="Q85" i="44" s="1"/>
  <c r="L67" i="44" s="1"/>
  <c r="G15" i="14"/>
  <c r="G16" i="14" s="1"/>
  <c r="T52" i="42"/>
  <c r="U52" i="42" s="1"/>
  <c r="V52" i="42" s="1"/>
  <c r="T62" i="42"/>
  <c r="U62" i="42" s="1"/>
  <c r="V62" i="42" s="1"/>
  <c r="O34" i="44"/>
  <c r="P34" i="44" s="1"/>
  <c r="Q34" i="44" s="1"/>
  <c r="L16" i="44" s="1"/>
  <c r="O94" i="44"/>
  <c r="P94" i="44" s="1"/>
  <c r="Q94" i="44" s="1"/>
  <c r="L76" i="44" s="1"/>
  <c r="J21" i="45"/>
  <c r="J23" i="45" s="1"/>
  <c r="N23" i="45" s="1"/>
  <c r="S252" i="7" s="1"/>
  <c r="T57" i="42"/>
  <c r="U57" i="42" s="1"/>
  <c r="V57" i="42" s="1"/>
  <c r="T12" i="42"/>
  <c r="U12" i="42" s="1"/>
  <c r="V12" i="42" s="1"/>
  <c r="O135" i="44"/>
  <c r="P135" i="44" s="1"/>
  <c r="Q135" i="44" s="1"/>
  <c r="L117" i="44" s="1"/>
  <c r="O142" i="44"/>
  <c r="P142" i="44" s="1"/>
  <c r="Q142" i="44" s="1"/>
  <c r="L124" i="44" s="1"/>
  <c r="O83" i="44"/>
  <c r="P83" i="44" s="1"/>
  <c r="Q83" i="44" s="1"/>
  <c r="L65" i="44" s="1"/>
  <c r="T32" i="42"/>
  <c r="U32" i="42" s="1"/>
  <c r="V32" i="42" s="1"/>
  <c r="T41" i="42"/>
  <c r="U41" i="42" s="1"/>
  <c r="V41" i="42" s="1"/>
  <c r="T17" i="42"/>
  <c r="U17" i="42" s="1"/>
  <c r="V17" i="42" s="1"/>
  <c r="O84" i="44"/>
  <c r="P84" i="44" s="1"/>
  <c r="Q84" i="44" s="1"/>
  <c r="L66" i="44" s="1"/>
  <c r="O43" i="44"/>
  <c r="P43" i="44" s="1"/>
  <c r="Q43" i="44" s="1"/>
  <c r="L25" i="44" s="1"/>
  <c r="O37" i="44"/>
  <c r="P37" i="44" s="1"/>
  <c r="Q37" i="44" s="1"/>
  <c r="L19" i="44" s="1"/>
  <c r="O44" i="44"/>
  <c r="P44" i="44" s="1"/>
  <c r="Q44" i="44" s="1"/>
  <c r="L26" i="44" s="1"/>
  <c r="T20" i="42"/>
  <c r="U20" i="42" s="1"/>
  <c r="V20" i="42" s="1"/>
  <c r="G15" i="2"/>
  <c r="G16" i="2" s="1"/>
  <c r="T31" i="42"/>
  <c r="U31" i="42" s="1"/>
  <c r="V31" i="42" s="1"/>
  <c r="O145" i="44"/>
  <c r="P145" i="44" s="1"/>
  <c r="Q145" i="44" s="1"/>
  <c r="L127" i="44" s="1"/>
  <c r="T23" i="42"/>
  <c r="U23" i="42" s="1"/>
  <c r="V23" i="42" s="1"/>
  <c r="O86" i="44"/>
  <c r="P86" i="44" s="1"/>
  <c r="Q86" i="44" s="1"/>
  <c r="L68" i="44" s="1"/>
  <c r="T34" i="42"/>
  <c r="U34" i="42" s="1"/>
  <c r="V34" i="42" s="1"/>
  <c r="O88" i="44"/>
  <c r="P88" i="44" s="1"/>
  <c r="Q88" i="44" s="1"/>
  <c r="L70" i="44" s="1"/>
  <c r="T15" i="42"/>
  <c r="U15" i="42" s="1"/>
  <c r="V15" i="42" s="1"/>
  <c r="T33" i="42"/>
  <c r="U33" i="42" s="1"/>
  <c r="V33" i="42" s="1"/>
  <c r="T37" i="42"/>
  <c r="U37" i="42" s="1"/>
  <c r="V37" i="42" s="1"/>
  <c r="O40" i="44"/>
  <c r="P40" i="44" s="1"/>
  <c r="Q40" i="44" s="1"/>
  <c r="L22" i="44" s="1"/>
  <c r="O136" i="44"/>
  <c r="P136" i="44" s="1"/>
  <c r="Q136" i="44" s="1"/>
  <c r="L118" i="44" s="1"/>
  <c r="T40" i="42"/>
  <c r="U40" i="42" s="1"/>
  <c r="V40" i="42" s="1"/>
  <c r="T21" i="42"/>
  <c r="U21" i="42" s="1"/>
  <c r="V21" i="42" s="1"/>
  <c r="T51" i="42"/>
  <c r="U51" i="42" s="1"/>
  <c r="V51" i="42" s="1"/>
  <c r="O139" i="44"/>
  <c r="P139" i="44" s="1"/>
  <c r="Q139" i="44" s="1"/>
  <c r="L121" i="44" s="1"/>
  <c r="O35" i="44"/>
  <c r="P35" i="44" s="1"/>
  <c r="Q35" i="44" s="1"/>
  <c r="L17" i="44" s="1"/>
  <c r="G18" i="43"/>
  <c r="G19" i="43" s="1"/>
  <c r="T42" i="42"/>
  <c r="U42" i="42" s="1"/>
  <c r="V42" i="42" s="1"/>
  <c r="T58" i="42"/>
  <c r="U58" i="42" s="1"/>
  <c r="V58" i="42" s="1"/>
  <c r="O38" i="44"/>
  <c r="P38" i="44" s="1"/>
  <c r="Q38" i="44" s="1"/>
  <c r="L20" i="44" s="1"/>
  <c r="O91" i="44"/>
  <c r="P91" i="44" s="1"/>
  <c r="Q91" i="44" s="1"/>
  <c r="L73" i="44" s="1"/>
  <c r="H116" i="1"/>
  <c r="H117" i="1" s="1"/>
  <c r="T61" i="42"/>
  <c r="U61" i="42" s="1"/>
  <c r="V61" i="42" s="1"/>
  <c r="T39" i="42"/>
  <c r="U39" i="42" s="1"/>
  <c r="V39" i="42" s="1"/>
  <c r="J42" i="45"/>
  <c r="J44" i="45" s="1"/>
  <c r="N44" i="45" s="1"/>
  <c r="R252" i="7" s="1"/>
  <c r="O89" i="44"/>
  <c r="P89" i="44" s="1"/>
  <c r="Q89" i="44" s="1"/>
  <c r="L71" i="44" s="1"/>
  <c r="O138" i="44"/>
  <c r="P138" i="44" s="1"/>
  <c r="Q138" i="44" s="1"/>
  <c r="L120" i="44" s="1"/>
  <c r="O36" i="44"/>
  <c r="P36" i="44" s="1"/>
  <c r="Q36" i="44" s="1"/>
  <c r="L18" i="44" s="1"/>
  <c r="T55" i="42"/>
  <c r="U55" i="42" s="1"/>
  <c r="V55" i="42" s="1"/>
  <c r="D18" i="5"/>
  <c r="D19" i="5" s="1"/>
  <c r="D20" i="5" s="1"/>
  <c r="T60" i="42"/>
  <c r="U60" i="42" s="1"/>
  <c r="V60" i="42" s="1"/>
  <c r="T35" i="42"/>
  <c r="U35" i="42" s="1"/>
  <c r="V35" i="42" s="1"/>
  <c r="O143" i="44"/>
  <c r="P143" i="44" s="1"/>
  <c r="Q143" i="44" s="1"/>
  <c r="L125" i="44" s="1"/>
  <c r="O33" i="44"/>
  <c r="P33" i="44" s="1"/>
  <c r="Q33" i="44" s="1"/>
  <c r="L15" i="44" s="1"/>
  <c r="O141" i="44"/>
  <c r="P141" i="44" s="1"/>
  <c r="Q141" i="44" s="1"/>
  <c r="L123" i="44" s="1"/>
  <c r="T19" i="42"/>
  <c r="U19" i="42" s="1"/>
  <c r="V19" i="42" s="1"/>
  <c r="T18" i="42"/>
  <c r="U18" i="42" s="1"/>
  <c r="V18" i="42" s="1"/>
  <c r="T14" i="42"/>
  <c r="U14" i="42" s="1"/>
  <c r="V14" i="42" s="1"/>
  <c r="O93" i="44"/>
  <c r="P93" i="44" s="1"/>
  <c r="Q93" i="44" s="1"/>
  <c r="L75" i="44" s="1"/>
  <c r="O87" i="44"/>
  <c r="P87" i="44" s="1"/>
  <c r="Q87" i="44" s="1"/>
  <c r="L69" i="44" s="1"/>
  <c r="T36" i="42"/>
  <c r="U36" i="42" s="1"/>
  <c r="V36" i="42" s="1"/>
  <c r="T63" i="42"/>
  <c r="U63" i="42" s="1"/>
  <c r="V63" i="42" s="1"/>
  <c r="T38" i="42"/>
  <c r="U38" i="42" s="1"/>
  <c r="V38" i="42" s="1"/>
  <c r="O90" i="44"/>
  <c r="P90" i="44" s="1"/>
  <c r="Q90" i="44" s="1"/>
  <c r="L72" i="44" s="1"/>
  <c r="O39" i="44"/>
  <c r="P39" i="44" s="1"/>
  <c r="Q39" i="44" s="1"/>
  <c r="L21" i="44" s="1"/>
  <c r="H165" i="1"/>
  <c r="H166" i="1" s="1"/>
  <c r="T56" i="42"/>
  <c r="U56" i="42" s="1"/>
  <c r="V56" i="42" s="1"/>
  <c r="T16" i="42"/>
  <c r="U16" i="42" s="1"/>
  <c r="V16" i="42" s="1"/>
  <c r="O92" i="44"/>
  <c r="P92" i="44" s="1"/>
  <c r="Q92" i="44" s="1"/>
  <c r="L74" i="44" s="1"/>
  <c r="O137" i="44"/>
  <c r="P137" i="44" s="1"/>
  <c r="Q137" i="44" s="1"/>
  <c r="L119" i="44" s="1"/>
  <c r="O41" i="44"/>
  <c r="P41" i="44" s="1"/>
  <c r="Q41" i="44" s="1"/>
  <c r="L23" i="44" s="1"/>
  <c r="T54" i="42"/>
  <c r="U54" i="42" s="1"/>
  <c r="V54" i="42" s="1"/>
  <c r="O134" i="44"/>
  <c r="P134" i="44" s="1"/>
  <c r="Q134" i="44" s="1"/>
  <c r="L116" i="44" s="1"/>
  <c r="T59" i="42"/>
  <c r="U59" i="42" s="1"/>
  <c r="V59" i="42" s="1"/>
  <c r="O140" i="44"/>
  <c r="P140" i="44" s="1"/>
  <c r="Q140" i="44" s="1"/>
  <c r="L122" i="44" s="1"/>
  <c r="T11" i="42"/>
  <c r="U11" i="42" s="1"/>
  <c r="V11" i="42" s="1"/>
  <c r="T22" i="42"/>
  <c r="U22" i="42" s="1"/>
  <c r="V22" i="42" s="1"/>
  <c r="D11" i="5"/>
  <c r="D12" i="5" s="1"/>
  <c r="O42" i="44"/>
  <c r="P42" i="44" s="1"/>
  <c r="Q42" i="44" s="1"/>
  <c r="L24" i="44" s="1"/>
  <c r="D37" i="5" l="1"/>
  <c r="D40" i="5" s="1"/>
  <c r="H285" i="1" s="1"/>
  <c r="P24" i="44"/>
  <c r="M24" i="44"/>
  <c r="N24" i="44" s="1"/>
  <c r="O24" i="44"/>
  <c r="P122" i="44"/>
  <c r="M122" i="44"/>
  <c r="N122" i="44" s="1"/>
  <c r="O122" i="44"/>
  <c r="M23" i="44"/>
  <c r="O23" i="44" s="1"/>
  <c r="P23" i="44"/>
  <c r="H56" i="42"/>
  <c r="W56" i="42"/>
  <c r="H38" i="42"/>
  <c r="W38" i="42"/>
  <c r="M75" i="44"/>
  <c r="O75" i="44" s="1"/>
  <c r="P75" i="44"/>
  <c r="N75" i="44"/>
  <c r="M123" i="44"/>
  <c r="N123" i="44" s="1"/>
  <c r="P123" i="44"/>
  <c r="W60" i="42"/>
  <c r="H60" i="42"/>
  <c r="P120" i="44"/>
  <c r="M120" i="44"/>
  <c r="O120" i="44" s="1"/>
  <c r="H61" i="42"/>
  <c r="W61" i="42"/>
  <c r="W58" i="42"/>
  <c r="H58" i="42"/>
  <c r="M121" i="44"/>
  <c r="O121" i="44" s="1"/>
  <c r="P121" i="44"/>
  <c r="P118" i="44"/>
  <c r="M118" i="44"/>
  <c r="N118" i="44" s="1"/>
  <c r="W15" i="42"/>
  <c r="H15" i="42"/>
  <c r="H23" i="42"/>
  <c r="W23" i="42"/>
  <c r="H20" i="42"/>
  <c r="W20" i="42"/>
  <c r="P66" i="44"/>
  <c r="M66" i="44"/>
  <c r="O66" i="44" s="1"/>
  <c r="P65" i="44"/>
  <c r="L77" i="44"/>
  <c r="M65" i="44"/>
  <c r="N65" i="44" s="1"/>
  <c r="H57" i="42"/>
  <c r="W57" i="42"/>
  <c r="H62" i="42"/>
  <c r="W62" i="42"/>
  <c r="P126" i="44"/>
  <c r="M126" i="44"/>
  <c r="N126" i="44" s="1"/>
  <c r="W59" i="42"/>
  <c r="H59" i="42"/>
  <c r="P119" i="44"/>
  <c r="M119" i="44"/>
  <c r="N119" i="44" s="1"/>
  <c r="W63" i="42"/>
  <c r="H63" i="42"/>
  <c r="H14" i="42"/>
  <c r="W14" i="42"/>
  <c r="P15" i="44"/>
  <c r="L27" i="44"/>
  <c r="M15" i="44"/>
  <c r="N15" i="44" s="1"/>
  <c r="M71" i="44"/>
  <c r="O71" i="44" s="1"/>
  <c r="P71" i="44"/>
  <c r="H42" i="42"/>
  <c r="W42" i="42"/>
  <c r="V64" i="42"/>
  <c r="G21" i="2" s="1"/>
  <c r="W51" i="42"/>
  <c r="H51" i="42"/>
  <c r="M22" i="44"/>
  <c r="O22" i="44" s="1"/>
  <c r="P22" i="44"/>
  <c r="M70" i="44"/>
  <c r="N70" i="44" s="1"/>
  <c r="P70" i="44"/>
  <c r="M127" i="44"/>
  <c r="N127" i="44" s="1"/>
  <c r="P127" i="44"/>
  <c r="P26" i="44"/>
  <c r="M26" i="44"/>
  <c r="O26" i="44" s="1"/>
  <c r="W17" i="42"/>
  <c r="H17" i="42"/>
  <c r="P124" i="44"/>
  <c r="M124" i="44"/>
  <c r="N124" i="44" s="1"/>
  <c r="T252" i="7"/>
  <c r="H126" i="1" s="1"/>
  <c r="W52" i="42"/>
  <c r="H52" i="42"/>
  <c r="W53" i="42"/>
  <c r="H53" i="42"/>
  <c r="W22" i="42"/>
  <c r="H22" i="42"/>
  <c r="M116" i="44"/>
  <c r="O116" i="44" s="1"/>
  <c r="L128" i="44"/>
  <c r="P116" i="44"/>
  <c r="P74" i="44"/>
  <c r="M74" i="44"/>
  <c r="N74" i="44" s="1"/>
  <c r="M21" i="44"/>
  <c r="O21" i="44" s="1"/>
  <c r="P21" i="44"/>
  <c r="W36" i="42"/>
  <c r="H36" i="42"/>
  <c r="H18" i="42"/>
  <c r="W18" i="42"/>
  <c r="M125" i="44"/>
  <c r="O125" i="44" s="1"/>
  <c r="P125" i="44"/>
  <c r="H55" i="42"/>
  <c r="W55" i="42"/>
  <c r="M73" i="44"/>
  <c r="O73" i="44" s="1"/>
  <c r="P73" i="44"/>
  <c r="H19" i="43"/>
  <c r="H21" i="42"/>
  <c r="W21" i="42"/>
  <c r="H37" i="42"/>
  <c r="W37" i="42"/>
  <c r="W34" i="42"/>
  <c r="H34" i="42"/>
  <c r="V44" i="42"/>
  <c r="G20" i="2" s="1"/>
  <c r="W31" i="42"/>
  <c r="H31" i="42"/>
  <c r="M19" i="44"/>
  <c r="O19" i="44" s="1"/>
  <c r="P19" i="44"/>
  <c r="H41" i="42"/>
  <c r="W41" i="42"/>
  <c r="M117" i="44"/>
  <c r="O117" i="44" s="1"/>
  <c r="P117" i="44"/>
  <c r="M76" i="44"/>
  <c r="O76" i="44" s="1"/>
  <c r="P76" i="44"/>
  <c r="G20" i="43"/>
  <c r="H20" i="43" s="1"/>
  <c r="G17" i="2"/>
  <c r="H17" i="2" s="1"/>
  <c r="H16" i="14"/>
  <c r="W13" i="42"/>
  <c r="H13" i="42"/>
  <c r="V24" i="42"/>
  <c r="G19" i="2" s="1"/>
  <c r="H11" i="42"/>
  <c r="W11" i="42"/>
  <c r="H54" i="42"/>
  <c r="W54" i="42"/>
  <c r="H16" i="42"/>
  <c r="W16" i="42"/>
  <c r="M72" i="44"/>
  <c r="N72" i="44" s="1"/>
  <c r="P72" i="44"/>
  <c r="M69" i="44"/>
  <c r="N69" i="44" s="1"/>
  <c r="P69" i="44"/>
  <c r="H19" i="42"/>
  <c r="W19" i="42"/>
  <c r="W35" i="42"/>
  <c r="H35" i="42"/>
  <c r="M18" i="44"/>
  <c r="O18" i="44" s="1"/>
  <c r="P18" i="44"/>
  <c r="H39" i="42"/>
  <c r="W39" i="42"/>
  <c r="P20" i="44"/>
  <c r="M20" i="44"/>
  <c r="N20" i="44" s="1"/>
  <c r="P17" i="44"/>
  <c r="M17" i="44"/>
  <c r="N17" i="44" s="1"/>
  <c r="H40" i="42"/>
  <c r="W40" i="42"/>
  <c r="W33" i="42"/>
  <c r="H33" i="42"/>
  <c r="P68" i="44"/>
  <c r="M68" i="44"/>
  <c r="O68" i="44" s="1"/>
  <c r="P25" i="44"/>
  <c r="M25" i="44"/>
  <c r="N25" i="44" s="1"/>
  <c r="W32" i="42"/>
  <c r="H32" i="42"/>
  <c r="H12" i="42"/>
  <c r="W12" i="42"/>
  <c r="M16" i="44"/>
  <c r="O16" i="44" s="1"/>
  <c r="P16" i="44"/>
  <c r="M67" i="44"/>
  <c r="N67" i="44" s="1"/>
  <c r="P67" i="44"/>
  <c r="H43" i="42"/>
  <c r="W43" i="42"/>
  <c r="N16" i="44" l="1"/>
  <c r="N19" i="44"/>
  <c r="G18" i="2"/>
  <c r="N76" i="44"/>
  <c r="N125" i="44"/>
  <c r="O123" i="44"/>
  <c r="O25" i="44"/>
  <c r="O20" i="44"/>
  <c r="O72" i="44"/>
  <c r="O124" i="44"/>
  <c r="O119" i="44"/>
  <c r="N66" i="44"/>
  <c r="N121" i="44"/>
  <c r="O70" i="44"/>
  <c r="O126" i="44"/>
  <c r="O118" i="44"/>
  <c r="N68" i="44"/>
  <c r="G22" i="2"/>
  <c r="H22" i="2" s="1"/>
  <c r="O127" i="44"/>
  <c r="N117" i="44"/>
  <c r="N18" i="44"/>
  <c r="N120" i="44"/>
  <c r="W24" i="42"/>
  <c r="W44" i="42"/>
  <c r="G21" i="43"/>
  <c r="H21" i="43" s="1"/>
  <c r="M128" i="44"/>
  <c r="P27" i="44"/>
  <c r="P77" i="44"/>
  <c r="O67" i="44"/>
  <c r="O17" i="44"/>
  <c r="H24" i="42"/>
  <c r="O74" i="44"/>
  <c r="N116" i="44"/>
  <c r="N26" i="44"/>
  <c r="H64" i="42"/>
  <c r="O15" i="44"/>
  <c r="Q15" i="44" s="1"/>
  <c r="Q16" i="44" s="1"/>
  <c r="Q17" i="44" s="1"/>
  <c r="Q18" i="44" s="1"/>
  <c r="Q19" i="44" s="1"/>
  <c r="Q20" i="44" s="1"/>
  <c r="Q21" i="44" s="1"/>
  <c r="Q22" i="44" s="1"/>
  <c r="M27" i="44"/>
  <c r="O69" i="44"/>
  <c r="N73" i="44"/>
  <c r="N21" i="44"/>
  <c r="P128" i="44"/>
  <c r="N22" i="44"/>
  <c r="W64" i="42"/>
  <c r="N71" i="44"/>
  <c r="O65" i="44"/>
  <c r="M77" i="44"/>
  <c r="H44" i="42"/>
  <c r="N23" i="44"/>
  <c r="Q23" i="44" l="1"/>
  <c r="Q24" i="44" s="1"/>
  <c r="Q25" i="44" s="1"/>
  <c r="Q26" i="44" s="1"/>
  <c r="H22" i="43" s="1"/>
  <c r="O27" i="44"/>
  <c r="O128" i="44"/>
  <c r="N77" i="44"/>
  <c r="N27" i="44"/>
  <c r="N128" i="44"/>
  <c r="Q116" i="44"/>
  <c r="Q117" i="44" s="1"/>
  <c r="Q118" i="44" s="1"/>
  <c r="Q119" i="44" s="1"/>
  <c r="Q120" i="44" s="1"/>
  <c r="Q121" i="44" s="1"/>
  <c r="Q122" i="44" s="1"/>
  <c r="Q123" i="44" s="1"/>
  <c r="Q124" i="44" s="1"/>
  <c r="Q125" i="44" s="1"/>
  <c r="Q126" i="44" s="1"/>
  <c r="Q127" i="44" s="1"/>
  <c r="H24" i="43" s="1"/>
  <c r="O77" i="44"/>
  <c r="Q65" i="44"/>
  <c r="Q66" i="44" s="1"/>
  <c r="Q67" i="44" s="1"/>
  <c r="Q68" i="44" s="1"/>
  <c r="Q69" i="44" s="1"/>
  <c r="Q70" i="44" s="1"/>
  <c r="Q71" i="44" s="1"/>
  <c r="Q72" i="44" s="1"/>
  <c r="Q73" i="44" s="1"/>
  <c r="Q74" i="44" s="1"/>
  <c r="Q75" i="44" s="1"/>
  <c r="Q76" i="44" s="1"/>
  <c r="H23" i="43" s="1"/>
  <c r="H25" i="43" l="1"/>
  <c r="H135" i="1"/>
  <c r="S65" i="7" l="1"/>
  <c r="H136" i="1" s="1"/>
  <c r="H137" i="1" s="1"/>
  <c r="H168" i="1" s="1"/>
  <c r="H268" i="1" l="1"/>
  <c r="H98" i="1"/>
  <c r="H100" i="1" s="1"/>
  <c r="T128" i="7" l="1"/>
  <c r="H196" i="1" s="1"/>
  <c r="H200" i="1" s="1"/>
  <c r="H212" i="1" s="1"/>
  <c r="H213" i="1" l="1"/>
  <c r="H216" i="1" l="1"/>
  <c r="H224" i="1" s="1"/>
  <c r="H215" i="1"/>
  <c r="H223" i="1" s="1"/>
  <c r="H217" i="1"/>
  <c r="W16" i="46" l="1"/>
  <c r="W18" i="46" s="1"/>
  <c r="U16" i="46"/>
  <c r="U18" i="46" s="1"/>
  <c r="Q16" i="46"/>
  <c r="Q18" i="46" s="1"/>
  <c r="K16" i="46"/>
  <c r="K18" i="46" s="1"/>
  <c r="O16" i="46"/>
  <c r="O18" i="46" s="1"/>
  <c r="M16" i="46"/>
  <c r="M18" i="46" s="1"/>
  <c r="S16" i="46"/>
  <c r="S18" i="46" s="1"/>
  <c r="H225" i="1"/>
  <c r="I16" i="46"/>
  <c r="I18" i="46" s="1"/>
  <c r="G16" i="46"/>
  <c r="G18" i="46" s="1"/>
  <c r="Y16" i="46"/>
  <c r="Y18" i="46" s="1"/>
  <c r="H226" i="1" l="1"/>
  <c r="E18" i="46"/>
  <c r="H301" i="1" s="1"/>
  <c r="E68" i="2" l="1"/>
  <c r="D10" i="2" s="1"/>
  <c r="D12" i="2" s="1"/>
  <c r="D16" i="2" s="1"/>
  <c r="D18" i="2" l="1"/>
  <c r="H18" i="2" s="1"/>
  <c r="H23" i="2" s="1"/>
  <c r="H67" i="1" s="1"/>
  <c r="H128" i="1" s="1"/>
  <c r="H16" i="2"/>
  <c r="H265" i="1" l="1"/>
  <c r="H266" i="1" s="1"/>
  <c r="H130" i="1"/>
  <c r="H258" i="1" l="1"/>
  <c r="H259" i="1" s="1"/>
  <c r="H272" i="1" s="1"/>
  <c r="H228" i="1"/>
  <c r="H271" i="1" s="1"/>
  <c r="H274" i="1" l="1"/>
  <c r="H292" i="1" s="1"/>
  <c r="H281" i="1" l="1"/>
  <c r="H282" i="1" s="1"/>
  <c r="H287" i="1" s="1"/>
  <c r="H298" i="1" s="1"/>
  <c r="H294" i="1"/>
  <c r="H295" i="1"/>
  <c r="H296" i="1"/>
  <c r="Q14" i="47" l="1"/>
  <c r="Q15" i="47" s="1"/>
  <c r="Q19" i="47" s="1"/>
  <c r="I14" i="47"/>
  <c r="I15" i="47" s="1"/>
  <c r="I19" i="47" s="1"/>
  <c r="S14" i="47"/>
  <c r="S15" i="47" s="1"/>
  <c r="S19" i="47" s="1"/>
  <c r="W14" i="47"/>
  <c r="W15" i="47" s="1"/>
  <c r="W19" i="47" s="1"/>
  <c r="O14" i="47"/>
  <c r="O15" i="47" s="1"/>
  <c r="O19" i="47" s="1"/>
  <c r="U14" i="47"/>
  <c r="U15" i="47" s="1"/>
  <c r="U19" i="47" s="1"/>
  <c r="M14" i="47"/>
  <c r="M15" i="47" s="1"/>
  <c r="M19" i="47" s="1"/>
  <c r="Y14" i="47"/>
  <c r="Y15" i="47" s="1"/>
  <c r="Y19" i="47" s="1"/>
  <c r="K14" i="47"/>
  <c r="K15" i="47" s="1"/>
  <c r="K19" i="47" s="1"/>
  <c r="G14" i="47"/>
  <c r="G15" i="47" s="1"/>
  <c r="G19" i="47" s="1"/>
  <c r="E19" i="47" l="1"/>
  <c r="E23" i="47" s="1"/>
  <c r="H302" i="1" s="1"/>
  <c r="Y21" i="47" l="1"/>
  <c r="Y23" i="47" s="1"/>
  <c r="Y28" i="47" s="1"/>
  <c r="I21" i="47"/>
  <c r="I23" i="47" s="1"/>
  <c r="I28" i="47" s="1"/>
  <c r="G21" i="47"/>
  <c r="G23" i="47" s="1"/>
  <c r="G28" i="47" s="1"/>
  <c r="Q21" i="47"/>
  <c r="Q23" i="47" s="1"/>
  <c r="Q28" i="47" s="1"/>
  <c r="M21" i="47"/>
  <c r="M23" i="47" s="1"/>
  <c r="M28" i="47" s="1"/>
  <c r="S21" i="47"/>
  <c r="S23" i="47" s="1"/>
  <c r="S28" i="47" s="1"/>
  <c r="K21" i="47"/>
  <c r="K23" i="47" s="1"/>
  <c r="K28" i="47" s="1"/>
  <c r="W21" i="47"/>
  <c r="W23" i="47" s="1"/>
  <c r="W28" i="47" s="1"/>
  <c r="O21" i="47"/>
  <c r="O23" i="47" s="1"/>
  <c r="O28" i="47" s="1"/>
  <c r="U21" i="47"/>
  <c r="U23" i="47" s="1"/>
  <c r="U28" i="47" s="1"/>
  <c r="E28" i="47" l="1"/>
  <c r="H304" i="1" s="1"/>
  <c r="H308" i="1" s="1"/>
  <c r="H310" i="1" s="1"/>
  <c r="H311" i="1" l="1"/>
  <c r="H312" i="1"/>
  <c r="H313" i="1" l="1"/>
  <c r="H3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tc={440E4A2E-D11C-416A-854B-F3A004B67D21}</author>
  </authors>
  <commentList>
    <comment ref="R56" authorId="0" shapeId="0" xr:uid="{440E4A2E-D11C-416A-854B-F3A004B67D21}">
      <text>
        <t xml:space="preserve">[Threaded comment]
Your version of Excel allows you to read this threaded comment; however, any edits to it will get removed if the file is opened in a newer version of Excel. Learn more: https://go.microsoft.com/fwlink/?linkid=870924
Comment:
    Using 12/19 ratio of T to total construction for 12/18 </t>
      </text>
    </comment>
  </commentList>
</comments>
</file>

<file path=xl/sharedStrings.xml><?xml version="1.0" encoding="utf-8"?>
<sst xmlns="http://schemas.openxmlformats.org/spreadsheetml/2006/main" count="2336" uniqueCount="1000">
  <si>
    <t>Dayton Power and Light</t>
  </si>
  <si>
    <t xml:space="preserve">ATTACHMENT H-15A </t>
  </si>
  <si>
    <t xml:space="preserve">Projected for </t>
  </si>
  <si>
    <t>Formula Rate -- Appendix A (electric only)</t>
  </si>
  <si>
    <t>Notes</t>
  </si>
  <si>
    <t>Formula Rate Attachment Reference or Instruction</t>
  </si>
  <si>
    <t>12 Months Ended December 31, 2021</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</si>
  <si>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</si>
  <si>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</si>
  <si>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</si>
  <si>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</si>
  <si>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</si>
  <si>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</si>
  <si>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</si>
  <si>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</si>
  <si>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</si>
  <si>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</si>
  <si>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</si>
  <si>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</si>
  <si>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</si>
  <si>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</si>
  <si>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</si>
  <si>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</si>
  <si>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Revenue Allocator</t>
  </si>
  <si>
    <t>Transmission Revenue</t>
  </si>
  <si>
    <t>Distribution Revenue</t>
  </si>
  <si>
    <t>Total Transmission and Distribution Revenue</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</si>
  <si>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</si>
  <si>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</si>
  <si>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</si>
  <si>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</si>
  <si>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</si>
  <si>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</si>
  <si>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</si>
  <si>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</si>
  <si>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</si>
  <si>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</si>
  <si>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</si>
  <si>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</si>
  <si>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</si>
  <si>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</si>
  <si>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</si>
  <si>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</si>
  <si>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</si>
  <si>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</si>
  <si>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</si>
  <si>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</si>
  <si>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</si>
  <si>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</si>
  <si>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</si>
  <si>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</si>
  <si>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</si>
  <si>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</si>
  <si>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</si>
  <si>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</si>
  <si>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</si>
  <si>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</si>
  <si>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</si>
  <si>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</si>
  <si>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</si>
  <si>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</si>
  <si>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Transmission Materials &amp; Supplies</t>
  </si>
  <si>
    <t>Total Materials &amp; Supplies for Transmission</t>
  </si>
  <si>
    <t>Regulatory Assets</t>
  </si>
  <si>
    <t>Pension and Other Post Employment Benefits</t>
  </si>
  <si>
    <t>Total Regulatory Assets Allocated to Transmission</t>
  </si>
  <si>
    <t>Cash Working Capital</t>
  </si>
  <si>
    <t xml:space="preserve">Operation &amp; Maintenance Expense </t>
  </si>
  <si>
    <t>1/8th Rule</t>
  </si>
  <si>
    <t xml:space="preserve">  1/8</t>
  </si>
  <si>
    <t>Total Cash Working Capital for Transmission</t>
  </si>
  <si>
    <t>Unfunded Reserves</t>
  </si>
  <si>
    <t>Property Insurance</t>
  </si>
  <si>
    <t>Property Insurance Allocated to Transmission</t>
  </si>
  <si>
    <t>Injuries and Damages</t>
  </si>
  <si>
    <t>Total</t>
  </si>
  <si>
    <t>Wage and Salary Allocator</t>
  </si>
  <si>
    <t>I&amp;J and P&amp;B Allocated to Transmission</t>
  </si>
  <si>
    <t>Miscellaneous Operating Provisions - Transmission Portion</t>
  </si>
  <si>
    <t>Customer Deposits and Advances for Construction</t>
  </si>
  <si>
    <t>Customer Deposits and Advances for Construction Allocated to Transmission</t>
  </si>
  <si>
    <t>Other Regulatory Liabilities</t>
  </si>
  <si>
    <t>Total Regulatory Liabilities Allocated to Transmission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</si>
  <si>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</si>
  <si>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</si>
  <si>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</si>
  <si>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</si>
  <si>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</si>
  <si>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</si>
  <si>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</si>
  <si>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</si>
  <si>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</si>
  <si>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</si>
  <si>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</si>
  <si>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</si>
  <si>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t>
  </si>
  <si>
    <t>Administrative &amp; General Expenses</t>
  </si>
  <si>
    <t>Administrative &amp; General Expenses Allocated to Transmission</t>
  </si>
  <si>
    <t>Directly Assigned A&amp;G</t>
  </si>
  <si>
    <t>Regulatory Commission Expense</t>
  </si>
  <si>
    <t>Service Company and DP&amp;L Costs Directly Assigned to A&amp;G Transmission</t>
  </si>
  <si>
    <t>Subtotal</t>
  </si>
  <si>
    <t>Property Insurance Account 924</t>
  </si>
  <si>
    <t>Total A&amp;G for Transmission</t>
  </si>
  <si>
    <t>Less: Energy Efficiency</t>
  </si>
  <si>
    <t>Total Customer Service-Related</t>
  </si>
  <si>
    <t>Customer Service-Related  Transmission Allocation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</si>
  <si>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</si>
  <si>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</si>
  <si>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</si>
  <si>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</si>
  <si>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</si>
  <si>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</si>
  <si>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</si>
  <si>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</si>
  <si>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</si>
  <si>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</si>
  <si>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</si>
  <si>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</si>
  <si>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</si>
  <si>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</si>
  <si>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</si>
  <si>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</si>
  <si>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</si>
  <si>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</si>
  <si>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</si>
  <si>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</si>
  <si>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</si>
  <si>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</si>
  <si>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Loss on Reacquired Debt </t>
  </si>
  <si>
    <t xml:space="preserve">               Unamortized Premium</t>
  </si>
  <si>
    <t xml:space="preserve">               Unamortized Loss</t>
  </si>
  <si>
    <t xml:space="preserve">               Unamortized Gain on Reacquired Debt</t>
  </si>
  <si>
    <t xml:space="preserve">               ADIT associated with Gain or Loss</t>
  </si>
  <si>
    <t xml:space="preserve">               Long-term Portion of Derivative Assets - Hedges</t>
  </si>
  <si>
    <t xml:space="preserve">              Derivative Instrument Liabilities - Hedges</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</si>
  <si>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</si>
  <si>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</si>
  <si>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</si>
  <si>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</si>
  <si>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</si>
  <si>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</si>
  <si>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</si>
  <si>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</si>
  <si>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</si>
  <si>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</si>
  <si>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</si>
  <si>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</si>
  <si>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</si>
  <si>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</si>
  <si>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</si>
  <si>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</si>
  <si>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</si>
  <si>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</si>
  <si>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</si>
  <si>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</si>
  <si>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</si>
  <si>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</si>
  <si>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</si>
  <si>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</si>
  <si>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</si>
  <si>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</si>
  <si>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</si>
  <si>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</si>
  <si>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</si>
  <si>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</si>
  <si>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</si>
  <si>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</si>
  <si>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</si>
  <si>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</si>
  <si>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</si>
  <si>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</si>
  <si>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</si>
  <si>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</si>
  <si>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</si>
  <si>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</si>
  <si>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</si>
  <si>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</si>
  <si>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</si>
  <si>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</si>
  <si>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</si>
  <si>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</si>
  <si>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</si>
  <si>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</si>
  <si>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</si>
  <si>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</si>
  <si>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</si>
  <si>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</si>
  <si>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</si>
  <si>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</si>
  <si>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</si>
  <si>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</si>
  <si>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</si>
  <si>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</si>
  <si>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</si>
  <si>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</si>
  <si>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</si>
  <si>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</si>
  <si>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</si>
  <si>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</si>
  <si>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</si>
  <si>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</si>
  <si>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</si>
  <si>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</si>
  <si>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</si>
  <si>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</si>
  <si>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 Allocated to Other Zones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</si>
  <si>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</si>
  <si>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</si>
  <si>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</si>
  <si>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</si>
  <si>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</si>
  <si>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</si>
  <si>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</si>
  <si>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</si>
  <si>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</si>
  <si>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</si>
  <si>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</si>
  <si>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</si>
  <si>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</si>
  <si>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 xml:space="preserve">Includes the original cost of transmission electric plant (excluding land and land rights) owned and held by DP&amp;L for future use of electric service under a definite plan </t>
  </si>
  <si>
    <t>for such use and land and land rights held by DP&amp;L for future use of electric service under a plan for such use</t>
  </si>
  <si>
    <t>C</t>
  </si>
  <si>
    <t>Includes 100% of EPRI membership dues charged to A&amp;G</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</si>
  <si>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</si>
  <si>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</si>
  <si>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</si>
  <si>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</si>
  <si>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</si>
  <si>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</si>
  <si>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</si>
  <si>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from a Section 205 or 206 proceding.  The ROE includes a 50 basis point RTO Adder.</t>
  </si>
  <si>
    <t xml:space="preserve">The Annual PBOP Expense included in the Formula Rate Annual Update shall be based upon the Company's projections and trued-up to actual </t>
  </si>
  <si>
    <t xml:space="preserve">PBOP Expense as charged to FERC Account 926.  DP&amp;L will provide, in connection with each annual True-Up Adjustment filing, </t>
  </si>
  <si>
    <t xml:space="preserve">a confidential copy of relevant pages from the annual actuarial valuation report supporting the derivation of the Actual Annual PBOP Expense as charged to FERC Account 926. </t>
  </si>
  <si>
    <t>Depreciation rates shown in Attachment 8 are fixed until changed as the result of a filing at FERC or to coincide with changes in state depreciation rates</t>
  </si>
  <si>
    <t>If book depreciation rates are different than the Attachment 8 rates, DP&amp;L will provide workpapers at the annual update to reconcile formula depreciation expense and FERC Form 1 depreciation accruals.</t>
  </si>
  <si>
    <t>H</t>
  </si>
  <si>
    <t>Coincident peak demand computed as provided for in Section 34.1 of the PJM OATT.  The PJM determined coincident peak demand will not be revised or updated in the Annual True-Up (ATU) Adjustment.</t>
  </si>
  <si>
    <t xml:space="preserve"> as the ATU Adjustment compares the applicable calendar year actual revenue requirement to the actual revenue (based upon the projected revenue requirement). </t>
  </si>
  <si>
    <t>I</t>
  </si>
  <si>
    <t>Amount of transmission plant excluded from rates per Attachment 4</t>
  </si>
  <si>
    <t>J</t>
  </si>
  <si>
    <t>Reserved for future use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</si>
  <si>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</si>
  <si>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</si>
  <si>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</si>
  <si>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</si>
  <si>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</si>
  <si>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</si>
  <si>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</si>
  <si>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 xml:space="preserve">Includes Unamortized Excess Deferred Income Tax Regulatory Assets or Liabilities and the associated amortization arising from income tax rate changes related to the 2017 Tax Cut and Jobs Act and any future </t>
  </si>
  <si>
    <t xml:space="preserve"> change in federal, state or local income tax rates, as per Order 864, Public Utility Transmission Rate Changes to Address Accumulated Deferred Income Taxes.</t>
  </si>
  <si>
    <t>O</t>
  </si>
  <si>
    <t>Service company A&amp;G costs charged directly or allocated to transmission function by service company and not subject to allocation in the formula rate</t>
  </si>
  <si>
    <t>P</t>
  </si>
  <si>
    <t xml:space="preserve">The calculations of ADIT for Accounts 190, 282 and 283, in the projected net revenue requirement and the ATU Adjustment are performed in accordance the proration requirements of Treasury regulation Section 1.167(l)-1(h)(6).  </t>
  </si>
  <si>
    <t>Q</t>
  </si>
  <si>
    <t xml:space="preserve">ROE Adder authorized by the Commission for projects included in Attachment 7A, which contains docket in which ROE Adder was authorized by FERC.  </t>
  </si>
  <si>
    <t>R</t>
  </si>
  <si>
    <t>The revenue requirement for PJM Schedule 12 Facilities is separately identifed for cost allocation purposes, as the costs are allocated to more than the Dayton Zone.  PJM provides revenue credits to DP&amp;L for the portion of the DP&amp;L</t>
  </si>
  <si>
    <t xml:space="preserve"> Schedule 12 Facilities allocated to other zones, which reduces the DP&amp;L NITS transmission revenue requirement.  Amount includes any ATU for DP&amp;L Schedule 12 Projects.</t>
  </si>
  <si>
    <t>S</t>
  </si>
  <si>
    <t xml:space="preserve">Include any Network or Facility Credits provided pursuant to Section 30.9 of the PJM OATT if not already included in another category of the Formula Rate.  </t>
  </si>
  <si>
    <t>END</t>
  </si>
  <si>
    <t>T</t>
  </si>
  <si>
    <t xml:space="preserve">Only the transmission portion of amounts reported on line 5 of page 227 of Form 1 is used ("Assigned to - Construction").  The transmission portion of line 5 is specificed in a footnote on page 227. </t>
  </si>
  <si>
    <t>Attachment 1A - Accumulated Deferred Income Taxes (ADIT) Worksheet - Projected December 31, 2021</t>
  </si>
  <si>
    <t>Account 190 and 283 [2019 data]</t>
  </si>
  <si>
    <t>Account 282 [2021 data]</t>
  </si>
  <si>
    <t>Only</t>
  </si>
  <si>
    <t>Transmission</t>
  </si>
  <si>
    <t xml:space="preserve">Plant </t>
  </si>
  <si>
    <t>Labor</t>
  </si>
  <si>
    <t>Revenue</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</si>
  <si>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</si>
  <si>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</si>
  <si>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</si>
  <si>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</si>
  <si>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</si>
  <si>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</si>
  <si>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</si>
  <si>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</si>
  <si>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ADIT-190 - Prorated Items</t>
  </si>
  <si>
    <t>ADIT-282 - Prorated Items</t>
  </si>
  <si>
    <t>ADIT-283 - Prorated Items</t>
  </si>
  <si>
    <t>Total Prorated Amounts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</si>
  <si>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</si>
  <si>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</si>
  <si>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</si>
  <si>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</si>
  <si>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</si>
  <si>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</si>
  <si>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</si>
  <si>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</si>
  <si>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</si>
  <si>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</si>
  <si>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</si>
  <si>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</si>
  <si>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</si>
  <si>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</si>
  <si>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</si>
  <si>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</si>
  <si>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</si>
  <si>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</si>
  <si>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</si>
  <si>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</si>
  <si>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</si>
  <si>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</si>
  <si>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</si>
  <si>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accured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</si>
  <si>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</si>
  <si>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</si>
  <si>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</si>
  <si>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</si>
  <si>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</si>
  <si>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</si>
  <si>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</si>
  <si>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</si>
  <si>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</si>
  <si>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</si>
  <si>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</si>
  <si>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</si>
  <si>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</si>
  <si>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</si>
  <si>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</si>
  <si>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</si>
  <si>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</si>
  <si>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</si>
  <si>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</si>
  <si>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</si>
  <si>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</si>
  <si>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</si>
  <si>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</si>
  <si>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</si>
  <si>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</si>
  <si>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</si>
  <si>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</si>
  <si>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</si>
  <si>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</si>
  <si>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</si>
  <si>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Books amortizes pension expense based on actuarial calculations. Tax deduction is allowed when cash contributions are made to the plan.</t>
  </si>
  <si>
    <t>Phase-in Deferral</t>
  </si>
  <si>
    <t xml:space="preserve">Books records regulatory assets and laiblilites.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</si>
  <si>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</si>
  <si>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</si>
  <si>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</si>
  <si>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</si>
  <si>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</si>
  <si>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</si>
  <si>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</si>
  <si>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</si>
  <si>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</si>
  <si>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</si>
  <si>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 2021</t>
  </si>
  <si>
    <t>Debit amounts are shown as positive and credit amounts are shown as negative.</t>
  </si>
  <si>
    <t>Rate Year = 2021</t>
  </si>
  <si>
    <t>Account 190</t>
  </si>
  <si>
    <t>(a)</t>
  </si>
  <si>
    <t>(b)</t>
  </si>
  <si>
    <t>(c)</t>
  </si>
  <si>
    <t>(d)</t>
  </si>
  <si>
    <t>(e)</t>
  </si>
  <si>
    <t>(f)</t>
  </si>
  <si>
    <t>(g)</t>
  </si>
  <si>
    <t>(h)</t>
  </si>
  <si>
    <t>(i)</t>
  </si>
  <si>
    <t>(j)</t>
  </si>
  <si>
    <t>(k)</t>
  </si>
  <si>
    <t>(l)</t>
  </si>
  <si>
    <t>(m)</t>
  </si>
  <si>
    <t>(n)</t>
  </si>
  <si>
    <t>(o)</t>
  </si>
  <si>
    <t>(p)</t>
  </si>
  <si>
    <t>(q)</t>
  </si>
  <si>
    <t>(r)</t>
  </si>
  <si>
    <t>(s)</t>
  </si>
  <si>
    <t>(t)</t>
  </si>
  <si>
    <t>(u)</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</si>
  <si>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</si>
  <si>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</si>
  <si>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</si>
  <si>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</si>
  <si>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</si>
  <si>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</si>
  <si>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</si>
  <si>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</si>
  <si>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(f) x (h)</t>
  </si>
  <si>
    <t>Plant Related</t>
  </si>
  <si>
    <t>Plant Allocation</t>
  </si>
  <si>
    <t>Plant Proration
(f) x (l)</t>
  </si>
  <si>
    <t>Labor Related</t>
  </si>
  <si>
    <t>Labor Allocation</t>
  </si>
  <si>
    <t>Labor Proration
(f) x (p)</t>
  </si>
  <si>
    <t>Revenue Related</t>
  </si>
  <si>
    <t>Revenue Allocation</t>
  </si>
  <si>
    <t>Revenue Proration
(f) x (t)</t>
  </si>
  <si>
    <t>Total Transmission Prorated Amount</t>
  </si>
  <si>
    <t>December 31st balance Prorated Items (FF1 234.8.b less non Prorated Items)</t>
  </si>
  <si>
    <t>January</t>
  </si>
  <si>
    <t>February</t>
  </si>
  <si>
    <t>March</t>
  </si>
  <si>
    <t>April</t>
  </si>
  <si>
    <t>May</t>
  </si>
  <si>
    <t>June</t>
  </si>
  <si>
    <t>July</t>
  </si>
  <si>
    <t>August</t>
  </si>
  <si>
    <t>September</t>
  </si>
  <si>
    <t>October</t>
  </si>
  <si>
    <t>November</t>
  </si>
  <si>
    <t>December</t>
  </si>
  <si>
    <t>Prorated Balance</t>
  </si>
  <si>
    <t>Account 282</t>
  </si>
  <si>
    <t>Transmission Proration
(d) x (f)</t>
  </si>
  <si>
    <t>December 31st balance Prorated Items (FF1 274.2.b less non Prorated Items)</t>
  </si>
  <si>
    <t>Account 283</t>
  </si>
  <si>
    <t>December 31st balance Prorated Items (FF1 276.9.b less non Prorated Items)</t>
  </si>
  <si>
    <t xml:space="preserve">Note:  ADIT items in the projected net revenue requirement and in the ATU Adjustment are computed in accordance with the proration requirements of Treasury Regulation Section 1.167(l) - 1(h)(6)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</si>
  <si>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</si>
  <si>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</si>
  <si>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</si>
  <si>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accured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</si>
  <si>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</si>
  <si>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</si>
  <si>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</si>
  <si>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</si>
  <si>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</si>
  <si>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</si>
  <si>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H - Justification</t>
  </si>
  <si>
    <t>Tax and book differences resulting from accelerated tax depreciation .  Included in prorated amount</t>
  </si>
  <si>
    <t>Only Transmission</t>
  </si>
  <si>
    <t>Miscellaneous book tax differences primarily related to non-utility activities</t>
  </si>
  <si>
    <t>Attachment 1D - Accumulated Deferred Income Taxes for Annual True-up - December 31, 2021</t>
  </si>
  <si>
    <t>Average Beginning and End of Year ADIT 283 and 190</t>
  </si>
  <si>
    <t>Actual Average and Prorated ADIT Balance</t>
  </si>
  <si>
    <t>Other - Non-utility</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</si>
  <si>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</si>
  <si>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</si>
  <si>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</si>
  <si>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</si>
  <si>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</si>
  <si>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</si>
  <si>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</si>
  <si>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</si>
  <si>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Attachment 1E - Accumulated Deferred Income Taxes for Annual True-up - December 31, 2021</t>
  </si>
  <si>
    <t>ADIT Proration</t>
  </si>
  <si>
    <t xml:space="preserve"> Debit amounts are shown as positive and credit amounts are shown as negative.</t>
  </si>
  <si>
    <t>Account 190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</si>
  <si>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</si>
  <si>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</si>
  <si>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</si>
  <si>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</si>
  <si>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</si>
  <si>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</si>
  <si>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</si>
  <si>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</si>
  <si>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</si>
  <si>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1,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</si>
  <si>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</si>
  <si>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</si>
  <si>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</si>
  <si>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</si>
  <si>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</si>
  <si>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</si>
  <si>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(FF1 234.8.b)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</si>
  <si>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</si>
  <si>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</si>
  <si>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</si>
  <si>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</si>
  <si>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Account 282 (Note 1)</t>
  </si>
  <si>
    <t>Prorated Projected Balance (Line 27, H plus G)</t>
  </si>
  <si>
    <t>December 31st balance (FF1 274.2.b)</t>
  </si>
  <si>
    <t>Account 283 (Note 1)</t>
  </si>
  <si>
    <t>Prorated Projected Balance (Line 53, H plus G)</t>
  </si>
  <si>
    <t>December 31st balance (FF1 276.9.b)</t>
  </si>
  <si>
    <t>Attachment 2 - Taxes Other Than Income - December 31, 2021</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</si>
  <si>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</si>
  <si>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</si>
  <si>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</si>
  <si>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</si>
  <si>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</si>
  <si>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</si>
  <si>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</si>
  <si>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</si>
  <si>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</si>
  <si>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</si>
  <si>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</si>
  <si>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</si>
  <si>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</si>
  <si>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</si>
  <si>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</si>
  <si>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</si>
  <si>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</si>
  <si>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</si>
  <si>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</si>
  <si>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</si>
  <si>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</si>
  <si>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</si>
  <si>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</si>
  <si>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</si>
  <si>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</si>
  <si>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</si>
  <si>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</si>
  <si>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Attachment 3 - Revenue Credits - December 31, 2021</t>
  </si>
  <si>
    <t>Account 450</t>
  </si>
  <si>
    <t>Reference to FF1 or Other</t>
  </si>
  <si>
    <t>[2018 Data]</t>
  </si>
  <si>
    <t>Late Payment Penalties</t>
  </si>
  <si>
    <t>p300.16.b</t>
  </si>
  <si>
    <t>Late Payment Penalties Allocable to Transmission</t>
  </si>
  <si>
    <t>Account 451</t>
  </si>
  <si>
    <t>Miscellaneous Service Revenues - Total</t>
  </si>
  <si>
    <t>p300, Footnotes</t>
  </si>
  <si>
    <t>Transmission Related - Direct Assigned</t>
  </si>
  <si>
    <t>Remainder</t>
  </si>
  <si>
    <t>Miscellaneous Service Revenues - Allocated to Transmission</t>
  </si>
  <si>
    <t>Total Miscellaneous Service Revenues - Transmission</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</si>
  <si>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</si>
  <si>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</si>
  <si>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</si>
  <si>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</si>
  <si>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</si>
  <si>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</si>
  <si>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</si>
  <si>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</si>
  <si>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</si>
  <si>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</si>
  <si>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</si>
  <si>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</si>
  <si>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</si>
  <si>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</si>
  <si>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Gross Revenue Credits</t>
  </si>
  <si>
    <t>Less: Sharing of Certain Revenues (Note 2)</t>
  </si>
  <si>
    <t>Total Revenue Credits</t>
  </si>
  <si>
    <t>Revenues associated with lines 5, 6, 7, 10 and 11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</si>
  <si>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</si>
  <si>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</si>
  <si>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</si>
  <si>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</si>
  <si>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secondary use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t>
    </r>
  </si>
  <si>
    <t>Note 3</t>
  </si>
  <si>
    <t>DP&amp;L share of Schedule 7, Firm P2P Border Rate revenue</t>
  </si>
  <si>
    <t>Attachment 4 - Cost Support - December 31, 2021</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</si>
  <si>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</si>
  <si>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</si>
  <si>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</si>
  <si>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</si>
  <si>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</si>
  <si>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</si>
  <si>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</si>
  <si>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</si>
  <si>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</si>
  <si>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</si>
  <si>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</si>
  <si>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</si>
  <si>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</si>
  <si>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</si>
  <si>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</si>
  <si>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</si>
  <si>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</si>
  <si>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</si>
  <si>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</si>
  <si>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</si>
  <si>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</si>
  <si>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</si>
  <si>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[2021 data]</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</si>
  <si>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</si>
  <si>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</si>
  <si>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</si>
  <si>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</si>
  <si>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</si>
  <si>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</si>
  <si>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</si>
  <si>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</si>
  <si>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</si>
  <si>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</si>
  <si>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</si>
  <si>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</si>
  <si>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</si>
  <si>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</si>
  <si>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</si>
  <si>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</si>
  <si>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</si>
  <si>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</si>
  <si>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</si>
  <si>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</si>
  <si>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</si>
  <si>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[2019 data]</t>
  </si>
  <si>
    <t>Total A&amp;G Wages Expense</t>
  </si>
  <si>
    <t>p354.27b</t>
  </si>
  <si>
    <t>Transmission Wages</t>
  </si>
  <si>
    <t>p354.21b</t>
  </si>
  <si>
    <t>Transmission Property Held for Future Use</t>
  </si>
  <si>
    <t>Beginning Year Balance</t>
  </si>
  <si>
    <t>p214.47.d</t>
  </si>
  <si>
    <t>End of Year Balance</t>
  </si>
  <si>
    <t>Average Balance</t>
  </si>
  <si>
    <t>p111.57c</t>
  </si>
  <si>
    <t xml:space="preserve">End of Year </t>
  </si>
  <si>
    <t>Undistributed Stores Exp</t>
  </si>
  <si>
    <t>p227.16.b,c</t>
  </si>
  <si>
    <t>p227.8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</si>
  <si>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</si>
  <si>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</si>
  <si>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</si>
  <si>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</si>
  <si>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</si>
  <si>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</si>
  <si>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</si>
  <si>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</si>
  <si>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</si>
  <si>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</si>
  <si>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</si>
  <si>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</si>
  <si>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</si>
  <si>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</si>
  <si>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</si>
  <si>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</si>
  <si>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</si>
  <si>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</si>
  <si>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</si>
  <si>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</si>
  <si>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</si>
  <si>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</si>
  <si>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</si>
  <si>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</si>
  <si>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General &amp; Common Expenses</t>
  </si>
  <si>
    <t>EPRI Dues</t>
  </si>
  <si>
    <t>p352-353</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</si>
  <si>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</si>
  <si>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</si>
  <si>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</si>
  <si>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</si>
  <si>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</si>
  <si>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</si>
  <si>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</si>
  <si>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</si>
  <si>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</si>
  <si>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</si>
  <si>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</si>
  <si>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</si>
  <si>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</si>
  <si>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</si>
  <si>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</si>
  <si>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</si>
  <si>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</si>
  <si>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</si>
  <si>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</si>
  <si>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</si>
  <si>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</si>
  <si>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</si>
  <si>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</si>
  <si>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</si>
  <si>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</si>
  <si>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</si>
  <si>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</si>
  <si>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</si>
  <si>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</si>
  <si>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</si>
  <si>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</si>
  <si>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</si>
  <si>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</si>
  <si>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</si>
  <si>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</si>
  <si>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</si>
  <si>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</si>
  <si>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</si>
  <si>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</si>
  <si>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</si>
  <si>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</si>
  <si>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</si>
  <si>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</si>
  <si>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</si>
  <si>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</si>
  <si>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</si>
  <si>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</si>
  <si>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</si>
  <si>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</si>
  <si>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</si>
  <si>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</si>
  <si>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</si>
  <si>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</si>
  <si>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</si>
  <si>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</si>
  <si>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</si>
  <si>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</si>
  <si>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</si>
  <si>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</si>
  <si>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</si>
  <si>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</si>
  <si>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</si>
  <si>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</si>
  <si>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</si>
  <si>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</si>
  <si>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</si>
  <si>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</si>
  <si>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</si>
  <si>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</si>
  <si>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 xml:space="preserve">Dec </t>
  </si>
  <si>
    <t>PJM Load Cost Support</t>
  </si>
  <si>
    <t>1 CP Peak in MWs</t>
  </si>
  <si>
    <t>Network Zonal Service Rate</t>
  </si>
  <si>
    <t>[2019 data - 7/19/19 1500 EST]</t>
  </si>
  <si>
    <t>1 CP Demand</t>
  </si>
  <si>
    <t>PJM Data</t>
  </si>
  <si>
    <t>Project X</t>
  </si>
  <si>
    <t>Project Y</t>
  </si>
  <si>
    <t>Project Z</t>
  </si>
  <si>
    <t>[2020 data]</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</si>
  <si>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</si>
  <si>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</si>
  <si>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</si>
  <si>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</si>
  <si>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</si>
  <si>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</si>
  <si>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</si>
  <si>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</si>
  <si>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</si>
  <si>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</si>
  <si>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</si>
  <si>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Property Insurance - Account 228.1</t>
  </si>
  <si>
    <t>p112.27,c</t>
  </si>
  <si>
    <t>Injuries and Damages - Account 228.2</t>
  </si>
  <si>
    <t>p112.28,c</t>
  </si>
  <si>
    <t>Pensions and Benefits - Account 228.3</t>
  </si>
  <si>
    <t>p112.29,c</t>
  </si>
  <si>
    <t>Misc. Operating Provisions - 228.4</t>
  </si>
  <si>
    <t>p112.30,c</t>
  </si>
  <si>
    <t>Note:  Only include items pertaining to transmission business</t>
  </si>
  <si>
    <t>Deferred Credits - Direct Assign</t>
  </si>
  <si>
    <t>p269.10,f</t>
  </si>
  <si>
    <t xml:space="preserve">Customer Accounts, Customer Service and Informational and Sales Expenses </t>
  </si>
  <si>
    <t>Customers Accounts Expenses</t>
  </si>
  <si>
    <t>p322.164.b</t>
  </si>
  <si>
    <t>901-905</t>
  </si>
  <si>
    <t>Customer Services and Informational Expenses</t>
  </si>
  <si>
    <t>p323.171.b</t>
  </si>
  <si>
    <t>906-910</t>
  </si>
  <si>
    <t>Sales Expenses</t>
  </si>
  <si>
    <t>p323.178.b</t>
  </si>
  <si>
    <t>911-917</t>
  </si>
  <si>
    <t>Energy Efficiency</t>
  </si>
  <si>
    <t>p323 FN</t>
  </si>
  <si>
    <t>Note:  Distribution and Transmission Revenue from internal DP&amp;L Report for latest calendar year</t>
  </si>
  <si>
    <t>Customer Deposit</t>
  </si>
  <si>
    <t>p112.41.c</t>
  </si>
  <si>
    <t>Customer Advances for Construction</t>
  </si>
  <si>
    <t>p113.56.c</t>
  </si>
  <si>
    <t>Pensions and Post Retirement Benefits Other Than Pensions</t>
  </si>
  <si>
    <t>p232.1.f</t>
  </si>
  <si>
    <t>p278.2.f</t>
  </si>
  <si>
    <t>Miscelleneous Current and Accrued Liabilities</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</si>
  <si>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</si>
  <si>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</si>
  <si>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</si>
  <si>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</si>
  <si>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</si>
  <si>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</si>
  <si>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</si>
  <si>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</si>
  <si>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</si>
  <si>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</si>
  <si>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</si>
  <si>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</si>
  <si>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</si>
  <si>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Dec</t>
  </si>
  <si>
    <t>Projects</t>
  </si>
  <si>
    <t>West Milton Substation</t>
  </si>
  <si>
    <t>West Milton-Eldean</t>
  </si>
  <si>
    <t>West Milton - Salem/Englewood</t>
  </si>
  <si>
    <t>Marysville - Reconductor</t>
  </si>
  <si>
    <t>Marysville - New Sub</t>
  </si>
  <si>
    <t>Bath-Trebein</t>
  </si>
  <si>
    <t>Bath Sub</t>
  </si>
  <si>
    <t>Trebein Sub</t>
  </si>
  <si>
    <t>System Reactors for High Voltage Control</t>
  </si>
  <si>
    <t>Gebhart Sub</t>
  </si>
  <si>
    <t>Buckeye Haas Deliver Pt, Bethel Twp.</t>
  </si>
  <si>
    <t>South Charleston Substation - Not Include Until Siting Approval</t>
  </si>
  <si>
    <t>Clinton - 345 kV/69 kV Transformer - Not Include Until Siting Approval</t>
  </si>
  <si>
    <t>Fort Recovery Transformer - Not Include Until Siting Approval</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</si>
  <si>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</si>
  <si>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</si>
  <si>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</si>
  <si>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</si>
  <si>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</si>
  <si>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</si>
  <si>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</si>
  <si>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</si>
  <si>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</si>
  <si>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</si>
  <si>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</si>
  <si>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</si>
  <si>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</si>
  <si>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</si>
  <si>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</si>
  <si>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</si>
  <si>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</si>
  <si>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</si>
  <si>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</si>
  <si>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</si>
  <si>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</si>
  <si>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</si>
  <si>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</si>
  <si>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</si>
  <si>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</si>
  <si>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</si>
  <si>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</si>
  <si>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</si>
  <si>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</si>
  <si>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</si>
  <si>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</si>
  <si>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</si>
  <si>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</si>
  <si>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</si>
  <si>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</si>
  <si>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</si>
  <si>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</si>
  <si>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</si>
  <si>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</si>
  <si>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</si>
  <si>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</si>
  <si>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</si>
  <si>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</si>
  <si>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</si>
  <si>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</si>
  <si>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</si>
  <si>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</si>
  <si>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</si>
  <si>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</si>
  <si>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</si>
  <si>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</si>
  <si>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</si>
  <si>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</si>
  <si>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</si>
  <si>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</si>
  <si>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</si>
  <si>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</si>
  <si>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</si>
  <si>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</si>
  <si>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</si>
  <si>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</si>
  <si>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</si>
  <si>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</si>
  <si>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</si>
  <si>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</si>
  <si>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</si>
  <si>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</si>
  <si>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</si>
  <si>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</si>
  <si>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</si>
  <si>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</si>
  <si>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</si>
  <si>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</si>
  <si>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</si>
  <si>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</si>
  <si>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</si>
  <si>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</si>
  <si>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</si>
  <si>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</si>
  <si>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</si>
  <si>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</si>
  <si>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</si>
  <si>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</si>
  <si>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</si>
  <si>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</si>
  <si>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</si>
  <si>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</si>
  <si>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</si>
  <si>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</si>
  <si>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</si>
  <si>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</si>
  <si>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</si>
  <si>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</si>
  <si>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</si>
  <si>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</si>
  <si>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PP @ 9.11.2020</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</si>
  <si>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</si>
  <si>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</si>
  <si>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</si>
  <si>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</si>
  <si>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</si>
  <si>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</si>
  <si>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</si>
  <si>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</si>
  <si>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</si>
  <si>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</si>
  <si>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</si>
  <si>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an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</si>
  <si>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</si>
  <si>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</si>
  <si>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</si>
  <si>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</si>
  <si>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</si>
  <si>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</si>
  <si>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</si>
  <si>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</si>
  <si>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</si>
  <si>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</si>
  <si>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</si>
  <si>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</si>
  <si>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</si>
  <si>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</si>
  <si>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</si>
  <si>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</si>
  <si>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Attachment 9 - Excess Accumulated Deferred Income Taxes - December 31, 2021</t>
  </si>
  <si>
    <t>Resulting from Income Tax Rate Changes (Note D)</t>
  </si>
  <si>
    <t>Adjusted Excess Deferred Taxes at December 31, 2017</t>
  </si>
  <si>
    <t>Transmission Allocation Factors (Note A)</t>
  </si>
  <si>
    <t>Allocated to transmission</t>
  </si>
  <si>
    <t>2018 Amortization</t>
  </si>
  <si>
    <t>Balance at December 31, 2018</t>
  </si>
  <si>
    <t>2019 Amortization</t>
  </si>
  <si>
    <t>Balance at December 31, 2019</t>
  </si>
  <si>
    <t>2020 Amortization (Note B)</t>
  </si>
  <si>
    <t>Balance at December 31, 2020 (Note B)</t>
  </si>
  <si>
    <t>2021 Amortization (Note B)</t>
  </si>
  <si>
    <t>Balance at December 31, 2021 (Note B)</t>
  </si>
  <si>
    <t xml:space="preserve">   Vacation Pay</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</si>
  <si>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</si>
  <si>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</si>
  <si>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</si>
  <si>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</si>
  <si>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</si>
  <si>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</si>
  <si>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</si>
  <si>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</si>
  <si>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</si>
  <si>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</si>
  <si>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</si>
  <si>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</si>
  <si>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190</t>
  </si>
  <si>
    <t>Liberalized Depreciation - Protected</t>
  </si>
  <si>
    <t>Total 282</t>
  </si>
  <si>
    <t>Reaquisition of Bonds</t>
  </si>
  <si>
    <t>Regulatory Assets/Liabilities</t>
  </si>
  <si>
    <t>Total 283</t>
  </si>
  <si>
    <t>Total Excess Accumulated Deferred Income Taxes</t>
  </si>
  <si>
    <t xml:space="preserve">Note A:  The allocators are based upon the Cost Alignment and Allocation Manual and derived from the detailed tax records of DP&amp;L.  </t>
  </si>
  <si>
    <t xml:space="preserve">              Zero allocations are used for generation items and items charged to Other Comprehensive Income.</t>
  </si>
  <si>
    <t>Note B:  Each year an additional year of amortization and the resulting balances will be added.</t>
  </si>
  <si>
    <t>Note C:  Protected excess accumulated deferred income taxes items are amortized used the Average Rate Assumption Method (Line 19).  All other items are amortized over 10 years.</t>
  </si>
  <si>
    <t xml:space="preserve">Note D:  Includes Unamortized Excess Deferred Income Tax Regulatory Assets or Liabilities and the associated amortization arising from income tax rate changes related to the 2017 Tax Cut and Jobs Act and any future </t>
  </si>
  <si>
    <t xml:space="preserve">               change in federal, state or local income tax rates, as per Order 864, Public Utility Transmission Rate Changes to Address Accumulated Deferred Income Taxes.</t>
  </si>
  <si>
    <t>Attachment 10 - Miscellaneous Current and Accrued Liabilities at December 31, 2021</t>
  </si>
  <si>
    <t>Account 242 - Current Year (2019)</t>
  </si>
  <si>
    <t>Wages and Salaries</t>
  </si>
  <si>
    <t>Total Account 242</t>
  </si>
  <si>
    <t>Categories of Items</t>
  </si>
  <si>
    <t>Payroll and Benefits</t>
  </si>
  <si>
    <t>Energy Suppliers</t>
  </si>
  <si>
    <t>Miscellaneous</t>
  </si>
  <si>
    <t>Allocable to Transmission</t>
  </si>
  <si>
    <t>Account 242 - Prior Year (2018)</t>
  </si>
  <si>
    <t>Reference</t>
  </si>
  <si>
    <t>Appendix A, Line 5</t>
  </si>
  <si>
    <t>Appendix A, Line 12</t>
  </si>
  <si>
    <t>Appendix A, Line 17</t>
  </si>
  <si>
    <t>Attachment 11 - Corrections - December 31, 2021</t>
  </si>
  <si>
    <t>Calendar Year</t>
  </si>
  <si>
    <t>Line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</si>
  <si>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</si>
  <si>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</si>
  <si>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</si>
  <si>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</si>
  <si>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</si>
  <si>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</si>
  <si>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</si>
  <si>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</si>
  <si>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</si>
  <si>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</si>
  <si>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</si>
  <si>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</si>
  <si>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</si>
  <si>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</si>
  <si>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</si>
  <si>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</si>
  <si>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</si>
  <si>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</si>
  <si>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</si>
  <si>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</si>
  <si>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</si>
  <si>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</si>
  <si>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 2019</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</si>
  <si>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</si>
  <si>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</si>
  <si>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</si>
  <si>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</si>
  <si>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</si>
  <si>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</si>
  <si>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</si>
  <si>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</si>
  <si>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</si>
  <si>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</si>
  <si>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</si>
  <si>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</si>
  <si>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</si>
  <si>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</si>
  <si>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</si>
  <si>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(Attachment 9, Line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</si>
</sst>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sz val="16"/>
      <color rgb="FFFF0000"/>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b/>
      <sz val="14"/>
      <name val="Arial"/>
    </font>
    <font>
      <sz val="14"/>
      <name val="Arial"/>
    </font>
    <font>
      <sz val="12"/>
      <name val="Arial"/>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FFFFFF"/>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3" fillId="21" borderId="0" applyNumberFormat="0" applyBorder="0" applyAlignment="0" applyProtection="0"/>
    <xf numFmtId="0" fontId="74" fillId="57" borderId="0" applyNumberFormat="0" applyBorder="0" applyAlignment="0" applyProtection="0"/>
    <xf numFmtId="0" fontId="74" fillId="53" borderId="0" applyNumberFormat="0" applyBorder="0" applyAlignment="0" applyProtection="0"/>
    <xf numFmtId="0" fontId="73" fillId="25" borderId="0" applyNumberFormat="0" applyBorder="0" applyAlignment="0" applyProtection="0"/>
    <xf numFmtId="0" fontId="74" fillId="53" borderId="0" applyNumberFormat="0" applyBorder="0" applyAlignment="0" applyProtection="0"/>
    <xf numFmtId="0" fontId="74" fillId="54" borderId="0" applyNumberFormat="0" applyBorder="0" applyAlignment="0" applyProtection="0"/>
    <xf numFmtId="0" fontId="74" fillId="55" borderId="0" applyNumberFormat="0" applyBorder="0" applyAlignment="0" applyProtection="0"/>
    <xf numFmtId="0" fontId="73" fillId="29" borderId="0" applyNumberFormat="0" applyBorder="0" applyAlignment="0" applyProtection="0"/>
    <xf numFmtId="0" fontId="74" fillId="54" borderId="0" applyNumberFormat="0" applyBorder="0" applyAlignment="0" applyProtection="0"/>
    <xf numFmtId="0" fontId="74" fillId="51" borderId="0" applyNumberFormat="0" applyBorder="0" applyAlignment="0" applyProtection="0"/>
    <xf numFmtId="0" fontId="74" fillId="59" borderId="0" applyNumberFormat="0" applyBorder="0" applyAlignment="0" applyProtection="0"/>
    <xf numFmtId="0" fontId="73" fillId="33" borderId="0" applyNumberFormat="0" applyBorder="0" applyAlignment="0" applyProtection="0"/>
    <xf numFmtId="0" fontId="74" fillId="51" borderId="0" applyNumberFormat="0" applyBorder="0" applyAlignment="0" applyProtection="0"/>
    <xf numFmtId="0" fontId="74" fillId="57" borderId="0" applyNumberFormat="0" applyBorder="0" applyAlignment="0" applyProtection="0"/>
    <xf numFmtId="0" fontId="73" fillId="37" borderId="0" applyNumberFormat="0" applyBorder="0" applyAlignment="0" applyProtection="0"/>
    <xf numFmtId="0" fontId="74" fillId="57" borderId="0" applyNumberFormat="0" applyBorder="0" applyAlignment="0" applyProtection="0"/>
    <xf numFmtId="0" fontId="74" fillId="44" borderId="0" applyNumberFormat="0" applyBorder="0" applyAlignment="0" applyProtection="0"/>
    <xf numFmtId="0" fontId="74" fillId="60" borderId="0" applyNumberFormat="0" applyBorder="0" applyAlignment="0" applyProtection="0"/>
    <xf numFmtId="0" fontId="73" fillId="41" borderId="0" applyNumberFormat="0" applyBorder="0" applyAlignment="0" applyProtection="0"/>
    <xf numFmtId="0" fontId="74" fillId="44" borderId="0" applyNumberFormat="0" applyBorder="0" applyAlignment="0" applyProtection="0"/>
    <xf numFmtId="0" fontId="74" fillId="57" borderId="0" applyNumberFormat="0" applyBorder="0" applyAlignment="0" applyProtection="0"/>
    <xf numFmtId="0" fontId="74" fillId="61" borderId="0" applyNumberFormat="0" applyBorder="0" applyAlignment="0" applyProtection="0"/>
    <xf numFmtId="0" fontId="73" fillId="18" borderId="0" applyNumberFormat="0" applyBorder="0" applyAlignment="0" applyProtection="0"/>
    <xf numFmtId="0" fontId="74" fillId="57" borderId="0" applyNumberFormat="0" applyBorder="0" applyAlignment="0" applyProtection="0"/>
    <xf numFmtId="0" fontId="74" fillId="62" borderId="0" applyNumberFormat="0" applyBorder="0" applyAlignment="0" applyProtection="0"/>
    <xf numFmtId="0" fontId="73" fillId="22" borderId="0" applyNumberFormat="0" applyBorder="0" applyAlignment="0" applyProtection="0"/>
    <xf numFmtId="0" fontId="74" fillId="62" borderId="0" applyNumberFormat="0" applyBorder="0" applyAlignment="0" applyProtection="0"/>
    <xf numFmtId="0" fontId="74" fillId="63" borderId="0" applyNumberFormat="0" applyBorder="0" applyAlignment="0" applyProtection="0"/>
    <xf numFmtId="0" fontId="73" fillId="26"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74" fillId="59" borderId="0" applyNumberFormat="0" applyBorder="0" applyAlignment="0" applyProtection="0"/>
    <xf numFmtId="0" fontId="73" fillId="30" borderId="0" applyNumberFormat="0" applyBorder="0" applyAlignment="0" applyProtection="0"/>
    <xf numFmtId="0" fontId="74" fillId="64" borderId="0" applyNumberFormat="0" applyBorder="0" applyAlignment="0" applyProtection="0"/>
    <xf numFmtId="0" fontId="74" fillId="57" borderId="0" applyNumberFormat="0" applyBorder="0" applyAlignment="0" applyProtection="0"/>
    <xf numFmtId="0" fontId="73" fillId="34" borderId="0" applyNumberFormat="0" applyBorder="0" applyAlignment="0" applyProtection="0"/>
    <xf numFmtId="0" fontId="74" fillId="57" borderId="0" applyNumberFormat="0" applyBorder="0" applyAlignment="0" applyProtection="0"/>
    <xf numFmtId="0" fontId="74" fillId="65" borderId="0" applyNumberFormat="0" applyBorder="0" applyAlignment="0" applyProtection="0"/>
    <xf numFmtId="0" fontId="73" fillId="38" borderId="0" applyNumberFormat="0" applyBorder="0" applyAlignment="0" applyProtection="0"/>
    <xf numFmtId="0" fontId="74" fillId="65" borderId="0" applyNumberFormat="0" applyBorder="0" applyAlignment="0" applyProtection="0"/>
    <xf numFmtId="0" fontId="75" fillId="45" borderId="0" applyNumberFormat="0" applyBorder="0" applyAlignment="0" applyProtection="0"/>
    <xf numFmtId="0" fontId="65" fillId="13" borderId="0" applyNumberFormat="0" applyBorder="0" applyAlignment="0" applyProtection="0"/>
    <xf numFmtId="0" fontId="75" fillId="45" borderId="0" applyNumberFormat="0" applyBorder="0" applyAlignment="0" applyProtection="0"/>
    <xf numFmtId="0" fontId="76" fillId="42" borderId="42" applyNumberFormat="0" applyAlignment="0" applyProtection="0"/>
    <xf numFmtId="0" fontId="76" fillId="51" borderId="42" applyNumberFormat="0" applyAlignment="0" applyProtection="0"/>
    <xf numFmtId="0" fontId="68" fillId="15" borderId="37" applyNumberFormat="0" applyAlignment="0" applyProtection="0"/>
    <xf numFmtId="0" fontId="76" fillId="42" borderId="42" applyNumberFormat="0" applyAlignment="0" applyProtection="0"/>
    <xf numFmtId="0" fontId="77" fillId="66" borderId="43" applyNumberFormat="0" applyAlignment="0" applyProtection="0"/>
    <xf numFmtId="0" fontId="69" fillId="16" borderId="39" applyNumberFormat="0" applyAlignment="0" applyProtection="0"/>
    <xf numFmtId="0" fontId="77"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7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80" fillId="0" borderId="0" applyNumberFormat="0" applyFill="0" applyBorder="0" applyAlignment="0" applyProtection="0"/>
    <xf numFmtId="0" fontId="71" fillId="0" borderId="0" applyNumberFormat="0" applyFill="0" applyBorder="0" applyAlignment="0" applyProtection="0"/>
    <xf numFmtId="0" fontId="80" fillId="0" borderId="0" applyNumberFormat="0" applyFill="0" applyBorder="0" applyAlignment="0" applyProtection="0"/>
    <xf numFmtId="2" fontId="15" fillId="0" borderId="0" applyFill="0" applyBorder="0" applyAlignment="0" applyProtection="0"/>
    <xf numFmtId="0" fontId="81" fillId="47" borderId="0" applyNumberFormat="0" applyBorder="0" applyAlignment="0" applyProtection="0"/>
    <xf numFmtId="0" fontId="64" fillId="12" borderId="0" applyNumberFormat="0" applyBorder="0" applyAlignment="0" applyProtection="0"/>
    <xf numFmtId="0" fontId="81" fillId="47" borderId="0" applyNumberFormat="0" applyBorder="0" applyAlignment="0" applyProtection="0"/>
    <xf numFmtId="0" fontId="60" fillId="4" borderId="13">
      <alignment horizontal="center" vertical="top" wrapText="1"/>
    </xf>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5" fillId="0" borderId="46" applyNumberFormat="0" applyFill="0" applyAlignment="0" applyProtection="0"/>
    <xf numFmtId="0" fontId="62" fillId="0" borderId="35" applyNumberFormat="0" applyFill="0" applyAlignment="0" applyProtection="0"/>
    <xf numFmtId="0" fontId="84" fillId="0" borderId="46" applyNumberFormat="0" applyFill="0" applyAlignment="0" applyProtection="0"/>
    <xf numFmtId="0" fontId="86" fillId="0" borderId="47" applyNumberFormat="0" applyFill="0" applyAlignment="0" applyProtection="0"/>
    <xf numFmtId="0" fontId="87" fillId="0" borderId="48" applyNumberFormat="0" applyFill="0" applyAlignment="0" applyProtection="0"/>
    <xf numFmtId="0" fontId="63" fillId="0" borderId="36" applyNumberFormat="0" applyFill="0" applyAlignment="0" applyProtection="0"/>
    <xf numFmtId="0" fontId="86" fillId="0" borderId="47"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44" borderId="42" applyNumberFormat="0" applyAlignment="0" applyProtection="0"/>
    <xf numFmtId="0" fontId="66" fillId="14" borderId="37" applyNumberFormat="0" applyAlignment="0" applyProtection="0"/>
    <xf numFmtId="0" fontId="89" fillId="44" borderId="42" applyNumberFormat="0" applyAlignment="0" applyProtection="0"/>
    <xf numFmtId="0" fontId="90" fillId="0" borderId="49" applyNumberFormat="0" applyFill="0" applyAlignment="0" applyProtection="0"/>
    <xf numFmtId="0" fontId="15" fillId="0" borderId="0" applyFont="0" applyFill="0" applyBorder="0" applyAlignment="0" applyProtection="0"/>
    <xf numFmtId="0" fontId="91" fillId="54" borderId="0" applyNumberFormat="0" applyBorder="0" applyAlignment="0" applyProtection="0"/>
    <xf numFmtId="180" fontId="92"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3" fillId="42" borderId="51" applyNumberFormat="0" applyAlignment="0" applyProtection="0"/>
    <xf numFmtId="0" fontId="93" fillId="51" borderId="51" applyNumberFormat="0" applyAlignment="0" applyProtection="0"/>
    <xf numFmtId="0" fontId="67" fillId="15" borderId="38" applyNumberFormat="0" applyAlignment="0" applyProtection="0"/>
    <xf numFmtId="0" fontId="93"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4" fillId="0" borderId="0">
      <alignment wrapText="1"/>
    </xf>
    <xf numFmtId="4" fontId="95" fillId="54" borderId="52" applyNumberFormat="0" applyProtection="0">
      <alignment vertical="center"/>
    </xf>
    <xf numFmtId="4" fontId="96" fillId="8" borderId="51" applyNumberFormat="0" applyProtection="0">
      <alignment horizontal="left" vertical="center" indent="1"/>
    </xf>
    <xf numFmtId="4" fontId="96"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7"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8" fillId="0" borderId="0" applyNumberFormat="0" applyFill="0" applyBorder="0" applyAlignment="0" applyProtection="0"/>
    <xf numFmtId="0" fontId="99" fillId="0" borderId="53">
      <alignment horizontal="center" vertical="center" wrapText="1"/>
    </xf>
    <xf numFmtId="0" fontId="100" fillId="0" borderId="0" applyNumberFormat="0" applyFill="0" applyBorder="0" applyAlignment="0" applyProtection="0"/>
    <xf numFmtId="0" fontId="101" fillId="0" borderId="0" applyNumberFormat="0" applyFill="0" applyBorder="0" applyAlignment="0" applyProtection="0"/>
    <xf numFmtId="0" fontId="102" fillId="0" borderId="54" applyNumberFormat="0" applyFill="0" applyAlignment="0" applyProtection="0"/>
    <xf numFmtId="0" fontId="102" fillId="0" borderId="55" applyNumberFormat="0" applyFill="0" applyAlignment="0" applyProtection="0"/>
    <xf numFmtId="0" fontId="72" fillId="0" borderId="41" applyNumberFormat="0" applyFill="0" applyAlignment="0" applyProtection="0"/>
    <xf numFmtId="0" fontId="102" fillId="0" borderId="54" applyNumberFormat="0" applyFill="0" applyAlignment="0" applyProtection="0"/>
    <xf numFmtId="0" fontId="103" fillId="0" borderId="0" applyNumberFormat="0" applyFill="0" applyBorder="0" applyAlignment="0" applyProtection="0"/>
    <xf numFmtId="0" fontId="70" fillId="0" borderId="0" applyNumberFormat="0" applyFill="0" applyBorder="0" applyAlignment="0" applyProtection="0"/>
    <xf numFmtId="0" fontId="103"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8" fillId="0" borderId="0" applyFont="0" applyFill="0" applyBorder="0" applyAlignment="0" applyProtection="0"/>
    <xf numFmtId="189" fontId="138" fillId="0" borderId="0" applyFont="0" applyFill="0" applyBorder="0" applyAlignment="0" applyProtection="0"/>
    <xf numFmtId="190" fontId="138" fillId="0" borderId="0" applyFont="0" applyFill="0" applyBorder="0" applyAlignment="0" applyProtection="0"/>
    <xf numFmtId="191" fontId="138" fillId="0" borderId="0" applyFont="0" applyFill="0" applyBorder="0" applyAlignment="0" applyProtection="0"/>
    <xf numFmtId="192" fontId="138" fillId="0" borderId="0" applyFont="0" applyFill="0" applyBorder="0" applyAlignment="0" applyProtection="0"/>
    <xf numFmtId="193" fontId="138"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4" fillId="0" borderId="0" applyNumberFormat="0" applyFill="0" applyBorder="0" applyAlignment="0" applyProtection="0"/>
    <xf numFmtId="0" fontId="15" fillId="0" borderId="4" applyNumberFormat="0" applyFont="0" applyFill="0" applyAlignment="0" applyProtection="0"/>
    <xf numFmtId="195" fontId="133" fillId="0" borderId="0" applyFont="0" applyFill="0" applyBorder="0" applyAlignment="0" applyProtection="0"/>
    <xf numFmtId="196" fontId="138" fillId="0" borderId="0" applyFont="0" applyFill="0" applyBorder="0" applyProtection="0">
      <alignment horizontal="left"/>
    </xf>
    <xf numFmtId="197" fontId="138" fillId="0" borderId="0" applyFont="0" applyFill="0" applyBorder="0" applyProtection="0">
      <alignment horizontal="left"/>
    </xf>
    <xf numFmtId="198" fontId="138" fillId="0" borderId="0" applyFont="0" applyFill="0" applyBorder="0" applyProtection="0">
      <alignment horizontal="left"/>
    </xf>
    <xf numFmtId="37" fontId="139" fillId="0" borderId="0" applyFont="0" applyFill="0" applyBorder="0" applyAlignment="0" applyProtection="0">
      <alignment vertical="center"/>
      <protection locked="0"/>
    </xf>
    <xf numFmtId="199" fontId="79" fillId="0" borderId="0" applyFont="0" applyFill="0" applyBorder="0" applyAlignment="0" applyProtection="0"/>
    <xf numFmtId="0" fontId="140" fillId="0" borderId="0"/>
    <xf numFmtId="0" fontId="140" fillId="0" borderId="0"/>
    <xf numFmtId="169" fontId="33" fillId="0" borderId="0" applyFill="0"/>
    <xf numFmtId="169" fontId="33" fillId="0" borderId="0">
      <alignment horizontal="center"/>
    </xf>
    <xf numFmtId="0" fontId="33" fillId="0" borderId="0" applyFill="0">
      <alignment horizontal="center"/>
    </xf>
    <xf numFmtId="169" fontId="22" fillId="0" borderId="71"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7" fillId="0" borderId="0" applyFill="0"/>
    <xf numFmtId="0" fontId="118"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8" fillId="0" borderId="0" applyNumberFormat="0" applyFont="0" applyAlignment="0">
      <alignment horizontal="center"/>
    </xf>
    <xf numFmtId="0" fontId="119" fillId="0" borderId="0" applyFill="0">
      <alignment vertical="center" wrapText="1"/>
    </xf>
    <xf numFmtId="0" fontId="18" fillId="0" borderId="0">
      <alignment horizontal="left" vertical="center" wrapText="1"/>
    </xf>
    <xf numFmtId="169" fontId="27" fillId="0" borderId="0" applyFill="0"/>
    <xf numFmtId="0" fontId="118" fillId="0" borderId="0" applyNumberFormat="0" applyFont="0" applyAlignment="0">
      <alignment horizontal="center"/>
    </xf>
    <xf numFmtId="0" fontId="120"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21" fillId="0" borderId="0" applyFill="0"/>
    <xf numFmtId="0" fontId="118" fillId="0" borderId="0" applyNumberFormat="0" applyFont="0" applyAlignment="0">
      <alignment horizontal="center"/>
    </xf>
    <xf numFmtId="0" fontId="122" fillId="0" borderId="0" applyFill="0">
      <alignment horizontal="center" vertical="center" wrapText="1"/>
    </xf>
    <xf numFmtId="0" fontId="123" fillId="0" borderId="0" applyFill="0">
      <alignment horizontal="center" vertical="center" wrapText="1"/>
    </xf>
    <xf numFmtId="169" fontId="124" fillId="0" borderId="0" applyFill="0"/>
    <xf numFmtId="0" fontId="118" fillId="0" borderId="0" applyNumberFormat="0" applyFont="0" applyAlignment="0">
      <alignment horizontal="center"/>
    </xf>
    <xf numFmtId="0" fontId="125" fillId="0" borderId="0">
      <alignment horizontal="center" wrapText="1"/>
    </xf>
    <xf numFmtId="0" fontId="121" fillId="0" borderId="0" applyFill="0">
      <alignment horizontal="center" wrapText="1"/>
    </xf>
    <xf numFmtId="184" fontId="141" fillId="0" borderId="0" applyFont="0" applyFill="0" applyBorder="0" applyAlignment="0" applyProtection="0">
      <protection locked="0"/>
    </xf>
    <xf numFmtId="200" fontId="141" fillId="0" borderId="0" applyFont="0" applyFill="0" applyBorder="0" applyAlignment="0" applyProtection="0">
      <protection locked="0"/>
    </xf>
    <xf numFmtId="39" fontId="15" fillId="0" borderId="0" applyFont="0" applyFill="0" applyBorder="0" applyAlignment="0" applyProtection="0"/>
    <xf numFmtId="201" fontId="142" fillId="0" borderId="0" applyFont="0" applyFill="0" applyBorder="0" applyAlignment="0" applyProtection="0"/>
    <xf numFmtId="187" fontId="79"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202" fontId="138" fillId="0" borderId="0" applyFont="0" applyFill="0" applyBorder="0" applyAlignment="0" applyProtection="0"/>
    <xf numFmtId="203" fontId="138" fillId="0" borderId="0" applyFont="0" applyFill="0" applyBorder="0" applyAlignment="0" applyProtection="0"/>
    <xf numFmtId="204" fontId="138" fillId="0" borderId="0" applyFont="0" applyFill="0" applyBorder="0" applyAlignment="0" applyProtection="0"/>
    <xf numFmtId="205" fontId="136" fillId="0" borderId="0" applyFont="0" applyFill="0" applyBorder="0" applyAlignment="0" applyProtection="0"/>
    <xf numFmtId="206" fontId="144" fillId="0" borderId="0" applyFont="0" applyFill="0" applyBorder="0" applyAlignment="0" applyProtection="0"/>
    <xf numFmtId="207" fontId="144" fillId="0" borderId="0" applyFont="0" applyFill="0" applyBorder="0" applyAlignment="0" applyProtection="0"/>
    <xf numFmtId="208" fontId="117"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6" fillId="0" borderId="0" applyFont="0" applyFill="0" applyBorder="0" applyAlignment="0" applyProtection="0"/>
    <xf numFmtId="37" fontId="145"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8"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212" fontId="144" fillId="0" borderId="0" applyFont="0" applyFill="0" applyBorder="0" applyAlignment="0" applyProtection="0"/>
    <xf numFmtId="213" fontId="144" fillId="0" borderId="0" applyFont="0" applyFill="0" applyBorder="0" applyAlignment="0" applyProtection="0"/>
    <xf numFmtId="214" fontId="144" fillId="0" borderId="0" applyFont="0" applyFill="0" applyBorder="0" applyAlignment="0" applyProtection="0"/>
    <xf numFmtId="215" fontId="117" fillId="0" borderId="0" applyFont="0" applyFill="0" applyBorder="0" applyAlignment="0" applyProtection="0">
      <protection locked="0"/>
    </xf>
    <xf numFmtId="5" fontId="145"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9" fillId="0" borderId="0" applyFont="0" applyFill="0" applyBorder="0" applyAlignment="0" applyProtection="0"/>
    <xf numFmtId="186" fontId="15" fillId="0" borderId="0" applyFont="0" applyFill="0" applyBorder="0" applyAlignment="0" applyProtection="0"/>
    <xf numFmtId="217" fontId="141" fillId="0" borderId="0" applyFont="0" applyFill="0" applyBorder="0" applyAlignment="0" applyProtection="0">
      <protection locked="0"/>
    </xf>
    <xf numFmtId="7" fontId="33" fillId="0" borderId="0" applyFont="0" applyFill="0" applyBorder="0" applyAlignment="0" applyProtection="0"/>
    <xf numFmtId="218" fontId="142" fillId="0" borderId="0" applyFont="0" applyFill="0" applyBorder="0" applyAlignment="0" applyProtection="0"/>
    <xf numFmtId="185" fontId="146" fillId="0" borderId="0" applyFont="0" applyFill="0" applyBorder="0" applyAlignment="0" applyProtection="0"/>
    <xf numFmtId="0" fontId="147" fillId="72" borderId="72" applyNumberFormat="0" applyFont="0" applyFill="0" applyAlignment="0" applyProtection="0">
      <alignment horizontal="left" indent="1"/>
    </xf>
    <xf numFmtId="14" fontId="15" fillId="0" borderId="0" applyFont="0" applyFill="0" applyBorder="0" applyAlignment="0" applyProtection="0"/>
    <xf numFmtId="219" fontId="138" fillId="0" borderId="0" applyFont="0" applyFill="0" applyBorder="0" applyProtection="0"/>
    <xf numFmtId="220" fontId="138" fillId="0" borderId="0" applyFont="0" applyFill="0" applyBorder="0" applyProtection="0"/>
    <xf numFmtId="221" fontId="138" fillId="0" borderId="0" applyFont="0" applyFill="0" applyBorder="0" applyAlignment="0" applyProtection="0"/>
    <xf numFmtId="222" fontId="138" fillId="0" borderId="0" applyFont="0" applyFill="0" applyBorder="0" applyAlignment="0" applyProtection="0"/>
    <xf numFmtId="223" fontId="138" fillId="0" borderId="0" applyFont="0" applyFill="0" applyBorder="0" applyAlignment="0" applyProtection="0"/>
    <xf numFmtId="224" fontId="148" fillId="0" borderId="0" applyFont="0" applyFill="0" applyBorder="0" applyAlignment="0" applyProtection="0"/>
    <xf numFmtId="5" fontId="149" fillId="0" borderId="0" applyBorder="0"/>
    <xf numFmtId="186" fontId="149" fillId="0" borderId="0" applyBorder="0"/>
    <xf numFmtId="7" fontId="149" fillId="0" borderId="0" applyBorder="0"/>
    <xf numFmtId="37" fontId="149" fillId="0" borderId="0" applyBorder="0"/>
    <xf numFmtId="184" fontId="149" fillId="0" borderId="0" applyBorder="0"/>
    <xf numFmtId="225" fontId="149" fillId="0" borderId="0" applyBorder="0"/>
    <xf numFmtId="39" fontId="149" fillId="0" borderId="0" applyBorder="0"/>
    <xf numFmtId="226" fontId="149" fillId="0" borderId="0" applyBorder="0"/>
    <xf numFmtId="7" fontId="15" fillId="0" borderId="0" applyFont="0" applyFill="0" applyBorder="0" applyAlignment="0" applyProtection="0"/>
    <xf numFmtId="227" fontId="79" fillId="0" borderId="0" applyFont="0" applyFill="0" applyBorder="0" applyAlignment="0" applyProtection="0"/>
    <xf numFmtId="228" fontId="79" fillId="0" borderId="0" applyFont="0" applyFill="0" applyAlignment="0" applyProtection="0"/>
    <xf numFmtId="227" fontId="79"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50" fillId="0" borderId="0"/>
    <xf numFmtId="184" fontId="151" fillId="0" borderId="0" applyNumberFormat="0" applyFill="0" applyBorder="0" applyAlignment="0" applyProtection="0"/>
    <xf numFmtId="0" fontId="33" fillId="0" borderId="0" applyFont="0" applyFill="0" applyBorder="0" applyAlignment="0" applyProtection="0"/>
    <xf numFmtId="0" fontId="138" fillId="0" borderId="0" applyFont="0" applyFill="0" applyBorder="0" applyProtection="0">
      <alignment horizontal="center" wrapText="1"/>
    </xf>
    <xf numFmtId="229" fontId="138" fillId="0" borderId="0" applyFont="0" applyFill="0" applyBorder="0" applyProtection="0">
      <alignment horizontal="right"/>
    </xf>
    <xf numFmtId="0" fontId="151" fillId="0" borderId="0" applyNumberFormat="0" applyFill="0" applyBorder="0" applyAlignment="0" applyProtection="0"/>
    <xf numFmtId="0" fontId="152"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7" fillId="0" borderId="2"/>
    <xf numFmtId="0" fontId="128" fillId="0" borderId="0"/>
    <xf numFmtId="0" fontId="153" fillId="0" borderId="4" applyNumberFormat="0" applyFill="0" applyAlignment="0" applyProtection="0"/>
    <xf numFmtId="0" fontId="148" fillId="75" borderId="0" applyNumberFormat="0" applyFont="0" applyBorder="0" applyAlignment="0" applyProtection="0"/>
    <xf numFmtId="0" fontId="135" fillId="10" borderId="13" applyNumberFormat="0" applyAlignment="0" applyProtection="0"/>
    <xf numFmtId="230" fontId="138" fillId="0" borderId="0" applyFont="0" applyFill="0" applyBorder="0" applyProtection="0">
      <alignment horizontal="left"/>
    </xf>
    <xf numFmtId="231" fontId="138" fillId="0" borderId="0" applyFont="0" applyFill="0" applyBorder="0" applyProtection="0">
      <alignment horizontal="left"/>
    </xf>
    <xf numFmtId="232" fontId="138" fillId="0" borderId="0" applyFont="0" applyFill="0" applyBorder="0" applyProtection="0">
      <alignment horizontal="left"/>
    </xf>
    <xf numFmtId="233" fontId="138" fillId="0" borderId="0" applyFont="0" applyFill="0" applyBorder="0" applyProtection="0">
      <alignment horizontal="left"/>
    </xf>
    <xf numFmtId="10" fontId="33" fillId="76" borderId="13" applyNumberFormat="0" applyBorder="0" applyAlignment="0" applyProtection="0"/>
    <xf numFmtId="5" fontId="154" fillId="0" borderId="0" applyBorder="0"/>
    <xf numFmtId="186" fontId="154" fillId="0" borderId="0" applyBorder="0"/>
    <xf numFmtId="7" fontId="154" fillId="0" borderId="0" applyBorder="0"/>
    <xf numFmtId="37" fontId="154" fillId="0" borderId="0" applyBorder="0"/>
    <xf numFmtId="184" fontId="154" fillId="0" borderId="0" applyBorder="0"/>
    <xf numFmtId="225" fontId="154" fillId="0" borderId="0" applyBorder="0"/>
    <xf numFmtId="39" fontId="154" fillId="0" borderId="0" applyBorder="0"/>
    <xf numFmtId="226" fontId="154" fillId="0" borderId="0" applyBorder="0"/>
    <xf numFmtId="0" fontId="148" fillId="0" borderId="67" applyNumberFormat="0" applyFont="0" applyFill="0" applyAlignment="0" applyProtection="0"/>
    <xf numFmtId="0" fontId="155"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6" fillId="0" borderId="0"/>
    <xf numFmtId="0" fontId="79" fillId="0" borderId="0"/>
    <xf numFmtId="0" fontId="2" fillId="0" borderId="0"/>
    <xf numFmtId="7" fontId="166" fillId="0" borderId="0"/>
    <xf numFmtId="0" fontId="136"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3" fillId="77" borderId="0" applyNumberFormat="0" applyFont="0" applyBorder="0" applyAlignment="0"/>
    <xf numFmtId="239" fontId="15" fillId="0" borderId="0" applyFont="0" applyFill="0" applyBorder="0" applyAlignment="0" applyProtection="0"/>
    <xf numFmtId="240" fontId="157"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9" fillId="0" borderId="0"/>
    <xf numFmtId="242" fontId="79" fillId="0" borderId="0"/>
    <xf numFmtId="240" fontId="157" fillId="0" borderId="0"/>
    <xf numFmtId="0" fontId="79" fillId="0" borderId="0"/>
    <xf numFmtId="240" fontId="145" fillId="0" borderId="0"/>
    <xf numFmtId="241" fontId="15" fillId="0" borderId="0"/>
    <xf numFmtId="242" fontId="79" fillId="0" borderId="0"/>
    <xf numFmtId="242" fontId="79" fillId="0" borderId="0"/>
    <xf numFmtId="0" fontId="79" fillId="0" borderId="0"/>
    <xf numFmtId="0" fontId="79"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0" fontId="79"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7" fillId="0" borderId="0"/>
    <xf numFmtId="240" fontId="157" fillId="0" borderId="0"/>
    <xf numFmtId="239" fontId="15" fillId="0" borderId="0" applyFont="0" applyFill="0" applyBorder="0" applyAlignment="0" applyProtection="0"/>
    <xf numFmtId="240" fontId="157" fillId="0" borderId="0"/>
    <xf numFmtId="240" fontId="157" fillId="0" borderId="0"/>
    <xf numFmtId="243" fontId="79" fillId="0" borderId="0"/>
    <xf numFmtId="173" fontId="79" fillId="0" borderId="0"/>
    <xf numFmtId="244" fontId="79" fillId="0" borderId="0"/>
    <xf numFmtId="243" fontId="79" fillId="0" borderId="0"/>
    <xf numFmtId="173" fontId="79" fillId="0" borderId="0"/>
    <xf numFmtId="245" fontId="79" fillId="0" borderId="0"/>
    <xf numFmtId="245" fontId="79" fillId="0" borderId="0"/>
    <xf numFmtId="183" fontId="79" fillId="0" borderId="0"/>
    <xf numFmtId="244" fontId="79" fillId="0" borderId="0"/>
    <xf numFmtId="165" fontId="79" fillId="0" borderId="0"/>
    <xf numFmtId="183" fontId="79" fillId="0" borderId="0"/>
    <xf numFmtId="183" fontId="79"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4" fillId="0" borderId="0" applyFont="0" applyFill="0" applyBorder="0" applyAlignment="0" applyProtection="0"/>
    <xf numFmtId="250" fontId="136" fillId="0" borderId="0" applyFont="0" applyFill="0" applyBorder="0" applyAlignment="0" applyProtection="0"/>
    <xf numFmtId="251" fontId="15" fillId="0" borderId="0" applyFont="0" applyFill="0" applyBorder="0" applyAlignment="0" applyProtection="0"/>
    <xf numFmtId="252" fontId="138" fillId="0" borderId="0" applyFont="0" applyFill="0" applyBorder="0" applyAlignment="0" applyProtection="0"/>
    <xf numFmtId="253" fontId="138" fillId="0" borderId="0" applyFont="0" applyFill="0" applyBorder="0" applyAlignment="0" applyProtection="0"/>
    <xf numFmtId="254" fontId="138" fillId="0" borderId="0" applyFont="0" applyFill="0" applyBorder="0" applyAlignment="0" applyProtection="0"/>
    <xf numFmtId="255" fontId="138" fillId="0" borderId="0" applyFont="0" applyFill="0" applyBorder="0" applyAlignment="0" applyProtection="0"/>
    <xf numFmtId="256" fontId="144" fillId="0" borderId="0" applyFont="0" applyFill="0" applyBorder="0" applyAlignment="0" applyProtection="0"/>
    <xf numFmtId="257" fontId="136" fillId="0" borderId="0" applyFont="0" applyFill="0" applyBorder="0" applyAlignment="0" applyProtection="0"/>
    <xf numFmtId="258" fontId="144" fillId="0" borderId="0" applyFont="0" applyFill="0" applyBorder="0" applyAlignment="0" applyProtection="0"/>
    <xf numFmtId="259" fontId="136" fillId="0" borderId="0" applyFont="0" applyFill="0" applyBorder="0" applyAlignment="0" applyProtection="0"/>
    <xf numFmtId="260" fontId="144" fillId="0" borderId="0" applyFont="0" applyFill="0" applyBorder="0" applyAlignment="0" applyProtection="0"/>
    <xf numFmtId="261" fontId="136" fillId="0" borderId="0" applyFont="0" applyFill="0" applyBorder="0" applyAlignment="0" applyProtection="0"/>
    <xf numFmtId="262" fontId="117" fillId="0" borderId="0" applyFont="0" applyFill="0" applyBorder="0" applyAlignment="0" applyProtection="0">
      <protection locked="0"/>
    </xf>
    <xf numFmtId="263" fontId="136" fillId="0" borderId="0" applyFont="0" applyFill="0" applyBorder="0" applyAlignment="0" applyProtection="0"/>
    <xf numFmtId="9" fontId="55" fillId="0" borderId="0" applyFont="0" applyFill="0" applyBorder="0" applyAlignment="0" applyProtection="0"/>
    <xf numFmtId="194" fontId="145" fillId="0" borderId="0" applyFill="0" applyBorder="0" applyAlignment="0" applyProtection="0"/>
    <xf numFmtId="9" fontId="149" fillId="0" borderId="0" applyBorder="0"/>
    <xf numFmtId="170" fontId="149" fillId="0" borderId="0" applyBorder="0"/>
    <xf numFmtId="10" fontId="149"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3" applyFill="0"/>
    <xf numFmtId="0" fontId="129" fillId="0" borderId="0">
      <alignment horizontal="left" indent="7"/>
    </xf>
    <xf numFmtId="41" fontId="18" fillId="0" borderId="73" applyFill="0">
      <alignment horizontal="left" indent="2"/>
    </xf>
    <xf numFmtId="169" fontId="60" fillId="0" borderId="4" applyFill="0">
      <alignment horizontal="right"/>
    </xf>
    <xf numFmtId="0" fontId="16" fillId="0" borderId="13" applyNumberFormat="0" applyFont="0" applyBorder="0">
      <alignment horizontal="right"/>
    </xf>
    <xf numFmtId="0" fontId="130"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31"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2"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20" fillId="0" borderId="0">
      <alignment horizontal="left" indent="4"/>
    </xf>
    <xf numFmtId="0" fontId="15" fillId="0" borderId="0" applyFill="0">
      <alignment horizontal="left" indent="4"/>
    </xf>
    <xf numFmtId="0" fontId="15" fillId="0" borderId="0" applyFill="0">
      <alignment horizontal="left" indent="4"/>
    </xf>
    <xf numFmtId="4" fontId="121" fillId="0" borderId="0" applyFill="0"/>
    <xf numFmtId="0" fontId="15" fillId="0" borderId="0" applyNumberFormat="0" applyFont="0" applyBorder="0" applyAlignment="0"/>
    <xf numFmtId="0" fontId="122" fillId="0" borderId="0">
      <alignment horizontal="left" indent="5"/>
    </xf>
    <xf numFmtId="0" fontId="123" fillId="0" borderId="0" applyFill="0">
      <alignment horizontal="left" indent="5"/>
    </xf>
    <xf numFmtId="4" fontId="124" fillId="0" borderId="0" applyFill="0"/>
    <xf numFmtId="0" fontId="15" fillId="0" borderId="0" applyNumberFormat="0" applyFont="0" applyFill="0" applyBorder="0" applyAlignment="0"/>
    <xf numFmtId="0" fontId="125" fillId="0" borderId="0" applyFill="0">
      <alignment horizontal="left" indent="6"/>
    </xf>
    <xf numFmtId="0" fontId="121" fillId="0" borderId="0" applyFill="0">
      <alignment horizontal="left" indent="6"/>
    </xf>
    <xf numFmtId="0" fontId="148" fillId="0" borderId="74" applyNumberFormat="0" applyFont="0" applyFill="0" applyAlignment="0" applyProtection="0"/>
    <xf numFmtId="0" fontId="158" fillId="0" borderId="0" applyNumberFormat="0" applyFill="0" applyBorder="0" applyAlignment="0" applyProtection="0"/>
    <xf numFmtId="0" fontId="159" fillId="0" borderId="0"/>
    <xf numFmtId="0" fontId="159" fillId="0" borderId="0"/>
    <xf numFmtId="0" fontId="137" fillId="0" borderId="2">
      <alignment horizontal="right"/>
    </xf>
    <xf numFmtId="264" fontId="146" fillId="0" borderId="0">
      <alignment horizontal="center"/>
    </xf>
    <xf numFmtId="265" fontId="160" fillId="0" borderId="0">
      <alignment horizontal="center"/>
    </xf>
    <xf numFmtId="0" fontId="161" fillId="0" borderId="0" applyNumberFormat="0" applyFill="0" applyBorder="0" applyAlignment="0" applyProtection="0"/>
    <xf numFmtId="0" fontId="96" fillId="0" borderId="0" applyNumberFormat="0" applyBorder="0" applyAlignment="0"/>
    <xf numFmtId="0" fontId="95" fillId="0" borderId="0" applyNumberFormat="0" applyBorder="0" applyAlignment="0"/>
    <xf numFmtId="0" fontId="148" fillId="72" borderId="0" applyNumberFormat="0" applyFont="0" applyBorder="0" applyAlignment="0" applyProtection="0"/>
    <xf numFmtId="246" fontId="162" fillId="0" borderId="22" applyNumberFormat="0" applyFont="0" applyFill="0" applyAlignment="0" applyProtection="0"/>
    <xf numFmtId="0" fontId="20" fillId="0" borderId="0" applyFill="0" applyBorder="0" applyProtection="0">
      <alignment horizontal="left" vertical="top"/>
    </xf>
    <xf numFmtId="0" fontId="163"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4" fillId="0" borderId="0" applyNumberFormat="0" applyFill="0" applyBorder="0" applyAlignment="0" applyProtection="0"/>
    <xf numFmtId="266" fontId="136" fillId="0" borderId="0" applyFont="0" applyFill="0" applyBorder="0" applyAlignment="0" applyProtection="0"/>
    <xf numFmtId="267" fontId="136" fillId="0" borderId="0" applyFont="0" applyFill="0" applyBorder="0" applyAlignment="0" applyProtection="0"/>
    <xf numFmtId="268" fontId="136" fillId="0" borderId="0" applyFont="0" applyFill="0" applyBorder="0" applyAlignment="0" applyProtection="0"/>
    <xf numFmtId="269" fontId="136" fillId="0" borderId="0" applyFont="0" applyFill="0" applyBorder="0" applyAlignment="0" applyProtection="0"/>
    <xf numFmtId="270" fontId="136" fillId="0" borderId="0" applyFont="0" applyFill="0" applyBorder="0" applyAlignment="0" applyProtection="0"/>
    <xf numFmtId="271" fontId="136" fillId="0" borderId="0" applyFont="0" applyFill="0" applyBorder="0" applyAlignment="0" applyProtection="0"/>
    <xf numFmtId="272" fontId="136" fillId="0" borderId="0" applyFont="0" applyFill="0" applyBorder="0" applyAlignment="0" applyProtection="0"/>
    <xf numFmtId="273" fontId="136" fillId="0" borderId="0" applyFont="0" applyFill="0" applyBorder="0" applyAlignment="0" applyProtection="0"/>
    <xf numFmtId="274" fontId="165" fillId="72" borderId="75" applyFont="0" applyFill="0" applyBorder="0" applyAlignment="0" applyProtection="0"/>
    <xf numFmtId="274" fontId="79" fillId="0" borderId="0" applyFont="0" applyFill="0" applyBorder="0" applyAlignment="0" applyProtection="0"/>
    <xf numFmtId="275" fontId="142" fillId="0" borderId="0" applyFont="0" applyFill="0" applyBorder="0" applyAlignment="0" applyProtection="0"/>
    <xf numFmtId="276" fontId="146"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2" fillId="0" borderId="0"/>
    <xf numFmtId="0" fontId="2" fillId="0" borderId="0"/>
    <xf numFmtId="0" fontId="2"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5" fillId="0" borderId="0"/>
    <xf numFmtId="0" fontId="29" fillId="0" borderId="0"/>
    <xf numFmtId="0" fontId="115" fillId="0" borderId="0"/>
    <xf numFmtId="0" fontId="115" fillId="0" borderId="0"/>
    <xf numFmtId="0" fontId="115" fillId="0" borderId="0"/>
    <xf numFmtId="0" fontId="115" fillId="0" borderId="0"/>
    <xf numFmtId="0" fontId="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8" fillId="43" borderId="0" applyNumberFormat="0" applyBorder="0" applyAlignment="0" applyProtection="0"/>
    <xf numFmtId="0" fontId="168" fillId="45" borderId="0" applyNumberFormat="0" applyBorder="0" applyAlignment="0" applyProtection="0"/>
    <xf numFmtId="0" fontId="168" fillId="47" borderId="0" applyNumberFormat="0" applyBorder="0" applyAlignment="0" applyProtection="0"/>
    <xf numFmtId="0" fontId="168" fillId="48" borderId="0" applyNumberFormat="0" applyBorder="0" applyAlignment="0" applyProtection="0"/>
    <xf numFmtId="0" fontId="168" fillId="50" borderId="0" applyNumberFormat="0" applyBorder="0" applyAlignment="0" applyProtection="0"/>
    <xf numFmtId="0" fontId="168" fillId="44" borderId="0" applyNumberFormat="0" applyBorder="0" applyAlignment="0" applyProtection="0"/>
    <xf numFmtId="0" fontId="168" fillId="52" borderId="0" applyNumberFormat="0" applyBorder="0" applyAlignment="0" applyProtection="0"/>
    <xf numFmtId="0" fontId="168" fillId="53" borderId="0" applyNumberFormat="0" applyBorder="0" applyAlignment="0" applyProtection="0"/>
    <xf numFmtId="0" fontId="168" fillId="55" borderId="0" applyNumberFormat="0" applyBorder="0" applyAlignment="0" applyProtection="0"/>
    <xf numFmtId="0" fontId="168" fillId="48" borderId="0" applyNumberFormat="0" applyBorder="0" applyAlignment="0" applyProtection="0"/>
    <xf numFmtId="0" fontId="168" fillId="52" borderId="0" applyNumberFormat="0" applyBorder="0" applyAlignment="0" applyProtection="0"/>
    <xf numFmtId="0" fontId="168" fillId="56" borderId="0" applyNumberFormat="0" applyBorder="0" applyAlignment="0" applyProtection="0"/>
    <xf numFmtId="0" fontId="169" fillId="58" borderId="0" applyNumberFormat="0" applyBorder="0" applyAlignment="0" applyProtection="0"/>
    <xf numFmtId="0" fontId="169" fillId="53" borderId="0" applyNumberFormat="0" applyBorder="0" applyAlignment="0" applyProtection="0"/>
    <xf numFmtId="0" fontId="169" fillId="55" borderId="0" applyNumberFormat="0" applyBorder="0" applyAlignment="0" applyProtection="0"/>
    <xf numFmtId="0" fontId="169" fillId="59" borderId="0" applyNumberFormat="0" applyBorder="0" applyAlignment="0" applyProtection="0"/>
    <xf numFmtId="0" fontId="169" fillId="57" borderId="0" applyNumberFormat="0" applyBorder="0" applyAlignment="0" applyProtection="0"/>
    <xf numFmtId="0" fontId="169" fillId="60" borderId="0" applyNumberFormat="0" applyBorder="0" applyAlignment="0" applyProtection="0"/>
    <xf numFmtId="0" fontId="169" fillId="61" borderId="0" applyNumberFormat="0" applyBorder="0" applyAlignment="0" applyProtection="0"/>
    <xf numFmtId="0" fontId="169" fillId="62" borderId="0" applyNumberFormat="0" applyBorder="0" applyAlignment="0" applyProtection="0"/>
    <xf numFmtId="0" fontId="169" fillId="63" borderId="0" applyNumberFormat="0" applyBorder="0" applyAlignment="0" applyProtection="0"/>
    <xf numFmtId="0" fontId="169" fillId="59" borderId="0" applyNumberFormat="0" applyBorder="0" applyAlignment="0" applyProtection="0"/>
    <xf numFmtId="0" fontId="169" fillId="57" borderId="0" applyNumberFormat="0" applyBorder="0" applyAlignment="0" applyProtection="0"/>
    <xf numFmtId="0" fontId="169" fillId="65" borderId="0" applyNumberFormat="0" applyBorder="0" applyAlignment="0" applyProtection="0"/>
    <xf numFmtId="0" fontId="170" fillId="45" borderId="0" applyNumberFormat="0" applyBorder="0" applyAlignment="0" applyProtection="0"/>
    <xf numFmtId="0" fontId="171" fillId="51" borderId="42" applyNumberFormat="0" applyAlignment="0" applyProtection="0"/>
    <xf numFmtId="0" fontId="172"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3" fillId="0" borderId="0" applyNumberFormat="0" applyFill="0" applyBorder="0" applyAlignment="0" applyProtection="0"/>
    <xf numFmtId="0" fontId="174" fillId="47" borderId="0" applyNumberFormat="0" applyBorder="0" applyAlignment="0" applyProtection="0"/>
    <xf numFmtId="43" fontId="29" fillId="0" borderId="0" applyFont="0" applyFill="0" applyBorder="0" applyAlignment="0" applyProtection="0"/>
    <xf numFmtId="0" fontId="175" fillId="0" borderId="48" applyNumberFormat="0" applyFill="0" applyAlignment="0" applyProtection="0"/>
    <xf numFmtId="0" fontId="175" fillId="0" borderId="0" applyNumberFormat="0" applyFill="0" applyBorder="0" applyAlignment="0" applyProtection="0"/>
    <xf numFmtId="0" fontId="176" fillId="44" borderId="42" applyNumberFormat="0" applyAlignment="0" applyProtection="0"/>
    <xf numFmtId="0" fontId="177" fillId="0" borderId="49" applyNumberFormat="0" applyFill="0" applyAlignment="0" applyProtection="0"/>
    <xf numFmtId="0" fontId="178"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9"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80" fillId="0" borderId="0" applyNumberFormat="0" applyFill="0" applyBorder="0" applyAlignment="0" applyProtection="0"/>
    <xf numFmtId="0" fontId="2" fillId="0" borderId="0"/>
    <xf numFmtId="0" fontId="2" fillId="0" borderId="0"/>
    <xf numFmtId="0" fontId="15" fillId="0" borderId="0"/>
    <xf numFmtId="0" fontId="167"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6"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6"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8"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168" fillId="43" borderId="0" applyNumberFormat="0" applyBorder="0" applyAlignment="0" applyProtection="0"/>
    <xf numFmtId="0" fontId="55" fillId="45" borderId="0" applyNumberFormat="0" applyBorder="0" applyAlignment="0" applyProtection="0"/>
    <xf numFmtId="0" fontId="168"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55" fillId="47" borderId="0" applyNumberFormat="0" applyBorder="0" applyAlignment="0" applyProtection="0"/>
    <xf numFmtId="0" fontId="168"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168" fillId="47" borderId="0" applyNumberFormat="0" applyBorder="0" applyAlignment="0" applyProtection="0"/>
    <xf numFmtId="0" fontId="55" fillId="48" borderId="0" applyNumberFormat="0" applyBorder="0" applyAlignment="0" applyProtection="0"/>
    <xf numFmtId="0" fontId="168"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55" fillId="50" borderId="0" applyNumberFormat="0" applyBorder="0" applyAlignment="0" applyProtection="0"/>
    <xf numFmtId="0" fontId="168"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168"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8"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8" fillId="44" borderId="0" applyNumberFormat="0" applyBorder="0" applyAlignment="0" applyProtection="0"/>
    <xf numFmtId="0" fontId="168" fillId="44" borderId="0" applyNumberFormat="0" applyBorder="0" applyAlignment="0" applyProtection="0"/>
    <xf numFmtId="0" fontId="168" fillId="44" borderId="0" applyNumberFormat="0" applyBorder="0" applyAlignment="0" applyProtection="0"/>
    <xf numFmtId="0" fontId="168" fillId="44" borderId="0" applyNumberFormat="0" applyBorder="0" applyAlignment="0" applyProtection="0"/>
    <xf numFmtId="0" fontId="55" fillId="52" borderId="0" applyNumberFormat="0" applyBorder="0" applyAlignment="0" applyProtection="0"/>
    <xf numFmtId="0" fontId="168"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8"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168" fillId="53" borderId="0" applyNumberFormat="0" applyBorder="0" applyAlignment="0" applyProtection="0"/>
    <xf numFmtId="0" fontId="55" fillId="55" borderId="0" applyNumberFormat="0" applyBorder="0" applyAlignment="0" applyProtection="0"/>
    <xf numFmtId="0" fontId="168"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168" fillId="55" borderId="0" applyNumberFormat="0" applyBorder="0" applyAlignment="0" applyProtection="0"/>
    <xf numFmtId="0" fontId="55" fillId="48" borderId="0" applyNumberFormat="0" applyBorder="0" applyAlignment="0" applyProtection="0"/>
    <xf numFmtId="0" fontId="168"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168"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8"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168" fillId="52" borderId="0" applyNumberFormat="0" applyBorder="0" applyAlignment="0" applyProtection="0"/>
    <xf numFmtId="0" fontId="55" fillId="56" borderId="0" applyNumberFormat="0" applyBorder="0" applyAlignment="0" applyProtection="0"/>
    <xf numFmtId="0" fontId="168"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168" fillId="56" borderId="0" applyNumberFormat="0" applyBorder="0" applyAlignment="0" applyProtection="0"/>
    <xf numFmtId="0" fontId="74" fillId="58" borderId="0" applyNumberFormat="0" applyBorder="0" applyAlignment="0" applyProtection="0"/>
    <xf numFmtId="0" fontId="169" fillId="58" borderId="0" applyNumberFormat="0" applyBorder="0" applyAlignment="0" applyProtection="0"/>
    <xf numFmtId="0" fontId="73" fillId="21"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169" fillId="5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169" fillId="53" borderId="0" applyNumberFormat="0" applyBorder="0" applyAlignment="0" applyProtection="0"/>
    <xf numFmtId="0" fontId="73" fillId="25"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169" fillId="53" borderId="0" applyNumberFormat="0" applyBorder="0" applyAlignment="0" applyProtection="0"/>
    <xf numFmtId="0" fontId="74" fillId="55" borderId="0" applyNumberFormat="0" applyBorder="0" applyAlignment="0" applyProtection="0"/>
    <xf numFmtId="0" fontId="169" fillId="55" borderId="0" applyNumberFormat="0" applyBorder="0" applyAlignment="0" applyProtection="0"/>
    <xf numFmtId="0" fontId="73" fillId="29" borderId="0" applyNumberFormat="0" applyBorder="0" applyAlignment="0" applyProtection="0"/>
    <xf numFmtId="0" fontId="169" fillId="55" borderId="0" applyNumberFormat="0" applyBorder="0" applyAlignment="0" applyProtection="0"/>
    <xf numFmtId="0" fontId="169" fillId="55" borderId="0" applyNumberFormat="0" applyBorder="0" applyAlignment="0" applyProtection="0"/>
    <xf numFmtId="0" fontId="169" fillId="55" borderId="0" applyNumberFormat="0" applyBorder="0" applyAlignment="0" applyProtection="0"/>
    <xf numFmtId="0" fontId="169" fillId="55" borderId="0" applyNumberFormat="0" applyBorder="0" applyAlignment="0" applyProtection="0"/>
    <xf numFmtId="0" fontId="74" fillId="59" borderId="0" applyNumberFormat="0" applyBorder="0" applyAlignment="0" applyProtection="0"/>
    <xf numFmtId="0" fontId="169" fillId="59" borderId="0" applyNumberFormat="0" applyBorder="0" applyAlignment="0" applyProtection="0"/>
    <xf numFmtId="0" fontId="73" fillId="33"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9" fillId="57" borderId="0" applyNumberFormat="0" applyBorder="0" applyAlignment="0" applyProtection="0"/>
    <xf numFmtId="0" fontId="73" fillId="3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74" fillId="60" borderId="0" applyNumberFormat="0" applyBorder="0" applyAlignment="0" applyProtection="0"/>
    <xf numFmtId="0" fontId="169" fillId="60" borderId="0" applyNumberFormat="0" applyBorder="0" applyAlignment="0" applyProtection="0"/>
    <xf numFmtId="0" fontId="73" fillId="41" borderId="0" applyNumberFormat="0" applyBorder="0" applyAlignment="0" applyProtection="0"/>
    <xf numFmtId="0" fontId="169" fillId="60" borderId="0" applyNumberFormat="0" applyBorder="0" applyAlignment="0" applyProtection="0"/>
    <xf numFmtId="0" fontId="169" fillId="60" borderId="0" applyNumberFormat="0" applyBorder="0" applyAlignment="0" applyProtection="0"/>
    <xf numFmtId="0" fontId="169" fillId="60" borderId="0" applyNumberFormat="0" applyBorder="0" applyAlignment="0" applyProtection="0"/>
    <xf numFmtId="0" fontId="169" fillId="60" borderId="0" applyNumberFormat="0" applyBorder="0" applyAlignment="0" applyProtection="0"/>
    <xf numFmtId="0" fontId="74" fillId="61" borderId="0" applyNumberFormat="0" applyBorder="0" applyAlignment="0" applyProtection="0"/>
    <xf numFmtId="0" fontId="169" fillId="61" borderId="0" applyNumberFormat="0" applyBorder="0" applyAlignment="0" applyProtection="0"/>
    <xf numFmtId="0" fontId="73" fillId="18"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169" fillId="61"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169" fillId="62" borderId="0" applyNumberFormat="0" applyBorder="0" applyAlignment="0" applyProtection="0"/>
    <xf numFmtId="0" fontId="73" fillId="22" borderId="0" applyNumberFormat="0" applyBorder="0" applyAlignment="0" applyProtection="0"/>
    <xf numFmtId="0" fontId="169" fillId="62" borderId="0" applyNumberFormat="0" applyBorder="0" applyAlignment="0" applyProtection="0"/>
    <xf numFmtId="0" fontId="169" fillId="62" borderId="0" applyNumberFormat="0" applyBorder="0" applyAlignment="0" applyProtection="0"/>
    <xf numFmtId="0" fontId="169" fillId="62" borderId="0" applyNumberFormat="0" applyBorder="0" applyAlignment="0" applyProtection="0"/>
    <xf numFmtId="0" fontId="169" fillId="62"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169" fillId="63" borderId="0" applyNumberFormat="0" applyBorder="0" applyAlignment="0" applyProtection="0"/>
    <xf numFmtId="0" fontId="73" fillId="26"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169" fillId="63" borderId="0" applyNumberFormat="0" applyBorder="0" applyAlignment="0" applyProtection="0"/>
    <xf numFmtId="0" fontId="74" fillId="59" borderId="0" applyNumberFormat="0" applyBorder="0" applyAlignment="0" applyProtection="0"/>
    <xf numFmtId="0" fontId="169" fillId="59" borderId="0" applyNumberFormat="0" applyBorder="0" applyAlignment="0" applyProtection="0"/>
    <xf numFmtId="0" fontId="73" fillId="30"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169" fillId="5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69" fillId="57" borderId="0" applyNumberFormat="0" applyBorder="0" applyAlignment="0" applyProtection="0"/>
    <xf numFmtId="0" fontId="73" fillId="34"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169" fillId="57"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169" fillId="65" borderId="0" applyNumberFormat="0" applyBorder="0" applyAlignment="0" applyProtection="0"/>
    <xf numFmtId="0" fontId="73" fillId="38"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169" fillId="6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70" fillId="45" borderId="0" applyNumberFormat="0" applyBorder="0" applyAlignment="0" applyProtection="0"/>
    <xf numFmtId="0" fontId="65" fillId="13"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76" fillId="51" borderId="42" applyNumberFormat="0" applyAlignment="0" applyProtection="0"/>
    <xf numFmtId="0" fontId="171" fillId="51" borderId="42" applyNumberFormat="0" applyAlignment="0" applyProtection="0"/>
    <xf numFmtId="0" fontId="68" fillId="15" borderId="37" applyNumberFormat="0" applyAlignment="0" applyProtection="0"/>
    <xf numFmtId="0" fontId="171" fillId="51" borderId="42" applyNumberFormat="0" applyAlignment="0" applyProtection="0"/>
    <xf numFmtId="0" fontId="171" fillId="51" borderId="42" applyNumberFormat="0" applyAlignment="0" applyProtection="0"/>
    <xf numFmtId="0" fontId="171" fillId="51" borderId="42" applyNumberFormat="0" applyAlignment="0" applyProtection="0"/>
    <xf numFmtId="0" fontId="171" fillId="51" borderId="42" applyNumberFormat="0" applyAlignment="0" applyProtection="0"/>
    <xf numFmtId="0" fontId="77" fillId="66" borderId="43" applyNumberFormat="0" applyAlignment="0" applyProtection="0"/>
    <xf numFmtId="0" fontId="77" fillId="66" borderId="43" applyNumberFormat="0" applyAlignment="0" applyProtection="0"/>
    <xf numFmtId="0" fontId="172" fillId="66" borderId="43" applyNumberFormat="0" applyAlignment="0" applyProtection="0"/>
    <xf numFmtId="0" fontId="69" fillId="16" borderId="39" applyNumberFormat="0" applyAlignment="0" applyProtection="0"/>
    <xf numFmtId="0" fontId="172" fillId="66" borderId="43" applyNumberFormat="0" applyAlignment="0" applyProtection="0"/>
    <xf numFmtId="0" fontId="172" fillId="66" borderId="43" applyNumberFormat="0" applyAlignment="0" applyProtection="0"/>
    <xf numFmtId="0" fontId="172" fillId="66" borderId="43" applyNumberFormat="0" applyAlignment="0" applyProtection="0"/>
    <xf numFmtId="0" fontId="172"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5"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4" fillId="0" borderId="0" applyFont="0" applyFill="0" applyBorder="0" applyAlignment="0" applyProtection="0"/>
    <xf numFmtId="0" fontId="184"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3"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2" fontId="184" fillId="0" borderId="0" applyFont="0" applyFill="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74" fillId="47" borderId="0" applyNumberFormat="0" applyBorder="0" applyAlignment="0" applyProtection="0"/>
    <xf numFmtId="0" fontId="64" fillId="12"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26" fillId="0" borderId="0" applyFon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26" fillId="0" borderId="0" applyFont="0" applyFill="0" applyBorder="0" applyAlignment="0" applyProtection="0"/>
    <xf numFmtId="0" fontId="113" fillId="0" borderId="69" applyNumberFormat="0" applyFill="0" applyAlignment="0" applyProtection="0"/>
    <xf numFmtId="0"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7" fillId="0" borderId="0" applyFont="0" applyFill="0" applyBorder="0" applyAlignment="0" applyProtection="0"/>
    <xf numFmtId="0" fontId="62"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7" fillId="0" borderId="48" applyNumberFormat="0" applyFill="0" applyAlignment="0" applyProtection="0"/>
    <xf numFmtId="0" fontId="175" fillId="0" borderId="48" applyNumberFormat="0" applyFill="0" applyAlignment="0" applyProtection="0"/>
    <xf numFmtId="0" fontId="63" fillId="0" borderId="36" applyNumberFormat="0" applyFill="0" applyAlignment="0" applyProtection="0"/>
    <xf numFmtId="0" fontId="175" fillId="0" borderId="48" applyNumberFormat="0" applyFill="0" applyAlignment="0" applyProtection="0"/>
    <xf numFmtId="0" fontId="175" fillId="0" borderId="48" applyNumberFormat="0" applyFill="0" applyAlignment="0" applyProtection="0"/>
    <xf numFmtId="0" fontId="175" fillId="0" borderId="48" applyNumberFormat="0" applyFill="0" applyAlignment="0" applyProtection="0"/>
    <xf numFmtId="0" fontId="175" fillId="0" borderId="48" applyNumberFormat="0" applyFill="0" applyAlignment="0" applyProtection="0"/>
    <xf numFmtId="0" fontId="87" fillId="0" borderId="0" applyNumberFormat="0" applyFill="0" applyBorder="0" applyAlignment="0" applyProtection="0"/>
    <xf numFmtId="0" fontId="175" fillId="0" borderId="0" applyNumberFormat="0" applyFill="0" applyBorder="0" applyAlignment="0" applyProtection="0"/>
    <xf numFmtId="0" fontId="63"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89" fillId="44" borderId="42" applyNumberFormat="0" applyAlignment="0" applyProtection="0"/>
    <xf numFmtId="0" fontId="66" fillId="14" borderId="37" applyNumberFormat="0" applyAlignment="0" applyProtection="0"/>
    <xf numFmtId="0" fontId="176" fillId="44" borderId="42" applyNumberFormat="0" applyAlignment="0" applyProtection="0"/>
    <xf numFmtId="0" fontId="176" fillId="44" borderId="42" applyNumberFormat="0" applyAlignment="0" applyProtection="0"/>
    <xf numFmtId="0" fontId="176" fillId="44" borderId="42" applyNumberFormat="0" applyAlignment="0" applyProtection="0"/>
    <xf numFmtId="0" fontId="176" fillId="44" borderId="42" applyNumberFormat="0" applyAlignment="0" applyProtection="0"/>
    <xf numFmtId="0" fontId="90" fillId="0" borderId="49" applyNumberFormat="0" applyFill="0" applyAlignment="0" applyProtection="0"/>
    <xf numFmtId="0" fontId="90" fillId="0" borderId="49" applyNumberFormat="0" applyFill="0" applyAlignment="0" applyProtection="0"/>
    <xf numFmtId="0" fontId="177" fillId="0" borderId="49" applyNumberFormat="0" applyFill="0" applyAlignment="0" applyProtection="0"/>
    <xf numFmtId="0" fontId="114" fillId="0" borderId="70" applyNumberFormat="0" applyFill="0" applyAlignment="0" applyProtection="0"/>
    <xf numFmtId="0" fontId="177" fillId="0" borderId="49" applyNumberFormat="0" applyFill="0" applyAlignment="0" applyProtection="0"/>
    <xf numFmtId="0" fontId="177" fillId="0" borderId="49" applyNumberFormat="0" applyFill="0" applyAlignment="0" applyProtection="0"/>
    <xf numFmtId="0" fontId="177" fillId="0" borderId="49" applyNumberFormat="0" applyFill="0" applyAlignment="0" applyProtection="0"/>
    <xf numFmtId="0" fontId="177" fillId="0" borderId="49" applyNumberFormat="0" applyFill="0" applyAlignment="0" applyProtection="0"/>
    <xf numFmtId="0" fontId="91" fillId="54" borderId="0" applyNumberFormat="0" applyBorder="0" applyAlignment="0" applyProtection="0"/>
    <xf numFmtId="0" fontId="91" fillId="54" borderId="0" applyNumberFormat="0" applyBorder="0" applyAlignment="0" applyProtection="0"/>
    <xf numFmtId="0" fontId="178" fillId="54" borderId="0" applyNumberFormat="0" applyBorder="0" applyAlignment="0" applyProtection="0"/>
    <xf numFmtId="0" fontId="183" fillId="70"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178"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3" fillId="51" borderId="51" applyNumberFormat="0" applyAlignment="0" applyProtection="0"/>
    <xf numFmtId="0" fontId="179" fillId="51" borderId="51" applyNumberFormat="0" applyAlignment="0" applyProtection="0"/>
    <xf numFmtId="0" fontId="67" fillId="15" borderId="38" applyNumberFormat="0" applyAlignment="0" applyProtection="0"/>
    <xf numFmtId="0" fontId="179" fillId="51" borderId="51" applyNumberFormat="0" applyAlignment="0" applyProtection="0"/>
    <xf numFmtId="0" fontId="179" fillId="51" borderId="51" applyNumberFormat="0" applyAlignment="0" applyProtection="0"/>
    <xf numFmtId="0" fontId="179" fillId="51" borderId="51" applyNumberFormat="0" applyAlignment="0" applyProtection="0"/>
    <xf numFmtId="0" fontId="179"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1" fillId="0" borderId="0" applyNumberFormat="0" applyFill="0" applyBorder="0" applyAlignment="0" applyProtection="0"/>
    <xf numFmtId="0" fontId="18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5" fillId="0" borderId="0" applyFont="0" applyFill="0" applyBorder="0" applyAlignment="0" applyProtection="0"/>
    <xf numFmtId="0" fontId="184" fillId="0" borderId="71" applyNumberFormat="0" applyFont="0" applyFill="0" applyAlignment="0" applyProtection="0"/>
    <xf numFmtId="0" fontId="184" fillId="0" borderId="71" applyNumberFormat="0" applyFont="0" applyFill="0" applyAlignment="0" applyProtection="0"/>
    <xf numFmtId="0" fontId="15" fillId="0" borderId="0" applyFont="0" applyFill="0" applyBorder="0" applyAlignment="0" applyProtection="0"/>
    <xf numFmtId="0" fontId="72"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80" fillId="0" borderId="0" applyNumberFormat="0" applyFill="0" applyBorder="0" applyAlignment="0" applyProtection="0"/>
    <xf numFmtId="0" fontId="7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3" fontId="15" fillId="0" borderId="0"/>
    <xf numFmtId="14" fontId="16" fillId="74" borderId="76">
      <alignment horizontal="center" vertical="center" wrapText="1"/>
    </xf>
    <xf numFmtId="0" fontId="127" fillId="0" borderId="7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6">
      <alignment horizontal="center"/>
    </xf>
    <xf numFmtId="0" fontId="137" fillId="0" borderId="76">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30" fillId="0" borderId="76">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160">
    <xf numFmtId="0" fontId="0" fillId="0" borderId="0" xfId="0"/>
    <xf numFmtId="0" fontId="18" fillId="0" borderId="0" xfId="1" applyFont="1" applyAlignment="1"/>
    <xf numFmtId="0" fontId="18" fillId="0" borderId="0" xfId="1" applyFont="1"/>
    <xf numFmtId="0" fontId="18" fillId="0" borderId="0" xfId="1" applyFont="1" applyFill="1" applyAlignment="1"/>
    <xf numFmtId="0" fontId="18" fillId="0" borderId="0" xfId="1" applyFont="1" applyFill="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0" fontId="18" fillId="0" borderId="0" xfId="1" applyFont="1" applyFill="1" applyAlignment="1">
      <alignment horizontal="center"/>
    </xf>
    <xf numFmtId="164" fontId="18" fillId="0" borderId="0" xfId="2" applyNumberFormat="1" applyFont="1"/>
    <xf numFmtId="0" fontId="18" fillId="0" borderId="4" xfId="1" applyFont="1" applyBorder="1"/>
    <xf numFmtId="0" fontId="24" fillId="0" borderId="0" xfId="1" applyFont="1" applyFill="1" applyAlignment="1">
      <alignment horizontal="center"/>
    </xf>
    <xf numFmtId="0" fontId="31" fillId="0" borderId="0" xfId="1" applyFont="1"/>
    <xf numFmtId="0" fontId="31" fillId="0" borderId="0" xfId="1" applyFont="1" applyFill="1"/>
    <xf numFmtId="0" fontId="31" fillId="0" borderId="0" xfId="1" applyFont="1" applyFill="1" applyBorder="1"/>
    <xf numFmtId="0" fontId="31" fillId="0" borderId="0" xfId="1" applyFont="1" applyBorder="1"/>
    <xf numFmtId="0" fontId="28" fillId="0" borderId="0" xfId="1" applyFont="1" applyFill="1"/>
    <xf numFmtId="0" fontId="28" fillId="0" borderId="0" xfId="1" applyFont="1"/>
    <xf numFmtId="164" fontId="18" fillId="0" borderId="0" xfId="2" applyNumberFormat="1" applyFont="1" applyFill="1" applyAlignment="1"/>
    <xf numFmtId="0" fontId="41" fillId="0" borderId="0" xfId="1" applyFont="1" applyAlignme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0" fontId="18" fillId="0" borderId="0" xfId="1" applyFont="1" applyFill="1" applyAlignment="1">
      <alignment horizontal="left" wrapText="1"/>
    </xf>
    <xf numFmtId="164" fontId="18" fillId="0" borderId="0" xfId="2" applyNumberFormat="1" applyFont="1" applyFill="1" applyBorder="1"/>
    <xf numFmtId="0" fontId="23" fillId="0" borderId="0" xfId="1" applyFont="1"/>
    <xf numFmtId="3" fontId="18" fillId="0" borderId="0" xfId="1" applyNumberFormat="1" applyFont="1" applyFill="1" applyBorder="1" applyAlignment="1"/>
    <xf numFmtId="0" fontId="18" fillId="0" borderId="0" xfId="1" applyNumberFormat="1" applyFont="1" applyFill="1" applyBorder="1" applyAlignment="1">
      <alignment horizontal="left"/>
    </xf>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Fill="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Fill="1" applyAlignment="1">
      <alignment horizontal="right" wrapText="1"/>
    </xf>
    <xf numFmtId="0" fontId="19" fillId="0" borderId="0" xfId="1" applyFont="1" applyFill="1"/>
    <xf numFmtId="41" fontId="18" fillId="0" borderId="0" xfId="1" applyNumberFormat="1" applyFont="1" applyFill="1" applyBorder="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0" fontId="23" fillId="0" borderId="0" xfId="1" applyFont="1" applyFill="1"/>
    <xf numFmtId="164" fontId="18" fillId="0" borderId="0" xfId="2" applyNumberFormat="1" applyFont="1" applyBorder="1"/>
    <xf numFmtId="3" fontId="18" fillId="8" borderId="0" xfId="1" applyNumberFormat="1" applyFont="1" applyFill="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Fill="1" applyBorder="1" applyAlignment="1">
      <alignment horizontal="center"/>
    </xf>
    <xf numFmtId="0" fontId="18" fillId="0" borderId="0" xfId="0" applyFont="1" applyFill="1" applyBorder="1"/>
    <xf numFmtId="0" fontId="31" fillId="0" borderId="0" xfId="0" applyFont="1"/>
    <xf numFmtId="164" fontId="28" fillId="0" borderId="0" xfId="2" applyNumberFormat="1" applyFont="1" applyFill="1" applyAlignment="1"/>
    <xf numFmtId="3" fontId="18" fillId="0" borderId="22" xfId="1" applyNumberFormat="1" applyFont="1" applyFill="1" applyBorder="1"/>
    <xf numFmtId="0" fontId="54" fillId="0" borderId="0" xfId="0" applyFont="1" applyFill="1" applyBorder="1" applyAlignment="1">
      <alignment horizontal="center"/>
    </xf>
    <xf numFmtId="0" fontId="16" fillId="0" borderId="0" xfId="0" applyFont="1" applyFill="1" applyBorder="1" applyAlignment="1">
      <alignment horizontal="center" wrapText="1"/>
    </xf>
    <xf numFmtId="0" fontId="16" fillId="0" borderId="15" xfId="0" applyFont="1" applyFill="1" applyBorder="1" applyAlignment="1">
      <alignment horizontal="center" wrapText="1"/>
    </xf>
    <xf numFmtId="0" fontId="45" fillId="0" borderId="0" xfId="0" applyFont="1" applyFill="1" applyBorder="1" applyAlignment="1"/>
    <xf numFmtId="0" fontId="45" fillId="0" borderId="0" xfId="0" applyFont="1" applyFill="1" applyBorder="1" applyAlignment="1">
      <alignment horizontal="center"/>
    </xf>
    <xf numFmtId="0" fontId="45" fillId="0" borderId="16" xfId="0" applyFont="1" applyFill="1" applyBorder="1" applyAlignment="1">
      <alignment horizontal="left"/>
    </xf>
    <xf numFmtId="0" fontId="45" fillId="0" borderId="0" xfId="0" applyFont="1" applyFill="1" applyBorder="1" applyAlignment="1">
      <alignment horizontal="left"/>
    </xf>
    <xf numFmtId="0" fontId="18" fillId="0" borderId="2" xfId="0" applyFont="1" applyFill="1" applyBorder="1"/>
    <xf numFmtId="0" fontId="18" fillId="0" borderId="0" xfId="0" applyFont="1" applyFill="1" applyBorder="1" applyAlignment="1"/>
    <xf numFmtId="0" fontId="45" fillId="0" borderId="0" xfId="0" applyFont="1" applyFill="1" applyBorder="1" applyAlignment="1">
      <alignment wrapText="1"/>
    </xf>
    <xf numFmtId="0" fontId="17" fillId="0" borderId="0" xfId="0" applyFont="1" applyFill="1" applyBorder="1" applyAlignment="1"/>
    <xf numFmtId="0" fontId="18" fillId="0" borderId="0" xfId="0" applyFont="1" applyFill="1" applyBorder="1" applyAlignment="1">
      <alignment horizontal="center"/>
    </xf>
    <xf numFmtId="0" fontId="53" fillId="0" borderId="0" xfId="0" applyFont="1" applyFill="1" applyBorder="1" applyAlignment="1">
      <alignment horizontal="center"/>
    </xf>
    <xf numFmtId="0" fontId="17" fillId="0" borderId="0" xfId="0" applyFont="1" applyFill="1" applyBorder="1" applyAlignment="1">
      <alignment horizontal="center" wrapText="1"/>
    </xf>
    <xf numFmtId="0" fontId="52" fillId="0" borderId="0" xfId="0" applyFont="1" applyFill="1" applyBorder="1" applyAlignment="1"/>
    <xf numFmtId="0" fontId="17" fillId="0" borderId="15" xfId="0" applyFont="1" applyFill="1" applyBorder="1" applyAlignment="1">
      <alignment horizontal="center" wrapText="1"/>
    </xf>
    <xf numFmtId="0" fontId="18" fillId="0" borderId="15" xfId="0" applyFont="1" applyFill="1" applyBorder="1"/>
    <xf numFmtId="0" fontId="18" fillId="0" borderId="2" xfId="0" applyFont="1" applyFill="1" applyBorder="1" applyAlignment="1"/>
    <xf numFmtId="0" fontId="18" fillId="0" borderId="2" xfId="0" applyFont="1" applyFill="1" applyBorder="1" applyAlignment="1">
      <alignment horizontal="center"/>
    </xf>
    <xf numFmtId="166" fontId="18" fillId="0" borderId="2" xfId="0" applyNumberFormat="1" applyFont="1" applyFill="1" applyBorder="1" applyAlignment="1">
      <alignment horizontal="center"/>
    </xf>
    <xf numFmtId="0" fontId="19" fillId="0" borderId="2" xfId="0" applyFont="1" applyFill="1" applyBorder="1"/>
    <xf numFmtId="0" fontId="18" fillId="0" borderId="9" xfId="0" applyFont="1" applyFill="1" applyBorder="1"/>
    <xf numFmtId="0" fontId="52" fillId="0" borderId="0" xfId="0" applyFont="1" applyFill="1" applyBorder="1"/>
    <xf numFmtId="0" fontId="15" fillId="0" borderId="0" xfId="20" applyFont="1" applyAlignment="1">
      <alignment horizontal="center"/>
    </xf>
    <xf numFmtId="0" fontId="16" fillId="0" borderId="0" xfId="20" applyFont="1"/>
    <xf numFmtId="3" fontId="18" fillId="8" borderId="0" xfId="1" applyNumberFormat="1" applyFont="1" applyFill="1" applyBorder="1" applyProtection="1">
      <protection locked="0"/>
    </xf>
    <xf numFmtId="0" fontId="18" fillId="0" borderId="0" xfId="20" applyFont="1"/>
    <xf numFmtId="0" fontId="18" fillId="0" borderId="0" xfId="20" applyFont="1" applyFill="1"/>
    <xf numFmtId="0" fontId="18" fillId="0" borderId="0" xfId="20" applyFont="1" applyAlignment="1">
      <alignment horizontal="center"/>
    </xf>
    <xf numFmtId="0" fontId="18" fillId="0" borderId="0" xfId="20" applyFont="1" applyBorder="1"/>
    <xf numFmtId="0" fontId="17" fillId="0" borderId="0" xfId="20" applyFont="1" applyFill="1" applyBorder="1" applyAlignment="1"/>
    <xf numFmtId="0" fontId="18" fillId="0" borderId="0" xfId="20" applyFont="1" applyFill="1" applyBorder="1"/>
    <xf numFmtId="0" fontId="23" fillId="0" borderId="0" xfId="20" applyFont="1"/>
    <xf numFmtId="0" fontId="17" fillId="0" borderId="0" xfId="20" applyFont="1" applyAlignment="1">
      <alignment horizontal="centerContinuous"/>
    </xf>
    <xf numFmtId="0" fontId="18" fillId="0" borderId="0" xfId="20" applyNumberFormat="1" applyFont="1" applyFill="1" applyBorder="1" applyAlignment="1"/>
    <xf numFmtId="0" fontId="18" fillId="0" borderId="0" xfId="20" applyNumberFormat="1" applyFont="1" applyFill="1" applyBorder="1" applyAlignment="1">
      <alignment horizontal="center"/>
    </xf>
    <xf numFmtId="37" fontId="18" fillId="0" borderId="0" xfId="20" applyNumberFormat="1" applyFont="1" applyBorder="1" applyAlignment="1">
      <alignment horizontal="left"/>
    </xf>
    <xf numFmtId="37" fontId="41" fillId="0" borderId="0" xfId="20" applyNumberFormat="1" applyFont="1" applyBorder="1" applyAlignment="1">
      <alignment horizontal="left"/>
    </xf>
    <xf numFmtId="0" fontId="17" fillId="0" borderId="0" xfId="20" applyFont="1" applyFill="1" applyBorder="1" applyAlignment="1">
      <alignment horizontal="left"/>
    </xf>
    <xf numFmtId="0" fontId="18" fillId="0" borderId="0" xfId="20" applyNumberFormat="1" applyFont="1" applyBorder="1" applyAlignment="1">
      <alignment horizontal="center"/>
    </xf>
    <xf numFmtId="0" fontId="18" fillId="0" borderId="0" xfId="20" applyFont="1" applyBorder="1" applyAlignment="1"/>
    <xf numFmtId="0" fontId="17" fillId="0" borderId="0" xfId="20" applyFont="1" applyBorder="1" applyAlignment="1">
      <alignment horizontal="center"/>
    </xf>
    <xf numFmtId="0" fontId="17" fillId="10" borderId="11" xfId="20" applyFont="1" applyFill="1" applyBorder="1" applyAlignment="1"/>
    <xf numFmtId="0" fontId="17" fillId="10" borderId="12" xfId="20" applyFont="1" applyFill="1" applyBorder="1" applyAlignment="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NumberFormat="1" applyFont="1" applyFill="1" applyBorder="1" applyAlignment="1"/>
    <xf numFmtId="0" fontId="18" fillId="0" borderId="8" xfId="20" applyFont="1" applyBorder="1" applyAlignment="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7" fillId="0" borderId="0" xfId="20" applyNumberFormat="1" applyFont="1" applyFill="1" applyBorder="1" applyAlignment="1"/>
    <xf numFmtId="0" fontId="18" fillId="0" borderId="0" xfId="20" applyFont="1" applyFill="1" applyBorder="1" applyAlignment="1">
      <alignment horizontal="left"/>
    </xf>
    <xf numFmtId="3" fontId="18" fillId="0" borderId="0" xfId="20" applyNumberFormat="1" applyFont="1" applyFill="1" applyBorder="1"/>
    <xf numFmtId="0" fontId="18" fillId="0" borderId="16" xfId="20" applyNumberFormat="1" applyFont="1" applyFill="1" applyBorder="1" applyAlignment="1">
      <alignment horizontal="center"/>
    </xf>
    <xf numFmtId="0" fontId="18" fillId="0" borderId="0" xfId="20" applyNumberFormat="1" applyFont="1" applyFill="1" applyBorder="1" applyAlignment="1">
      <alignment horizontal="left"/>
    </xf>
    <xf numFmtId="3" fontId="18" fillId="0" borderId="0" xfId="20" applyNumberFormat="1" applyFont="1" applyFill="1" applyBorder="1" applyAlignment="1">
      <alignment horizontal="center"/>
    </xf>
    <xf numFmtId="3" fontId="18" fillId="0" borderId="0" xfId="20" applyNumberFormat="1" applyFont="1" applyFill="1" applyBorder="1" applyAlignment="1">
      <alignment horizontal="left"/>
    </xf>
    <xf numFmtId="0" fontId="18" fillId="0" borderId="15" xfId="20" applyFont="1" applyBorder="1"/>
    <xf numFmtId="3" fontId="18" fillId="0" borderId="0" xfId="20" applyNumberFormat="1" applyFont="1" applyFill="1" applyBorder="1" applyAlignment="1"/>
    <xf numFmtId="0" fontId="18" fillId="0" borderId="16" xfId="20" applyFont="1" applyFill="1" applyBorder="1" applyAlignment="1">
      <alignment horizontal="center"/>
    </xf>
    <xf numFmtId="0" fontId="17" fillId="0" borderId="0" xfId="20" applyNumberFormat="1" applyFont="1" applyFill="1" applyBorder="1" applyAlignment="1">
      <alignment horizontal="left"/>
    </xf>
    <xf numFmtId="0" fontId="18" fillId="0" borderId="0" xfId="20" applyFont="1" applyBorder="1" applyAlignment="1">
      <alignment horizontal="left"/>
    </xf>
    <xf numFmtId="0" fontId="17" fillId="0" borderId="2" xfId="20" applyNumberFormat="1" applyFont="1" applyFill="1" applyBorder="1" applyAlignment="1">
      <alignment horizontal="left"/>
    </xf>
    <xf numFmtId="0" fontId="18" fillId="0" borderId="2" xfId="20" applyNumberFormat="1" applyFont="1" applyFill="1" applyBorder="1" applyAlignment="1">
      <alignment horizontal="left"/>
    </xf>
    <xf numFmtId="0" fontId="18" fillId="0" borderId="2" xfId="20" applyFont="1" applyFill="1" applyBorder="1"/>
    <xf numFmtId="0" fontId="18" fillId="0" borderId="2" xfId="20" applyFont="1" applyFill="1" applyBorder="1" applyAlignment="1">
      <alignment horizontal="center"/>
    </xf>
    <xf numFmtId="0" fontId="18" fillId="0" borderId="2" xfId="20" applyFont="1" applyFill="1" applyBorder="1" applyAlignment="1"/>
    <xf numFmtId="0" fontId="18" fillId="0" borderId="9" xfId="20" applyFont="1" applyFill="1" applyBorder="1"/>
    <xf numFmtId="0" fontId="18" fillId="0" borderId="0" xfId="20" applyFont="1" applyFill="1" applyBorder="1" applyAlignment="1"/>
    <xf numFmtId="0" fontId="18" fillId="0" borderId="0" xfId="20" applyNumberFormat="1" applyFont="1" applyBorder="1" applyAlignment="1">
      <alignment horizontal="left"/>
    </xf>
    <xf numFmtId="0" fontId="18" fillId="0" borderId="0" xfId="20" applyFont="1" applyBorder="1" applyAlignment="1">
      <alignment horizontal="center"/>
    </xf>
    <xf numFmtId="0" fontId="18" fillId="0" borderId="0" xfId="20" applyNumberFormat="1" applyFont="1" applyBorder="1" applyAlignment="1"/>
    <xf numFmtId="37" fontId="17" fillId="0" borderId="0" xfId="20" applyNumberFormat="1" applyFont="1" applyBorder="1" applyAlignment="1">
      <alignment horizontal="left"/>
    </xf>
    <xf numFmtId="0" fontId="18" fillId="10" borderId="12" xfId="20" applyFont="1" applyFill="1" applyBorder="1"/>
    <xf numFmtId="0" fontId="18" fillId="10" borderId="14" xfId="20" applyFont="1" applyFill="1" applyBorder="1"/>
    <xf numFmtId="0" fontId="17" fillId="0" borderId="16" xfId="20" applyFont="1" applyFill="1" applyBorder="1" applyAlignment="1"/>
    <xf numFmtId="0" fontId="17" fillId="0" borderId="0" xfId="20" applyFont="1" applyFill="1" applyBorder="1" applyAlignment="1">
      <alignment wrapText="1"/>
    </xf>
    <xf numFmtId="0" fontId="18" fillId="0" borderId="15" xfId="20" applyFont="1" applyFill="1" applyBorder="1"/>
    <xf numFmtId="0" fontId="18" fillId="0" borderId="6" xfId="20" applyNumberFormat="1" applyFont="1" applyFill="1" applyBorder="1" applyAlignment="1">
      <alignment horizontal="center"/>
    </xf>
    <xf numFmtId="0" fontId="18" fillId="0" borderId="2" xfId="20" applyFont="1" applyBorder="1"/>
    <xf numFmtId="0" fontId="18" fillId="0" borderId="2" xfId="20" applyNumberFormat="1" applyFont="1" applyBorder="1" applyAlignment="1">
      <alignment horizontal="left"/>
    </xf>
    <xf numFmtId="0" fontId="18" fillId="0" borderId="2" xfId="20" applyNumberFormat="1" applyFont="1" applyBorder="1" applyAlignment="1"/>
    <xf numFmtId="0" fontId="18" fillId="0" borderId="9" xfId="20" applyFont="1" applyBorder="1"/>
    <xf numFmtId="0" fontId="18" fillId="0" borderId="2" xfId="20" applyNumberFormat="1" applyFont="1" applyFill="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Fill="1" applyBorder="1"/>
    <xf numFmtId="0" fontId="17" fillId="0" borderId="8" xfId="20" applyNumberFormat="1" applyFont="1" applyFill="1" applyBorder="1" applyAlignment="1">
      <alignment horizontal="left"/>
    </xf>
    <xf numFmtId="0" fontId="17" fillId="0" borderId="8" xfId="20" applyFont="1" applyFill="1" applyBorder="1"/>
    <xf numFmtId="0" fontId="18" fillId="0" borderId="8" xfId="20" applyFont="1" applyFill="1" applyBorder="1"/>
    <xf numFmtId="0" fontId="18" fillId="0" borderId="8" xfId="20" applyNumberFormat="1" applyFont="1" applyFill="1" applyBorder="1" applyAlignment="1">
      <alignment horizontal="left"/>
    </xf>
    <xf numFmtId="3" fontId="17" fillId="0" borderId="8" xfId="20" applyNumberFormat="1" applyFont="1" applyFill="1" applyBorder="1" applyAlignment="1">
      <alignment horizontal="center"/>
    </xf>
    <xf numFmtId="0" fontId="17" fillId="0" borderId="8" xfId="20" applyFont="1" applyFill="1" applyBorder="1" applyAlignment="1">
      <alignment horizontal="left"/>
    </xf>
    <xf numFmtId="167" fontId="18" fillId="0" borderId="8" xfId="20" applyNumberFormat="1" applyFont="1" applyFill="1" applyBorder="1"/>
    <xf numFmtId="0" fontId="18" fillId="0" borderId="24" xfId="20" applyFont="1" applyFill="1" applyBorder="1"/>
    <xf numFmtId="0" fontId="18" fillId="0" borderId="15" xfId="20" applyFont="1" applyFill="1" applyBorder="1" applyAlignment="1">
      <alignment horizontal="center" wrapText="1"/>
    </xf>
    <xf numFmtId="167" fontId="17" fillId="0" borderId="0" xfId="2" applyNumberFormat="1" applyFont="1" applyFill="1" applyBorder="1"/>
    <xf numFmtId="0" fontId="17" fillId="0" borderId="2" xfId="20" applyNumberFormat="1" applyFont="1" applyFill="1" applyBorder="1" applyAlignment="1"/>
    <xf numFmtId="3" fontId="18" fillId="0" borderId="0" xfId="20" applyNumberFormat="1" applyFont="1" applyBorder="1" applyAlignment="1">
      <alignment horizontal="center"/>
    </xf>
    <xf numFmtId="3" fontId="18" fillId="0" borderId="8" xfId="20" applyNumberFormat="1" applyFont="1" applyBorder="1" applyAlignment="1">
      <alignment horizontal="center"/>
    </xf>
    <xf numFmtId="167" fontId="18" fillId="0" borderId="0" xfId="20" applyNumberFormat="1" applyFont="1" applyBorder="1"/>
    <xf numFmtId="166" fontId="18" fillId="0" borderId="2" xfId="6" applyNumberFormat="1" applyFont="1" applyFill="1" applyBorder="1"/>
    <xf numFmtId="0" fontId="17" fillId="10" borderId="7" xfId="20" applyFont="1" applyFill="1" applyBorder="1" applyAlignment="1"/>
    <xf numFmtId="0" fontId="17" fillId="10" borderId="8" xfId="20" applyFont="1" applyFill="1" applyBorder="1" applyAlignment="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0" fontId="17" fillId="0" borderId="0" xfId="20" applyNumberFormat="1" applyFont="1" applyBorder="1" applyAlignment="1">
      <alignment horizontal="left"/>
    </xf>
    <xf numFmtId="0" fontId="18" fillId="0" borderId="2" xfId="20" applyNumberFormat="1" applyFont="1" applyFill="1" applyBorder="1" applyAlignment="1"/>
    <xf numFmtId="3" fontId="18" fillId="0" borderId="9" xfId="20" applyNumberFormat="1" applyFont="1" applyBorder="1" applyAlignment="1">
      <alignment horizontal="center"/>
    </xf>
    <xf numFmtId="0" fontId="17" fillId="0" borderId="7" xfId="20" applyFont="1" applyFill="1" applyBorder="1" applyAlignment="1"/>
    <xf numFmtId="0" fontId="17" fillId="0" borderId="8" xfId="20" applyFont="1" applyFill="1" applyBorder="1" applyAlignment="1"/>
    <xf numFmtId="0" fontId="17" fillId="0" borderId="8" xfId="20" applyFont="1" applyFill="1" applyBorder="1" applyAlignment="1">
      <alignment horizontal="center"/>
    </xf>
    <xf numFmtId="0" fontId="17" fillId="0" borderId="8" xfId="20" applyFont="1" applyFill="1" applyBorder="1" applyAlignment="1">
      <alignment wrapText="1"/>
    </xf>
    <xf numFmtId="0" fontId="17" fillId="0" borderId="8" xfId="20" applyFont="1" applyFill="1" applyBorder="1" applyAlignment="1">
      <alignment horizontal="center" wrapText="1"/>
    </xf>
    <xf numFmtId="0" fontId="17" fillId="0" borderId="24" xfId="20" applyFont="1" applyFill="1" applyBorder="1" applyAlignment="1">
      <alignment horizontal="center" wrapText="1"/>
    </xf>
    <xf numFmtId="3" fontId="18" fillId="0" borderId="15" xfId="20" applyNumberFormat="1" applyFont="1" applyFill="1" applyBorder="1" applyAlignment="1">
      <alignment horizontal="right"/>
    </xf>
    <xf numFmtId="0" fontId="17" fillId="0" borderId="15" xfId="20" applyFont="1" applyBorder="1" applyAlignment="1">
      <alignment horizontal="center"/>
    </xf>
    <xf numFmtId="3" fontId="18" fillId="0" borderId="15" xfId="20" applyNumberFormat="1" applyFont="1" applyBorder="1" applyAlignment="1">
      <alignment horizontal="right"/>
    </xf>
    <xf numFmtId="0" fontId="18" fillId="0" borderId="6" xfId="20" applyFont="1" applyBorder="1"/>
    <xf numFmtId="0" fontId="17" fillId="0" borderId="0" xfId="20" applyFont="1" applyBorder="1"/>
    <xf numFmtId="0" fontId="18" fillId="0" borderId="15" xfId="20" applyFont="1" applyFill="1" applyBorder="1" applyAlignment="1">
      <alignment horizontal="center"/>
    </xf>
    <xf numFmtId="164" fontId="18" fillId="0" borderId="2" xfId="20" applyNumberFormat="1" applyFont="1" applyFill="1" applyBorder="1" applyAlignment="1">
      <alignment horizontal="center"/>
    </xf>
    <xf numFmtId="0" fontId="18" fillId="0" borderId="9" xfId="20" applyFont="1" applyBorder="1" applyAlignment="1">
      <alignment horizontal="center"/>
    </xf>
    <xf numFmtId="0" fontId="18" fillId="0" borderId="16" xfId="20" applyNumberFormat="1" applyFont="1" applyBorder="1" applyAlignment="1">
      <alignment horizontal="center"/>
    </xf>
    <xf numFmtId="0" fontId="18" fillId="0" borderId="0" xfId="20" applyNumberFormat="1" applyFont="1" applyFill="1" applyBorder="1" applyAlignment="1">
      <alignment horizontal="right"/>
    </xf>
    <xf numFmtId="0" fontId="18" fillId="0" borderId="2" xfId="20" applyNumberFormat="1" applyFont="1" applyFill="1" applyBorder="1" applyAlignment="1">
      <alignment horizontal="right"/>
    </xf>
    <xf numFmtId="0" fontId="18" fillId="0" borderId="8" xfId="20" applyFont="1" applyFill="1" applyBorder="1" applyAlignment="1"/>
    <xf numFmtId="0" fontId="18" fillId="0" borderId="0" xfId="20" applyNumberFormat="1" applyFont="1" applyBorder="1" applyAlignment="1">
      <alignment horizontal="right"/>
    </xf>
    <xf numFmtId="0" fontId="18" fillId="0" borderId="0" xfId="20" applyNumberFormat="1" applyFont="1" applyFill="1" applyBorder="1" applyAlignment="1">
      <alignment horizontal="left" wrapText="1"/>
    </xf>
    <xf numFmtId="0" fontId="17" fillId="0" borderId="0" xfId="20" applyFont="1" applyFill="1" applyAlignment="1">
      <alignment horizontal="left"/>
    </xf>
    <xf numFmtId="164" fontId="17" fillId="0" borderId="0" xfId="2" applyNumberFormat="1" applyFont="1" applyFill="1" applyBorder="1"/>
    <xf numFmtId="3" fontId="18" fillId="0" borderId="2" xfId="20" applyNumberFormat="1" applyFont="1" applyFill="1" applyBorder="1"/>
    <xf numFmtId="3" fontId="18" fillId="0" borderId="2" xfId="20" applyNumberFormat="1" applyFont="1" applyFill="1" applyBorder="1" applyAlignment="1">
      <alignment horizontal="left"/>
    </xf>
    <xf numFmtId="167" fontId="17" fillId="0" borderId="0" xfId="20" applyNumberFormat="1" applyFont="1" applyBorder="1" applyAlignment="1">
      <alignment horizontal="left"/>
    </xf>
    <xf numFmtId="3" fontId="18" fillId="0" borderId="0" xfId="20" applyNumberFormat="1" applyFont="1" applyBorder="1" applyAlignment="1"/>
    <xf numFmtId="169" fontId="18" fillId="0" borderId="0" xfId="20" applyNumberFormat="1" applyFont="1" applyBorder="1" applyAlignme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8" fillId="0" borderId="0" xfId="20" applyFont="1" applyFill="1" applyAlignment="1">
      <alignment horizontal="center"/>
    </xf>
    <xf numFmtId="0" fontId="17" fillId="0" borderId="24" xfId="20" applyFont="1" applyFill="1" applyBorder="1" applyAlignment="1">
      <alignment wrapText="1"/>
    </xf>
    <xf numFmtId="2" fontId="18" fillId="0" borderId="0" xfId="20" applyNumberFormat="1" applyFont="1" applyFill="1" applyBorder="1" applyAlignment="1">
      <alignment horizontal="center"/>
    </xf>
    <xf numFmtId="0" fontId="18" fillId="0" borderId="0" xfId="20" applyFont="1" applyFill="1" applyBorder="1" applyAlignment="1">
      <alignment horizontal="center"/>
    </xf>
    <xf numFmtId="164" fontId="27" fillId="0" borderId="0" xfId="4" applyNumberFormat="1" applyFont="1" applyFill="1"/>
    <xf numFmtId="0" fontId="18" fillId="0" borderId="8" xfId="20" applyFont="1" applyBorder="1" applyAlignment="1">
      <alignment horizontal="left"/>
    </xf>
    <xf numFmtId="0" fontId="17" fillId="0" borderId="0" xfId="20" applyFont="1" applyFill="1" applyBorder="1" applyAlignment="1">
      <alignment horizontal="center"/>
    </xf>
    <xf numFmtId="0" fontId="18" fillId="0" borderId="7" xfId="20" applyFont="1" applyBorder="1"/>
    <xf numFmtId="3" fontId="17" fillId="0" borderId="8" xfId="20" applyNumberFormat="1" applyFont="1" applyBorder="1" applyAlignment="1">
      <alignment horizontal="center"/>
    </xf>
    <xf numFmtId="3" fontId="18" fillId="0" borderId="8" xfId="2" applyNumberFormat="1" applyFont="1" applyFill="1" applyBorder="1"/>
    <xf numFmtId="0" fontId="48" fillId="0" borderId="0" xfId="0" applyFont="1" applyBorder="1"/>
    <xf numFmtId="43" fontId="27" fillId="0" borderId="0" xfId="2" applyFont="1" applyFill="1"/>
    <xf numFmtId="0" fontId="23" fillId="0" borderId="0" xfId="0" applyFont="1"/>
    <xf numFmtId="0" fontId="18" fillId="0" borderId="0" xfId="0" applyFont="1"/>
    <xf numFmtId="0" fontId="23" fillId="0" borderId="0" xfId="0" applyFont="1" applyBorder="1"/>
    <xf numFmtId="0" fontId="18" fillId="0" borderId="0" xfId="0" applyFont="1" applyBorder="1"/>
    <xf numFmtId="0" fontId="17" fillId="0" borderId="0" xfId="0" applyFont="1" applyFill="1" applyBorder="1"/>
    <xf numFmtId="0" fontId="18" fillId="0" borderId="0" xfId="0" applyFont="1" applyFill="1"/>
    <xf numFmtId="0" fontId="0" fillId="0" borderId="0" xfId="0" applyFill="1" applyAlignment="1">
      <alignment vertical="center" wrapText="1"/>
    </xf>
    <xf numFmtId="0" fontId="18" fillId="0" borderId="0" xfId="0" applyFont="1" applyFill="1" applyAlignment="1"/>
    <xf numFmtId="0" fontId="24" fillId="0" borderId="0" xfId="0" applyFont="1" applyFill="1" applyAlignment="1">
      <alignment horizontal="center"/>
    </xf>
    <xf numFmtId="0" fontId="18" fillId="0" borderId="0" xfId="0" applyFont="1" applyFill="1" applyAlignment="1">
      <alignment horizontal="left"/>
    </xf>
    <xf numFmtId="0" fontId="24" fillId="0" borderId="0" xfId="0" applyFont="1" applyFill="1"/>
    <xf numFmtId="37" fontId="18" fillId="0" borderId="0" xfId="0" applyNumberFormat="1" applyFont="1" applyFill="1"/>
    <xf numFmtId="171" fontId="18" fillId="0" borderId="0" xfId="0" applyNumberFormat="1" applyFont="1" applyFill="1"/>
    <xf numFmtId="37" fontId="17" fillId="0" borderId="0" xfId="0" applyNumberFormat="1" applyFont="1" applyFill="1"/>
    <xf numFmtId="37" fontId="18" fillId="0" borderId="0" xfId="0" applyNumberFormat="1" applyFont="1" applyFill="1" applyAlignment="1">
      <alignment horizontal="left"/>
    </xf>
    <xf numFmtId="0" fontId="17" fillId="0" borderId="0" xfId="0" applyFont="1" applyFill="1"/>
    <xf numFmtId="0" fontId="17" fillId="0" borderId="0" xfId="0" applyFont="1" applyFill="1" applyAlignment="1">
      <alignment horizontal="center"/>
    </xf>
    <xf numFmtId="0" fontId="17" fillId="0" borderId="0" xfId="0" applyFont="1" applyAlignment="1">
      <alignment horizontal="center"/>
    </xf>
    <xf numFmtId="0" fontId="24" fillId="0" borderId="0" xfId="0" applyFont="1" applyFill="1" applyAlignment="1">
      <alignment horizontal="left"/>
    </xf>
    <xf numFmtId="37" fontId="18" fillId="0" borderId="34" xfId="0" applyNumberFormat="1" applyFont="1" applyFill="1" applyBorder="1" applyAlignment="1">
      <alignment wrapText="1"/>
    </xf>
    <xf numFmtId="37" fontId="17" fillId="0" borderId="0" xfId="0" applyNumberFormat="1" applyFont="1" applyFill="1" applyBorder="1" applyAlignment="1">
      <alignment horizontal="center"/>
    </xf>
    <xf numFmtId="0" fontId="17" fillId="0" borderId="0" xfId="0" applyFont="1" applyBorder="1"/>
    <xf numFmtId="0" fontId="18" fillId="0" borderId="0" xfId="0" applyFont="1" applyBorder="1" applyAlignment="1">
      <alignment horizontal="left"/>
    </xf>
    <xf numFmtId="0" fontId="18" fillId="0" borderId="0" xfId="0" applyFont="1" applyBorder="1" applyAlignment="1"/>
    <xf numFmtId="0" fontId="24" fillId="0" borderId="0" xfId="0" applyFont="1" applyBorder="1" applyAlignment="1">
      <alignment horizontal="center"/>
    </xf>
    <xf numFmtId="0" fontId="24" fillId="0" borderId="0" xfId="0" applyFont="1" applyFill="1" applyBorder="1" applyAlignment="1">
      <alignment horizontal="center"/>
    </xf>
    <xf numFmtId="0" fontId="24" fillId="0" borderId="0" xfId="0" applyFont="1" applyBorder="1"/>
    <xf numFmtId="0" fontId="23" fillId="0" borderId="0" xfId="0" applyFont="1" applyBorder="1" applyAlignment="1">
      <alignment horizontal="left"/>
    </xf>
    <xf numFmtId="0" fontId="23" fillId="0" borderId="0" xfId="0" applyFont="1" applyFill="1" applyBorder="1" applyAlignment="1">
      <alignment wrapText="1"/>
    </xf>
    <xf numFmtId="41" fontId="17" fillId="0" borderId="0" xfId="0" applyNumberFormat="1" applyFont="1" applyFill="1" applyAlignment="1">
      <alignment horizontal="center" wrapText="1"/>
    </xf>
    <xf numFmtId="0" fontId="18" fillId="0" borderId="0" xfId="0" applyFont="1" applyAlignment="1">
      <alignment horizontal="left"/>
    </xf>
    <xf numFmtId="0" fontId="17" fillId="0" borderId="17" xfId="0" applyFont="1" applyFill="1" applyBorder="1"/>
    <xf numFmtId="0" fontId="18" fillId="0" borderId="25" xfId="0" applyFont="1" applyFill="1" applyBorder="1" applyAlignment="1">
      <alignment wrapText="1"/>
    </xf>
    <xf numFmtId="37" fontId="18" fillId="0" borderId="0" xfId="0" applyNumberFormat="1" applyFont="1" applyBorder="1"/>
    <xf numFmtId="37" fontId="18" fillId="0" borderId="0" xfId="0" applyNumberFormat="1" applyFont="1" applyFill="1" applyBorder="1"/>
    <xf numFmtId="164" fontId="18" fillId="0" borderId="0" xfId="0" applyNumberFormat="1" applyFont="1" applyFill="1" applyBorder="1" applyAlignment="1">
      <alignment wrapText="1"/>
    </xf>
    <xf numFmtId="0" fontId="17" fillId="0" borderId="0" xfId="0" applyFont="1" applyFill="1" applyBorder="1" applyAlignment="1">
      <alignment horizontal="centerContinuous"/>
    </xf>
    <xf numFmtId="0" fontId="18" fillId="0" borderId="0" xfId="0" applyFont="1" applyFill="1" applyBorder="1" applyAlignment="1">
      <alignment horizontal="centerContinuous"/>
    </xf>
    <xf numFmtId="41" fontId="17" fillId="0" borderId="0" xfId="0" applyNumberFormat="1" applyFont="1" applyFill="1" applyBorder="1" applyAlignment="1">
      <alignment horizontal="center"/>
    </xf>
    <xf numFmtId="0" fontId="18" fillId="0" borderId="0" xfId="0" applyFont="1" applyFill="1" applyBorder="1" applyAlignment="1">
      <alignment horizontal="left"/>
    </xf>
    <xf numFmtId="0" fontId="22" fillId="0" borderId="0" xfId="0" applyFont="1" applyBorder="1" applyAlignment="1">
      <alignment horizontal="centerContinuous"/>
    </xf>
    <xf numFmtId="0" fontId="23" fillId="0" borderId="0" xfId="0" applyFont="1" applyBorder="1" applyAlignment="1">
      <alignment horizontal="centerContinuous"/>
    </xf>
    <xf numFmtId="0" fontId="23" fillId="0" borderId="0" xfId="0" applyFont="1" applyFill="1" applyBorder="1" applyAlignment="1">
      <alignment horizontal="centerContinuous"/>
    </xf>
    <xf numFmtId="0" fontId="17" fillId="0" borderId="23" xfId="0" applyFont="1" applyFill="1" applyBorder="1" applyAlignment="1"/>
    <xf numFmtId="0" fontId="18" fillId="0" borderId="29" xfId="0" applyFont="1" applyFill="1" applyBorder="1" applyAlignment="1">
      <alignment wrapText="1"/>
    </xf>
    <xf numFmtId="0" fontId="23" fillId="0" borderId="0" xfId="20" applyFont="1" applyAlignment="1">
      <alignment horizontal="center"/>
    </xf>
    <xf numFmtId="0" fontId="24" fillId="0" borderId="0" xfId="20" applyFont="1" applyFill="1" applyAlignment="1">
      <alignment horizontal="center"/>
    </xf>
    <xf numFmtId="0" fontId="18" fillId="0" borderId="0" xfId="20" applyFont="1" applyAlignment="1">
      <alignment horizontal="left"/>
    </xf>
    <xf numFmtId="37" fontId="18" fillId="0" borderId="0" xfId="20" applyNumberFormat="1" applyFont="1" applyFill="1" applyBorder="1" applyAlignment="1">
      <alignment horizontal="left"/>
    </xf>
    <xf numFmtId="0" fontId="22" fillId="0" borderId="0" xfId="20" applyFont="1" applyFill="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NumberFormat="1" applyFont="1" applyFill="1" applyBorder="1" applyAlignment="1"/>
    <xf numFmtId="0" fontId="18" fillId="0" borderId="31" xfId="20" applyFont="1" applyBorder="1"/>
    <xf numFmtId="0" fontId="17" fillId="0" borderId="0" xfId="0" applyFont="1" applyFill="1" applyAlignment="1">
      <alignment horizontal="right"/>
    </xf>
    <xf numFmtId="43" fontId="18" fillId="0" borderId="0" xfId="2" applyNumberFormat="1" applyFont="1" applyFill="1" applyBorder="1" applyAlignment="1"/>
    <xf numFmtId="0" fontId="17" fillId="10" borderId="31" xfId="20" applyFont="1" applyFill="1" applyBorder="1" applyAlignment="1">
      <alignment horizontal="center" wrapText="1"/>
    </xf>
    <xf numFmtId="3" fontId="18" fillId="0" borderId="20" xfId="20" applyNumberFormat="1" applyFont="1" applyFill="1" applyBorder="1" applyAlignment="1">
      <alignment horizontal="center"/>
    </xf>
    <xf numFmtId="37" fontId="17" fillId="0" borderId="1" xfId="20" applyNumberFormat="1" applyFont="1" applyFill="1" applyBorder="1" applyAlignment="1">
      <alignment horizontal="center"/>
    </xf>
    <xf numFmtId="164" fontId="18" fillId="0" borderId="0" xfId="20" applyNumberFormat="1" applyFont="1"/>
    <xf numFmtId="0" fontId="27" fillId="0" borderId="0" xfId="20" applyFont="1" applyFill="1" applyAlignment="1">
      <alignment horizontal="center"/>
    </xf>
    <xf numFmtId="0" fontId="15" fillId="0" borderId="0" xfId="20" applyFont="1"/>
    <xf numFmtId="43" fontId="15" fillId="0" borderId="0" xfId="2" applyFont="1" applyFill="1"/>
    <xf numFmtId="164" fontId="18" fillId="0" borderId="0" xfId="1" applyNumberFormat="1" applyFont="1"/>
    <xf numFmtId="0" fontId="17" fillId="0" borderId="0" xfId="20" applyFont="1"/>
    <xf numFmtId="0" fontId="17" fillId="0" borderId="0" xfId="20" applyFont="1" applyAlignment="1">
      <alignment horizontal="center"/>
    </xf>
    <xf numFmtId="0" fontId="18" fillId="0" borderId="0" xfId="20" applyFont="1" applyAlignment="1">
      <alignment horizontal="right"/>
    </xf>
    <xf numFmtId="0" fontId="18" fillId="0" borderId="0" xfId="20" applyFont="1" applyProtection="1">
      <protection locked="0"/>
    </xf>
    <xf numFmtId="0" fontId="15" fillId="0" borderId="0" xfId="20" applyFont="1" applyFill="1"/>
    <xf numFmtId="0" fontId="15" fillId="0" borderId="0" xfId="20" applyFont="1" applyFill="1" applyBorder="1"/>
    <xf numFmtId="3" fontId="18" fillId="0" borderId="20" xfId="20" applyNumberFormat="1" applyFont="1" applyBorder="1"/>
    <xf numFmtId="0" fontId="31" fillId="0" borderId="0" xfId="20" applyFont="1" applyFill="1" applyProtection="1"/>
    <xf numFmtId="0" fontId="31" fillId="0" borderId="0" xfId="20" applyFont="1" applyFill="1" applyBorder="1" applyProtection="1"/>
    <xf numFmtId="0" fontId="28" fillId="0" borderId="0" xfId="20" applyFont="1" applyFill="1" applyBorder="1" applyAlignment="1" applyProtection="1">
      <alignment horizontal="center" wrapText="1"/>
    </xf>
    <xf numFmtId="0" fontId="31" fillId="5" borderId="0" xfId="20" applyFont="1" applyFill="1" applyBorder="1" applyAlignment="1" applyProtection="1">
      <alignment horizontal="center" wrapText="1"/>
    </xf>
    <xf numFmtId="0" fontId="31" fillId="0" borderId="0" xfId="20" applyFont="1" applyFill="1" applyBorder="1" applyAlignment="1" applyProtection="1">
      <alignment horizontal="center" wrapText="1"/>
    </xf>
    <xf numFmtId="3" fontId="31" fillId="0" borderId="0" xfId="20" applyNumberFormat="1" applyFont="1" applyAlignment="1" applyProtection="1"/>
    <xf numFmtId="3" fontId="31" fillId="0" borderId="0" xfId="20" applyNumberFormat="1" applyFont="1" applyFill="1" applyAlignment="1" applyProtection="1"/>
    <xf numFmtId="3" fontId="31" fillId="0" borderId="3" xfId="20" applyNumberFormat="1" applyFont="1" applyBorder="1" applyAlignment="1" applyProtection="1"/>
    <xf numFmtId="171" fontId="28" fillId="0" borderId="0" xfId="9" applyNumberFormat="1" applyFont="1" applyAlignment="1" applyProtection="1"/>
    <xf numFmtId="0" fontId="31" fillId="0" borderId="0" xfId="20" applyFont="1" applyProtection="1"/>
    <xf numFmtId="3" fontId="31" fillId="0" borderId="4" xfId="20" applyNumberFormat="1" applyFont="1" applyFill="1" applyBorder="1" applyAlignment="1" applyProtection="1"/>
    <xf numFmtId="3" fontId="31" fillId="0" borderId="0" xfId="20" applyNumberFormat="1" applyFont="1" applyFill="1" applyBorder="1" applyAlignment="1" applyProtection="1"/>
    <xf numFmtId="3" fontId="31" fillId="0" borderId="0" xfId="20" applyNumberFormat="1" applyFont="1" applyBorder="1" applyProtection="1"/>
    <xf numFmtId="3" fontId="31" fillId="0" borderId="0" xfId="20" applyNumberFormat="1" applyFont="1" applyBorder="1" applyAlignment="1" applyProtection="1"/>
    <xf numFmtId="3" fontId="31" fillId="0" borderId="0" xfId="20" applyNumberFormat="1" applyFont="1" applyProtection="1"/>
    <xf numFmtId="3" fontId="31" fillId="0" borderId="3" xfId="20" applyNumberFormat="1" applyFont="1" applyFill="1" applyBorder="1" applyAlignment="1" applyProtection="1"/>
    <xf numFmtId="3" fontId="31" fillId="0" borderId="0" xfId="20" applyNumberFormat="1" applyFont="1" applyAlignment="1" applyProtection="1">
      <alignment horizontal="center"/>
    </xf>
    <xf numFmtId="0" fontId="31" fillId="5" borderId="0" xfId="20" applyFont="1" applyFill="1" applyProtection="1"/>
    <xf numFmtId="3" fontId="31" fillId="0" borderId="0" xfId="20" applyNumberFormat="1" applyFont="1" applyFill="1" applyBorder="1" applyAlignment="1" applyProtection="1">
      <alignment horizontal="right"/>
    </xf>
    <xf numFmtId="3" fontId="31" fillId="0" borderId="0" xfId="20" applyNumberFormat="1" applyFont="1" applyFill="1" applyAlignment="1" applyProtection="1">
      <alignment horizontal="right"/>
    </xf>
    <xf numFmtId="171" fontId="31" fillId="0" borderId="0" xfId="20" applyNumberFormat="1" applyFont="1" applyFill="1" applyAlignment="1" applyProtection="1">
      <alignment horizontal="right"/>
    </xf>
    <xf numFmtId="3" fontId="31" fillId="0" borderId="3" xfId="20" applyNumberFormat="1" applyFont="1" applyBorder="1" applyAlignment="1" applyProtection="1">
      <alignment horizontal="right"/>
    </xf>
    <xf numFmtId="3" fontId="31" fillId="0" borderId="4" xfId="20" applyNumberFormat="1" applyFont="1" applyFill="1" applyBorder="1" applyAlignment="1" applyProtection="1">
      <alignment horizontal="right"/>
    </xf>
    <xf numFmtId="170" fontId="31" fillId="0" borderId="4" xfId="9" applyNumberFormat="1" applyFont="1" applyBorder="1" applyAlignment="1" applyProtection="1">
      <alignment horizontal="right"/>
    </xf>
    <xf numFmtId="3" fontId="28" fillId="0" borderId="0" xfId="20" applyNumberFormat="1" applyFont="1" applyBorder="1" applyAlignment="1" applyProtection="1">
      <alignment horizontal="right"/>
    </xf>
    <xf numFmtId="3" fontId="28" fillId="0" borderId="3" xfId="20" applyNumberFormat="1" applyFont="1" applyFill="1" applyBorder="1" applyAlignment="1" applyProtection="1"/>
    <xf numFmtId="171" fontId="28" fillId="0" borderId="0" xfId="9" applyNumberFormat="1" applyFont="1" applyFill="1" applyAlignment="1" applyProtection="1"/>
    <xf numFmtId="3" fontId="34" fillId="0" borderId="0" xfId="20" applyNumberFormat="1" applyFont="1" applyFill="1" applyAlignment="1" applyProtection="1">
      <alignment horizontal="right"/>
    </xf>
    <xf numFmtId="3" fontId="28" fillId="0" borderId="3" xfId="20" applyNumberFormat="1" applyFont="1" applyFill="1" applyBorder="1" applyAlignment="1" applyProtection="1">
      <alignment horizontal="right"/>
    </xf>
    <xf numFmtId="3" fontId="28" fillId="0" borderId="10" xfId="20" applyNumberFormat="1" applyFont="1" applyFill="1" applyBorder="1" applyAlignment="1" applyProtection="1"/>
    <xf numFmtId="171" fontId="34" fillId="0" borderId="0" xfId="20" applyNumberFormat="1" applyFont="1" applyAlignment="1" applyProtection="1">
      <alignment horizontal="right"/>
    </xf>
    <xf numFmtId="164" fontId="31" fillId="0" borderId="0" xfId="2" applyNumberFormat="1" applyFont="1" applyAlignment="1" applyProtection="1">
      <alignment horizontal="right"/>
    </xf>
    <xf numFmtId="0" fontId="31" fillId="0" borderId="0" xfId="20" applyFont="1" applyAlignment="1" applyProtection="1"/>
    <xf numFmtId="165" fontId="31" fillId="0" borderId="0" xfId="20" applyNumberFormat="1" applyFont="1" applyAlignment="1" applyProtection="1"/>
    <xf numFmtId="10" fontId="31" fillId="8" borderId="0" xfId="20" applyNumberFormat="1" applyFont="1" applyFill="1" applyProtection="1"/>
    <xf numFmtId="10" fontId="31" fillId="0" borderId="0" xfId="20" applyNumberFormat="1" applyFont="1" applyFill="1" applyAlignment="1" applyProtection="1">
      <alignment horizontal="right"/>
    </xf>
    <xf numFmtId="10" fontId="31" fillId="0" borderId="0" xfId="20" applyNumberFormat="1" applyFont="1" applyFill="1" applyProtection="1"/>
    <xf numFmtId="10" fontId="31" fillId="0" borderId="0" xfId="9" applyNumberFormat="1" applyFont="1" applyAlignment="1" applyProtection="1"/>
    <xf numFmtId="3" fontId="28" fillId="0" borderId="3" xfId="20" applyNumberFormat="1" applyFont="1" applyBorder="1" applyAlignment="1" applyProtection="1">
      <alignment horizontal="right"/>
    </xf>
    <xf numFmtId="3" fontId="31" fillId="0" borderId="0" xfId="20" applyNumberFormat="1" applyFont="1" applyBorder="1" applyAlignment="1" applyProtection="1">
      <alignment horizontal="right"/>
    </xf>
    <xf numFmtId="3" fontId="28" fillId="0" borderId="12" xfId="20" applyNumberFormat="1" applyFont="1" applyFill="1" applyBorder="1" applyProtection="1"/>
    <xf numFmtId="37" fontId="28" fillId="0" borderId="0" xfId="20" applyNumberFormat="1" applyFont="1" applyBorder="1" applyAlignment="1" applyProtection="1">
      <alignment horizontal="right"/>
    </xf>
    <xf numFmtId="37" fontId="28" fillId="0" borderId="0" xfId="20" applyNumberFormat="1" applyFont="1" applyFill="1" applyBorder="1" applyAlignment="1" applyProtection="1">
      <alignment horizontal="right"/>
    </xf>
    <xf numFmtId="0" fontId="28" fillId="0" borderId="0" xfId="20" applyNumberFormat="1" applyFont="1" applyFill="1" applyBorder="1" applyAlignment="1" applyProtection="1">
      <alignment horizontal="center"/>
    </xf>
    <xf numFmtId="0" fontId="31" fillId="0" borderId="0" xfId="20" applyFont="1" applyFill="1" applyAlignment="1" applyProtection="1">
      <alignment horizontal="left"/>
    </xf>
    <xf numFmtId="37" fontId="31" fillId="0" borderId="0" xfId="20" applyNumberFormat="1" applyFont="1" applyFill="1" applyBorder="1" applyAlignment="1" applyProtection="1">
      <alignment horizontal="left"/>
    </xf>
    <xf numFmtId="0" fontId="31" fillId="0" borderId="0" xfId="20" applyFont="1" applyAlignment="1" applyProtection="1">
      <alignment horizontal="left"/>
    </xf>
    <xf numFmtId="0" fontId="31" fillId="0" borderId="0" xfId="20" applyFont="1" applyAlignment="1" applyProtection="1">
      <alignment horizontal="center"/>
    </xf>
    <xf numFmtId="0" fontId="31" fillId="0" borderId="0" xfId="20" applyFont="1" applyFill="1" applyAlignment="1" applyProtection="1"/>
    <xf numFmtId="0" fontId="26" fillId="0" borderId="0" xfId="20" applyFont="1" applyFill="1" applyProtection="1"/>
    <xf numFmtId="0" fontId="28" fillId="6" borderId="7" xfId="20" applyFont="1" applyFill="1" applyBorder="1" applyAlignment="1" applyProtection="1">
      <alignment horizontal="left"/>
    </xf>
    <xf numFmtId="0" fontId="31" fillId="6" borderId="8" xfId="20" applyFont="1" applyFill="1" applyBorder="1" applyAlignment="1" applyProtection="1"/>
    <xf numFmtId="0" fontId="28" fillId="6" borderId="16" xfId="20" applyFont="1" applyFill="1" applyBorder="1" applyAlignment="1" applyProtection="1">
      <alignment horizontal="left"/>
    </xf>
    <xf numFmtId="0" fontId="31" fillId="6" borderId="0" xfId="20" applyFont="1" applyFill="1" applyBorder="1" applyAlignment="1" applyProtection="1"/>
    <xf numFmtId="0" fontId="31" fillId="6" borderId="0" xfId="20" applyFont="1" applyFill="1" applyBorder="1" applyAlignment="1" applyProtection="1">
      <alignment horizontal="center"/>
    </xf>
    <xf numFmtId="0" fontId="31" fillId="6" borderId="15" xfId="20" applyFont="1" applyFill="1" applyBorder="1" applyAlignment="1" applyProtection="1">
      <alignment horizontal="center"/>
    </xf>
    <xf numFmtId="0" fontId="28" fillId="6" borderId="6" xfId="20" applyFont="1" applyFill="1" applyBorder="1" applyAlignment="1" applyProtection="1">
      <alignment horizontal="left"/>
    </xf>
    <xf numFmtId="0" fontId="28" fillId="6" borderId="2" xfId="20" applyFont="1" applyFill="1" applyBorder="1" applyAlignment="1" applyProtection="1"/>
    <xf numFmtId="0" fontId="28" fillId="6" borderId="2" xfId="20" applyNumberFormat="1" applyFont="1" applyFill="1" applyBorder="1" applyAlignment="1" applyProtection="1">
      <alignment horizontal="center"/>
    </xf>
    <xf numFmtId="0" fontId="28" fillId="6" borderId="9" xfId="20" applyFont="1" applyFill="1" applyBorder="1" applyAlignment="1" applyProtection="1">
      <alignment horizontal="center" wrapText="1"/>
    </xf>
    <xf numFmtId="0" fontId="28" fillId="0" borderId="0" xfId="20" applyFont="1" applyFill="1" applyBorder="1" applyProtection="1"/>
    <xf numFmtId="0" fontId="28" fillId="0" borderId="0" xfId="20" applyFont="1" applyFill="1" applyBorder="1" applyAlignment="1" applyProtection="1">
      <alignment horizontal="left"/>
    </xf>
    <xf numFmtId="0" fontId="28" fillId="0" borderId="0" xfId="20" applyFont="1" applyFill="1" applyBorder="1" applyAlignment="1" applyProtection="1"/>
    <xf numFmtId="0" fontId="32" fillId="5" borderId="0" xfId="20" applyFont="1" applyFill="1" applyBorder="1" applyAlignment="1" applyProtection="1">
      <alignment horizontal="left"/>
    </xf>
    <xf numFmtId="0" fontId="32" fillId="5" borderId="0" xfId="20" applyFont="1" applyFill="1" applyBorder="1" applyAlignment="1" applyProtection="1"/>
    <xf numFmtId="0" fontId="31" fillId="5" borderId="0" xfId="20" applyFont="1" applyFill="1" applyBorder="1" applyAlignment="1" applyProtection="1"/>
    <xf numFmtId="0" fontId="28" fillId="5" borderId="0" xfId="20" applyNumberFormat="1" applyFont="1" applyFill="1" applyBorder="1" applyAlignment="1" applyProtection="1">
      <alignment horizontal="center"/>
    </xf>
    <xf numFmtId="0" fontId="31" fillId="5" borderId="0" xfId="20" applyFont="1" applyFill="1" applyBorder="1" applyProtection="1"/>
    <xf numFmtId="0" fontId="31" fillId="0" borderId="0" xfId="20" applyFont="1" applyFill="1" applyBorder="1" applyAlignment="1" applyProtection="1">
      <alignment horizontal="left"/>
    </xf>
    <xf numFmtId="0" fontId="31" fillId="0" borderId="0" xfId="20" applyFont="1" applyFill="1" applyBorder="1" applyAlignment="1" applyProtection="1"/>
    <xf numFmtId="0" fontId="28" fillId="0" borderId="0" xfId="20" applyNumberFormat="1" applyFont="1" applyFill="1" applyAlignment="1" applyProtection="1">
      <alignment horizontal="center"/>
    </xf>
    <xf numFmtId="0" fontId="28" fillId="0" borderId="0" xfId="20" applyNumberFormat="1" applyFont="1" applyFill="1" applyAlignment="1" applyProtection="1"/>
    <xf numFmtId="0" fontId="31" fillId="0" borderId="0" xfId="20" applyNumberFormat="1" applyFont="1" applyAlignment="1" applyProtection="1">
      <alignment horizontal="center"/>
    </xf>
    <xf numFmtId="0" fontId="34" fillId="0" borderId="0" xfId="20" applyFont="1" applyFill="1" applyAlignment="1" applyProtection="1">
      <alignment horizontal="left"/>
    </xf>
    <xf numFmtId="0" fontId="34" fillId="0" borderId="0" xfId="20" applyFont="1" applyFill="1" applyBorder="1" applyAlignment="1" applyProtection="1">
      <alignment horizontal="center"/>
    </xf>
    <xf numFmtId="0" fontId="31" fillId="0" borderId="3" xfId="20" applyNumberFormat="1" applyFont="1" applyFill="1" applyBorder="1" applyAlignment="1" applyProtection="1"/>
    <xf numFmtId="3" fontId="31" fillId="0" borderId="3" xfId="20" applyNumberFormat="1" applyFont="1" applyBorder="1" applyAlignment="1" applyProtection="1">
      <alignment horizontal="center"/>
    </xf>
    <xf numFmtId="0" fontId="31" fillId="0" borderId="3" xfId="20" applyFont="1" applyBorder="1" applyAlignment="1" applyProtection="1"/>
    <xf numFmtId="0" fontId="31" fillId="0" borderId="0" xfId="20" applyNumberFormat="1" applyFont="1" applyAlignment="1" applyProtection="1"/>
    <xf numFmtId="0" fontId="28" fillId="0" borderId="5" xfId="20" applyNumberFormat="1" applyFont="1" applyFill="1" applyBorder="1" applyAlignment="1" applyProtection="1"/>
    <xf numFmtId="0" fontId="31" fillId="0" borderId="5" xfId="20" applyFont="1" applyFill="1" applyBorder="1" applyAlignment="1" applyProtection="1"/>
    <xf numFmtId="3" fontId="31" fillId="0" borderId="5" xfId="20" applyNumberFormat="1" applyFont="1" applyFill="1" applyBorder="1" applyAlignment="1" applyProtection="1">
      <alignment horizontal="center"/>
    </xf>
    <xf numFmtId="3" fontId="31" fillId="0" borderId="5" xfId="20" applyNumberFormat="1" applyFont="1" applyFill="1" applyBorder="1" applyAlignment="1" applyProtection="1"/>
    <xf numFmtId="0" fontId="31" fillId="0" borderId="5" xfId="20" applyFont="1" applyBorder="1" applyAlignment="1" applyProtection="1"/>
    <xf numFmtId="3" fontId="31" fillId="0" borderId="0" xfId="20" applyNumberFormat="1" applyFont="1" applyFill="1" applyAlignment="1" applyProtection="1">
      <alignment horizontal="center"/>
    </xf>
    <xf numFmtId="0" fontId="31" fillId="0" borderId="0" xfId="20" applyNumberFormat="1" applyFont="1" applyFill="1" applyAlignment="1" applyProtection="1">
      <alignment horizontal="center"/>
    </xf>
    <xf numFmtId="0" fontId="31" fillId="0" borderId="4" xfId="20" applyFont="1" applyFill="1" applyBorder="1" applyProtection="1"/>
    <xf numFmtId="0" fontId="31" fillId="0" borderId="4" xfId="20" applyFont="1" applyBorder="1" applyAlignment="1" applyProtection="1"/>
    <xf numFmtId="0" fontId="34" fillId="0" borderId="4" xfId="20" applyFont="1" applyFill="1" applyBorder="1" applyAlignment="1" applyProtection="1">
      <alignment horizontal="center"/>
    </xf>
    <xf numFmtId="0" fontId="31" fillId="0" borderId="4" xfId="20" applyFont="1" applyBorder="1" applyProtection="1"/>
    <xf numFmtId="0" fontId="31" fillId="0" borderId="3" xfId="20" applyFont="1" applyFill="1" applyBorder="1" applyProtection="1"/>
    <xf numFmtId="0" fontId="31" fillId="0" borderId="3" xfId="20" applyFont="1" applyBorder="1" applyAlignment="1" applyProtection="1">
      <alignment horizontal="center"/>
    </xf>
    <xf numFmtId="0" fontId="31" fillId="0" borderId="0" xfId="20" applyFont="1" applyBorder="1" applyProtection="1"/>
    <xf numFmtId="0" fontId="31" fillId="0" borderId="0" xfId="20" applyFont="1" applyBorder="1" applyAlignment="1" applyProtection="1"/>
    <xf numFmtId="0" fontId="31" fillId="0" borderId="0" xfId="20" applyFont="1" applyBorder="1" applyAlignment="1" applyProtection="1">
      <alignment horizontal="center"/>
    </xf>
    <xf numFmtId="0" fontId="28" fillId="0" borderId="5" xfId="20" applyFont="1" applyBorder="1" applyProtection="1"/>
    <xf numFmtId="0" fontId="28" fillId="0" borderId="5" xfId="20" applyFont="1" applyFill="1" applyBorder="1" applyProtection="1"/>
    <xf numFmtId="0" fontId="31" fillId="0" borderId="5" xfId="20" applyFont="1" applyBorder="1" applyProtection="1"/>
    <xf numFmtId="0" fontId="31" fillId="0" borderId="5" xfId="20" applyFont="1" applyBorder="1" applyAlignment="1" applyProtection="1">
      <alignment horizontal="center"/>
    </xf>
    <xf numFmtId="0" fontId="31" fillId="0" borderId="0" xfId="20" applyNumberFormat="1" applyFont="1" applyFill="1" applyAlignment="1" applyProtection="1"/>
    <xf numFmtId="0" fontId="31" fillId="0" borderId="0" xfId="20" applyNumberFormat="1" applyFont="1" applyAlignment="1" applyProtection="1">
      <alignment horizontal="left"/>
    </xf>
    <xf numFmtId="0" fontId="35" fillId="0" borderId="0" xfId="20" applyFont="1" applyFill="1" applyBorder="1" applyAlignment="1" applyProtection="1">
      <alignment horizontal="center"/>
    </xf>
    <xf numFmtId="0" fontId="32" fillId="0" borderId="0" xfId="20" applyFont="1" applyFill="1" applyBorder="1" applyAlignment="1" applyProtection="1"/>
    <xf numFmtId="0" fontId="31" fillId="0" borderId="0" xfId="20" applyFont="1" applyFill="1" applyAlignment="1" applyProtection="1">
      <alignment horizontal="center"/>
    </xf>
    <xf numFmtId="0" fontId="31" fillId="0" borderId="4" xfId="20" applyFont="1" applyFill="1" applyBorder="1" applyAlignment="1" applyProtection="1">
      <alignment horizontal="left"/>
    </xf>
    <xf numFmtId="0" fontId="31" fillId="0" borderId="3" xfId="20" applyFont="1" applyFill="1" applyBorder="1" applyAlignment="1" applyProtection="1"/>
    <xf numFmtId="0" fontId="31" fillId="0" borderId="3" xfId="20" applyFont="1" applyFill="1" applyBorder="1" applyAlignment="1" applyProtection="1">
      <alignment horizontal="center"/>
    </xf>
    <xf numFmtId="0" fontId="31" fillId="0" borderId="0" xfId="20" applyNumberFormat="1" applyFont="1" applyFill="1" applyBorder="1" applyAlignment="1" applyProtection="1"/>
    <xf numFmtId="0" fontId="31" fillId="0" borderId="4" xfId="20" applyNumberFormat="1" applyFont="1" applyFill="1" applyBorder="1" applyAlignment="1" applyProtection="1"/>
    <xf numFmtId="0" fontId="31" fillId="0" borderId="4" xfId="20" applyFont="1" applyFill="1" applyBorder="1" applyAlignment="1" applyProtection="1"/>
    <xf numFmtId="0" fontId="31" fillId="0" borderId="0" xfId="20" applyNumberFormat="1" applyFont="1" applyFill="1" applyAlignment="1" applyProtection="1">
      <alignment horizontal="left"/>
    </xf>
    <xf numFmtId="0" fontId="28" fillId="0" borderId="0" xfId="20" applyNumberFormat="1" applyFont="1" applyFill="1" applyAlignment="1" applyProtection="1">
      <alignment horizontal="right"/>
    </xf>
    <xf numFmtId="3" fontId="31" fillId="0" borderId="3" xfId="20" applyNumberFormat="1" applyFont="1" applyFill="1" applyBorder="1" applyAlignment="1" applyProtection="1">
      <alignment horizontal="center"/>
    </xf>
    <xf numFmtId="3" fontId="31" fillId="0" borderId="0" xfId="20" applyNumberFormat="1" applyFont="1" applyFill="1" applyBorder="1" applyAlignment="1" applyProtection="1">
      <alignment horizontal="center"/>
    </xf>
    <xf numFmtId="0" fontId="28" fillId="0" borderId="5" xfId="20" applyFont="1" applyFill="1" applyBorder="1" applyAlignment="1" applyProtection="1">
      <alignment horizontal="center"/>
    </xf>
    <xf numFmtId="167" fontId="31" fillId="0" borderId="0" xfId="20" applyNumberFormat="1" applyFont="1" applyAlignment="1" applyProtection="1">
      <alignment horizontal="center"/>
    </xf>
    <xf numFmtId="0" fontId="28" fillId="0" borderId="5" xfId="20" applyFont="1" applyBorder="1" applyAlignment="1" applyProtection="1">
      <alignment horizontal="center"/>
    </xf>
    <xf numFmtId="0" fontId="31" fillId="0" borderId="5" xfId="20" applyFont="1" applyBorder="1" applyAlignment="1" applyProtection="1">
      <alignment horizontal="left"/>
    </xf>
    <xf numFmtId="0" fontId="28" fillId="0" borderId="5" xfId="20" applyFont="1" applyBorder="1" applyAlignment="1" applyProtection="1">
      <alignment horizontal="left"/>
    </xf>
    <xf numFmtId="0" fontId="36" fillId="0" borderId="0" xfId="20" applyFont="1" applyAlignment="1" applyProtection="1">
      <alignment horizontal="left"/>
    </xf>
    <xf numFmtId="0" fontId="36" fillId="0" borderId="0" xfId="20" applyFont="1" applyProtection="1"/>
    <xf numFmtId="0" fontId="28" fillId="0" borderId="0" xfId="20" applyNumberFormat="1" applyFont="1" applyFill="1" applyBorder="1" applyAlignment="1" applyProtection="1">
      <alignment horizontal="left"/>
    </xf>
    <xf numFmtId="0" fontId="31" fillId="0" borderId="0" xfId="20" applyFont="1" applyFill="1" applyAlignment="1" applyProtection="1">
      <alignment horizontal="right"/>
    </xf>
    <xf numFmtId="0" fontId="28" fillId="0" borderId="0" xfId="20" applyFont="1" applyFill="1" applyAlignment="1" applyProtection="1"/>
    <xf numFmtId="0" fontId="31" fillId="0" borderId="0" xfId="20" applyFont="1" applyFill="1" applyBorder="1" applyAlignment="1" applyProtection="1">
      <alignment horizontal="right"/>
    </xf>
    <xf numFmtId="0" fontId="28" fillId="0" borderId="0" xfId="20" applyFont="1" applyFill="1" applyProtection="1"/>
    <xf numFmtId="0" fontId="28" fillId="0" borderId="0" xfId="20" applyNumberFormat="1" applyFont="1" applyFill="1" applyBorder="1" applyAlignment="1" applyProtection="1"/>
    <xf numFmtId="0" fontId="34" fillId="0" borderId="0" xfId="20" applyFont="1" applyFill="1" applyBorder="1" applyAlignment="1" applyProtection="1"/>
    <xf numFmtId="0" fontId="28" fillId="0" borderId="0" xfId="20" applyNumberFormat="1" applyFont="1" applyFill="1" applyAlignment="1" applyProtection="1">
      <alignment horizontal="left"/>
    </xf>
    <xf numFmtId="4" fontId="34" fillId="0" borderId="0" xfId="20" applyNumberFormat="1" applyFont="1" applyFill="1" applyAlignment="1" applyProtection="1">
      <alignment horizontal="right"/>
    </xf>
    <xf numFmtId="3" fontId="34" fillId="0" borderId="0" xfId="20" applyNumberFormat="1" applyFont="1" applyAlignment="1" applyProtection="1">
      <alignment horizontal="right"/>
    </xf>
    <xf numFmtId="0" fontId="37" fillId="0" borderId="0" xfId="20" applyNumberFormat="1" applyFont="1" applyFill="1" applyAlignment="1" applyProtection="1">
      <alignment horizontal="left"/>
    </xf>
    <xf numFmtId="0" fontId="31" fillId="0" borderId="0" xfId="20" applyNumberFormat="1" applyFont="1" applyFill="1" applyBorder="1" applyAlignment="1" applyProtection="1">
      <alignment horizontal="left"/>
    </xf>
    <xf numFmtId="0" fontId="31" fillId="0" borderId="0" xfId="20" applyNumberFormat="1" applyFont="1" applyFill="1" applyAlignment="1" applyProtection="1">
      <alignment horizontal="right"/>
    </xf>
    <xf numFmtId="0" fontId="38" fillId="0" borderId="0" xfId="20" applyFont="1" applyFill="1" applyAlignment="1" applyProtection="1">
      <alignment horizontal="center"/>
    </xf>
    <xf numFmtId="0" fontId="31" fillId="0" borderId="4" xfId="20" applyNumberFormat="1" applyFont="1" applyFill="1" applyBorder="1" applyAlignment="1" applyProtection="1">
      <alignment horizontal="left"/>
    </xf>
    <xf numFmtId="0" fontId="31" fillId="0" borderId="4" xfId="20" applyNumberFormat="1" applyFont="1" applyFill="1" applyBorder="1" applyAlignment="1" applyProtection="1">
      <alignment horizontal="center"/>
    </xf>
    <xf numFmtId="3" fontId="34" fillId="0" borderId="4" xfId="20" applyNumberFormat="1" applyFont="1" applyBorder="1" applyAlignment="1" applyProtection="1">
      <alignment horizontal="right"/>
    </xf>
    <xf numFmtId="0" fontId="31" fillId="0" borderId="3" xfId="20" applyNumberFormat="1" applyFont="1" applyBorder="1" applyAlignment="1" applyProtection="1">
      <alignment horizontal="center"/>
    </xf>
    <xf numFmtId="3" fontId="34" fillId="0" borderId="3" xfId="20" applyNumberFormat="1" applyFont="1" applyBorder="1" applyAlignment="1" applyProtection="1">
      <alignment horizontal="right"/>
    </xf>
    <xf numFmtId="0" fontId="31" fillId="0" borderId="3" xfId="20" applyNumberFormat="1" applyFont="1" applyFill="1" applyBorder="1" applyAlignment="1" applyProtection="1">
      <alignment horizontal="left"/>
    </xf>
    <xf numFmtId="0" fontId="31" fillId="0" borderId="3" xfId="20" applyFont="1" applyFill="1" applyBorder="1" applyAlignment="1" applyProtection="1">
      <alignment horizontal="left"/>
    </xf>
    <xf numFmtId="0" fontId="28" fillId="0" borderId="3" xfId="20" applyFont="1" applyFill="1" applyBorder="1" applyAlignment="1" applyProtection="1">
      <alignment horizontal="center"/>
    </xf>
    <xf numFmtId="0" fontId="28" fillId="0" borderId="3" xfId="20" applyFont="1" applyFill="1" applyBorder="1" applyProtection="1"/>
    <xf numFmtId="0" fontId="31" fillId="0" borderId="0" xfId="20" applyFont="1" applyBorder="1" applyAlignment="1" applyProtection="1">
      <alignment horizontal="left"/>
    </xf>
    <xf numFmtId="0" fontId="28" fillId="0" borderId="0" xfId="20" applyFont="1" applyBorder="1" applyAlignment="1" applyProtection="1">
      <alignment horizontal="center"/>
    </xf>
    <xf numFmtId="0" fontId="28" fillId="0" borderId="0" xfId="20" applyFont="1" applyBorder="1" applyProtection="1"/>
    <xf numFmtId="0" fontId="28" fillId="0" borderId="0" xfId="20" applyFont="1" applyProtection="1"/>
    <xf numFmtId="43" fontId="28" fillId="0" borderId="5" xfId="2" applyFont="1" applyBorder="1" applyProtection="1"/>
    <xf numFmtId="0" fontId="31" fillId="0" borderId="10" xfId="20" applyNumberFormat="1" applyFont="1" applyBorder="1" applyAlignment="1" applyProtection="1">
      <alignment horizontal="center"/>
    </xf>
    <xf numFmtId="0" fontId="28" fillId="0" borderId="10" xfId="20" applyFont="1" applyBorder="1" applyProtection="1"/>
    <xf numFmtId="0" fontId="28" fillId="0" borderId="10" xfId="20" applyFont="1" applyBorder="1" applyAlignment="1" applyProtection="1">
      <alignment horizontal="center"/>
    </xf>
    <xf numFmtId="3" fontId="31" fillId="0" borderId="10" xfId="20" applyNumberFormat="1" applyFont="1" applyFill="1" applyBorder="1" applyAlignment="1" applyProtection="1"/>
    <xf numFmtId="0" fontId="32" fillId="5" borderId="0" xfId="20" applyFont="1" applyFill="1" applyAlignment="1" applyProtection="1">
      <alignment horizontal="left"/>
    </xf>
    <xf numFmtId="0" fontId="32" fillId="5" borderId="0" xfId="20" applyFont="1" applyFill="1" applyAlignment="1" applyProtection="1"/>
    <xf numFmtId="0" fontId="28" fillId="5" borderId="0" xfId="20" applyNumberFormat="1" applyFont="1" applyFill="1" applyAlignment="1" applyProtection="1">
      <alignment horizontal="left"/>
    </xf>
    <xf numFmtId="0" fontId="31" fillId="5" borderId="0" xfId="20" applyFont="1" applyFill="1" applyAlignment="1" applyProtection="1"/>
    <xf numFmtId="0" fontId="28" fillId="5" borderId="0" xfId="20" applyNumberFormat="1" applyFont="1" applyFill="1" applyAlignment="1" applyProtection="1">
      <alignment horizontal="center"/>
    </xf>
    <xf numFmtId="0" fontId="28" fillId="0" borderId="3" xfId="20" applyNumberFormat="1" applyFont="1" applyFill="1" applyBorder="1" applyAlignment="1" applyProtection="1"/>
    <xf numFmtId="0" fontId="34" fillId="0" borderId="0" xfId="20" applyFont="1" applyFill="1" applyAlignment="1" applyProtection="1">
      <alignment horizontal="center"/>
    </xf>
    <xf numFmtId="0" fontId="34" fillId="0" borderId="4" xfId="20" applyFont="1" applyFill="1" applyBorder="1" applyAlignment="1" applyProtection="1"/>
    <xf numFmtId="0" fontId="28" fillId="0" borderId="10" xfId="20" applyNumberFormat="1" applyFont="1" applyFill="1" applyBorder="1" applyAlignment="1" applyProtection="1"/>
    <xf numFmtId="0" fontId="31" fillId="0" borderId="10" xfId="20" applyFont="1" applyFill="1" applyBorder="1" applyAlignment="1" applyProtection="1"/>
    <xf numFmtId="3" fontId="31" fillId="0" borderId="10" xfId="20" applyNumberFormat="1" applyFont="1" applyFill="1" applyBorder="1" applyAlignment="1" applyProtection="1">
      <alignment horizontal="center"/>
    </xf>
    <xf numFmtId="0" fontId="31" fillId="0" borderId="0" xfId="20" applyFont="1" applyAlignment="1" applyProtection="1">
      <alignment horizontal="right"/>
    </xf>
    <xf numFmtId="0" fontId="31" fillId="0" borderId="0" xfId="20" applyNumberFormat="1" applyFont="1" applyFill="1" applyBorder="1" applyAlignment="1" applyProtection="1">
      <alignment horizontal="center"/>
    </xf>
    <xf numFmtId="0" fontId="31" fillId="0" borderId="4" xfId="20" applyFont="1" applyFill="1" applyBorder="1" applyAlignment="1" applyProtection="1">
      <alignment horizontal="center"/>
    </xf>
    <xf numFmtId="3" fontId="34" fillId="0" borderId="4" xfId="20" applyNumberFormat="1" applyFont="1" applyFill="1" applyBorder="1" applyAlignment="1" applyProtection="1">
      <alignment horizontal="right"/>
    </xf>
    <xf numFmtId="0" fontId="38" fillId="0" borderId="0" xfId="20" applyNumberFormat="1" applyFont="1" applyFill="1" applyAlignment="1" applyProtection="1">
      <alignment horizontal="center"/>
    </xf>
    <xf numFmtId="0" fontId="38" fillId="0" borderId="0" xfId="20" applyNumberFormat="1" applyFont="1" applyFill="1" applyAlignment="1" applyProtection="1"/>
    <xf numFmtId="0" fontId="28" fillId="0" borderId="10" xfId="20" applyNumberFormat="1" applyFont="1" applyBorder="1" applyAlignment="1" applyProtection="1">
      <alignment horizontal="left"/>
    </xf>
    <xf numFmtId="0" fontId="28" fillId="0" borderId="10" xfId="20" applyFont="1" applyBorder="1" applyAlignment="1" applyProtection="1"/>
    <xf numFmtId="0" fontId="28" fillId="0" borderId="10" xfId="20" applyNumberFormat="1" applyFont="1" applyBorder="1" applyAlignment="1" applyProtection="1">
      <alignment horizontal="center"/>
    </xf>
    <xf numFmtId="0" fontId="32" fillId="5" borderId="0" xfId="20" applyFont="1" applyFill="1" applyBorder="1" applyAlignment="1" applyProtection="1">
      <alignment horizontal="center"/>
    </xf>
    <xf numFmtId="3" fontId="28" fillId="0" borderId="0" xfId="20" applyNumberFormat="1" applyFont="1" applyBorder="1" applyAlignment="1" applyProtection="1"/>
    <xf numFmtId="3" fontId="28" fillId="0" borderId="0" xfId="20" applyNumberFormat="1" applyFont="1" applyAlignment="1" applyProtection="1"/>
    <xf numFmtId="3" fontId="31" fillId="0" borderId="0" xfId="20" applyNumberFormat="1" applyFont="1" applyBorder="1" applyAlignment="1" applyProtection="1">
      <alignment horizontal="center"/>
    </xf>
    <xf numFmtId="0" fontId="28" fillId="0" borderId="0" xfId="20" applyNumberFormat="1" applyFont="1" applyAlignment="1" applyProtection="1"/>
    <xf numFmtId="3" fontId="31" fillId="0" borderId="4" xfId="20" applyNumberFormat="1" applyFont="1" applyBorder="1" applyAlignment="1" applyProtection="1"/>
    <xf numFmtId="3" fontId="28" fillId="0" borderId="0" xfId="20" applyNumberFormat="1" applyFont="1" applyFill="1" applyBorder="1" applyAlignment="1" applyProtection="1"/>
    <xf numFmtId="0" fontId="31" fillId="0" borderId="0" xfId="20" applyNumberFormat="1" applyFont="1" applyBorder="1" applyProtection="1"/>
    <xf numFmtId="0" fontId="31" fillId="0" borderId="0" xfId="20" applyNumberFormat="1" applyFont="1" applyBorder="1" applyAlignment="1" applyProtection="1">
      <alignment horizontal="left"/>
    </xf>
    <xf numFmtId="3" fontId="31" fillId="0" borderId="0" xfId="20" applyNumberFormat="1" applyFont="1" applyAlignment="1" applyProtection="1">
      <alignment horizontal="left"/>
    </xf>
    <xf numFmtId="3" fontId="31" fillId="0" borderId="0" xfId="20" quotePrefix="1" applyNumberFormat="1" applyFont="1" applyAlignment="1" applyProtection="1">
      <alignment horizontal="right"/>
    </xf>
    <xf numFmtId="0" fontId="31" fillId="0" borderId="4" xfId="20" applyNumberFormat="1" applyFont="1" applyBorder="1" applyAlignment="1" applyProtection="1">
      <alignment horizontal="center"/>
    </xf>
    <xf numFmtId="0" fontId="31" fillId="0" borderId="4" xfId="20" applyNumberFormat="1" applyFont="1" applyBorder="1" applyAlignment="1" applyProtection="1">
      <alignment horizontal="left"/>
    </xf>
    <xf numFmtId="0" fontId="31" fillId="0" borderId="4" xfId="20" applyNumberFormat="1" applyFont="1" applyBorder="1" applyAlignment="1" applyProtection="1"/>
    <xf numFmtId="0" fontId="31" fillId="0" borderId="4" xfId="20" applyFont="1" applyBorder="1" applyAlignment="1" applyProtection="1">
      <alignment horizontal="center"/>
    </xf>
    <xf numFmtId="3" fontId="31" fillId="0" borderId="4" xfId="20" applyNumberFormat="1" applyFont="1" applyBorder="1" applyAlignment="1" applyProtection="1">
      <alignment horizontal="right"/>
    </xf>
    <xf numFmtId="0" fontId="28" fillId="0" borderId="0" xfId="20" applyNumberFormat="1" applyFont="1" applyBorder="1" applyAlignment="1" applyProtection="1"/>
    <xf numFmtId="0" fontId="28" fillId="0" borderId="0" xfId="20" applyFont="1" applyBorder="1" applyAlignment="1" applyProtection="1"/>
    <xf numFmtId="3" fontId="28" fillId="0" borderId="0" xfId="20" quotePrefix="1" applyNumberFormat="1" applyFont="1" applyBorder="1" applyAlignment="1" applyProtection="1">
      <alignment horizontal="right"/>
    </xf>
    <xf numFmtId="0" fontId="28" fillId="0" borderId="0" xfId="20" applyNumberFormat="1" applyFont="1" applyAlignment="1" applyProtection="1">
      <alignment horizontal="center"/>
    </xf>
    <xf numFmtId="167" fontId="28" fillId="0" borderId="10" xfId="20" applyNumberFormat="1" applyFont="1" applyBorder="1" applyAlignment="1" applyProtection="1">
      <alignment horizontal="left"/>
    </xf>
    <xf numFmtId="0" fontId="31" fillId="0" borderId="10" xfId="20" applyFont="1" applyBorder="1" applyProtection="1"/>
    <xf numFmtId="3" fontId="28" fillId="0" borderId="10" xfId="20" applyNumberFormat="1" applyFont="1" applyBorder="1" applyAlignment="1" applyProtection="1">
      <alignment horizontal="center"/>
    </xf>
    <xf numFmtId="168" fontId="28" fillId="0" borderId="10" xfId="20" applyNumberFormat="1" applyFont="1" applyBorder="1" applyAlignment="1" applyProtection="1">
      <alignment horizontal="center"/>
    </xf>
    <xf numFmtId="167" fontId="28" fillId="0" borderId="0" xfId="20" applyNumberFormat="1" applyFont="1" applyBorder="1" applyAlignment="1" applyProtection="1">
      <alignment horizontal="left"/>
    </xf>
    <xf numFmtId="168" fontId="31" fillId="0" borderId="0" xfId="20" applyNumberFormat="1" applyFont="1" applyAlignment="1" applyProtection="1">
      <alignment horizontal="center"/>
    </xf>
    <xf numFmtId="0" fontId="31" fillId="0" borderId="0" xfId="20" applyNumberFormat="1" applyFont="1" applyFill="1" applyProtection="1"/>
    <xf numFmtId="169" fontId="31" fillId="0" borderId="0" xfId="20" applyNumberFormat="1" applyFont="1" applyAlignment="1" applyProtection="1"/>
    <xf numFmtId="167" fontId="31" fillId="0" borderId="0" xfId="20" applyNumberFormat="1" applyFont="1" applyFill="1" applyAlignment="1" applyProtection="1">
      <alignment horizontal="left"/>
    </xf>
    <xf numFmtId="168" fontId="31" fillId="0" borderId="0" xfId="20" applyNumberFormat="1" applyFont="1" applyFill="1" applyAlignment="1" applyProtection="1">
      <alignment horizontal="center"/>
    </xf>
    <xf numFmtId="0" fontId="31" fillId="0" borderId="0" xfId="20" applyNumberFormat="1" applyFont="1" applyBorder="1" applyAlignment="1" applyProtection="1">
      <alignment horizontal="center"/>
    </xf>
    <xf numFmtId="3" fontId="34" fillId="0" borderId="0" xfId="20" applyNumberFormat="1" applyFont="1" applyBorder="1" applyAlignment="1" applyProtection="1">
      <alignment horizontal="right"/>
    </xf>
    <xf numFmtId="0" fontId="28" fillId="0" borderId="3" xfId="20" applyNumberFormat="1" applyFont="1" applyBorder="1" applyAlignment="1" applyProtection="1">
      <alignment horizontal="left"/>
    </xf>
    <xf numFmtId="0" fontId="28" fillId="0" borderId="0" xfId="20" applyNumberFormat="1" applyFont="1" applyBorder="1" applyAlignment="1" applyProtection="1">
      <alignment horizontal="left"/>
    </xf>
    <xf numFmtId="167" fontId="28" fillId="0" borderId="5" xfId="20" applyNumberFormat="1" applyFont="1" applyBorder="1" applyAlignment="1" applyProtection="1">
      <alignment horizontal="left"/>
    </xf>
    <xf numFmtId="0" fontId="28" fillId="0" borderId="5" xfId="20" applyFont="1" applyBorder="1" applyAlignment="1" applyProtection="1"/>
    <xf numFmtId="3" fontId="28" fillId="0" borderId="5" xfId="20" applyNumberFormat="1" applyFont="1" applyFill="1" applyBorder="1" applyAlignment="1" applyProtection="1"/>
    <xf numFmtId="168" fontId="28" fillId="0" borderId="5" xfId="20" applyNumberFormat="1" applyFont="1" applyBorder="1" applyAlignment="1" applyProtection="1"/>
    <xf numFmtId="167" fontId="31" fillId="0" borderId="0" xfId="20" applyNumberFormat="1" applyFont="1" applyAlignment="1" applyProtection="1">
      <alignment horizontal="left"/>
    </xf>
    <xf numFmtId="168" fontId="31" fillId="0" borderId="0" xfId="20" applyNumberFormat="1" applyFont="1" applyAlignment="1" applyProtection="1"/>
    <xf numFmtId="0" fontId="28" fillId="0" borderId="3" xfId="20" applyFont="1" applyFill="1" applyBorder="1" applyAlignment="1" applyProtection="1"/>
    <xf numFmtId="3" fontId="28" fillId="0" borderId="3" xfId="20" applyNumberFormat="1" applyFont="1" applyBorder="1" applyAlignment="1" applyProtection="1">
      <alignment horizontal="center"/>
    </xf>
    <xf numFmtId="0" fontId="28" fillId="0" borderId="3" xfId="20" applyFont="1" applyBorder="1" applyAlignment="1" applyProtection="1"/>
    <xf numFmtId="167" fontId="31" fillId="0" borderId="0" xfId="20" applyNumberFormat="1" applyFont="1" applyBorder="1" applyAlignment="1" applyProtection="1">
      <alignment horizontal="left"/>
    </xf>
    <xf numFmtId="0" fontId="28" fillId="0" borderId="17" xfId="20" applyNumberFormat="1" applyFont="1" applyBorder="1" applyAlignment="1" applyProtection="1">
      <alignment horizontal="center"/>
    </xf>
    <xf numFmtId="0" fontId="31" fillId="0" borderId="22" xfId="20" applyNumberFormat="1" applyFont="1" applyBorder="1" applyAlignment="1" applyProtection="1">
      <alignment horizontal="center"/>
    </xf>
    <xf numFmtId="0" fontId="28" fillId="0" borderId="22" xfId="20" applyNumberFormat="1" applyFont="1" applyFill="1" applyBorder="1" applyAlignment="1" applyProtection="1"/>
    <xf numFmtId="0" fontId="28" fillId="0" borderId="22" xfId="20" applyFont="1" applyFill="1" applyBorder="1" applyAlignment="1" applyProtection="1"/>
    <xf numFmtId="3" fontId="28" fillId="0" borderId="22" xfId="20" applyNumberFormat="1" applyFont="1" applyBorder="1" applyAlignment="1" applyProtection="1">
      <alignment horizontal="center"/>
    </xf>
    <xf numFmtId="3" fontId="28" fillId="0" borderId="22" xfId="20" applyNumberFormat="1" applyFont="1" applyFill="1" applyBorder="1" applyAlignment="1" applyProtection="1"/>
    <xf numFmtId="0" fontId="31" fillId="0" borderId="22" xfId="20" applyFont="1" applyBorder="1" applyAlignment="1" applyProtection="1"/>
    <xf numFmtId="0" fontId="28" fillId="0" borderId="0" xfId="20" applyNumberFormat="1" applyFont="1" applyBorder="1" applyAlignment="1" applyProtection="1">
      <alignment horizontal="center"/>
    </xf>
    <xf numFmtId="3" fontId="28" fillId="0" borderId="0" xfId="20" applyNumberFormat="1" applyFont="1" applyBorder="1" applyAlignment="1" applyProtection="1">
      <alignment horizontal="center"/>
    </xf>
    <xf numFmtId="0" fontId="28" fillId="0" borderId="4" xfId="20" applyFont="1" applyFill="1" applyBorder="1" applyAlignment="1" applyProtection="1"/>
    <xf numFmtId="3" fontId="28" fillId="0" borderId="0" xfId="20" applyNumberFormat="1" applyFont="1" applyFill="1" applyBorder="1" applyAlignment="1" applyProtection="1">
      <alignment horizontal="center"/>
    </xf>
    <xf numFmtId="3" fontId="28" fillId="0" borderId="4" xfId="20" applyNumberFormat="1" applyFont="1" applyBorder="1" applyAlignment="1" applyProtection="1">
      <alignment horizontal="center"/>
    </xf>
    <xf numFmtId="0" fontId="28" fillId="0" borderId="0" xfId="20" applyNumberFormat="1" applyFont="1" applyAlignment="1" applyProtection="1">
      <alignment horizontal="left"/>
    </xf>
    <xf numFmtId="0" fontId="38" fillId="0" borderId="0" xfId="20" applyFont="1" applyFill="1" applyBorder="1" applyAlignment="1" applyProtection="1"/>
    <xf numFmtId="43" fontId="31" fillId="0" borderId="0" xfId="20" applyNumberFormat="1" applyFont="1" applyAlignment="1" applyProtection="1"/>
    <xf numFmtId="0" fontId="28" fillId="0" borderId="11" xfId="20" applyNumberFormat="1" applyFont="1" applyBorder="1" applyAlignment="1" applyProtection="1">
      <alignment horizontal="center"/>
    </xf>
    <xf numFmtId="0" fontId="28" fillId="0" borderId="12" xfId="20" applyFont="1" applyBorder="1" applyProtection="1"/>
    <xf numFmtId="0" fontId="28" fillId="0" borderId="12" xfId="20" applyNumberFormat="1" applyFont="1" applyBorder="1" applyAlignment="1" applyProtection="1">
      <alignment horizontal="left"/>
    </xf>
    <xf numFmtId="0" fontId="28" fillId="0" borderId="12" xfId="20" applyFont="1" applyBorder="1" applyAlignment="1" applyProtection="1">
      <alignment horizontal="center"/>
    </xf>
    <xf numFmtId="3" fontId="28" fillId="0" borderId="12" xfId="20" applyNumberFormat="1" applyFont="1" applyBorder="1" applyAlignment="1" applyProtection="1"/>
    <xf numFmtId="0" fontId="28" fillId="0" borderId="12" xfId="20" applyFont="1" applyBorder="1" applyAlignment="1" applyProtection="1"/>
    <xf numFmtId="0" fontId="26" fillId="0" borderId="0" xfId="20" applyFont="1" applyFill="1" applyAlignment="1" applyProtection="1"/>
    <xf numFmtId="0" fontId="26" fillId="0" borderId="0" xfId="20" applyFont="1" applyFill="1" applyBorder="1" applyAlignment="1" applyProtection="1">
      <alignment horizontal="center"/>
    </xf>
    <xf numFmtId="37" fontId="31" fillId="0" borderId="0" xfId="20" applyNumberFormat="1" applyFont="1" applyBorder="1" applyAlignment="1" applyProtection="1">
      <alignment horizontal="left"/>
    </xf>
    <xf numFmtId="0" fontId="26" fillId="0" borderId="0" xfId="20" applyFont="1" applyBorder="1" applyAlignment="1" applyProtection="1">
      <alignment horizontal="center"/>
    </xf>
    <xf numFmtId="0" fontId="61" fillId="0" borderId="0" xfId="20" applyFont="1" applyFill="1" applyBorder="1" applyAlignment="1" applyProtection="1"/>
    <xf numFmtId="0" fontId="104" fillId="0" borderId="0" xfId="20" applyFont="1" applyFill="1" applyBorder="1" applyAlignment="1" applyProtection="1">
      <alignment horizontal="center"/>
    </xf>
    <xf numFmtId="37" fontId="61" fillId="0" borderId="0" xfId="20" applyNumberFormat="1" applyFont="1" applyFill="1" applyBorder="1" applyAlignment="1" applyProtection="1">
      <alignment horizontal="left"/>
    </xf>
    <xf numFmtId="0" fontId="28" fillId="0" borderId="0" xfId="20" applyFont="1" applyFill="1" applyBorder="1" applyAlignment="1" applyProtection="1">
      <alignment horizontal="center"/>
    </xf>
    <xf numFmtId="0" fontId="32" fillId="0" borderId="0" xfId="20" applyNumberFormat="1" applyFont="1" applyFill="1" applyBorder="1" applyAlignment="1" applyProtection="1">
      <alignment horizontal="left"/>
    </xf>
    <xf numFmtId="173" fontId="31" fillId="0" borderId="0" xfId="20" applyNumberFormat="1" applyFont="1" applyFill="1" applyBorder="1" applyAlignment="1" applyProtection="1">
      <alignment horizontal="left"/>
    </xf>
    <xf numFmtId="0" fontId="18" fillId="0" borderId="0" xfId="1" applyFont="1" applyBorder="1"/>
    <xf numFmtId="37" fontId="18" fillId="0" borderId="0" xfId="1" applyNumberFormat="1" applyFont="1" applyFill="1" applyBorder="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18" fillId="0" borderId="0" xfId="20" applyFont="1" applyFill="1" applyAlignment="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3" fontId="18" fillId="0" borderId="0" xfId="20" applyNumberFormat="1" applyFont="1"/>
    <xf numFmtId="164" fontId="27" fillId="0" borderId="0" xfId="20" applyNumberFormat="1" applyFont="1" applyFill="1"/>
    <xf numFmtId="0" fontId="18" fillId="0" borderId="0" xfId="20" applyNumberFormat="1" applyFont="1" applyAlignment="1">
      <alignment horizontal="left"/>
    </xf>
    <xf numFmtId="0" fontId="27" fillId="0" borderId="0" xfId="20" applyFont="1" applyFill="1"/>
    <xf numFmtId="164" fontId="18" fillId="0" borderId="0" xfId="20" applyNumberFormat="1" applyFont="1" applyAlignment="1">
      <alignment horizontal="center"/>
    </xf>
    <xf numFmtId="171" fontId="27" fillId="0" borderId="0" xfId="20" applyNumberFormat="1" applyFont="1" applyFill="1"/>
    <xf numFmtId="171" fontId="18" fillId="8" borderId="0" xfId="20" applyNumberFormat="1" applyFont="1" applyFill="1" applyProtection="1">
      <protection locked="0"/>
    </xf>
    <xf numFmtId="0" fontId="27" fillId="0" borderId="0" xfId="20" applyFont="1"/>
    <xf numFmtId="171" fontId="18" fillId="0" borderId="0" xfId="20" applyNumberFormat="1" applyFont="1" applyFill="1"/>
    <xf numFmtId="0" fontId="22" fillId="0" borderId="0" xfId="20" applyFont="1" applyFill="1"/>
    <xf numFmtId="0" fontId="23" fillId="0" borderId="0" xfId="20" applyFont="1" applyFill="1" applyAlignment="1">
      <alignment horizontal="left"/>
    </xf>
    <xf numFmtId="0" fontId="23" fillId="0" borderId="0" xfId="20" applyFont="1" applyFill="1" applyAlignment="1">
      <alignment horizontal="center"/>
    </xf>
    <xf numFmtId="0" fontId="17" fillId="0" borderId="59" xfId="0" applyFont="1" applyFill="1" applyBorder="1" applyAlignment="1">
      <alignment wrapText="1"/>
    </xf>
    <xf numFmtId="0" fontId="17" fillId="0" borderId="58" xfId="0" applyFont="1" applyFill="1" applyBorder="1"/>
    <xf numFmtId="0" fontId="17" fillId="0" borderId="19" xfId="20" applyFont="1" applyFill="1" applyBorder="1"/>
    <xf numFmtId="0" fontId="18" fillId="8" borderId="28" xfId="20" applyFont="1" applyFill="1" applyBorder="1" applyAlignment="1">
      <alignment wrapText="1"/>
    </xf>
    <xf numFmtId="0" fontId="18" fillId="0" borderId="0" xfId="20" applyFont="1"/>
    <xf numFmtId="0" fontId="18" fillId="8" borderId="19" xfId="20" applyFont="1" applyFill="1" applyBorder="1" applyAlignment="1">
      <alignment wrapText="1"/>
    </xf>
    <xf numFmtId="0" fontId="17" fillId="0" borderId="18" xfId="20" applyFont="1" applyFill="1" applyBorder="1"/>
    <xf numFmtId="164" fontId="18" fillId="8" borderId="25" xfId="3" applyNumberFormat="1" applyFont="1" applyFill="1" applyBorder="1" applyAlignment="1">
      <alignment wrapText="1"/>
    </xf>
    <xf numFmtId="3" fontId="18" fillId="0" borderId="0" xfId="20" applyNumberFormat="1" applyFont="1" applyAlignment="1">
      <alignment horizontal="center"/>
    </xf>
    <xf numFmtId="37" fontId="18" fillId="8" borderId="0" xfId="2" applyNumberFormat="1" applyFont="1" applyFill="1" applyBorder="1"/>
    <xf numFmtId="3" fontId="18" fillId="0" borderId="8" xfId="20" applyNumberFormat="1" applyFont="1" applyBorder="1"/>
    <xf numFmtId="0" fontId="58" fillId="0" borderId="0" xfId="20" applyNumberFormat="1" applyFont="1" applyFill="1" applyBorder="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7" fontId="18" fillId="0" borderId="0" xfId="1" applyNumberFormat="1" applyFont="1" applyAlignment="1">
      <alignment horizontal="right" wrapText="1"/>
    </xf>
    <xf numFmtId="3" fontId="18" fillId="0" borderId="0" xfId="0" applyNumberFormat="1" applyFont="1"/>
    <xf numFmtId="0" fontId="58" fillId="0" borderId="0" xfId="0" applyFont="1" applyFill="1"/>
    <xf numFmtId="164" fontId="18" fillId="0" borderId="0" xfId="0" applyNumberFormat="1" applyFont="1"/>
    <xf numFmtId="41" fontId="18" fillId="0" borderId="0" xfId="0" applyNumberFormat="1" applyFont="1"/>
    <xf numFmtId="0" fontId="105" fillId="0" borderId="0" xfId="0" applyFont="1" applyFill="1"/>
    <xf numFmtId="0" fontId="58" fillId="0" borderId="0" xfId="0" applyFont="1"/>
    <xf numFmtId="37" fontId="18" fillId="0" borderId="0" xfId="0" applyNumberFormat="1" applyFont="1"/>
    <xf numFmtId="3" fontId="31" fillId="0" borderId="0" xfId="1" applyNumberFormat="1" applyFont="1"/>
    <xf numFmtId="0" fontId="18" fillId="0" borderId="2" xfId="20" applyFont="1" applyBorder="1" applyAlignment="1"/>
    <xf numFmtId="3" fontId="18" fillId="0" borderId="21" xfId="20" applyNumberFormat="1" applyFont="1" applyFill="1" applyBorder="1" applyAlignment="1">
      <alignment horizontal="center"/>
    </xf>
    <xf numFmtId="3" fontId="18" fillId="0" borderId="0" xfId="2" applyNumberFormat="1" applyFont="1" applyFill="1" applyBorder="1"/>
    <xf numFmtId="0" fontId="18" fillId="0" borderId="16" xfId="0" applyFont="1" applyFill="1" applyBorder="1" applyAlignment="1">
      <alignment horizontal="left"/>
    </xf>
    <xf numFmtId="0" fontId="18" fillId="0" borderId="6" xfId="0" applyFont="1" applyFill="1" applyBorder="1" applyAlignment="1">
      <alignment horizontal="left"/>
    </xf>
    <xf numFmtId="0" fontId="18" fillId="0" borderId="16" xfId="0" applyFont="1" applyFill="1" applyBorder="1" applyAlignment="1">
      <alignment horizontal="center"/>
    </xf>
    <xf numFmtId="37" fontId="18" fillId="0" borderId="0" xfId="2" applyNumberFormat="1" applyFont="1" applyFill="1" applyBorder="1"/>
    <xf numFmtId="3" fontId="17" fillId="0" borderId="0" xfId="20" applyNumberFormat="1" applyFont="1" applyBorder="1" applyAlignment="1">
      <alignment horizontal="center"/>
    </xf>
    <xf numFmtId="3" fontId="18" fillId="0" borderId="0" xfId="20" applyNumberFormat="1" applyFont="1" applyFill="1" applyAlignment="1" applyProtection="1"/>
    <xf numFmtId="3" fontId="28" fillId="0" borderId="2" xfId="20" applyNumberFormat="1" applyFont="1" applyFill="1" applyBorder="1" applyAlignment="1" applyProtection="1"/>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applyBorder="1" applyAlignment="1"/>
    <xf numFmtId="0" fontId="18" fillId="11" borderId="0" xfId="20" applyNumberFormat="1" applyFont="1" applyFill="1" applyBorder="1" applyAlignment="1">
      <alignment horizontal="left"/>
    </xf>
    <xf numFmtId="172" fontId="18" fillId="0" borderId="0" xfId="9" applyNumberFormat="1" applyFont="1"/>
    <xf numFmtId="0" fontId="45" fillId="0" borderId="0" xfId="20" applyFont="1" applyAlignment="1">
      <alignment horizontal="center"/>
    </xf>
    <xf numFmtId="3" fontId="31" fillId="0" borderId="0" xfId="1" applyNumberFormat="1" applyFont="1" applyFill="1"/>
    <xf numFmtId="0" fontId="0" fillId="0" borderId="0" xfId="0"/>
    <xf numFmtId="0" fontId="18" fillId="0" borderId="6" xfId="20" applyNumberFormat="1" applyFont="1" applyFill="1" applyBorder="1" applyAlignment="1">
      <alignment horizontal="left"/>
    </xf>
    <xf numFmtId="0" fontId="28" fillId="0" borderId="4" xfId="20" applyFont="1" applyFill="1" applyBorder="1" applyAlignment="1" applyProtection="1">
      <alignment horizontal="center"/>
    </xf>
    <xf numFmtId="0" fontId="28" fillId="0" borderId="4" xfId="20" applyFont="1" applyFill="1" applyBorder="1" applyProtection="1"/>
    <xf numFmtId="3" fontId="106" fillId="0" borderId="0" xfId="20" applyNumberFormat="1" applyFont="1" applyFill="1" applyBorder="1" applyAlignment="1" applyProtection="1">
      <alignment horizontal="right"/>
    </xf>
    <xf numFmtId="0" fontId="28" fillId="0" borderId="5" xfId="20" applyFont="1" applyBorder="1" applyAlignment="1" applyProtection="1">
      <alignment wrapText="1"/>
    </xf>
    <xf numFmtId="3" fontId="28" fillId="0" borderId="0" xfId="20" applyNumberFormat="1" applyFont="1" applyFill="1" applyBorder="1" applyAlignment="1" applyProtection="1">
      <alignment horizontal="right"/>
    </xf>
    <xf numFmtId="3" fontId="31" fillId="0" borderId="4" xfId="20" applyNumberFormat="1" applyFont="1" applyFill="1" applyBorder="1" applyAlignment="1" applyProtection="1">
      <alignment horizontal="center"/>
    </xf>
    <xf numFmtId="0" fontId="106" fillId="0" borderId="4" xfId="20" applyFont="1" applyBorder="1" applyProtection="1"/>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Border="1" applyAlignment="1">
      <alignment horizontal="left"/>
    </xf>
    <xf numFmtId="0" fontId="17" fillId="0" borderId="61" xfId="0" applyFont="1" applyFill="1" applyBorder="1"/>
    <xf numFmtId="0" fontId="18" fillId="0" borderId="32" xfId="0" applyFont="1" applyFill="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18" fillId="11" borderId="0" xfId="2" applyNumberFormat="1" applyFont="1" applyFill="1" applyAlignment="1">
      <alignment horizontal="center"/>
    </xf>
    <xf numFmtId="0" fontId="45" fillId="0" borderId="0" xfId="0" applyFont="1"/>
    <xf numFmtId="0" fontId="0" fillId="0" borderId="0" xfId="0" applyAlignment="1">
      <alignment horizontal="center"/>
    </xf>
    <xf numFmtId="0" fontId="17" fillId="0" borderId="0" xfId="0" applyFont="1" applyFill="1" applyBorder="1" applyAlignment="1">
      <alignment wrapText="1"/>
    </xf>
    <xf numFmtId="0" fontId="17" fillId="0" borderId="0" xfId="301" applyFont="1" applyAlignment="1">
      <alignment horizontal="center"/>
    </xf>
    <xf numFmtId="0" fontId="0" fillId="0" borderId="0" xfId="0"/>
    <xf numFmtId="3" fontId="18" fillId="0" borderId="0" xfId="20" applyNumberFormat="1" applyFont="1" applyFill="1" applyBorder="1" applyAlignment="1" applyProtection="1"/>
    <xf numFmtId="0" fontId="18" fillId="0" borderId="0" xfId="0" applyFont="1" applyAlignment="1">
      <alignment horizontal="center"/>
    </xf>
    <xf numFmtId="0" fontId="18" fillId="0" borderId="0" xfId="301" applyFont="1" applyAlignment="1">
      <alignment horizontal="left" wrapText="1"/>
    </xf>
    <xf numFmtId="0" fontId="18" fillId="0" borderId="0" xfId="0" applyFont="1" applyBorder="1" applyAlignment="1">
      <alignment horizontal="center"/>
    </xf>
    <xf numFmtId="1" fontId="17" fillId="0" borderId="0" xfId="20" applyNumberFormat="1" applyFont="1" applyFill="1" applyBorder="1"/>
    <xf numFmtId="37" fontId="17" fillId="0" borderId="0" xfId="20" applyNumberFormat="1" applyFont="1" applyFill="1" applyBorder="1"/>
    <xf numFmtId="0" fontId="22" fillId="0" borderId="0" xfId="0" applyFont="1" applyAlignment="1">
      <alignment horizontal="center"/>
    </xf>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Fill="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7" fillId="0" borderId="0" xfId="34" applyNumberFormat="1" applyFont="1" applyAlignment="1">
      <alignment vertical="center" wrapText="1"/>
    </xf>
    <xf numFmtId="164" fontId="107" fillId="0" borderId="0" xfId="34" applyNumberFormat="1" applyFont="1" applyAlignment="1">
      <alignment horizontal="right" vertical="center" wrapText="1"/>
    </xf>
    <xf numFmtId="164" fontId="107" fillId="11" borderId="0" xfId="34" applyNumberFormat="1" applyFont="1" applyFill="1" applyAlignment="1">
      <alignment vertical="center" wrapText="1"/>
    </xf>
    <xf numFmtId="0" fontId="107" fillId="0" borderId="0" xfId="346" applyFont="1"/>
    <xf numFmtId="0" fontId="108" fillId="0" borderId="0" xfId="346" applyFont="1"/>
    <xf numFmtId="0" fontId="108" fillId="0" borderId="0" xfId="346" applyFont="1" applyAlignment="1">
      <alignment horizontal="center" vertical="center" wrapText="1"/>
    </xf>
    <xf numFmtId="0" fontId="108" fillId="0" borderId="0" xfId="346" applyFont="1" applyAlignment="1">
      <alignment vertical="center"/>
    </xf>
    <xf numFmtId="0" fontId="108" fillId="0" borderId="27" xfId="346" applyFont="1" applyBorder="1" applyAlignment="1">
      <alignment horizontal="center" vertical="center"/>
    </xf>
    <xf numFmtId="0" fontId="108" fillId="0" borderId="0" xfId="346" applyFont="1" applyAlignment="1">
      <alignment horizontal="center" vertical="center"/>
    </xf>
    <xf numFmtId="0" fontId="109" fillId="0" borderId="27" xfId="346" applyFont="1" applyBorder="1" applyAlignment="1">
      <alignment horizontal="center" vertical="center"/>
    </xf>
    <xf numFmtId="0" fontId="107" fillId="0" borderId="33" xfId="346" applyFont="1" applyBorder="1" applyAlignment="1">
      <alignment horizontal="center" vertical="center" wrapText="1"/>
    </xf>
    <xf numFmtId="0" fontId="107" fillId="0" borderId="0" xfId="346" applyFont="1" applyAlignment="1">
      <alignment horizontal="center" vertical="center" wrapText="1"/>
    </xf>
    <xf numFmtId="0" fontId="110" fillId="0" borderId="33" xfId="346" applyFont="1" applyBorder="1" applyAlignment="1">
      <alignment horizontal="center" vertical="center" wrapText="1"/>
    </xf>
    <xf numFmtId="0" fontId="110" fillId="0" borderId="0" xfId="346" applyFont="1"/>
    <xf numFmtId="0" fontId="107" fillId="0" borderId="0" xfId="346" applyFont="1" applyAlignment="1">
      <alignment horizontal="left" vertical="center"/>
    </xf>
    <xf numFmtId="15" fontId="107" fillId="0" borderId="0" xfId="346" applyNumberFormat="1" applyFont="1" applyAlignment="1">
      <alignment vertical="center" wrapText="1"/>
    </xf>
    <xf numFmtId="0" fontId="107" fillId="0" borderId="3" xfId="346" applyFont="1" applyBorder="1" applyAlignment="1">
      <alignment vertical="center" wrapText="1"/>
    </xf>
    <xf numFmtId="164" fontId="107" fillId="0" borderId="3" xfId="346" applyNumberFormat="1" applyFont="1" applyBorder="1" applyAlignment="1">
      <alignment vertical="center" wrapText="1"/>
    </xf>
    <xf numFmtId="0" fontId="107" fillId="0" borderId="3" xfId="346" applyFont="1" applyBorder="1" applyAlignment="1">
      <alignment horizontal="right" vertical="center" wrapText="1"/>
    </xf>
    <xf numFmtId="0" fontId="107" fillId="0" borderId="0" xfId="346" applyFont="1" applyAlignment="1">
      <alignment vertical="center" wrapText="1"/>
    </xf>
    <xf numFmtId="0" fontId="107" fillId="0" borderId="0" xfId="346" applyFont="1" applyAlignment="1">
      <alignment horizontal="right" vertical="center" wrapText="1"/>
    </xf>
    <xf numFmtId="0" fontId="107" fillId="0" borderId="0" xfId="346" applyFont="1" applyAlignment="1">
      <alignment horizontal="justify" vertical="center" wrapText="1"/>
    </xf>
    <xf numFmtId="0" fontId="45" fillId="0" borderId="0" xfId="0" applyFont="1" applyAlignment="1">
      <alignment horizontal="center"/>
    </xf>
    <xf numFmtId="0" fontId="18" fillId="0" borderId="0" xfId="0" applyNumberFormat="1" applyFont="1"/>
    <xf numFmtId="0" fontId="22" fillId="0" borderId="0" xfId="301" applyFont="1" applyAlignment="1">
      <alignment horizontal="center"/>
    </xf>
    <xf numFmtId="0" fontId="18" fillId="0" borderId="0" xfId="1" applyFont="1" applyFill="1" applyAlignment="1">
      <alignment horizontal="center" vertical="top"/>
    </xf>
    <xf numFmtId="0" fontId="45" fillId="0" borderId="4" xfId="1" applyFont="1" applyBorder="1"/>
    <xf numFmtId="0" fontId="45" fillId="0" borderId="4" xfId="1" applyFont="1" applyBorder="1" applyAlignment="1">
      <alignment horizontal="center"/>
    </xf>
    <xf numFmtId="0" fontId="17" fillId="0" borderId="0" xfId="1" applyFont="1"/>
    <xf numFmtId="3" fontId="18" fillId="0" borderId="0" xfId="1" applyNumberFormat="1" applyFont="1" applyFill="1" applyBorder="1" applyProtection="1">
      <protection locked="0"/>
    </xf>
    <xf numFmtId="0" fontId="17" fillId="0" borderId="0" xfId="1" applyFont="1" applyAlignment="1">
      <alignment horizontal="left"/>
    </xf>
    <xf numFmtId="3" fontId="18" fillId="0" borderId="0" xfId="1" applyNumberFormat="1" applyFont="1" applyFill="1" applyBorder="1"/>
    <xf numFmtId="0" fontId="17" fillId="0" borderId="0" xfId="1" applyFont="1" applyFill="1" applyAlignment="1"/>
    <xf numFmtId="0" fontId="18" fillId="0" borderId="0" xfId="20" applyFont="1" applyFill="1" applyAlignment="1" applyProtection="1">
      <alignment horizontal="center" wrapText="1"/>
    </xf>
    <xf numFmtId="0" fontId="18" fillId="0" borderId="4" xfId="1" applyFont="1" applyBorder="1" applyAlignment="1">
      <alignment wrapText="1"/>
    </xf>
    <xf numFmtId="0" fontId="28" fillId="0" borderId="0" xfId="0" applyFont="1" applyAlignment="1">
      <alignment horizontal="center"/>
    </xf>
    <xf numFmtId="0" fontId="28" fillId="0" borderId="0" xfId="0" applyFont="1"/>
    <xf numFmtId="0" fontId="18" fillId="0" borderId="0" xfId="20" applyFont="1" applyAlignment="1"/>
    <xf numFmtId="0" fontId="45" fillId="0" borderId="0" xfId="20" applyFont="1" applyFill="1" applyAlignment="1">
      <alignment horizontal="center"/>
    </xf>
    <xf numFmtId="3" fontId="18" fillId="0" borderId="0" xfId="2" applyNumberFormat="1" applyFont="1" applyFill="1" applyProtection="1">
      <protection locked="0"/>
    </xf>
    <xf numFmtId="0" fontId="45" fillId="0" borderId="0" xfId="20" applyFont="1" applyFill="1"/>
    <xf numFmtId="0" fontId="18" fillId="0" borderId="4" xfId="0" applyFont="1" applyBorder="1" applyAlignment="1">
      <alignment horizontal="center" wrapText="1"/>
    </xf>
    <xf numFmtId="0" fontId="18" fillId="0" borderId="4" xfId="0" applyFont="1" applyFill="1" applyBorder="1" applyAlignment="1">
      <alignment horizontal="center" wrapText="1"/>
    </xf>
    <xf numFmtId="0" fontId="110" fillId="0" borderId="0" xfId="0" applyFont="1" applyAlignment="1">
      <alignment wrapText="1"/>
    </xf>
    <xf numFmtId="41" fontId="18" fillId="0" borderId="0" xfId="3" applyFont="1"/>
    <xf numFmtId="0" fontId="109" fillId="0" borderId="0" xfId="0" applyFont="1" applyAlignment="1">
      <alignment wrapText="1"/>
    </xf>
    <xf numFmtId="0" fontId="18" fillId="0" borderId="0" xfId="0" applyFont="1" applyAlignment="1">
      <alignment wrapText="1"/>
    </xf>
    <xf numFmtId="0" fontId="17" fillId="0" borderId="0" xfId="0" applyFont="1"/>
    <xf numFmtId="0" fontId="24" fillId="0" borderId="2" xfId="0" applyFont="1" applyFill="1" applyBorder="1" applyAlignment="1">
      <alignment horizontal="center"/>
    </xf>
    <xf numFmtId="0" fontId="24" fillId="0" borderId="0" xfId="0" applyFont="1" applyAlignment="1">
      <alignment horizontal="center"/>
    </xf>
    <xf numFmtId="0" fontId="17" fillId="0" borderId="0" xfId="20" applyFont="1" applyBorder="1" applyAlignment="1">
      <alignment horizontal="left" indent="1"/>
    </xf>
    <xf numFmtId="0" fontId="17" fillId="0" borderId="0" xfId="20" applyNumberFormat="1" applyFont="1" applyFill="1" applyBorder="1" applyAlignment="1">
      <alignment horizontal="center"/>
    </xf>
    <xf numFmtId="0" fontId="17" fillId="69" borderId="12" xfId="20" applyFont="1" applyFill="1" applyBorder="1" applyAlignment="1">
      <alignment horizontal="center"/>
    </xf>
    <xf numFmtId="3" fontId="18" fillId="0" borderId="0" xfId="20" applyNumberFormat="1" applyFont="1" applyFill="1" applyBorder="1" applyAlignment="1">
      <alignment horizontal="left" wrapText="1"/>
    </xf>
    <xf numFmtId="0" fontId="18" fillId="0" borderId="4" xfId="1" applyFont="1" applyBorder="1" applyAlignment="1">
      <alignment horizontal="left"/>
    </xf>
    <xf numFmtId="0" fontId="18" fillId="0" borderId="4" xfId="1" applyFont="1" applyBorder="1" applyAlignment="1">
      <alignment horizontal="center"/>
    </xf>
    <xf numFmtId="0" fontId="18" fillId="0" borderId="0" xfId="1" applyFont="1" applyBorder="1" applyAlignment="1">
      <alignment horizontal="left"/>
    </xf>
    <xf numFmtId="0" fontId="18" fillId="0" borderId="0" xfId="1" applyFont="1" applyBorder="1" applyAlignment="1">
      <alignment horizontal="center"/>
    </xf>
    <xf numFmtId="0" fontId="18" fillId="0" borderId="22" xfId="1" applyFont="1" applyBorder="1"/>
    <xf numFmtId="0" fontId="18" fillId="0" borderId="22" xfId="1" applyFont="1" applyBorder="1" applyAlignment="1">
      <alignment horizontal="center"/>
    </xf>
    <xf numFmtId="3" fontId="18" fillId="0" borderId="22" xfId="1" applyNumberFormat="1" applyFont="1" applyFill="1" applyBorder="1" applyProtection="1">
      <protection locked="0"/>
    </xf>
    <xf numFmtId="0" fontId="18" fillId="0" borderId="6" xfId="20" applyFont="1" applyBorder="1" applyAlignment="1">
      <alignment horizontal="center"/>
    </xf>
    <xf numFmtId="168" fontId="31" fillId="0" borderId="4" xfId="20" applyNumberFormat="1" applyFont="1" applyFill="1" applyBorder="1" applyAlignment="1" applyProtection="1">
      <alignment horizontal="center"/>
    </xf>
    <xf numFmtId="10" fontId="31" fillId="0" borderId="4" xfId="20" applyNumberFormat="1" applyFont="1" applyFill="1" applyBorder="1" applyProtection="1"/>
    <xf numFmtId="0" fontId="0" fillId="0" borderId="0" xfId="0"/>
    <xf numFmtId="0" fontId="17" fillId="0" borderId="0" xfId="1" applyFont="1" applyFill="1"/>
    <xf numFmtId="0" fontId="17" fillId="0" borderId="0" xfId="0" applyFont="1" applyBorder="1" applyAlignment="1">
      <alignment wrapText="1"/>
    </xf>
    <xf numFmtId="0" fontId="17" fillId="0" borderId="0" xfId="0" applyFont="1" applyBorder="1" applyAlignment="1">
      <alignment horizontal="center"/>
    </xf>
    <xf numFmtId="0" fontId="0" fillId="0" borderId="0" xfId="0"/>
    <xf numFmtId="0" fontId="17" fillId="0" borderId="2" xfId="0" applyFont="1" applyFill="1" applyBorder="1" applyAlignment="1">
      <alignment horizontal="center"/>
    </xf>
    <xf numFmtId="37" fontId="18" fillId="0" borderId="4" xfId="0" applyNumberFormat="1" applyFont="1" applyFill="1" applyBorder="1"/>
    <xf numFmtId="0" fontId="18" fillId="0" borderId="0" xfId="2" applyNumberFormat="1" applyFont="1" applyFill="1" applyAlignment="1">
      <alignment horizontal="center"/>
    </xf>
    <xf numFmtId="0" fontId="107" fillId="0" borderId="0" xfId="559" applyFont="1" applyFill="1" applyBorder="1" applyAlignment="1">
      <alignment horizontal="left" vertical="center" wrapText="1"/>
    </xf>
    <xf numFmtId="0" fontId="0" fillId="0" borderId="0" xfId="0"/>
    <xf numFmtId="0" fontId="0" fillId="0" borderId="0" xfId="0"/>
    <xf numFmtId="0" fontId="112" fillId="0" borderId="0" xfId="0" applyFont="1"/>
    <xf numFmtId="0" fontId="15" fillId="0" borderId="0" xfId="0" applyFont="1" applyAlignment="1">
      <alignment horizontal="center" wrapText="1"/>
    </xf>
    <xf numFmtId="0" fontId="15" fillId="0" borderId="4" xfId="0" applyFont="1" applyBorder="1" applyAlignment="1">
      <alignment horizontal="center" wrapText="1"/>
    </xf>
    <xf numFmtId="0" fontId="15" fillId="0" borderId="4" xfId="0" applyFont="1" applyBorder="1"/>
    <xf numFmtId="0" fontId="15" fillId="0" borderId="4" xfId="0" applyFont="1" applyBorder="1" applyAlignment="1">
      <alignment horizontal="center"/>
    </xf>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Fill="1" applyBorder="1" applyProtection="1"/>
    <xf numFmtId="170" fontId="18" fillId="0" borderId="0" xfId="9" applyNumberFormat="1" applyFont="1" applyFill="1"/>
    <xf numFmtId="170" fontId="18" fillId="0" borderId="0" xfId="9" applyNumberFormat="1" applyFont="1"/>
    <xf numFmtId="164" fontId="107" fillId="0" borderId="0" xfId="34" applyNumberFormat="1" applyFont="1" applyFill="1" applyAlignment="1">
      <alignment vertical="center" wrapText="1"/>
    </xf>
    <xf numFmtId="0" fontId="24" fillId="0" borderId="4" xfId="0" applyFont="1" applyFill="1" applyBorder="1"/>
    <xf numFmtId="0" fontId="18" fillId="0" borderId="4" xfId="0" applyFont="1" applyFill="1" applyBorder="1"/>
    <xf numFmtId="171" fontId="18" fillId="0" borderId="4" xfId="0" applyNumberFormat="1" applyFont="1" applyFill="1" applyBorder="1"/>
    <xf numFmtId="170" fontId="18" fillId="0" borderId="4" xfId="9" applyNumberFormat="1" applyFont="1" applyBorder="1"/>
    <xf numFmtId="0" fontId="17" fillId="0" borderId="4" xfId="0" applyFont="1" applyFill="1" applyBorder="1"/>
    <xf numFmtId="170" fontId="18" fillId="0" borderId="4" xfId="9" applyNumberFormat="1" applyFont="1" applyFill="1" applyBorder="1"/>
    <xf numFmtId="0" fontId="17" fillId="0" borderId="19" xfId="20" applyFont="1" applyFill="1" applyBorder="1" applyAlignment="1">
      <alignment wrapText="1"/>
    </xf>
    <xf numFmtId="0" fontId="17" fillId="0" borderId="17" xfId="0" applyFont="1" applyFill="1" applyBorder="1" applyAlignment="1">
      <alignment wrapText="1"/>
    </xf>
    <xf numFmtId="0" fontId="17" fillId="0" borderId="61" xfId="0" applyFont="1" applyFill="1" applyBorder="1" applyAlignment="1">
      <alignment wrapText="1"/>
    </xf>
    <xf numFmtId="170" fontId="45" fillId="0" borderId="4" xfId="9" applyNumberFormat="1" applyFont="1" applyFill="1" applyBorder="1" applyProtection="1">
      <protection locked="0"/>
    </xf>
    <xf numFmtId="37" fontId="18" fillId="0" borderId="0" xfId="0" applyNumberFormat="1" applyFont="1" applyFill="1" applyBorder="1" applyAlignment="1">
      <alignment horizontal="center"/>
    </xf>
    <xf numFmtId="37" fontId="18" fillId="0" borderId="0" xfId="0" applyNumberFormat="1" applyFont="1" applyFill="1" applyBorder="1" applyAlignment="1">
      <alignment wrapText="1"/>
    </xf>
    <xf numFmtId="41" fontId="18" fillId="0" borderId="0" xfId="0" applyNumberFormat="1" applyFont="1" applyBorder="1" applyAlignment="1">
      <alignment horizontal="center"/>
    </xf>
    <xf numFmtId="3" fontId="18" fillId="0" borderId="0" xfId="20" applyNumberFormat="1" applyFont="1" applyBorder="1"/>
    <xf numFmtId="10" fontId="18" fillId="0" borderId="0" xfId="9" applyNumberFormat="1" applyFont="1" applyAlignment="1">
      <alignment horizontal="center"/>
    </xf>
    <xf numFmtId="0" fontId="28" fillId="0" borderId="0" xfId="20" applyFont="1" applyAlignment="1">
      <alignment horizontal="center"/>
    </xf>
    <xf numFmtId="170" fontId="112" fillId="0" borderId="0" xfId="9" applyNumberFormat="1" applyFont="1"/>
    <xf numFmtId="0" fontId="38" fillId="0" borderId="4" xfId="20" applyFont="1" applyFill="1" applyBorder="1" applyAlignment="1" applyProtection="1"/>
    <xf numFmtId="170" fontId="31" fillId="0" borderId="5" xfId="9" applyNumberFormat="1" applyFont="1" applyBorder="1" applyAlignment="1" applyProtection="1">
      <alignment horizontal="right"/>
    </xf>
    <xf numFmtId="3" fontId="31" fillId="0" borderId="0" xfId="20" applyNumberFormat="1" applyFont="1" applyAlignment="1" applyProtection="1">
      <alignment horizontal="right"/>
    </xf>
    <xf numFmtId="3" fontId="31" fillId="0" borderId="3" xfId="20" applyNumberFormat="1" applyFont="1" applyFill="1" applyBorder="1" applyAlignment="1" applyProtection="1">
      <alignment horizontal="right"/>
    </xf>
    <xf numFmtId="3" fontId="28" fillId="0" borderId="5" xfId="20" applyNumberFormat="1" applyFont="1" applyBorder="1" applyAlignment="1" applyProtection="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pplyProtection="1">
      <alignment horizontal="right"/>
    </xf>
    <xf numFmtId="3" fontId="28" fillId="0" borderId="10" xfId="20" applyNumberFormat="1" applyFont="1" applyFill="1" applyBorder="1" applyAlignment="1" applyProtection="1">
      <alignment horizontal="right"/>
    </xf>
    <xf numFmtId="0" fontId="31" fillId="5" borderId="0" xfId="20" applyFont="1" applyFill="1" applyBorder="1" applyAlignment="1" applyProtection="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pplyProtection="1">
      <alignment horizontal="right"/>
    </xf>
    <xf numFmtId="3" fontId="28" fillId="0" borderId="22" xfId="20" applyNumberFormat="1" applyFont="1" applyBorder="1" applyAlignment="1" applyProtection="1">
      <alignment horizontal="right"/>
    </xf>
    <xf numFmtId="3" fontId="28" fillId="0" borderId="12" xfId="20" applyNumberFormat="1" applyFont="1" applyFill="1" applyBorder="1" applyAlignment="1" applyProtection="1">
      <alignment horizontal="right"/>
    </xf>
    <xf numFmtId="170" fontId="28" fillId="0" borderId="0" xfId="9" applyNumberFormat="1" applyFont="1" applyAlignment="1" applyProtection="1">
      <alignment horizontal="right"/>
    </xf>
    <xf numFmtId="3" fontId="28" fillId="0" borderId="4" xfId="20" applyNumberFormat="1" applyFont="1" applyFill="1" applyBorder="1" applyAlignment="1" applyProtection="1">
      <alignment horizontal="right"/>
    </xf>
    <xf numFmtId="164" fontId="28" fillId="0" borderId="0" xfId="2" applyNumberFormat="1" applyFont="1" applyFill="1" applyAlignment="1" applyProtection="1">
      <alignment horizontal="right"/>
    </xf>
    <xf numFmtId="0" fontId="31" fillId="0" borderId="0" xfId="20" applyFont="1" applyFill="1" applyBorder="1" applyAlignment="1" applyProtection="1">
      <alignment wrapText="1"/>
    </xf>
    <xf numFmtId="3" fontId="31" fillId="0" borderId="0" xfId="20" applyNumberFormat="1" applyFont="1" applyFill="1" applyBorder="1" applyAlignment="1" applyProtection="1">
      <alignment wrapText="1"/>
    </xf>
    <xf numFmtId="0" fontId="31" fillId="0" borderId="0" xfId="20" applyFont="1" applyFill="1" applyAlignment="1" applyProtection="1">
      <alignment wrapText="1"/>
    </xf>
    <xf numFmtId="3" fontId="18" fillId="0" borderId="0" xfId="20" applyNumberFormat="1" applyFont="1" applyFill="1" applyBorder="1" applyAlignment="1">
      <alignment horizontal="right"/>
    </xf>
    <xf numFmtId="0" fontId="18" fillId="7" borderId="0" xfId="20" applyNumberFormat="1" applyFont="1" applyFill="1" applyBorder="1" applyAlignment="1">
      <alignment horizontal="right"/>
    </xf>
    <xf numFmtId="0" fontId="18" fillId="0" borderId="2" xfId="20" applyFont="1" applyBorder="1" applyAlignment="1">
      <alignment horizontal="right"/>
    </xf>
    <xf numFmtId="0" fontId="18" fillId="0" borderId="0" xfId="20" applyFont="1" applyFill="1" applyBorder="1" applyAlignment="1">
      <alignment horizontal="right"/>
    </xf>
    <xf numFmtId="3" fontId="18" fillId="0" borderId="0" xfId="20" applyNumberFormat="1" applyFont="1" applyBorder="1" applyAlignment="1">
      <alignment horizontal="right"/>
    </xf>
    <xf numFmtId="0" fontId="18" fillId="0" borderId="0" xfId="20" applyFont="1" applyBorder="1" applyAlignment="1">
      <alignment horizontal="right"/>
    </xf>
    <xf numFmtId="3" fontId="18" fillId="0" borderId="0" xfId="20" applyNumberFormat="1" applyFont="1" applyFill="1" applyAlignment="1" applyProtection="1">
      <alignment horizontal="right"/>
    </xf>
    <xf numFmtId="3" fontId="18" fillId="0" borderId="2" xfId="20" applyNumberFormat="1" applyFont="1" applyFill="1" applyBorder="1" applyAlignment="1">
      <alignment horizontal="right"/>
    </xf>
    <xf numFmtId="0" fontId="0" fillId="0" borderId="0" xfId="0"/>
    <xf numFmtId="0" fontId="112" fillId="0" borderId="0" xfId="0" applyFont="1" applyAlignment="1">
      <alignment horizontal="center"/>
    </xf>
    <xf numFmtId="0" fontId="112"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5" fillId="0" borderId="0" xfId="0" applyFont="1" applyFill="1" applyBorder="1" applyAlignment="1"/>
    <xf numFmtId="0" fontId="15" fillId="0" borderId="0" xfId="20" applyFont="1" applyFill="1" applyBorder="1" applyAlignment="1">
      <alignment horizontal="center"/>
    </xf>
    <xf numFmtId="0" fontId="116" fillId="0" borderId="0" xfId="20" applyFont="1" applyFill="1" applyBorder="1"/>
    <xf numFmtId="3" fontId="28" fillId="0" borderId="0" xfId="20" applyNumberFormat="1" applyFont="1" applyFill="1" applyBorder="1" applyProtection="1"/>
    <xf numFmtId="4" fontId="28" fillId="0" borderId="0" xfId="6" applyNumberFormat="1" applyFont="1" applyBorder="1" applyAlignment="1" applyProtection="1">
      <alignment horizontal="right"/>
    </xf>
    <xf numFmtId="0" fontId="18" fillId="0" borderId="19" xfId="20" applyFont="1" applyFill="1" applyBorder="1" applyAlignment="1">
      <alignment wrapText="1"/>
    </xf>
    <xf numFmtId="0" fontId="18" fillId="0" borderId="28" xfId="20" applyFont="1" applyFill="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0" fontId="15" fillId="0" borderId="0" xfId="0"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7" fillId="11" borderId="0" xfId="2" applyNumberFormat="1" applyFont="1" applyFill="1"/>
    <xf numFmtId="0" fontId="18" fillId="0" borderId="0" xfId="0" quotePrefix="1" applyFont="1"/>
    <xf numFmtId="0" fontId="133" fillId="0" borderId="0" xfId="0" applyFont="1" applyAlignment="1">
      <alignment horizontal="centerContinuous"/>
    </xf>
    <xf numFmtId="0" fontId="133"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8" fillId="0" borderId="0" xfId="0" applyFont="1" applyAlignment="1">
      <alignment horizontal="centerContinuous"/>
    </xf>
    <xf numFmtId="0" fontId="17" fillId="0" borderId="0" xfId="1065" applyFont="1" applyAlignment="1">
      <alignment horizontal="centerContinuous"/>
    </xf>
    <xf numFmtId="0" fontId="25" fillId="0" borderId="0" xfId="1064" applyFont="1" applyAlignment="1">
      <alignment horizontal="right"/>
    </xf>
    <xf numFmtId="0" fontId="133" fillId="0" borderId="0" xfId="0" applyFont="1" applyAlignment="1">
      <alignment vertical="top" wrapText="1"/>
    </xf>
    <xf numFmtId="0" fontId="181"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pplyProtection="1">
      <alignment horizontal="center" wrapText="1"/>
    </xf>
    <xf numFmtId="0" fontId="28" fillId="11" borderId="31" xfId="20" applyFont="1" applyFill="1" applyBorder="1" applyAlignment="1" applyProtection="1">
      <alignment horizontal="center"/>
    </xf>
    <xf numFmtId="3" fontId="15" fillId="0" borderId="0" xfId="20" applyNumberFormat="1" applyFont="1" applyFill="1" applyAlignment="1" applyProtection="1"/>
    <xf numFmtId="3" fontId="15" fillId="0" borderId="4" xfId="20" applyNumberFormat="1" applyFont="1" applyFill="1" applyBorder="1" applyAlignment="1" applyProtection="1"/>
    <xf numFmtId="3" fontId="15" fillId="0" borderId="4" xfId="20" applyNumberFormat="1" applyFont="1" applyFill="1" applyBorder="1" applyAlignment="1" applyProtection="1">
      <alignment wrapText="1"/>
    </xf>
    <xf numFmtId="0" fontId="0" fillId="0" borderId="0" xfId="0"/>
    <xf numFmtId="0" fontId="18" fillId="11" borderId="0" xfId="0" applyFont="1" applyFill="1"/>
    <xf numFmtId="0" fontId="15" fillId="11" borderId="0" xfId="0" applyFont="1" applyFill="1"/>
    <xf numFmtId="0" fontId="28" fillId="0" borderId="0" xfId="20" applyFont="1" applyFill="1" applyBorder="1" applyAlignment="1" applyProtection="1">
      <alignment horizontal="right" wrapText="1"/>
    </xf>
    <xf numFmtId="0" fontId="17" fillId="0" borderId="0" xfId="0" applyFont="1" applyAlignment="1">
      <alignment horizontal="right"/>
    </xf>
    <xf numFmtId="0" fontId="17" fillId="0" borderId="0" xfId="20" applyFont="1" applyAlignment="1">
      <alignment horizontal="right"/>
    </xf>
    <xf numFmtId="37" fontId="17" fillId="0" borderId="0" xfId="20" applyNumberFormat="1" applyFont="1" applyFill="1" applyBorder="1" applyAlignment="1">
      <alignment horizontal="center"/>
    </xf>
    <xf numFmtId="3" fontId="18" fillId="0" borderId="15" xfId="2" applyNumberFormat="1" applyFont="1" applyFill="1" applyBorder="1"/>
    <xf numFmtId="0" fontId="18" fillId="0" borderId="77" xfId="20" applyFont="1" applyBorder="1"/>
    <xf numFmtId="0" fontId="22" fillId="0" borderId="0" xfId="20" applyFont="1" applyAlignment="1">
      <alignment horizontal="left"/>
    </xf>
    <xf numFmtId="0" fontId="17" fillId="0" borderId="0" xfId="20" applyFont="1" applyAlignment="1">
      <alignment horizontal="left"/>
    </xf>
    <xf numFmtId="164" fontId="56" fillId="0" borderId="0" xfId="20" applyNumberFormat="1" applyFont="1" applyAlignment="1">
      <alignment horizontal="center"/>
    </xf>
    <xf numFmtId="0" fontId="18" fillId="0" borderId="0" xfId="20" applyFont="1" applyFill="1" applyAlignment="1">
      <alignment horizontal="left"/>
    </xf>
    <xf numFmtId="0" fontId="15" fillId="0" borderId="0" xfId="20" applyFont="1" applyAlignment="1">
      <alignment horizontal="left"/>
    </xf>
    <xf numFmtId="0" fontId="112"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37" fontId="17" fillId="0" borderId="0" xfId="0" applyNumberFormat="1" applyFont="1"/>
    <xf numFmtId="0" fontId="17" fillId="0" borderId="4" xfId="0" applyFont="1" applyBorder="1"/>
    <xf numFmtId="37" fontId="18" fillId="0" borderId="4" xfId="0" applyNumberFormat="1" applyFont="1" applyBorder="1"/>
    <xf numFmtId="0" fontId="24" fillId="0" borderId="0" xfId="0" applyFont="1"/>
    <xf numFmtId="167" fontId="15" fillId="0" borderId="4" xfId="0" applyNumberFormat="1" applyFont="1" applyBorder="1"/>
    <xf numFmtId="3" fontId="31" fillId="0" borderId="0" xfId="9" applyNumberFormat="1" applyFont="1" applyAlignment="1" applyProtection="1">
      <alignment horizontal="right"/>
    </xf>
    <xf numFmtId="3" fontId="31" fillId="0" borderId="0" xfId="9" applyNumberFormat="1" applyFont="1" applyBorder="1" applyAlignment="1" applyProtection="1"/>
    <xf numFmtId="3" fontId="31" fillId="0" borderId="4" xfId="9" applyNumberFormat="1" applyFont="1" applyBorder="1" applyAlignment="1" applyProtection="1"/>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65"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8" borderId="64" xfId="2" applyNumberFormat="1" applyFont="1" applyFill="1" applyBorder="1"/>
    <xf numFmtId="3" fontId="18" fillId="11" borderId="57" xfId="20" applyNumberFormat="1" applyFont="1" applyFill="1" applyBorder="1"/>
    <xf numFmtId="3" fontId="17" fillId="0" borderId="33" xfId="20" applyNumberFormat="1" applyFont="1" applyFill="1" applyBorder="1"/>
    <xf numFmtId="3" fontId="18" fillId="0" borderId="13" xfId="20" applyNumberFormat="1" applyFont="1" applyFill="1" applyBorder="1"/>
    <xf numFmtId="3" fontId="18" fillId="0" borderId="33" xfId="20" applyNumberFormat="1" applyFont="1" applyFill="1" applyBorder="1"/>
    <xf numFmtId="3" fontId="18" fillId="0" borderId="13" xfId="20" applyNumberFormat="1" applyFont="1" applyFill="1" applyBorder="1" applyAlignment="1">
      <alignment horizontal="right"/>
    </xf>
    <xf numFmtId="3" fontId="17" fillId="0" borderId="30" xfId="20" applyNumberFormat="1" applyFont="1" applyFill="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66" xfId="2" applyNumberFormat="1" applyFont="1" applyFill="1" applyBorder="1"/>
    <xf numFmtId="3" fontId="18" fillId="11" borderId="13" xfId="2" applyNumberFormat="1" applyFont="1" applyFill="1" applyBorder="1"/>
    <xf numFmtId="3" fontId="18" fillId="11" borderId="64" xfId="2" applyNumberFormat="1" applyFont="1" applyFill="1" applyBorder="1"/>
    <xf numFmtId="3" fontId="17" fillId="0" borderId="26" xfId="20" applyNumberFormat="1" applyFont="1" applyBorder="1"/>
    <xf numFmtId="3" fontId="18" fillId="0" borderId="27" xfId="20" applyNumberFormat="1" applyFont="1" applyFill="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8" borderId="66" xfId="2" applyNumberFormat="1" applyFont="1" applyFill="1" applyBorder="1"/>
    <xf numFmtId="3" fontId="18" fillId="0" borderId="64" xfId="20" applyNumberFormat="1" applyFont="1" applyFill="1" applyBorder="1"/>
    <xf numFmtId="3" fontId="18" fillId="0" borderId="62" xfId="20" applyNumberFormat="1" applyFont="1" applyFill="1" applyBorder="1"/>
    <xf numFmtId="3" fontId="18" fillId="0" borderId="0" xfId="0" applyNumberFormat="1" applyFont="1" applyFill="1"/>
    <xf numFmtId="3" fontId="45" fillId="0" borderId="0" xfId="0" applyNumberFormat="1" applyFont="1" applyFill="1"/>
    <xf numFmtId="3" fontId="17" fillId="0" borderId="0" xfId="0" applyNumberFormat="1" applyFont="1" applyFill="1"/>
    <xf numFmtId="3" fontId="107" fillId="0" borderId="0" xfId="34" applyNumberFormat="1" applyFont="1" applyAlignment="1">
      <alignment vertical="center" wrapText="1"/>
    </xf>
    <xf numFmtId="3" fontId="107" fillId="11" borderId="0" xfId="34" applyNumberFormat="1" applyFont="1" applyFill="1" applyAlignment="1">
      <alignment vertical="center" wrapText="1"/>
    </xf>
    <xf numFmtId="3" fontId="107" fillId="0" borderId="0" xfId="34" applyNumberFormat="1" applyFont="1" applyAlignment="1">
      <alignment horizontal="left" vertical="center" wrapText="1"/>
    </xf>
    <xf numFmtId="3" fontId="107" fillId="0" borderId="0" xfId="346" applyNumberFormat="1" applyFont="1" applyAlignment="1">
      <alignment horizontal="left" vertical="center"/>
    </xf>
    <xf numFmtId="3" fontId="110" fillId="0" borderId="0" xfId="34" applyNumberFormat="1" applyFont="1" applyAlignment="1">
      <alignment vertical="center" wrapText="1"/>
    </xf>
    <xf numFmtId="3" fontId="110" fillId="0" borderId="0" xfId="34" applyNumberFormat="1" applyFont="1" applyFill="1" applyAlignment="1">
      <alignment vertical="center" wrapText="1"/>
    </xf>
    <xf numFmtId="3" fontId="110" fillId="0" borderId="0" xfId="200" applyNumberFormat="1" applyFont="1" applyFill="1" applyAlignment="1">
      <alignment vertical="center" wrapText="1"/>
    </xf>
    <xf numFmtId="3" fontId="107" fillId="0" borderId="3" xfId="34" applyNumberFormat="1" applyFont="1" applyBorder="1" applyAlignment="1">
      <alignment vertical="center" wrapText="1"/>
    </xf>
    <xf numFmtId="3" fontId="107" fillId="0" borderId="3" xfId="346" applyNumberFormat="1" applyFont="1" applyBorder="1" applyAlignment="1">
      <alignment horizontal="right" vertical="center" wrapText="1"/>
    </xf>
    <xf numFmtId="3" fontId="107" fillId="0" borderId="3" xfId="34" applyNumberFormat="1" applyFont="1" applyFill="1" applyBorder="1" applyAlignment="1">
      <alignment vertical="center" wrapText="1"/>
    </xf>
    <xf numFmtId="3" fontId="110" fillId="0" borderId="3" xfId="346" applyNumberFormat="1" applyFont="1" applyFill="1" applyBorder="1"/>
    <xf numFmtId="3" fontId="18" fillId="11" borderId="0" xfId="0" applyNumberFormat="1" applyFont="1" applyFill="1"/>
    <xf numFmtId="3" fontId="18" fillId="0" borderId="0" xfId="1" applyNumberFormat="1" applyFont="1" applyFill="1" applyBorder="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Border="1" applyAlignment="1">
      <alignment horizontal="center"/>
    </xf>
    <xf numFmtId="3" fontId="18" fillId="0" borderId="0" xfId="1" applyNumberFormat="1" applyFont="1" applyFill="1" applyBorder="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Fill="1" applyBorder="1" applyAlignment="1">
      <alignment horizontal="right"/>
    </xf>
    <xf numFmtId="3" fontId="18" fillId="0" borderId="0" xfId="1" applyNumberFormat="1" applyFont="1" applyAlignment="1">
      <alignment horizontal="center"/>
    </xf>
    <xf numFmtId="3" fontId="49" fillId="0" borderId="0" xfId="1" applyNumberFormat="1" applyFont="1" applyFill="1" applyAlignment="1">
      <alignment horizontal="center"/>
    </xf>
    <xf numFmtId="3" fontId="18" fillId="0" borderId="0" xfId="1" applyNumberFormat="1" applyFont="1"/>
    <xf numFmtId="3" fontId="24" fillId="0" borderId="0" xfId="1" applyNumberFormat="1" applyFont="1" applyFill="1" applyAlignment="1">
      <alignment horizontal="center"/>
    </xf>
    <xf numFmtId="3" fontId="24" fillId="0" borderId="0" xfId="1" applyNumberFormat="1" applyFont="1" applyFill="1" applyAlignment="1">
      <alignment horizontal="right"/>
    </xf>
    <xf numFmtId="3" fontId="24" fillId="0" borderId="0" xfId="1" applyNumberFormat="1" applyFont="1" applyFill="1" applyBorder="1" applyAlignment="1">
      <alignment horizontal="center"/>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Fill="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8" borderId="0" xfId="2" applyNumberFormat="1" applyFont="1" applyFill="1" applyBorder="1"/>
    <xf numFmtId="3" fontId="18" fillId="0" borderId="2" xfId="2" applyNumberFormat="1" applyFont="1" applyBorder="1"/>
    <xf numFmtId="3" fontId="18" fillId="8" borderId="0" xfId="6" applyNumberFormat="1" applyFont="1" applyFill="1" applyBorder="1" applyAlignment="1">
      <alignment horizontal="left"/>
    </xf>
    <xf numFmtId="3" fontId="18" fillId="0" borderId="0" xfId="0" applyNumberFormat="1" applyFont="1" applyFill="1" applyBorder="1" applyAlignment="1">
      <alignment horizontal="center"/>
    </xf>
    <xf numFmtId="3" fontId="18" fillId="0" borderId="0" xfId="6" applyNumberFormat="1" applyFont="1" applyFill="1" applyBorder="1" applyAlignment="1">
      <alignment horizontal="left"/>
    </xf>
    <xf numFmtId="3" fontId="18" fillId="0" borderId="0" xfId="0" applyNumberFormat="1" applyFont="1" applyFill="1" applyBorder="1" applyAlignment="1">
      <alignment horizontal="left"/>
    </xf>
    <xf numFmtId="3" fontId="18" fillId="11" borderId="0" xfId="0" applyNumberFormat="1" applyFont="1" applyFill="1" applyBorder="1" applyAlignment="1">
      <alignment horizontal="left"/>
    </xf>
    <xf numFmtId="3" fontId="18" fillId="11" borderId="0" xfId="6" applyNumberFormat="1" applyFont="1" applyFill="1" applyBorder="1" applyAlignment="1">
      <alignment horizontal="left"/>
    </xf>
    <xf numFmtId="3" fontId="18" fillId="11" borderId="0" xfId="6" applyNumberFormat="1" applyFont="1" applyFill="1" applyBorder="1"/>
    <xf numFmtId="3" fontId="18" fillId="8" borderId="0" xfId="2" applyNumberFormat="1" applyFont="1" applyFill="1" applyBorder="1" applyAlignment="1"/>
    <xf numFmtId="3" fontId="18" fillId="11" borderId="0" xfId="20" applyNumberFormat="1" applyFont="1" applyFill="1" applyBorder="1" applyAlignment="1">
      <alignment horizontal="center"/>
    </xf>
    <xf numFmtId="3" fontId="18" fillId="11" borderId="0" xfId="20" applyNumberFormat="1" applyFont="1" applyFill="1" applyBorder="1"/>
    <xf numFmtId="3" fontId="18" fillId="0" borderId="74" xfId="6" applyNumberFormat="1" applyFont="1" applyFill="1" applyBorder="1"/>
    <xf numFmtId="3" fontId="18" fillId="0" borderId="74" xfId="20" applyNumberFormat="1" applyFont="1" applyBorder="1"/>
    <xf numFmtId="3" fontId="18" fillId="11" borderId="74"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18" fillId="0" borderId="60" xfId="6" applyNumberFormat="1" applyFont="1" applyBorder="1"/>
    <xf numFmtId="3" fontId="56" fillId="0" borderId="0" xfId="3" applyNumberFormat="1" applyFont="1" applyFill="1"/>
    <xf numFmtId="3" fontId="112" fillId="0" borderId="0" xfId="0" applyNumberFormat="1" applyFont="1"/>
    <xf numFmtId="3" fontId="187" fillId="11" borderId="0" xfId="2" applyNumberFormat="1" applyFont="1" applyFill="1"/>
    <xf numFmtId="3" fontId="18" fillId="0" borderId="3" xfId="2" applyNumberFormat="1" applyFont="1" applyBorder="1"/>
    <xf numFmtId="3" fontId="15" fillId="0" borderId="0" xfId="20" applyNumberFormat="1" applyFont="1" applyFill="1"/>
    <xf numFmtId="0" fontId="23" fillId="0" borderId="0" xfId="20" applyFont="1" applyFill="1" applyBorder="1" applyAlignment="1" applyProtection="1">
      <alignment horizontal="right" wrapText="1"/>
    </xf>
    <xf numFmtId="0" fontId="23" fillId="0" borderId="0" xfId="0" applyFont="1" applyFill="1" applyAlignment="1">
      <alignment horizontal="right"/>
    </xf>
    <xf numFmtId="0" fontId="0" fillId="0" borderId="0" xfId="0"/>
    <xf numFmtId="3" fontId="18" fillId="0" borderId="0" xfId="9" applyNumberFormat="1" applyFont="1" applyFill="1"/>
    <xf numFmtId="1" fontId="18" fillId="0" borderId="0" xfId="2" applyNumberFormat="1" applyFont="1" applyFill="1"/>
    <xf numFmtId="1" fontId="18" fillId="0" borderId="0" xfId="301" applyNumberFormat="1" applyFont="1"/>
    <xf numFmtId="3" fontId="18" fillId="0" borderId="0" xfId="20" applyNumberFormat="1" applyFont="1" applyAlignment="1">
      <alignment horizontal="right"/>
    </xf>
    <xf numFmtId="10" fontId="31" fillId="0" borderId="0" xfId="9" applyNumberFormat="1" applyFont="1"/>
    <xf numFmtId="10" fontId="31" fillId="0" borderId="0" xfId="1" applyNumberFormat="1" applyFont="1"/>
    <xf numFmtId="3" fontId="28" fillId="0" borderId="0" xfId="1" applyNumberFormat="1" applyFont="1" applyFill="1"/>
    <xf numFmtId="0" fontId="31" fillId="0" borderId="0" xfId="20" applyFont="1"/>
    <xf numFmtId="0" fontId="18" fillId="0" borderId="8" xfId="20" applyFont="1" applyFill="1" applyBorder="1" applyAlignment="1">
      <alignment wrapText="1"/>
    </xf>
    <xf numFmtId="10" fontId="31" fillId="11" borderId="0" xfId="9" applyNumberFormat="1" applyFont="1" applyFill="1" applyAlignment="1" applyProtection="1">
      <alignment horizontal="right"/>
    </xf>
    <xf numFmtId="0" fontId="18" fillId="0" borderId="0" xfId="20" applyFont="1" applyFill="1" applyBorder="1" applyAlignment="1" applyProtection="1">
      <alignment horizontal="right" wrapText="1"/>
    </xf>
    <xf numFmtId="176" fontId="28" fillId="0" borderId="0" xfId="20" applyNumberFormat="1" applyFont="1" applyFill="1" applyBorder="1" applyAlignment="1" applyProtection="1">
      <alignment horizontal="right"/>
    </xf>
    <xf numFmtId="37" fontId="18" fillId="0" borderId="5" xfId="1" applyNumberFormat="1" applyFont="1" applyFill="1" applyBorder="1" applyAlignment="1" applyProtection="1">
      <alignment horizontal="right" wrapText="1"/>
      <protection locked="0"/>
    </xf>
    <xf numFmtId="0" fontId="0" fillId="0" borderId="0" xfId="0"/>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3" fontId="18" fillId="0" borderId="60" xfId="6" applyNumberFormat="1" applyFont="1" applyFill="1" applyBorder="1"/>
    <xf numFmtId="0" fontId="18" fillId="0" borderId="0" xfId="1" applyFont="1" applyFill="1" applyAlignment="1">
      <alignment horizontal="left"/>
    </xf>
    <xf numFmtId="164" fontId="0" fillId="0" borderId="0" xfId="2" applyNumberFormat="1" applyFont="1"/>
    <xf numFmtId="0" fontId="28" fillId="0" borderId="7" xfId="20" applyNumberFormat="1" applyFont="1" applyBorder="1" applyAlignment="1" applyProtection="1">
      <alignment horizontal="center"/>
    </xf>
    <xf numFmtId="0" fontId="28" fillId="0" borderId="8" xfId="20" applyNumberFormat="1" applyFont="1" applyBorder="1" applyAlignment="1" applyProtection="1">
      <alignment horizontal="center"/>
    </xf>
    <xf numFmtId="0" fontId="28" fillId="0" borderId="8" xfId="20" applyNumberFormat="1" applyFont="1" applyBorder="1" applyAlignment="1" applyProtection="1">
      <alignment horizontal="left"/>
    </xf>
    <xf numFmtId="0" fontId="31" fillId="0" borderId="8" xfId="20" applyNumberFormat="1" applyFont="1" applyBorder="1" applyAlignment="1" applyProtection="1">
      <alignment horizontal="left"/>
    </xf>
    <xf numFmtId="4" fontId="28" fillId="0" borderId="24" xfId="6" applyNumberFormat="1" applyFont="1" applyBorder="1" applyAlignment="1" applyProtection="1">
      <alignment horizontal="right"/>
    </xf>
    <xf numFmtId="0" fontId="28" fillId="0" borderId="16" xfId="20" applyNumberFormat="1" applyFont="1" applyBorder="1" applyAlignment="1" applyProtection="1">
      <alignment horizontal="center"/>
    </xf>
    <xf numFmtId="4" fontId="28" fillId="0" borderId="15" xfId="6" applyNumberFormat="1" applyFont="1" applyBorder="1" applyAlignment="1" applyProtection="1">
      <alignment horizontal="right"/>
    </xf>
    <xf numFmtId="0" fontId="28" fillId="0" borderId="6" xfId="20" applyNumberFormat="1" applyFont="1" applyBorder="1" applyAlignment="1" applyProtection="1">
      <alignment horizontal="center"/>
    </xf>
    <xf numFmtId="0" fontId="28" fillId="0" borderId="2" xfId="20" applyNumberFormat="1" applyFont="1" applyBorder="1" applyAlignment="1" applyProtection="1">
      <alignment horizontal="center"/>
    </xf>
    <xf numFmtId="0" fontId="28" fillId="0" borderId="2" xfId="20" applyNumberFormat="1" applyFont="1" applyBorder="1" applyAlignment="1" applyProtection="1">
      <alignment horizontal="left"/>
    </xf>
    <xf numFmtId="4" fontId="28" fillId="0" borderId="9" xfId="6" applyNumberFormat="1" applyFont="1" applyBorder="1" applyAlignment="1" applyProtection="1">
      <alignment horizontal="right"/>
    </xf>
    <xf numFmtId="0" fontId="31" fillId="0" borderId="2" xfId="20" applyNumberFormat="1" applyFont="1" applyBorder="1" applyAlignment="1" applyProtection="1">
      <alignment horizontal="left"/>
    </xf>
    <xf numFmtId="0" fontId="18" fillId="11" borderId="0" xfId="20" applyFont="1" applyFill="1" applyBorder="1"/>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31" fillId="0" borderId="0" xfId="20" applyFont="1" applyFill="1" applyAlignment="1">
      <alignment horizontal="left"/>
    </xf>
    <xf numFmtId="0" fontId="15" fillId="11" borderId="0" xfId="0" applyFont="1" applyFill="1" applyAlignment="1">
      <alignment horizontal="center"/>
    </xf>
    <xf numFmtId="0" fontId="0" fillId="0" borderId="0" xfId="0" applyFill="1"/>
    <xf numFmtId="0" fontId="107" fillId="0" borderId="0" xfId="0" applyFont="1"/>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0" applyNumberFormat="1" applyFont="1" applyFill="1" applyBorder="1"/>
    <xf numFmtId="3" fontId="45" fillId="0" borderId="0" xfId="3" applyNumberFormat="1" applyFont="1"/>
    <xf numFmtId="3" fontId="45" fillId="0" borderId="0" xfId="3" applyNumberFormat="1" applyFont="1" applyBorder="1"/>
    <xf numFmtId="0" fontId="17" fillId="10" borderId="1" xfId="20" applyFont="1" applyFill="1" applyBorder="1" applyAlignment="1">
      <alignment horizontal="center" wrapText="1"/>
    </xf>
    <xf numFmtId="3" fontId="18" fillId="0" borderId="31" xfId="20" applyNumberFormat="1" applyFont="1" applyBorder="1"/>
    <xf numFmtId="0" fontId="18" fillId="69" borderId="12" xfId="20" applyFont="1" applyFill="1" applyBorder="1"/>
    <xf numFmtId="1" fontId="18" fillId="0" borderId="0" xfId="2" applyNumberFormat="1" applyFont="1" applyFill="1" applyBorder="1"/>
    <xf numFmtId="3" fontId="15" fillId="0" borderId="0" xfId="20" applyNumberFormat="1" applyFont="1" applyFill="1" applyBorder="1" applyAlignment="1" applyProtection="1">
      <alignment horizontal="center" wrapText="1"/>
    </xf>
    <xf numFmtId="280" fontId="22" fillId="0" borderId="0" xfId="0" applyNumberFormat="1" applyFont="1" applyAlignment="1">
      <alignment horizontal="center"/>
    </xf>
    <xf numFmtId="0" fontId="0" fillId="0" borderId="0" xfId="0"/>
    <xf numFmtId="3" fontId="18" fillId="0" borderId="0" xfId="1" applyNumberFormat="1" applyFont="1" applyAlignment="1">
      <alignment horizontal="right" wrapText="1"/>
    </xf>
    <xf numFmtId="3" fontId="18" fillId="0" borderId="0" xfId="1" applyNumberFormat="1" applyFont="1" applyAlignment="1">
      <alignment horizontal="right"/>
    </xf>
    <xf numFmtId="3" fontId="24" fillId="0" borderId="0" xfId="1" applyNumberFormat="1" applyFont="1" applyFill="1" applyBorder="1" applyAlignment="1">
      <alignment horizontal="right"/>
    </xf>
    <xf numFmtId="0" fontId="24" fillId="0" borderId="0" xfId="1" applyFont="1" applyFill="1" applyBorder="1" applyAlignment="1">
      <alignment horizontal="center"/>
    </xf>
    <xf numFmtId="0" fontId="24" fillId="0" borderId="0" xfId="1" applyNumberFormat="1" applyFont="1" applyFill="1" applyBorder="1" applyAlignment="1">
      <alignment horizontal="center"/>
    </xf>
    <xf numFmtId="170" fontId="18" fillId="0" borderId="0" xfId="9" applyNumberFormat="1" applyFont="1" applyFill="1" applyAlignment="1">
      <alignment horizontal="center" wrapText="1"/>
    </xf>
    <xf numFmtId="171" fontId="18" fillId="0" borderId="0" xfId="1" applyNumberFormat="1" applyFont="1" applyFill="1" applyAlignment="1">
      <alignment horizontal="center" wrapText="1"/>
    </xf>
    <xf numFmtId="0" fontId="18" fillId="0" borderId="5" xfId="1" applyFont="1" applyBorder="1"/>
    <xf numFmtId="0" fontId="24" fillId="0" borderId="0" xfId="1" applyFont="1" applyFill="1"/>
    <xf numFmtId="3" fontId="18" fillId="0" borderId="22" xfId="1" applyNumberFormat="1" applyFont="1" applyBorder="1" applyAlignment="1">
      <alignment horizontal="right" wrapText="1"/>
    </xf>
    <xf numFmtId="0" fontId="17" fillId="0" borderId="0" xfId="1" applyFont="1" applyFill="1" applyBorder="1"/>
    <xf numFmtId="3" fontId="18" fillId="0" borderId="0" xfId="2" applyNumberFormat="1" applyFont="1" applyFill="1" applyAlignment="1">
      <alignment horizontal="right" wrapText="1"/>
    </xf>
    <xf numFmtId="0" fontId="18" fillId="0" borderId="0" xfId="1" applyFont="1" applyFill="1" applyBorder="1"/>
    <xf numFmtId="37" fontId="24" fillId="0" borderId="0" xfId="1" applyNumberFormat="1" applyFont="1" applyFill="1"/>
    <xf numFmtId="37" fontId="18" fillId="0" borderId="0" xfId="1" applyNumberFormat="1" applyFont="1" applyFill="1"/>
    <xf numFmtId="3" fontId="18" fillId="0" borderId="0" xfId="1" applyNumberFormat="1" applyFont="1" applyFill="1" applyAlignment="1">
      <alignment horizontal="right"/>
    </xf>
    <xf numFmtId="3" fontId="18" fillId="0" borderId="0" xfId="2" applyNumberFormat="1" applyFont="1" applyFill="1" applyAlignment="1">
      <alignment horizontal="right"/>
    </xf>
    <xf numFmtId="164" fontId="18" fillId="0" borderId="0" xfId="2" applyNumberFormat="1" applyFont="1" applyFill="1" applyAlignment="1">
      <alignment horizontal="right"/>
    </xf>
    <xf numFmtId="0" fontId="18" fillId="0" borderId="0" xfId="1" applyFont="1" applyFill="1" applyAlignment="1">
      <alignment horizontal="right"/>
    </xf>
    <xf numFmtId="0" fontId="17" fillId="0" borderId="0" xfId="1" applyFont="1" applyAlignment="1"/>
    <xf numFmtId="3" fontId="188" fillId="8" borderId="0" xfId="2" applyNumberFormat="1" applyFont="1" applyFill="1" applyBorder="1"/>
    <xf numFmtId="3" fontId="188" fillId="0" borderId="15" xfId="20" applyNumberFormat="1" applyFont="1" applyFill="1" applyBorder="1" applyAlignment="1">
      <alignment horizontal="center" wrapText="1"/>
    </xf>
    <xf numFmtId="3" fontId="188" fillId="0" borderId="0" xfId="2" applyNumberFormat="1" applyFont="1" applyFill="1" applyBorder="1"/>
    <xf numFmtId="3" fontId="189"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07" fillId="0" borderId="0" xfId="2" applyNumberFormat="1" applyFont="1" applyFill="1" applyBorder="1"/>
    <xf numFmtId="3" fontId="107" fillId="78" borderId="0" xfId="2" applyNumberFormat="1" applyFont="1" applyFill="1" applyBorder="1"/>
    <xf numFmtId="3" fontId="18" fillId="78" borderId="0" xfId="9" applyNumberFormat="1" applyFont="1" applyFill="1" applyBorder="1"/>
    <xf numFmtId="3" fontId="107" fillId="11" borderId="0" xfId="2" applyNumberFormat="1" applyFont="1" applyFill="1" applyBorder="1"/>
    <xf numFmtId="37" fontId="18" fillId="8" borderId="0" xfId="2" applyNumberFormat="1" applyFont="1" applyFill="1"/>
    <xf numFmtId="3" fontId="18" fillId="11" borderId="0" xfId="1" applyNumberFormat="1" applyFont="1" applyFill="1" applyBorder="1"/>
    <xf numFmtId="3" fontId="15" fillId="0" borderId="0" xfId="0" applyNumberFormat="1" applyFont="1" applyFill="1"/>
    <xf numFmtId="3" fontId="112" fillId="0" borderId="0" xfId="0" applyNumberFormat="1" applyFont="1" applyFill="1"/>
    <xf numFmtId="3" fontId="18" fillId="11" borderId="20" xfId="2" applyNumberFormat="1" applyFont="1" applyFill="1" applyBorder="1"/>
    <xf numFmtId="3" fontId="18" fillId="0" borderId="4" xfId="6" applyNumberFormat="1" applyFont="1" applyFill="1" applyBorder="1"/>
    <xf numFmtId="37" fontId="18" fillId="11" borderId="4" xfId="1" applyNumberFormat="1" applyFont="1" applyFill="1" applyBorder="1" applyAlignment="1">
      <alignment horizontal="right" wrapText="1"/>
    </xf>
    <xf numFmtId="10" fontId="18" fillId="11" borderId="0" xfId="9" applyNumberFormat="1" applyFont="1" applyFill="1" applyBorder="1"/>
    <xf numFmtId="10" fontId="18" fillId="11" borderId="2" xfId="9" applyNumberFormat="1" applyFont="1" applyFill="1" applyBorder="1"/>
    <xf numFmtId="3" fontId="18" fillId="11" borderId="0" xfId="9" applyNumberFormat="1" applyFont="1" applyFill="1" applyBorder="1"/>
    <xf numFmtId="164" fontId="107" fillId="11" borderId="0" xfId="10334" applyNumberFormat="1" applyFont="1" applyFill="1"/>
    <xf numFmtId="164" fontId="107" fillId="11" borderId="2" xfId="10334" applyNumberFormat="1" applyFont="1" applyFill="1" applyBorder="1"/>
    <xf numFmtId="164" fontId="18" fillId="11" borderId="0" xfId="10334" applyNumberFormat="1" applyFont="1" applyFill="1"/>
    <xf numFmtId="3" fontId="18" fillId="11" borderId="2" xfId="2" applyNumberFormat="1" applyFont="1" applyFill="1" applyBorder="1"/>
    <xf numFmtId="3" fontId="18" fillId="11" borderId="0" xfId="2" applyNumberFormat="1" applyFont="1" applyFill="1" applyBorder="1" applyAlignment="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31" fillId="0" borderId="0" xfId="20" applyFont="1" applyFill="1" applyBorder="1" applyAlignment="1" applyProtection="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22" fillId="0" borderId="0" xfId="20" applyFont="1" applyAlignment="1">
      <alignment horizontal="center"/>
    </xf>
    <xf numFmtId="0" fontId="22" fillId="0" borderId="0" xfId="20" applyFont="1" applyFill="1" applyBorder="1" applyAlignment="1">
      <alignment horizontal="center"/>
    </xf>
    <xf numFmtId="0" fontId="18" fillId="0" borderId="0" xfId="1" applyFont="1" applyFill="1" applyAlignment="1">
      <alignment vertical="center" wrapText="1"/>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5" fillId="0" borderId="0" xfId="0" applyFont="1" applyAlignment="1">
      <alignment horizontal="center"/>
    </xf>
    <xf numFmtId="0" fontId="25" fillId="0" borderId="0" xfId="0" applyFont="1" applyAlignment="1">
      <alignment horizontal="left"/>
    </xf>
    <xf numFmtId="3" fontId="28" fillId="79" borderId="0" xfId="20" applyNumberFormat="1" applyFont="1" applyFill="1" applyBorder="1" applyAlignment="1" applyProtection="1">
      <alignment horizontal="right"/>
    </xf>
    <xf numFmtId="3" fontId="110" fillId="8" borderId="2" xfId="2" applyNumberFormat="1" applyFont="1" applyFill="1" applyBorder="1"/>
    <xf numFmtId="0" fontId="191" fillId="0" borderId="0" xfId="0" applyFont="1" applyAlignment="1">
      <alignment horizontal="center"/>
    </xf>
    <xf numFmtId="0" fontId="192" fillId="0" borderId="0" xfId="0" applyFont="1"/>
    <xf numFmtId="0" fontId="192" fillId="0" borderId="0" xfId="0" applyFont="1" applyAlignment="1">
      <alignment horizontal="center"/>
    </xf>
    <xf numFmtId="166" fontId="192" fillId="11" borderId="0" xfId="6" applyNumberFormat="1" applyFont="1" applyFill="1"/>
    <xf numFmtId="3" fontId="192" fillId="0" borderId="0" xfId="0" applyNumberFormat="1" applyFont="1"/>
    <xf numFmtId="3" fontId="192" fillId="11" borderId="0" xfId="0" applyNumberFormat="1" applyFont="1" applyFill="1"/>
    <xf numFmtId="3" fontId="192" fillId="11" borderId="0" xfId="0" applyNumberFormat="1" applyFont="1" applyFill="1" applyBorder="1"/>
    <xf numFmtId="3" fontId="192" fillId="78" borderId="0" xfId="0" applyNumberFormat="1" applyFont="1" applyFill="1" applyBorder="1"/>
    <xf numFmtId="164" fontId="192" fillId="11" borderId="4" xfId="2" applyNumberFormat="1" applyFont="1" applyFill="1" applyBorder="1"/>
    <xf numFmtId="0" fontId="192" fillId="0" borderId="0" xfId="0" applyFont="1" applyAlignment="1">
      <alignment horizontal="center" wrapText="1"/>
    </xf>
    <xf numFmtId="0" fontId="18" fillId="0" borderId="0" xfId="0" applyFont="1" applyAlignment="1">
      <alignment horizontal="center" wrapText="1"/>
    </xf>
    <xf numFmtId="279" fontId="192" fillId="0" borderId="0" xfId="6" applyNumberFormat="1" applyFont="1"/>
    <xf numFmtId="0" fontId="18" fillId="0" borderId="79" xfId="20" applyFont="1" applyBorder="1"/>
    <xf numFmtId="0" fontId="31" fillId="0" borderId="0" xfId="20" applyFont="1" applyFill="1" applyBorder="1" applyAlignment="1" applyProtection="1">
      <alignment horizontal="center"/>
    </xf>
    <xf numFmtId="0" fontId="31" fillId="6" borderId="8" xfId="20" applyFont="1" applyFill="1" applyBorder="1" applyAlignment="1" applyProtection="1">
      <alignment horizontal="center"/>
    </xf>
    <xf numFmtId="0" fontId="31" fillId="6" borderId="24" xfId="20" applyFont="1" applyFill="1" applyBorder="1" applyAlignment="1" applyProtection="1">
      <alignment horizontal="center"/>
    </xf>
    <xf numFmtId="0" fontId="22" fillId="0" borderId="0" xfId="20" applyFont="1" applyAlignment="1">
      <alignment horizontal="center"/>
    </xf>
    <xf numFmtId="0" fontId="22" fillId="0" borderId="0" xfId="20" applyFont="1" applyFill="1" applyBorder="1"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18" fillId="0" borderId="0" xfId="0" applyFont="1" applyBorder="1" applyAlignment="1">
      <alignment wrapText="1"/>
    </xf>
    <xf numFmtId="0" fontId="23" fillId="0" borderId="0" xfId="0" applyFont="1" applyBorder="1" applyAlignment="1"/>
    <xf numFmtId="0" fontId="23" fillId="0" borderId="0" xfId="20" applyFont="1" applyAlignment="1"/>
    <xf numFmtId="0" fontId="17" fillId="0" borderId="0" xfId="0" applyFont="1" applyBorder="1" applyAlignment="1">
      <alignment horizontal="right"/>
    </xf>
    <xf numFmtId="0" fontId="108" fillId="0" borderId="62" xfId="346" applyFont="1" applyBorder="1" applyAlignment="1">
      <alignment horizontal="center" vertical="center"/>
    </xf>
    <xf numFmtId="0" fontId="108" fillId="0" borderId="3" xfId="346" applyFont="1" applyBorder="1" applyAlignment="1">
      <alignment horizontal="center" vertical="center"/>
    </xf>
    <xf numFmtId="0" fontId="108" fillId="0" borderId="63" xfId="346" applyFont="1" applyBorder="1" applyAlignment="1">
      <alignment horizontal="center" vertical="center"/>
    </xf>
    <xf numFmtId="0" fontId="108" fillId="0" borderId="64" xfId="346" applyFont="1" applyBorder="1" applyAlignment="1">
      <alignment horizontal="center" vertical="center" wrapText="1"/>
    </xf>
    <xf numFmtId="0" fontId="108" fillId="0" borderId="22" xfId="346" applyFont="1" applyBorder="1" applyAlignment="1">
      <alignment horizontal="center" vertical="center" wrapText="1"/>
    </xf>
    <xf numFmtId="0" fontId="108" fillId="0" borderId="57" xfId="346" applyFont="1" applyBorder="1" applyAlignment="1">
      <alignment horizontal="center" vertical="center" wrapText="1"/>
    </xf>
    <xf numFmtId="0" fontId="109" fillId="0" borderId="64" xfId="346" applyFont="1" applyBorder="1" applyAlignment="1">
      <alignment horizontal="center" vertical="center"/>
    </xf>
    <xf numFmtId="0" fontId="109" fillId="0" borderId="22" xfId="346" applyFont="1" applyBorder="1" applyAlignment="1">
      <alignment horizontal="center" vertical="center"/>
    </xf>
    <xf numFmtId="0" fontId="22" fillId="0" borderId="0" xfId="1" applyFont="1" applyAlignment="1">
      <alignment horizontal="center"/>
    </xf>
    <xf numFmtId="0" fontId="22" fillId="0" borderId="0" xfId="1" applyFont="1" applyAlignment="1"/>
    <xf numFmtId="0" fontId="18" fillId="0" borderId="0" xfId="1" applyFont="1" applyFill="1" applyAlignment="1">
      <alignment vertical="top" wrapText="1"/>
    </xf>
    <xf numFmtId="0" fontId="18" fillId="0" borderId="0" xfId="1" applyFont="1" applyFill="1" applyAlignment="1">
      <alignment vertical="center" wrapText="1"/>
    </xf>
    <xf numFmtId="0" fontId="0" fillId="0" borderId="0" xfId="0" applyAlignment="1"/>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8" xfId="20" applyNumberFormat="1" applyFont="1" applyFill="1" applyBorder="1" applyAlignment="1">
      <alignment horizontal="center"/>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37" fontId="17" fillId="0" borderId="0" xfId="20" applyNumberFormat="1" applyFont="1" applyBorder="1" applyAlignment="1">
      <alignment horizontal="center"/>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22" fillId="0" borderId="0" xfId="20" applyNumberFormat="1" applyFont="1" applyFill="1" applyBorder="1" applyAlignment="1">
      <alignment horizontal="center"/>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37" fontId="17" fillId="11" borderId="3" xfId="20" applyNumberFormat="1" applyFont="1" applyFill="1" applyBorder="1" applyAlignment="1">
      <alignment horizontal="center"/>
    </xf>
    <xf numFmtId="37" fontId="17" fillId="11" borderId="78" xfId="20" applyNumberFormat="1" applyFont="1" applyFill="1" applyBorder="1" applyAlignment="1">
      <alignment horizontal="center"/>
    </xf>
    <xf numFmtId="37" fontId="17" fillId="0" borderId="12" xfId="20" applyNumberFormat="1" applyFont="1" applyFill="1" applyBorder="1" applyAlignment="1">
      <alignment horizontal="center"/>
    </xf>
    <xf numFmtId="37" fontId="17" fillId="0" borderId="14" xfId="20" applyNumberFormat="1"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vertical="top" wrapText="1"/>
    </xf>
    <xf numFmtId="0" fontId="190" fillId="0" borderId="0" xfId="743" applyNumberFormat="1" applyFont="1" applyAlignment="1" applyProtection="1">
      <alignment horizontal="center"/>
      <protection locked="0"/>
    </xf>
    <xf numFmtId="0" fontId="190" fillId="0" borderId="0" xfId="0" applyFont="1" applyAlignment="1">
      <alignment horizontal="center"/>
    </xf>
    <xf numFmtId="10" fontId="190"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1">
    <dxf>
      <fill>
        <patternFill>
          <bgColor indexed="13"/>
        </patternFill>
      </fill>
    </dxf>
  </dxfs>
  <tableStyles count="0" defaultTableStyle="TableStyleMedium9" defaultPivotStyle="PivotStyleLight16"/>
  <colors>
    <mruColors>
      <color rgb="FFFFFF99"/>
      <color rgb="FFD60093"/>
      <color rgb="FF33CC33"/>
      <color rgb="FF81428E"/>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persons/person.xml><?xml version="1.0" encoding="utf-8"?>
<personList xmlns="http://schemas.microsoft.com/office/spreadsheetml/2018/threadedcomments" xmlns:x="http://schemas.openxmlformats.org/spreadsheetml/2006/main">
  <person displayName="DumaisConsulting" id="{318CFE84-DF83-4030-A0A4-5B5D7FA53494}" userId="S::dumaisconsulting_outlook.com#ext#@aescloud.onmicrosoft.com::aa0791f3-58a6-4f19-896f-4d922c80e1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56" dT="2020-10-12T17:53:45.21" personId="{318CFE84-DF83-4030-A0A4-5B5D7FA53494}" id="{440E4A2E-D11C-416A-854B-F3A004B67D21}">
    <text xml:space="preserve">Using 12/19 ratio of T to total construction for 12/18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M1116"/>
  <sheetViews>
    <sheetView showGridLines="0" tabSelected="1" zoomScale="50" zoomScaleNormal="50" workbookViewId="0"/>
  </sheetViews>
  <sheetFormatPr defaultColWidth="9.28515625" defaultRowHeight="20.25"/>
  <cols>
    <col min="1" max="1" width="8.5703125" style="334" customWidth="1"/>
    <col min="2" max="2" width="3.42578125" style="320" customWidth="1"/>
    <col min="3" max="3" width="62" style="320" customWidth="1"/>
    <col min="4" max="4" width="39.85546875" style="320" customWidth="1"/>
    <col min="5" max="5" width="27.42578125" style="335" customWidth="1"/>
    <col min="6" max="6" width="36.85546875" style="297" customWidth="1"/>
    <col min="7" max="7" width="19.28515625" style="297" customWidth="1"/>
    <col min="8" max="8" width="33.7109375" style="297" customWidth="1"/>
    <col min="9" max="9" width="47" style="12" bestFit="1" customWidth="1"/>
    <col min="10" max="10" width="42.28515625" style="12" bestFit="1" customWidth="1"/>
    <col min="11" max="11" width="21.7109375" style="12" customWidth="1"/>
    <col min="12" max="16384" width="9.28515625" style="12"/>
  </cols>
  <sheetData>
    <row r="1" spans="1:11">
      <c r="G1" s="288"/>
      <c r="H1" s="288"/>
    </row>
    <row r="2" spans="1:11" ht="25.5" customHeight="1" thickBot="1">
      <c r="B2" s="336"/>
      <c r="C2" s="337"/>
      <c r="D2" s="1109"/>
      <c r="E2" s="1109"/>
      <c r="F2" s="1109"/>
      <c r="G2" s="288"/>
      <c r="H2" s="288"/>
    </row>
    <row r="3" spans="1:11" ht="30" customHeight="1" thickBot="1">
      <c r="A3" s="338" t="s">
        <v>0</v>
      </c>
      <c r="B3" s="339"/>
      <c r="C3" s="339"/>
      <c r="D3" s="1110"/>
      <c r="E3" s="1110"/>
      <c r="F3" s="1111"/>
      <c r="G3" s="289"/>
      <c r="H3" s="288"/>
    </row>
    <row r="4" spans="1:11" ht="24.6" customHeight="1">
      <c r="A4" s="340" t="s">
        <v>1</v>
      </c>
      <c r="B4" s="341"/>
      <c r="C4" s="341"/>
      <c r="D4" s="342"/>
      <c r="E4" s="342"/>
      <c r="F4" s="343"/>
      <c r="G4" s="289"/>
      <c r="H4" s="837" t="s">
        <v>2</v>
      </c>
    </row>
    <row r="5" spans="1:11" s="17" customFormat="1" ht="61.5" thickBot="1">
      <c r="A5" s="344" t="s">
        <v>3</v>
      </c>
      <c r="B5" s="345"/>
      <c r="C5" s="345"/>
      <c r="D5" s="345"/>
      <c r="E5" s="346" t="s">
        <v>4</v>
      </c>
      <c r="F5" s="347" t="s">
        <v>5</v>
      </c>
      <c r="G5" s="348"/>
      <c r="H5" s="836" t="s">
        <v>6</v>
      </c>
    </row>
    <row r="6" spans="1:11" s="16" customFormat="1" ht="23.25" customHeight="1">
      <c r="A6" s="349" t="s">
        <v>7</v>
      </c>
      <c r="B6" s="350"/>
      <c r="C6" s="350"/>
      <c r="D6" s="350"/>
      <c r="E6" s="331"/>
      <c r="F6" s="290"/>
      <c r="G6" s="348"/>
      <c r="H6" s="290"/>
    </row>
    <row r="7" spans="1:11" s="13" customFormat="1">
      <c r="A7" s="351" t="s">
        <v>8</v>
      </c>
      <c r="B7" s="352"/>
      <c r="C7" s="353"/>
      <c r="D7" s="353"/>
      <c r="E7" s="354"/>
      <c r="F7" s="355"/>
      <c r="G7" s="355"/>
      <c r="H7" s="291"/>
    </row>
    <row r="8" spans="1:11" s="13" customFormat="1">
      <c r="A8" s="356"/>
      <c r="B8" s="357"/>
      <c r="C8" s="357"/>
      <c r="D8" s="357"/>
      <c r="E8" s="331"/>
      <c r="F8" s="289"/>
      <c r="G8" s="289"/>
      <c r="H8" s="844"/>
    </row>
    <row r="9" spans="1:11">
      <c r="A9" s="358"/>
      <c r="B9" s="359" t="s">
        <v>9</v>
      </c>
      <c r="E9" s="304"/>
      <c r="F9" s="294"/>
      <c r="G9" s="293"/>
      <c r="H9" s="293"/>
    </row>
    <row r="10" spans="1:11">
      <c r="A10" s="360">
        <v>1</v>
      </c>
      <c r="B10" s="360"/>
      <c r="C10" s="289" t="s">
        <v>10</v>
      </c>
      <c r="D10" s="361"/>
      <c r="E10" s="362"/>
      <c r="F10" s="294" t="str">
        <f>"(Attachment 4, Line "&amp;'4 - Cost Support'!$A$33&amp;")"</f>
        <v>(Attachment 4, Line 16)</v>
      </c>
      <c r="G10" s="320"/>
      <c r="H10" s="294">
        <f>+'4 - Cost Support'!T33</f>
        <v>4162123</v>
      </c>
      <c r="I10" s="28"/>
      <c r="J10" s="582"/>
      <c r="K10" s="582"/>
    </row>
    <row r="11" spans="1:11">
      <c r="A11" s="335"/>
      <c r="F11" s="288"/>
      <c r="H11" s="288"/>
      <c r="J11" s="582"/>
      <c r="K11" s="582"/>
    </row>
    <row r="12" spans="1:11">
      <c r="A12" s="360">
        <f>+A10+1</f>
        <v>2</v>
      </c>
      <c r="B12" s="360"/>
      <c r="C12" s="289" t="s">
        <v>11</v>
      </c>
      <c r="D12" s="289"/>
      <c r="E12" s="362"/>
      <c r="F12" s="294" t="str">
        <f>"(Attachment 4, Line "&amp;'4 - Cost Support'!$A$31&amp;")"</f>
        <v>(Attachment 4, Line 14)</v>
      </c>
      <c r="G12" s="320"/>
      <c r="H12" s="294">
        <f>+'4 - Cost Support'!T31</f>
        <v>38817274</v>
      </c>
      <c r="J12" s="582"/>
      <c r="K12" s="582"/>
    </row>
    <row r="13" spans="1:11">
      <c r="A13" s="360">
        <f>+A12+1</f>
        <v>3</v>
      </c>
      <c r="B13" s="360"/>
      <c r="C13" s="289" t="s">
        <v>12</v>
      </c>
      <c r="D13" s="289"/>
      <c r="E13" s="362"/>
      <c r="F13" s="298" t="str">
        <f>"(Attachment 4, Line "&amp;'4 - Cost Support'!$A$32&amp;")"</f>
        <v>(Attachment 4, Line 15)</v>
      </c>
      <c r="G13" s="320"/>
      <c r="H13" s="294">
        <f>+'4 - Cost Support'!T32</f>
        <v>4550050</v>
      </c>
      <c r="J13" s="582"/>
      <c r="K13" s="582"/>
    </row>
    <row r="14" spans="1:11">
      <c r="A14" s="360">
        <f>+A13+1</f>
        <v>4</v>
      </c>
      <c r="B14" s="360"/>
      <c r="C14" s="363" t="s">
        <v>13</v>
      </c>
      <c r="D14" s="295"/>
      <c r="E14" s="364"/>
      <c r="F14" s="303" t="str">
        <f>"(Line "&amp;A12&amp;" - Line "&amp;A13&amp;")"</f>
        <v>(Line 2 - Line 3)</v>
      </c>
      <c r="G14" s="365"/>
      <c r="H14" s="295">
        <f>H12-H13</f>
        <v>34267224</v>
      </c>
      <c r="J14" s="582"/>
      <c r="K14" s="582"/>
    </row>
    <row r="15" spans="1:11">
      <c r="A15" s="360"/>
      <c r="B15" s="360"/>
      <c r="C15" s="366"/>
      <c r="E15" s="304"/>
      <c r="F15" s="336"/>
      <c r="G15" s="320"/>
      <c r="H15" s="293"/>
      <c r="J15" s="582"/>
      <c r="K15" s="582"/>
    </row>
    <row r="16" spans="1:11" ht="21" thickBot="1">
      <c r="A16" s="360">
        <v>5</v>
      </c>
      <c r="B16" s="367" t="s">
        <v>14</v>
      </c>
      <c r="C16" s="367"/>
      <c r="D16" s="368"/>
      <c r="E16" s="369"/>
      <c r="F16" s="370" t="str">
        <f>"(Line "&amp;A10&amp;" / Line "&amp;A14&amp;")"</f>
        <v>(Line 1 / Line 4)</v>
      </c>
      <c r="G16" s="371"/>
      <c r="H16" s="767">
        <f>H10/H14</f>
        <v>0.12146075795343095</v>
      </c>
      <c r="J16" s="582"/>
      <c r="K16" s="582"/>
    </row>
    <row r="17" spans="1:11" ht="21" thickTop="1">
      <c r="A17" s="360"/>
      <c r="B17" s="360"/>
      <c r="C17" s="359"/>
      <c r="D17" s="336"/>
      <c r="E17" s="372"/>
      <c r="F17" s="336"/>
      <c r="G17" s="320"/>
      <c r="H17" s="296"/>
      <c r="J17" s="582"/>
      <c r="K17" s="582"/>
    </row>
    <row r="18" spans="1:11">
      <c r="A18" s="335"/>
      <c r="B18" s="359" t="s">
        <v>15</v>
      </c>
      <c r="D18" s="297"/>
      <c r="F18" s="288"/>
      <c r="J18" s="582"/>
      <c r="K18" s="582"/>
    </row>
    <row r="19" spans="1:11">
      <c r="A19" s="373">
        <f>+A16+1</f>
        <v>6</v>
      </c>
      <c r="B19" s="297"/>
      <c r="C19" s="289" t="s">
        <v>16</v>
      </c>
      <c r="E19" s="362" t="str">
        <f>"(Note "&amp;B$317&amp;")"</f>
        <v>(Note A)</v>
      </c>
      <c r="F19" s="294" t="str">
        <f>"(Attachment 4, Line "&amp;'4 - Cost Support'!A9&amp;")"</f>
        <v>(Attachment 4, Line 1)</v>
      </c>
      <c r="H19" s="294">
        <f>+'4 - Cost Support'!T9</f>
        <v>2662378584.7915883</v>
      </c>
      <c r="J19" s="582"/>
      <c r="K19" s="582"/>
    </row>
    <row r="20" spans="1:11">
      <c r="A20" s="373">
        <f>+A19+1</f>
        <v>7</v>
      </c>
      <c r="B20" s="297"/>
      <c r="C20" s="374" t="s">
        <v>17</v>
      </c>
      <c r="D20" s="375"/>
      <c r="E20" s="376" t="str">
        <f>"(Note "&amp;B$317&amp;")"</f>
        <v>(Note A)</v>
      </c>
      <c r="F20" s="298" t="str">
        <f>"(Attachment 4, Line "&amp;'4 - Cost Support'!A11&amp;")"</f>
        <v>(Attachment 4, Line 3)</v>
      </c>
      <c r="G20" s="377"/>
      <c r="H20" s="298">
        <f>+'4 - Cost Support'!T11</f>
        <v>-1272952301.8388238</v>
      </c>
      <c r="J20" s="582"/>
      <c r="K20" s="582"/>
    </row>
    <row r="21" spans="1:11">
      <c r="A21" s="360">
        <f>+A20+1</f>
        <v>8</v>
      </c>
      <c r="B21" s="297"/>
      <c r="C21" s="289" t="s">
        <v>18</v>
      </c>
      <c r="D21" s="380"/>
      <c r="E21" s="382"/>
      <c r="F21" s="299" t="str">
        <f>"(Line "&amp;A19&amp;" - Line "&amp;A20&amp;")"</f>
        <v>(Line 6 - Line 7)</v>
      </c>
      <c r="G21" s="380"/>
      <c r="H21" s="301">
        <f>+H19+H20</f>
        <v>1389426282.9527645</v>
      </c>
      <c r="J21" s="582"/>
      <c r="K21" s="582"/>
    </row>
    <row r="22" spans="1:11">
      <c r="A22" s="335"/>
      <c r="B22" s="297"/>
      <c r="C22" s="288"/>
      <c r="D22" s="297"/>
      <c r="F22" s="288"/>
      <c r="J22" s="582"/>
      <c r="K22" s="582"/>
    </row>
    <row r="23" spans="1:11">
      <c r="A23" s="373">
        <f>+A21+1</f>
        <v>9</v>
      </c>
      <c r="B23" s="297"/>
      <c r="C23" s="288" t="s">
        <v>19</v>
      </c>
      <c r="D23" s="297"/>
      <c r="F23" s="298" t="str">
        <f>"(Line "&amp;A47&amp;")"</f>
        <v>(Line 25)</v>
      </c>
      <c r="H23" s="864">
        <f>H47</f>
        <v>532602926.95287138</v>
      </c>
      <c r="J23" s="582"/>
      <c r="K23" s="582"/>
    </row>
    <row r="24" spans="1:11" ht="21" thickBot="1">
      <c r="A24" s="360">
        <f>+A23+1</f>
        <v>10</v>
      </c>
      <c r="B24" s="383" t="s">
        <v>20</v>
      </c>
      <c r="C24" s="384"/>
      <c r="D24" s="385"/>
      <c r="E24" s="386"/>
      <c r="F24" s="370" t="str">
        <f>"(Line "&amp;A23&amp;" / Line "&amp;A19&amp;")"</f>
        <v>(Line 9 / Line 6)</v>
      </c>
      <c r="G24" s="385"/>
      <c r="H24" s="767">
        <f>H23/H19</f>
        <v>0.20004778058059827</v>
      </c>
      <c r="J24" s="582"/>
      <c r="K24" s="582"/>
    </row>
    <row r="25" spans="1:11" ht="21" thickTop="1">
      <c r="A25" s="335"/>
      <c r="C25" s="336"/>
      <c r="F25" s="288"/>
      <c r="J25" s="582"/>
      <c r="K25" s="582"/>
    </row>
    <row r="26" spans="1:11">
      <c r="A26" s="373">
        <f>+A24+1</f>
        <v>11</v>
      </c>
      <c r="B26" s="360"/>
      <c r="C26" s="387" t="s">
        <v>21</v>
      </c>
      <c r="D26" s="336"/>
      <c r="E26" s="372"/>
      <c r="F26" s="298" t="str">
        <f>"(Line "&amp;A62&amp;")"</f>
        <v>(Line 34)</v>
      </c>
      <c r="G26" s="320"/>
      <c r="H26" s="768">
        <f>H62</f>
        <v>282942281.42532015</v>
      </c>
      <c r="J26" s="582"/>
      <c r="K26" s="582"/>
    </row>
    <row r="27" spans="1:11" ht="21" thickBot="1">
      <c r="A27" s="360">
        <f>+A26+1</f>
        <v>12</v>
      </c>
      <c r="B27" s="383" t="s">
        <v>22</v>
      </c>
      <c r="C27" s="384"/>
      <c r="D27" s="385"/>
      <c r="E27" s="386"/>
      <c r="F27" s="370" t="str">
        <f>"(Line "&amp;A26&amp;" / Line "&amp;A21&amp;")"</f>
        <v>(Line 11 / Line 8)</v>
      </c>
      <c r="G27" s="385"/>
      <c r="H27" s="767">
        <f>H26/H21</f>
        <v>0.20363964961424239</v>
      </c>
      <c r="J27" s="582"/>
      <c r="K27" s="582"/>
    </row>
    <row r="28" spans="1:11" ht="21" thickTop="1">
      <c r="A28" s="360"/>
      <c r="B28" s="434"/>
      <c r="C28" s="348"/>
      <c r="D28" s="380"/>
      <c r="E28" s="382"/>
      <c r="F28" s="299"/>
      <c r="G28" s="380"/>
      <c r="H28" s="635"/>
      <c r="J28" s="582"/>
      <c r="K28" s="582"/>
    </row>
    <row r="29" spans="1:11">
      <c r="A29" s="360">
        <f>+A27+1</f>
        <v>13</v>
      </c>
      <c r="B29" s="434" t="s">
        <v>23</v>
      </c>
      <c r="C29" s="348"/>
      <c r="D29" s="380"/>
      <c r="E29" s="382"/>
      <c r="F29" s="299"/>
      <c r="G29" s="380"/>
      <c r="H29" s="635"/>
      <c r="J29" s="582"/>
      <c r="K29" s="582"/>
    </row>
    <row r="30" spans="1:11">
      <c r="A30" s="360">
        <f>+A29+1</f>
        <v>14</v>
      </c>
      <c r="B30" s="434"/>
      <c r="C30" s="289" t="s">
        <v>24</v>
      </c>
      <c r="D30" s="380"/>
      <c r="E30" s="362"/>
      <c r="F30" s="294" t="str">
        <f>"(Attachment 4, Line "&amp;'4 - Cost Support'!A228&amp;")"</f>
        <v>(Attachment 4, Line 81)</v>
      </c>
      <c r="G30" s="380"/>
      <c r="H30" s="865">
        <f>+'4 - Cost Support'!T228</f>
        <v>-62600000</v>
      </c>
      <c r="J30" s="582"/>
      <c r="K30" s="582"/>
    </row>
    <row r="31" spans="1:11">
      <c r="A31" s="360">
        <f>+A30+1</f>
        <v>15</v>
      </c>
      <c r="B31" s="434"/>
      <c r="C31" s="374" t="s">
        <v>25</v>
      </c>
      <c r="D31" s="634"/>
      <c r="E31" s="376"/>
      <c r="F31" s="298" t="str">
        <f>"(Attachment 4, Line "&amp;'4 - Cost Support'!A229&amp;")"</f>
        <v>(Attachment 4, Line 82)</v>
      </c>
      <c r="G31" s="634"/>
      <c r="H31" s="866">
        <f>+'4 - Cost Support'!T229</f>
        <v>-279509529.05955601</v>
      </c>
      <c r="J31" s="582"/>
      <c r="K31" s="582"/>
    </row>
    <row r="32" spans="1:11">
      <c r="A32" s="360">
        <f>+A31+1</f>
        <v>16</v>
      </c>
      <c r="B32" s="434"/>
      <c r="C32" s="289" t="s">
        <v>26</v>
      </c>
      <c r="D32" s="380"/>
      <c r="E32" s="382"/>
      <c r="F32" s="299" t="str">
        <f>"(Line "&amp;A30&amp;" + Line "&amp;A31&amp;")"</f>
        <v>(Line 14 + Line 15)</v>
      </c>
      <c r="G32" s="380"/>
      <c r="H32" s="865">
        <f>+H30+H31</f>
        <v>-342109529.05955601</v>
      </c>
      <c r="J32" s="582"/>
      <c r="K32" s="582"/>
    </row>
    <row r="33" spans="1:11" ht="21" thickBot="1">
      <c r="A33" s="360">
        <f>+A32+1</f>
        <v>17</v>
      </c>
      <c r="B33" s="383" t="s">
        <v>23</v>
      </c>
      <c r="C33" s="384"/>
      <c r="D33" s="385"/>
      <c r="E33" s="386"/>
      <c r="F33" s="370" t="str">
        <f>"(Line "&amp;A30&amp;" / Line "&amp;A32&amp;")"</f>
        <v>(Line 14 / Line 16)</v>
      </c>
      <c r="G33" s="385"/>
      <c r="H33" s="767">
        <f>+H30/H32</f>
        <v>0.18298233367566416</v>
      </c>
      <c r="J33" s="582"/>
      <c r="K33" s="582"/>
    </row>
    <row r="34" spans="1:11" ht="21" thickTop="1">
      <c r="A34" s="360"/>
      <c r="B34" s="434"/>
      <c r="C34" s="289"/>
      <c r="D34" s="380"/>
      <c r="E34" s="382"/>
      <c r="F34" s="299"/>
      <c r="G34" s="380"/>
      <c r="H34" s="635"/>
      <c r="J34" s="582"/>
      <c r="K34" s="582"/>
    </row>
    <row r="35" spans="1:11" s="13" customFormat="1">
      <c r="A35" s="351" t="s">
        <v>27</v>
      </c>
      <c r="B35" s="352"/>
      <c r="C35" s="353"/>
      <c r="D35" s="353"/>
      <c r="E35" s="354"/>
      <c r="F35" s="355"/>
      <c r="G35" s="355"/>
      <c r="H35" s="291"/>
      <c r="J35" s="582"/>
      <c r="K35" s="582"/>
    </row>
    <row r="36" spans="1:11" s="13" customFormat="1">
      <c r="A36" s="389"/>
      <c r="B36" s="390"/>
      <c r="C36" s="357"/>
      <c r="D36" s="357"/>
      <c r="E36" s="331"/>
      <c r="F36" s="289"/>
      <c r="G36" s="289"/>
      <c r="H36" s="292"/>
      <c r="J36" s="582"/>
      <c r="K36" s="582"/>
    </row>
    <row r="37" spans="1:11">
      <c r="A37" s="335"/>
      <c r="B37" s="359" t="s">
        <v>28</v>
      </c>
      <c r="C37" s="336"/>
      <c r="E37" s="372"/>
      <c r="F37" s="294"/>
      <c r="G37" s="358"/>
      <c r="H37" s="293"/>
      <c r="J37" s="582"/>
      <c r="K37" s="582"/>
    </row>
    <row r="38" spans="1:11">
      <c r="A38" s="373">
        <f>+A33+1</f>
        <v>18</v>
      </c>
      <c r="B38" s="373"/>
      <c r="C38" s="387" t="s">
        <v>29</v>
      </c>
      <c r="D38" s="336"/>
      <c r="E38" s="362" t="str">
        <f>"(Note "&amp;B$317&amp;")"</f>
        <v>(Note A)</v>
      </c>
      <c r="F38" s="294" t="str">
        <f>"(Attachment 4, Line "&amp;'4 - Cost Support'!A17&amp;")"</f>
        <v>(Attachment 4, Line 7)</v>
      </c>
      <c r="G38" s="320"/>
      <c r="H38" s="294">
        <f>+'4 - Cost Support'!T17</f>
        <v>520793006.47445577</v>
      </c>
      <c r="J38" s="582"/>
      <c r="K38" s="582"/>
    </row>
    <row r="39" spans="1:11" s="13" customFormat="1">
      <c r="A39" s="373"/>
      <c r="B39" s="373"/>
      <c r="C39" s="387"/>
      <c r="D39" s="336"/>
      <c r="E39" s="391"/>
      <c r="F39" s="294"/>
      <c r="G39" s="336"/>
      <c r="H39" s="294"/>
      <c r="J39" s="582"/>
      <c r="K39" s="582"/>
    </row>
    <row r="40" spans="1:11">
      <c r="A40" s="373">
        <f>+A38+1</f>
        <v>19</v>
      </c>
      <c r="B40" s="373"/>
      <c r="C40" s="387" t="s">
        <v>30</v>
      </c>
      <c r="D40" s="336"/>
      <c r="E40" s="362" t="str">
        <f>"(Note "&amp;B$317&amp;")"</f>
        <v>(Note A)</v>
      </c>
      <c r="F40" s="294" t="str">
        <f>"(Attachment 4, Line "&amp;'4 - Cost Support'!A18&amp;")"</f>
        <v>(Attachment 4, Line 8)</v>
      </c>
      <c r="G40" s="336"/>
      <c r="H40" s="294">
        <f>+'4 - Cost Support'!T18</f>
        <v>46773881.153846145</v>
      </c>
      <c r="J40" s="582"/>
      <c r="K40" s="582"/>
    </row>
    <row r="41" spans="1:11">
      <c r="A41" s="373">
        <f>A40+1</f>
        <v>20</v>
      </c>
      <c r="B41" s="373"/>
      <c r="C41" s="387" t="s">
        <v>31</v>
      </c>
      <c r="D41" s="336"/>
      <c r="E41" s="362" t="str">
        <f>"(Note "&amp;B$317&amp;")"</f>
        <v>(Note A)</v>
      </c>
      <c r="F41" s="294" t="str">
        <f>"(Attachment 4, Line "&amp;'4 - Cost Support'!A19&amp;")"</f>
        <v>(Attachment 4, Line 9)</v>
      </c>
      <c r="G41" s="336"/>
      <c r="H41" s="294">
        <f>+'4 - Cost Support'!T19</f>
        <v>50458514.538461529</v>
      </c>
      <c r="J41" s="582"/>
      <c r="K41" s="582"/>
    </row>
    <row r="42" spans="1:11">
      <c r="A42" s="373">
        <f>A41+1</f>
        <v>21</v>
      </c>
      <c r="B42" s="373"/>
      <c r="C42" s="387" t="s">
        <v>32</v>
      </c>
      <c r="D42" s="336"/>
      <c r="E42" s="362" t="str">
        <f>"(Note "&amp;B$317&amp;")"</f>
        <v>(Note A)</v>
      </c>
      <c r="F42" s="298" t="str">
        <f>"(Attachment 4, Line "&amp;'4 - Cost Support'!A20&amp;")"</f>
        <v>(Attachment 4, Line 10)</v>
      </c>
      <c r="G42" s="336"/>
      <c r="H42" s="294">
        <f>+'4 - Cost Support'!T20</f>
        <v>0</v>
      </c>
      <c r="J42" s="582"/>
      <c r="K42" s="582"/>
    </row>
    <row r="43" spans="1:11">
      <c r="A43" s="373">
        <f>A42+1</f>
        <v>22</v>
      </c>
      <c r="B43" s="373"/>
      <c r="C43" s="363" t="s">
        <v>33</v>
      </c>
      <c r="D43" s="393"/>
      <c r="E43" s="394"/>
      <c r="F43" s="299" t="str">
        <f>"(Line "&amp;A40&amp;" + Line "&amp;A41&amp;" + Line "&amp;A42&amp;")"</f>
        <v>(Line 19 + Line 20 + Line 21)</v>
      </c>
      <c r="G43" s="393"/>
      <c r="H43" s="303">
        <f>SUM(H40:H42)</f>
        <v>97232395.692307681</v>
      </c>
      <c r="J43" s="582"/>
      <c r="K43" s="582"/>
    </row>
    <row r="44" spans="1:11">
      <c r="A44" s="373">
        <f>+A43+1</f>
        <v>23</v>
      </c>
      <c r="B44" s="373"/>
      <c r="C44" s="398" t="s">
        <v>34</v>
      </c>
      <c r="D44" s="387"/>
      <c r="E44" s="372"/>
      <c r="F44" s="298" t="str">
        <f>"(Line "&amp;A$16&amp;")"</f>
        <v>(Line 5)</v>
      </c>
      <c r="G44" s="399"/>
      <c r="H44" s="744">
        <f>H16</f>
        <v>0.12146075795343095</v>
      </c>
      <c r="J44" s="582"/>
      <c r="K44" s="582"/>
    </row>
    <row r="45" spans="1:11">
      <c r="A45" s="373">
        <f>A44+1</f>
        <v>24</v>
      </c>
      <c r="B45" s="288"/>
      <c r="C45" s="363" t="s">
        <v>35</v>
      </c>
      <c r="D45" s="378"/>
      <c r="E45" s="400"/>
      <c r="F45" s="299" t="str">
        <f>"(Line "&amp;A43&amp;" * Line "&amp;A44&amp;")"</f>
        <v>(Line 22 * Line 23)</v>
      </c>
      <c r="G45" s="378"/>
      <c r="H45" s="769">
        <f>+H43*H44</f>
        <v>11809920.478415605</v>
      </c>
      <c r="J45" s="582"/>
      <c r="K45" s="582"/>
    </row>
    <row r="46" spans="1:11">
      <c r="A46" s="391"/>
      <c r="B46" s="297"/>
      <c r="C46" s="359"/>
      <c r="D46" s="288"/>
      <c r="E46" s="391"/>
      <c r="F46" s="288"/>
      <c r="H46" s="327"/>
      <c r="J46" s="582"/>
      <c r="K46" s="582"/>
    </row>
    <row r="47" spans="1:11" s="17" customFormat="1" ht="21" thickBot="1">
      <c r="A47" s="373">
        <f>+A45+1</f>
        <v>25</v>
      </c>
      <c r="B47" s="383" t="s">
        <v>36</v>
      </c>
      <c r="C47" s="384"/>
      <c r="D47" s="384"/>
      <c r="E47" s="402"/>
      <c r="F47" s="370" t="str">
        <f>"(Line "&amp;A38&amp;" + Line "&amp;A45&amp;")"</f>
        <v>(Line 18 + Line 24)</v>
      </c>
      <c r="G47" s="383"/>
      <c r="H47" s="770">
        <f>+H38+H45</f>
        <v>532602926.95287138</v>
      </c>
      <c r="J47" s="582"/>
      <c r="K47" s="582"/>
    </row>
    <row r="48" spans="1:11" ht="21" thickTop="1">
      <c r="A48" s="391"/>
      <c r="B48" s="297"/>
      <c r="C48" s="288"/>
      <c r="D48" s="288"/>
      <c r="E48" s="391"/>
      <c r="J48" s="582"/>
      <c r="K48" s="582"/>
    </row>
    <row r="49" spans="1:11">
      <c r="A49" s="373"/>
      <c r="B49" s="359" t="s">
        <v>37</v>
      </c>
      <c r="C49" s="359"/>
      <c r="D49" s="294"/>
      <c r="E49" s="362"/>
      <c r="F49" s="293"/>
      <c r="G49" s="403"/>
      <c r="H49" s="294"/>
      <c r="J49" s="582"/>
      <c r="K49" s="582"/>
    </row>
    <row r="50" spans="1:11">
      <c r="A50" s="391"/>
      <c r="B50" s="336"/>
      <c r="C50" s="336"/>
      <c r="D50" s="336"/>
      <c r="E50" s="391"/>
      <c r="F50" s="294"/>
      <c r="G50" s="293"/>
      <c r="H50" s="293"/>
      <c r="J50" s="582"/>
      <c r="K50" s="582"/>
    </row>
    <row r="51" spans="1:11">
      <c r="A51" s="373">
        <f>+A47+1</f>
        <v>26</v>
      </c>
      <c r="B51" s="373"/>
      <c r="C51" s="387" t="s">
        <v>38</v>
      </c>
      <c r="D51" s="336"/>
      <c r="E51" s="362" t="str">
        <f>"(Note "&amp;B$317&amp;")"</f>
        <v>(Note A)</v>
      </c>
      <c r="F51" s="294" t="str">
        <f>"(Attachment 4, Line "&amp;'4 - Cost Support'!A23&amp;")"</f>
        <v>(Attachment 4, Line 11)</v>
      </c>
      <c r="G51" s="336"/>
      <c r="H51" s="294">
        <f>+'4 - Cost Support'!T23</f>
        <v>-243172095.67058638</v>
      </c>
      <c r="J51" s="582"/>
      <c r="K51" s="582"/>
    </row>
    <row r="52" spans="1:11">
      <c r="A52" s="373"/>
      <c r="B52" s="373"/>
      <c r="C52" s="395"/>
      <c r="D52" s="357"/>
      <c r="E52" s="362"/>
      <c r="F52" s="299"/>
      <c r="G52" s="357"/>
      <c r="H52" s="299"/>
      <c r="J52" s="582"/>
      <c r="K52" s="582"/>
    </row>
    <row r="53" spans="1:11">
      <c r="A53" s="373">
        <f>A51+1</f>
        <v>27</v>
      </c>
      <c r="B53" s="373"/>
      <c r="C53" s="395" t="s">
        <v>39</v>
      </c>
      <c r="D53" s="357"/>
      <c r="E53" s="362" t="str">
        <f>"(Note "&amp;B$317&amp;")"</f>
        <v>(Note A)</v>
      </c>
      <c r="F53" s="294" t="str">
        <f>"(Attachment 4, Line "&amp;'4 - Cost Support'!A24&amp;")"</f>
        <v>(Attachment 4, Line 12)</v>
      </c>
      <c r="G53" s="357"/>
      <c r="H53" s="299">
        <f>+'4 - Cost Support'!T24</f>
        <v>-20729583.609985333</v>
      </c>
      <c r="J53" s="582"/>
      <c r="K53" s="582"/>
    </row>
    <row r="54" spans="1:11">
      <c r="A54" s="373">
        <f>+A53+1</f>
        <v>28</v>
      </c>
      <c r="B54" s="373"/>
      <c r="C54" s="395" t="s">
        <v>40</v>
      </c>
      <c r="D54" s="357"/>
      <c r="E54" s="362" t="str">
        <f>"(Note "&amp;B$317&amp;")"</f>
        <v>(Note A)</v>
      </c>
      <c r="F54" s="294" t="str">
        <f>"(Attachment 4, Line "&amp;'4 - Cost Support'!A12&amp;")"</f>
        <v>(Attachment 4, Line 4)</v>
      </c>
      <c r="G54" s="357"/>
      <c r="H54" s="299">
        <f>+'4 - Cost Support'!T12</f>
        <v>-32691372.80667571</v>
      </c>
      <c r="J54" s="582"/>
      <c r="K54" s="582"/>
    </row>
    <row r="55" spans="1:11">
      <c r="A55" s="373">
        <f>+A54+1</f>
        <v>29</v>
      </c>
      <c r="B55" s="373"/>
      <c r="C55" s="374" t="s">
        <v>41</v>
      </c>
      <c r="D55" s="397"/>
      <c r="E55" s="376" t="str">
        <f>"(Note "&amp;B$317&amp;")"</f>
        <v>(Note A)</v>
      </c>
      <c r="F55" s="298" t="str">
        <f>"(Attachment 4, Line "&amp;'4 - Cost Support'!A25&amp;")"</f>
        <v>(Attachment 4, Line 13)</v>
      </c>
      <c r="G55" s="397"/>
      <c r="H55" s="298">
        <f>+'4 - Cost Support'!T25</f>
        <v>0</v>
      </c>
      <c r="J55" s="582"/>
      <c r="K55" s="582"/>
    </row>
    <row r="56" spans="1:11">
      <c r="A56" s="373">
        <f>+A55+1</f>
        <v>30</v>
      </c>
      <c r="B56" s="373"/>
      <c r="C56" s="395" t="s">
        <v>42</v>
      </c>
      <c r="D56" s="357"/>
      <c r="E56" s="401"/>
      <c r="F56" s="299" t="str">
        <f>"(Line "&amp;A53&amp;" + "&amp;A54&amp;" + "&amp;A55&amp;")"</f>
        <v>(Line 27 + 28 + 29)</v>
      </c>
      <c r="G56" s="299"/>
      <c r="H56" s="299">
        <f>+H53+H55+H54</f>
        <v>-53420956.416661039</v>
      </c>
      <c r="J56" s="582"/>
      <c r="K56" s="582"/>
    </row>
    <row r="57" spans="1:11">
      <c r="A57" s="373">
        <f>+A56+1</f>
        <v>31</v>
      </c>
      <c r="B57" s="373"/>
      <c r="C57" s="395" t="str">
        <f>+C44</f>
        <v>Wage &amp; Salary Allocator</v>
      </c>
      <c r="D57" s="357"/>
      <c r="E57" s="401"/>
      <c r="F57" s="298" t="str">
        <f>"(Line "&amp;A$16&amp;")"</f>
        <v>(Line 5)</v>
      </c>
      <c r="G57" s="299"/>
      <c r="H57" s="771">
        <f>H16</f>
        <v>0.12146075795343095</v>
      </c>
      <c r="J57" s="582"/>
      <c r="K57" s="582"/>
    </row>
    <row r="58" spans="1:11">
      <c r="A58" s="373">
        <f>+A57+1</f>
        <v>32</v>
      </c>
      <c r="B58" s="288"/>
      <c r="C58" s="363" t="s">
        <v>43</v>
      </c>
      <c r="D58" s="378"/>
      <c r="E58" s="394"/>
      <c r="F58" s="299" t="str">
        <f>"(Line "&amp;A56&amp;" * Line "&amp;A57&amp;")"</f>
        <v>(Line 30 * Line 31)</v>
      </c>
      <c r="G58" s="378"/>
      <c r="H58" s="769">
        <f>H56*H57</f>
        <v>-6488549.8569648499</v>
      </c>
      <c r="J58" s="582"/>
      <c r="K58" s="582"/>
    </row>
    <row r="59" spans="1:11">
      <c r="A59" s="391"/>
      <c r="B59" s="297"/>
      <c r="C59" s="297"/>
      <c r="D59" s="297"/>
      <c r="F59" s="335"/>
      <c r="G59" s="335"/>
      <c r="H59" s="768"/>
      <c r="J59" s="582"/>
      <c r="K59" s="582"/>
    </row>
    <row r="60" spans="1:11" ht="21" thickBot="1">
      <c r="A60" s="373">
        <f>+A58+1</f>
        <v>33</v>
      </c>
      <c r="B60" s="383" t="s">
        <v>44</v>
      </c>
      <c r="C60" s="383"/>
      <c r="D60" s="383"/>
      <c r="E60" s="404"/>
      <c r="F60" s="405" t="str">
        <f>"(Lines "&amp;A51&amp;" + "&amp;A58&amp;")"</f>
        <v>(Lines 26 + 32)</v>
      </c>
      <c r="G60" s="406"/>
      <c r="H60" s="770">
        <f>+H51+H58</f>
        <v>-249660645.52755123</v>
      </c>
      <c r="J60" s="582"/>
      <c r="K60" s="582"/>
    </row>
    <row r="61" spans="1:11" ht="21" thickTop="1">
      <c r="A61" s="391"/>
      <c r="B61" s="297"/>
      <c r="C61" s="297"/>
      <c r="D61" s="297"/>
      <c r="F61" s="288"/>
      <c r="G61" s="320"/>
      <c r="H61" s="452"/>
      <c r="J61" s="582"/>
      <c r="K61" s="582"/>
    </row>
    <row r="62" spans="1:11" ht="21" thickBot="1">
      <c r="A62" s="373">
        <f>+A60+1</f>
        <v>34</v>
      </c>
      <c r="B62" s="383" t="s">
        <v>45</v>
      </c>
      <c r="C62" s="383"/>
      <c r="D62" s="383"/>
      <c r="E62" s="404"/>
      <c r="F62" s="370" t="str">
        <f>"(Line "&amp;A47&amp;" - Line "&amp;A60&amp;")"</f>
        <v>(Line 25 - Line 33)</v>
      </c>
      <c r="G62" s="383"/>
      <c r="H62" s="770">
        <f>H47+H60</f>
        <v>282942281.42532015</v>
      </c>
      <c r="J62" s="582"/>
      <c r="K62" s="582"/>
    </row>
    <row r="63" spans="1:11" ht="21" thickTop="1">
      <c r="A63" s="335"/>
      <c r="B63" s="297"/>
      <c r="C63" s="297"/>
      <c r="D63" s="297"/>
      <c r="F63" s="288"/>
      <c r="J63" s="582"/>
      <c r="K63" s="582"/>
    </row>
    <row r="64" spans="1:11">
      <c r="A64" s="351" t="s">
        <v>46</v>
      </c>
      <c r="B64" s="353"/>
      <c r="C64" s="353"/>
      <c r="D64" s="353"/>
      <c r="E64" s="354"/>
      <c r="F64" s="355"/>
      <c r="G64" s="355"/>
      <c r="H64" s="305"/>
      <c r="J64" s="582"/>
      <c r="K64" s="582"/>
    </row>
    <row r="65" spans="1:11">
      <c r="A65" s="407"/>
      <c r="B65" s="408"/>
      <c r="C65" s="408"/>
      <c r="D65" s="408"/>
      <c r="H65" s="844"/>
      <c r="J65" s="582"/>
      <c r="K65" s="582"/>
    </row>
    <row r="66" spans="1:11">
      <c r="A66" s="391"/>
      <c r="B66" s="409" t="s">
        <v>47</v>
      </c>
      <c r="D66" s="288"/>
      <c r="E66" s="410"/>
      <c r="H66" s="293"/>
      <c r="J66" s="582"/>
      <c r="K66" s="582"/>
    </row>
    <row r="67" spans="1:11">
      <c r="A67" s="391">
        <f>+A62+1</f>
        <v>35</v>
      </c>
      <c r="B67" s="409"/>
      <c r="C67" s="411" t="s">
        <v>48</v>
      </c>
      <c r="D67" s="412"/>
      <c r="E67" s="362" t="str">
        <f>"(Notes "&amp;B$335&amp;" and "&amp;B340&amp;")"</f>
        <v>(Notes L and P)</v>
      </c>
      <c r="F67" s="294" t="str">
        <f>"(Attachment 1A, Line "&amp;'1A - ADIT'!A23&amp;")"</f>
        <v>(Attachment 1A, Line 15)</v>
      </c>
      <c r="H67" s="306">
        <f>+'1A - ADIT'!H23</f>
        <v>-39003905.83614774</v>
      </c>
      <c r="J67" s="582"/>
      <c r="K67" s="582"/>
    </row>
    <row r="68" spans="1:11">
      <c r="A68" s="391"/>
      <c r="B68" s="288"/>
      <c r="C68" s="409"/>
      <c r="D68" s="289"/>
      <c r="E68" s="1078"/>
      <c r="F68" s="289"/>
      <c r="G68" s="380"/>
      <c r="H68" s="306"/>
      <c r="J68" s="582"/>
      <c r="K68" s="582"/>
    </row>
    <row r="69" spans="1:11">
      <c r="A69" s="391"/>
      <c r="B69" s="409" t="s">
        <v>47</v>
      </c>
      <c r="D69" s="289"/>
      <c r="E69" s="1078"/>
      <c r="F69" s="289"/>
      <c r="G69" s="380"/>
      <c r="H69" s="306"/>
      <c r="J69" s="582"/>
      <c r="K69" s="582"/>
    </row>
    <row r="70" spans="1:11">
      <c r="A70" s="391">
        <f>+A67+1</f>
        <v>36</v>
      </c>
      <c r="B70" s="409"/>
      <c r="C70" s="411" t="s">
        <v>49</v>
      </c>
      <c r="D70" s="289"/>
      <c r="E70" s="362" t="str">
        <f>"(Note "&amp;B335&amp;" and "&amp;B337&amp;")"</f>
        <v>(Note L and N)</v>
      </c>
      <c r="F70" s="294" t="str">
        <f>"(Attachment 4, Line "&amp;'4 - Cost Support'!A196&amp;")"</f>
        <v>(Attachment 4, Line 71)</v>
      </c>
      <c r="G70" s="380"/>
      <c r="H70" s="306">
        <f>+'4 - Cost Support'!T196</f>
        <v>-29781457.475993909</v>
      </c>
      <c r="J70" s="582"/>
      <c r="K70" s="582"/>
    </row>
    <row r="71" spans="1:11">
      <c r="A71" s="391"/>
      <c r="B71" s="409"/>
      <c r="C71" s="411"/>
      <c r="D71" s="289"/>
      <c r="E71" s="362"/>
      <c r="F71" s="289"/>
      <c r="G71" s="380"/>
      <c r="H71" s="306"/>
      <c r="J71" s="582"/>
      <c r="K71" s="582"/>
    </row>
    <row r="72" spans="1:11">
      <c r="A72" s="373"/>
      <c r="B72" s="413" t="s">
        <v>50</v>
      </c>
      <c r="C72" s="288"/>
      <c r="D72" s="288"/>
      <c r="E72" s="288"/>
      <c r="F72" s="336"/>
      <c r="G72" s="288"/>
      <c r="H72" s="288"/>
      <c r="J72" s="582"/>
      <c r="K72" s="582"/>
    </row>
    <row r="73" spans="1:11">
      <c r="A73" s="373">
        <f>+A70+1</f>
        <v>37</v>
      </c>
      <c r="B73" s="358"/>
      <c r="C73" s="395" t="s">
        <v>51</v>
      </c>
      <c r="D73" s="362"/>
      <c r="E73" s="362" t="str">
        <f>"(Note "&amp;B$317&amp;" &amp; "&amp;B$323&amp;")"</f>
        <v>(Note A &amp; F)</v>
      </c>
      <c r="F73" s="294" t="str">
        <f>"(Attachment 5, Line "&amp;'5 - CWIP in Rate Base'!A35&amp;")"</f>
        <v>(Attachment 5, Line 25)</v>
      </c>
      <c r="G73" s="289"/>
      <c r="H73" s="299">
        <f>+'5 - CWIP in Rate Base'!S35</f>
        <v>28521414.971009653</v>
      </c>
      <c r="J73" s="582"/>
      <c r="K73" s="582"/>
    </row>
    <row r="74" spans="1:11">
      <c r="A74" s="373"/>
      <c r="B74" s="358"/>
      <c r="C74" s="395"/>
      <c r="D74" s="362"/>
      <c r="E74" s="362"/>
      <c r="F74" s="356"/>
      <c r="G74" s="289"/>
      <c r="H74" s="299"/>
      <c r="J74" s="582"/>
      <c r="K74" s="582"/>
    </row>
    <row r="75" spans="1:11" s="59" customFormat="1">
      <c r="A75" s="373"/>
      <c r="B75" s="413" t="s">
        <v>52</v>
      </c>
      <c r="C75" s="288"/>
      <c r="D75" s="288"/>
      <c r="E75" s="288"/>
      <c r="F75" s="336"/>
      <c r="G75" s="288"/>
      <c r="H75" s="288"/>
      <c r="J75" s="582"/>
      <c r="K75" s="582"/>
    </row>
    <row r="76" spans="1:11" s="59" customFormat="1">
      <c r="A76" s="373">
        <f>+A73+1</f>
        <v>38</v>
      </c>
      <c r="B76" s="358"/>
      <c r="C76" s="395" t="s">
        <v>53</v>
      </c>
      <c r="D76" s="362"/>
      <c r="E76" s="362" t="str">
        <f>"(Note "&amp;B317&amp;" and "&amp;B$336&amp;")"</f>
        <v>(Note A and M)</v>
      </c>
      <c r="F76" s="294" t="str">
        <f>"(Attachment 4, Line "&amp;'4 - Cost Support'!A188&amp;")"</f>
        <v>(Attachment 4, Line 70)</v>
      </c>
      <c r="G76" s="289"/>
      <c r="H76" s="299">
        <f>+'4 - Cost Support'!K188</f>
        <v>0</v>
      </c>
      <c r="J76" s="582"/>
      <c r="K76" s="582"/>
    </row>
    <row r="77" spans="1:11">
      <c r="A77" s="373"/>
      <c r="B77" s="373"/>
      <c r="C77" s="395"/>
      <c r="D77" s="362"/>
      <c r="E77" s="356"/>
      <c r="F77" s="381"/>
      <c r="G77" s="299"/>
      <c r="H77" s="288"/>
      <c r="J77" s="582"/>
      <c r="K77" s="582"/>
    </row>
    <row r="78" spans="1:11">
      <c r="A78" s="373">
        <f>+A76+1</f>
        <v>39</v>
      </c>
      <c r="B78" s="414" t="s">
        <v>54</v>
      </c>
      <c r="D78" s="415"/>
      <c r="E78" s="362" t="str">
        <f>"(Note "&amp;B$318&amp;" &amp; "&amp;B$335&amp;")"</f>
        <v>(Note B &amp; L)</v>
      </c>
      <c r="F78" s="294" t="str">
        <f>"(Attachment 4, Line "&amp;'4 - Cost Support'!A40&amp;")"</f>
        <v>(Attachment 4, Line 17)</v>
      </c>
      <c r="G78" s="357"/>
      <c r="H78" s="299">
        <f>+'4 - Cost Support'!T40</f>
        <v>269799</v>
      </c>
      <c r="J78" s="582"/>
      <c r="K78" s="582"/>
    </row>
    <row r="79" spans="1:11">
      <c r="A79" s="373"/>
      <c r="B79" s="373"/>
      <c r="C79" s="395"/>
      <c r="D79" s="362"/>
      <c r="E79" s="356"/>
      <c r="F79" s="381"/>
      <c r="G79" s="299"/>
      <c r="H79" s="288"/>
      <c r="J79" s="582"/>
      <c r="K79" s="582"/>
    </row>
    <row r="80" spans="1:11">
      <c r="A80" s="373"/>
      <c r="B80" s="416" t="s">
        <v>55</v>
      </c>
      <c r="C80" s="398"/>
      <c r="D80" s="336"/>
      <c r="E80" s="391"/>
      <c r="F80" s="417"/>
      <c r="G80" s="418"/>
      <c r="H80" s="288"/>
      <c r="I80" s="625"/>
      <c r="K80" s="582"/>
    </row>
    <row r="81" spans="1:11">
      <c r="A81" s="373">
        <f>+A78+1</f>
        <v>40</v>
      </c>
      <c r="B81" s="419"/>
      <c r="C81" s="420" t="s">
        <v>56</v>
      </c>
      <c r="D81" s="362"/>
      <c r="E81" s="362" t="str">
        <f>"(Note "&amp;B$335&amp;")"</f>
        <v>(Note L)</v>
      </c>
      <c r="F81" s="294" t="str">
        <f>"(Attachment 4, Line "&amp;'4 - Cost Support'!A47&amp;")"</f>
        <v>(Attachment 4, Line 18)</v>
      </c>
      <c r="G81" s="315"/>
      <c r="H81" s="307">
        <f>+'4 - Cost Support'!T47</f>
        <v>23637811.5</v>
      </c>
      <c r="J81" s="625"/>
      <c r="K81" s="582"/>
    </row>
    <row r="82" spans="1:11">
      <c r="A82" s="373">
        <f>+A81+1</f>
        <v>41</v>
      </c>
      <c r="B82" s="419"/>
      <c r="C82" s="423" t="s">
        <v>34</v>
      </c>
      <c r="D82" s="392"/>
      <c r="E82" s="424"/>
      <c r="F82" s="298" t="str">
        <f>"(Line "&amp;A$16&amp;")"</f>
        <v>(Line 5)</v>
      </c>
      <c r="G82" s="425"/>
      <c r="H82" s="744">
        <f>+H16</f>
        <v>0.12146075795343095</v>
      </c>
      <c r="J82" s="625"/>
      <c r="K82" s="582"/>
    </row>
    <row r="83" spans="1:11">
      <c r="A83" s="373">
        <f>+A82+1</f>
        <v>42</v>
      </c>
      <c r="B83" s="419"/>
      <c r="C83" s="398" t="s">
        <v>57</v>
      </c>
      <c r="D83" s="336"/>
      <c r="E83" s="391"/>
      <c r="F83" s="299" t="str">
        <f>"(Line "&amp;A81&amp;" * Line "&amp;A82&amp;")"</f>
        <v>(Line 40 * Line 41)</v>
      </c>
      <c r="G83" s="418"/>
      <c r="H83" s="309">
        <f>H81*H82</f>
        <v>2871066.5011503263</v>
      </c>
      <c r="J83" s="625"/>
      <c r="K83" s="582"/>
    </row>
    <row r="84" spans="1:11">
      <c r="A84" s="360"/>
      <c r="B84" s="421"/>
      <c r="C84" s="398"/>
      <c r="E84" s="360"/>
      <c r="F84" s="315"/>
      <c r="G84" s="418"/>
      <c r="H84" s="308"/>
      <c r="J84" s="625"/>
      <c r="K84" s="582"/>
    </row>
    <row r="85" spans="1:11">
      <c r="A85" s="373"/>
      <c r="B85" s="416" t="s">
        <v>58</v>
      </c>
      <c r="C85" s="288"/>
      <c r="D85" s="288"/>
      <c r="E85" s="422"/>
      <c r="F85" s="315"/>
      <c r="G85" s="418"/>
      <c r="H85" s="308"/>
      <c r="J85" s="625"/>
      <c r="K85" s="582"/>
    </row>
    <row r="86" spans="1:11">
      <c r="A86" s="391">
        <f>+A83+1</f>
        <v>43</v>
      </c>
      <c r="B86" s="288"/>
      <c r="C86" s="288" t="s">
        <v>59</v>
      </c>
      <c r="D86" s="336"/>
      <c r="E86" s="362" t="str">
        <f>"(Note  "&amp;B$335&amp;")"</f>
        <v>(Note  L)</v>
      </c>
      <c r="F86" s="294" t="str">
        <f>"(Attachment 4, Line "&amp;'4 - Cost Support'!A55&amp;")"</f>
        <v>(Attachment 4, Line 19)</v>
      </c>
      <c r="H86" s="294">
        <f>+'4 - Cost Support'!T55</f>
        <v>110914</v>
      </c>
      <c r="J86" s="13"/>
      <c r="K86" s="582"/>
    </row>
    <row r="87" spans="1:11">
      <c r="A87" s="373">
        <f>+A86+1</f>
        <v>44</v>
      </c>
      <c r="B87" s="421"/>
      <c r="C87" s="423" t="s">
        <v>34</v>
      </c>
      <c r="D87" s="392"/>
      <c r="E87" s="424"/>
      <c r="F87" s="298" t="str">
        <f>"(Line "&amp;A$16&amp;")"</f>
        <v>(Line 5)</v>
      </c>
      <c r="G87" s="425"/>
      <c r="H87" s="744">
        <f>H16</f>
        <v>0.12146075795343095</v>
      </c>
      <c r="J87" s="625"/>
      <c r="K87" s="582"/>
    </row>
    <row r="88" spans="1:11">
      <c r="A88" s="373">
        <f>+A87+1</f>
        <v>45</v>
      </c>
      <c r="B88" s="421"/>
      <c r="C88" s="398" t="s">
        <v>60</v>
      </c>
      <c r="D88" s="336"/>
      <c r="E88" s="391"/>
      <c r="F88" s="299" t="str">
        <f>"(Line "&amp;A86&amp;" * Line "&amp;A87&amp;")"</f>
        <v>(Line 43 * Line 44)</v>
      </c>
      <c r="G88" s="418"/>
      <c r="H88" s="309">
        <f>H86*H87</f>
        <v>13471.698507646841</v>
      </c>
      <c r="J88" s="625"/>
      <c r="K88" s="582"/>
    </row>
    <row r="89" spans="1:11">
      <c r="A89" s="373">
        <f>A88+1</f>
        <v>46</v>
      </c>
      <c r="B89" s="421"/>
      <c r="C89" s="398" t="s">
        <v>61</v>
      </c>
      <c r="D89" s="336"/>
      <c r="E89" s="362" t="str">
        <f>"(Note  "&amp;B$335&amp;" &amp; "&amp;B345&amp;")"</f>
        <v>(Note  L &amp; T)</v>
      </c>
      <c r="F89" s="298" t="str">
        <f>"(Attachment 4, Line "&amp;'4 - Cost Support'!A56&amp;")"</f>
        <v>(Attachment 4, Line 20)</v>
      </c>
      <c r="G89" s="418"/>
      <c r="H89" s="310">
        <f>+'4 - Cost Support'!T56</f>
        <v>2089740</v>
      </c>
      <c r="J89" s="582"/>
      <c r="K89" s="582"/>
    </row>
    <row r="90" spans="1:11" ht="27.75" customHeight="1">
      <c r="A90" s="373">
        <f>A89+1</f>
        <v>47</v>
      </c>
      <c r="B90" s="421"/>
      <c r="C90" s="378" t="s">
        <v>62</v>
      </c>
      <c r="D90" s="393"/>
      <c r="E90" s="426"/>
      <c r="F90" s="299" t="str">
        <f>"(Line "&amp;A88&amp;" + Line "&amp;A89&amp;")"</f>
        <v>(Line 45 + Line 46)</v>
      </c>
      <c r="G90" s="427"/>
      <c r="H90" s="327">
        <f>H88+H89</f>
        <v>2103211.698507647</v>
      </c>
      <c r="J90" s="582"/>
      <c r="K90" s="582"/>
    </row>
    <row r="91" spans="1:11" ht="27.75" customHeight="1">
      <c r="A91" s="373"/>
      <c r="B91" s="421"/>
      <c r="C91" s="289"/>
      <c r="D91" s="357"/>
      <c r="E91" s="491"/>
      <c r="F91" s="299"/>
      <c r="G91" s="492"/>
      <c r="H91" s="300"/>
      <c r="J91" s="582"/>
      <c r="K91" s="582"/>
    </row>
    <row r="92" spans="1:11" ht="27.75" customHeight="1">
      <c r="A92" s="373"/>
      <c r="B92" s="416" t="s">
        <v>63</v>
      </c>
      <c r="C92" s="289"/>
      <c r="D92" s="357"/>
      <c r="E92" s="491"/>
      <c r="F92" s="299"/>
      <c r="G92" s="492"/>
      <c r="H92" s="300"/>
      <c r="J92" s="582"/>
      <c r="K92" s="582"/>
    </row>
    <row r="93" spans="1:11" ht="27.75" customHeight="1">
      <c r="A93" s="373">
        <f>+A90+1</f>
        <v>48</v>
      </c>
      <c r="B93" s="416"/>
      <c r="C93" s="289" t="s">
        <v>64</v>
      </c>
      <c r="D93" s="357"/>
      <c r="E93" s="362" t="str">
        <f>"(Note  "&amp;B$335&amp;")"</f>
        <v>(Note  L)</v>
      </c>
      <c r="F93" s="294" t="str">
        <f>"(Attachment 4, Line "&amp;'4 - Cost Support'!A242&amp;")"</f>
        <v>(Attachment 4, Line 86)</v>
      </c>
      <c r="G93" s="492"/>
      <c r="H93" s="300">
        <f>+'4 - Cost Support'!T242</f>
        <v>75157297.123900011</v>
      </c>
      <c r="J93" s="582"/>
      <c r="K93" s="582"/>
    </row>
    <row r="94" spans="1:11" ht="27.75" customHeight="1">
      <c r="A94" s="373">
        <f>+A93+1</f>
        <v>49</v>
      </c>
      <c r="B94" s="416"/>
      <c r="C94" s="423" t="s">
        <v>34</v>
      </c>
      <c r="D94" s="397"/>
      <c r="E94" s="472"/>
      <c r="F94" s="298" t="str">
        <f>"(Line "&amp;A$16&amp;")"</f>
        <v>(Line 5)</v>
      </c>
      <c r="G94" s="425"/>
      <c r="H94" s="311">
        <f>+H16</f>
        <v>0.12146075795343095</v>
      </c>
      <c r="J94" s="582"/>
      <c r="K94" s="582"/>
    </row>
    <row r="95" spans="1:11">
      <c r="A95" s="373">
        <f>+A94+1</f>
        <v>50</v>
      </c>
      <c r="B95" s="421"/>
      <c r="C95" s="398" t="s">
        <v>65</v>
      </c>
      <c r="D95" s="336"/>
      <c r="E95" s="360"/>
      <c r="F95" s="299" t="str">
        <f>"(Line "&amp;A93&amp;" * Line "&amp;A94&amp;")"</f>
        <v>(Line 48 * Line 49)</v>
      </c>
      <c r="G95" s="418"/>
      <c r="H95" s="768">
        <f>+H93*H94</f>
        <v>9128662.2744001113</v>
      </c>
      <c r="J95" s="582"/>
      <c r="K95" s="582"/>
    </row>
    <row r="96" spans="1:11">
      <c r="A96" s="373"/>
      <c r="B96" s="421"/>
      <c r="C96" s="398"/>
      <c r="D96" s="336"/>
      <c r="E96" s="360"/>
      <c r="F96" s="315"/>
      <c r="G96" s="418"/>
      <c r="J96" s="582"/>
      <c r="K96" s="582"/>
    </row>
    <row r="97" spans="1:11">
      <c r="A97" s="373"/>
      <c r="B97" s="416" t="s">
        <v>66</v>
      </c>
      <c r="C97" s="288"/>
      <c r="D97" s="336"/>
      <c r="F97" s="315"/>
      <c r="G97" s="418"/>
      <c r="J97" s="582"/>
      <c r="K97" s="582"/>
    </row>
    <row r="98" spans="1:11">
      <c r="A98" s="373">
        <f>+A95+1</f>
        <v>51</v>
      </c>
      <c r="B98" s="421"/>
      <c r="C98" s="398" t="s">
        <v>67</v>
      </c>
      <c r="D98" s="332"/>
      <c r="E98" s="391"/>
      <c r="F98" s="299" t="str">
        <f>"(Line "&amp;A$168&amp;")"</f>
        <v>(Line 98)</v>
      </c>
      <c r="G98" s="418"/>
      <c r="H98" s="307">
        <f>H168</f>
        <v>21243763.884512704</v>
      </c>
      <c r="J98" s="582"/>
      <c r="K98" s="582"/>
    </row>
    <row r="99" spans="1:11">
      <c r="A99" s="373">
        <f>+A98+1</f>
        <v>52</v>
      </c>
      <c r="B99" s="421"/>
      <c r="C99" s="332" t="s">
        <v>68</v>
      </c>
      <c r="D99" s="332"/>
      <c r="E99" s="391"/>
      <c r="F99" s="423" t="s">
        <v>69</v>
      </c>
      <c r="H99" s="311">
        <f>1/8</f>
        <v>0.125</v>
      </c>
      <c r="J99" s="582"/>
      <c r="K99" s="582"/>
    </row>
    <row r="100" spans="1:11" s="17" customFormat="1">
      <c r="A100" s="373">
        <f>+A99+1</f>
        <v>53</v>
      </c>
      <c r="B100" s="399"/>
      <c r="C100" s="428" t="s">
        <v>70</v>
      </c>
      <c r="D100" s="429"/>
      <c r="E100" s="430"/>
      <c r="F100" s="299" t="str">
        <f>"(Line "&amp;A98&amp;" * Line "&amp;A99&amp;")"</f>
        <v>(Line 51 * Line 52)</v>
      </c>
      <c r="G100" s="431"/>
      <c r="H100" s="306">
        <f>H98*H99</f>
        <v>2655470.485564088</v>
      </c>
      <c r="J100" s="582"/>
      <c r="K100" s="582"/>
    </row>
    <row r="101" spans="1:11" s="17" customFormat="1">
      <c r="A101" s="373"/>
      <c r="B101" s="399"/>
      <c r="C101" s="420"/>
      <c r="D101" s="356"/>
      <c r="E101" s="533"/>
      <c r="F101" s="299"/>
      <c r="G101" s="348"/>
      <c r="H101" s="306"/>
      <c r="J101" s="582"/>
      <c r="K101" s="582"/>
    </row>
    <row r="102" spans="1:11" s="17" customFormat="1">
      <c r="A102" s="373"/>
      <c r="B102" s="416" t="s">
        <v>71</v>
      </c>
      <c r="C102" s="420"/>
      <c r="D102" s="356"/>
      <c r="E102" s="533"/>
      <c r="F102" s="299"/>
      <c r="G102" s="348"/>
      <c r="H102" s="306"/>
      <c r="J102" s="582"/>
      <c r="K102" s="582"/>
    </row>
    <row r="103" spans="1:11" s="17" customFormat="1">
      <c r="A103" s="373">
        <f>+A100+1</f>
        <v>54</v>
      </c>
      <c r="B103" s="399"/>
      <c r="C103" s="420" t="s">
        <v>72</v>
      </c>
      <c r="D103" s="356"/>
      <c r="E103" s="362" t="str">
        <f>"(Note  "&amp;B$335&amp;")"</f>
        <v>(Note  L)</v>
      </c>
      <c r="F103" s="294" t="str">
        <f>"(Attachment 4, Line "&amp;'4 - Cost Support'!A205&amp;")"</f>
        <v>(Attachment 4, Line 72)</v>
      </c>
      <c r="G103" s="348"/>
      <c r="H103" s="306">
        <f>+'4 - Cost Support'!T205</f>
        <v>0</v>
      </c>
      <c r="J103" s="582"/>
      <c r="K103" s="582"/>
    </row>
    <row r="104" spans="1:11" s="17" customFormat="1">
      <c r="A104" s="373">
        <f>+A103+1</f>
        <v>55</v>
      </c>
      <c r="B104" s="399"/>
      <c r="C104" s="423" t="s">
        <v>22</v>
      </c>
      <c r="D104" s="392"/>
      <c r="E104" s="628"/>
      <c r="F104" s="298" t="str">
        <f>"(Line "&amp;A$27&amp;")"</f>
        <v>(Line 12)</v>
      </c>
      <c r="G104" s="629"/>
      <c r="H104" s="743">
        <f>+H27</f>
        <v>0.20363964961424239</v>
      </c>
      <c r="J104" s="582"/>
      <c r="K104" s="582"/>
    </row>
    <row r="105" spans="1:11" s="17" customFormat="1">
      <c r="A105" s="373">
        <f>+A104+1</f>
        <v>56</v>
      </c>
      <c r="B105" s="399"/>
      <c r="C105" s="420" t="s">
        <v>73</v>
      </c>
      <c r="D105" s="356"/>
      <c r="E105" s="533"/>
      <c r="F105" s="299" t="str">
        <f>"(Line "&amp;A103&amp;" * Line "&amp;A104&amp;")"</f>
        <v>(Line 54 * Line 55)</v>
      </c>
      <c r="G105" s="348"/>
      <c r="H105" s="306">
        <f>+H103*H104</f>
        <v>0</v>
      </c>
      <c r="J105" s="582"/>
      <c r="K105" s="582"/>
    </row>
    <row r="106" spans="1:11" s="17" customFormat="1">
      <c r="A106" s="373"/>
      <c r="B106" s="399"/>
      <c r="C106" s="420"/>
      <c r="D106" s="356"/>
      <c r="E106" s="533"/>
      <c r="F106" s="299"/>
      <c r="G106" s="348"/>
      <c r="H106" s="306"/>
      <c r="J106" s="582"/>
      <c r="K106" s="582"/>
    </row>
    <row r="107" spans="1:11" s="17" customFormat="1">
      <c r="A107" s="373">
        <f>+A105+1</f>
        <v>57</v>
      </c>
      <c r="B107" s="399"/>
      <c r="C107" s="420" t="s">
        <v>74</v>
      </c>
      <c r="D107" s="356"/>
      <c r="E107" s="362" t="str">
        <f>"(Note  "&amp;B$335&amp;")"</f>
        <v>(Note  L)</v>
      </c>
      <c r="F107" s="294" t="str">
        <f>"(Attachment 4, Line "&amp;'4 - Cost Support'!A206&amp;")"</f>
        <v>(Attachment 4, Line 73)</v>
      </c>
      <c r="G107" s="348"/>
      <c r="H107" s="306">
        <f>+'4 - Cost Support'!T206</f>
        <v>-1579792</v>
      </c>
      <c r="J107" s="582"/>
      <c r="K107" s="582"/>
    </row>
    <row r="108" spans="1:11" s="17" customFormat="1">
      <c r="A108" s="373">
        <f>+A107+1</f>
        <v>58</v>
      </c>
      <c r="B108" s="399"/>
      <c r="C108" s="420" t="s">
        <v>64</v>
      </c>
      <c r="D108" s="356"/>
      <c r="E108" s="362" t="str">
        <f>"(Note  "&amp;B$335&amp;")"</f>
        <v>(Note  L)</v>
      </c>
      <c r="F108" s="294" t="str">
        <f>"(Attachment 4, Line "&amp;'4 - Cost Support'!A207&amp;")"</f>
        <v>(Attachment 4, Line 74)</v>
      </c>
      <c r="G108" s="348"/>
      <c r="H108" s="630">
        <f>+'4 - Cost Support'!T207</f>
        <v>-65082305</v>
      </c>
      <c r="J108" s="582"/>
      <c r="K108" s="582"/>
    </row>
    <row r="109" spans="1:11" s="17" customFormat="1">
      <c r="A109" s="373">
        <f>+A108+1</f>
        <v>59</v>
      </c>
      <c r="B109" s="399"/>
      <c r="C109" s="420" t="s">
        <v>75</v>
      </c>
      <c r="D109" s="356"/>
      <c r="E109" s="533"/>
      <c r="F109" s="299" t="str">
        <f>"(Line "&amp;A107&amp;" + Line "&amp;A108&amp;")"</f>
        <v>(Line 57 + Line 58)</v>
      </c>
      <c r="G109" s="348"/>
      <c r="H109" s="306">
        <f>+H107+H108</f>
        <v>-66662097</v>
      </c>
      <c r="J109" s="582"/>
      <c r="K109" s="582"/>
    </row>
    <row r="110" spans="1:11" s="17" customFormat="1">
      <c r="A110" s="373">
        <f>+A109+1</f>
        <v>60</v>
      </c>
      <c r="B110" s="399"/>
      <c r="C110" s="423" t="s">
        <v>76</v>
      </c>
      <c r="D110" s="392"/>
      <c r="E110" s="628"/>
      <c r="F110" s="298" t="str">
        <f>"(Line "&amp;A$16&amp;")"</f>
        <v>(Line 5)</v>
      </c>
      <c r="G110" s="629"/>
      <c r="H110" s="743">
        <f>+H16</f>
        <v>0.12146075795343095</v>
      </c>
      <c r="J110" s="582"/>
      <c r="K110" s="582"/>
    </row>
    <row r="111" spans="1:11" s="17" customFormat="1">
      <c r="A111" s="373">
        <f>+A110+1</f>
        <v>61</v>
      </c>
      <c r="B111" s="399"/>
      <c r="C111" s="420" t="s">
        <v>77</v>
      </c>
      <c r="D111" s="356"/>
      <c r="E111" s="533"/>
      <c r="F111" s="299" t="str">
        <f>"(Line "&amp;A109&amp;" * Line "&amp;A110&amp;")"</f>
        <v>(Line 59 * Line 60)</v>
      </c>
      <c r="G111" s="348"/>
      <c r="H111" s="306">
        <f>+H109*H110</f>
        <v>-8096828.8283851352</v>
      </c>
      <c r="J111" s="582"/>
      <c r="K111" s="582"/>
    </row>
    <row r="112" spans="1:11" s="17" customFormat="1">
      <c r="A112" s="373"/>
      <c r="B112" s="399"/>
      <c r="C112" s="420"/>
      <c r="D112" s="356"/>
      <c r="E112" s="533"/>
      <c r="F112" s="299"/>
      <c r="G112" s="348"/>
      <c r="H112" s="306"/>
      <c r="J112" s="582"/>
      <c r="K112" s="582"/>
    </row>
    <row r="113" spans="1:11" s="17" customFormat="1">
      <c r="A113" s="373">
        <f>+A111+1</f>
        <v>62</v>
      </c>
      <c r="B113" s="399"/>
      <c r="C113" s="420" t="s">
        <v>78</v>
      </c>
      <c r="D113" s="356"/>
      <c r="E113" s="362" t="str">
        <f>"(Note  "&amp;B$335&amp;")"</f>
        <v>(Note  L)</v>
      </c>
      <c r="F113" s="294" t="str">
        <f>"(Attachment 4, Line "&amp;'4 - Cost Support'!A208&amp;")"</f>
        <v>(Attachment 4, Line 75)</v>
      </c>
      <c r="G113" s="348"/>
      <c r="H113" s="306">
        <f>+'4 - Cost Support'!T208</f>
        <v>0</v>
      </c>
      <c r="J113" s="582"/>
      <c r="K113" s="582"/>
    </row>
    <row r="114" spans="1:11" s="17" customFormat="1">
      <c r="A114" s="373"/>
      <c r="B114" s="399"/>
      <c r="C114" s="420"/>
      <c r="D114" s="356"/>
      <c r="E114" s="533"/>
      <c r="F114" s="299"/>
      <c r="G114" s="348"/>
      <c r="H114" s="306"/>
      <c r="J114" s="582"/>
      <c r="K114" s="582"/>
    </row>
    <row r="115" spans="1:11" s="17" customFormat="1">
      <c r="A115" s="373">
        <f>+A113+1</f>
        <v>63</v>
      </c>
      <c r="B115" s="416" t="s">
        <v>79</v>
      </c>
      <c r="C115" s="420"/>
      <c r="D115" s="356"/>
      <c r="E115" s="362" t="str">
        <f>"(Note  "&amp;B$335&amp;")"</f>
        <v>(Note  L)</v>
      </c>
      <c r="F115" s="294" t="str">
        <f>"(Attachment 4, Line "&amp;'4 - Cost Support'!A237&amp;")"</f>
        <v>(Attachment 4, Line 85)</v>
      </c>
      <c r="G115" s="348"/>
      <c r="H115" s="306">
        <f>+'4 - Cost Support'!T237</f>
        <v>-20993291</v>
      </c>
      <c r="J115" s="582"/>
      <c r="K115" s="582"/>
    </row>
    <row r="116" spans="1:11" s="17" customFormat="1">
      <c r="A116" s="373">
        <f>+A115+1</f>
        <v>64</v>
      </c>
      <c r="B116" s="399"/>
      <c r="C116" s="423" t="s">
        <v>23</v>
      </c>
      <c r="D116" s="392"/>
      <c r="E116" s="628"/>
      <c r="F116" s="397" t="str">
        <f>"(Line "&amp;A$33&amp;")"</f>
        <v>(Line 17)</v>
      </c>
      <c r="G116" s="629"/>
      <c r="H116" s="743">
        <f>+H33</f>
        <v>0.18298233367566416</v>
      </c>
      <c r="J116" s="582"/>
      <c r="K116" s="582"/>
    </row>
    <row r="117" spans="1:11" s="17" customFormat="1">
      <c r="A117" s="373">
        <f>+A116+1</f>
        <v>65</v>
      </c>
      <c r="B117" s="399"/>
      <c r="C117" s="420" t="s">
        <v>80</v>
      </c>
      <c r="D117" s="356"/>
      <c r="E117" s="533"/>
      <c r="F117" s="299" t="str">
        <f>"(Line "&amp;A115&amp;" * Line "&amp;A116&amp;")"</f>
        <v>(Line 63 * Line 64)</v>
      </c>
      <c r="G117" s="348"/>
      <c r="H117" s="306">
        <f>+H115*H116</f>
        <v>-3841401.3787123174</v>
      </c>
      <c r="J117" s="582"/>
      <c r="K117" s="582"/>
    </row>
    <row r="118" spans="1:11" s="17" customFormat="1">
      <c r="A118" s="373"/>
      <c r="B118" s="399"/>
      <c r="C118" s="420"/>
      <c r="D118" s="356"/>
      <c r="E118" s="533"/>
      <c r="F118" s="299"/>
      <c r="G118" s="348"/>
      <c r="H118" s="306"/>
      <c r="J118" s="582"/>
      <c r="K118" s="582"/>
    </row>
    <row r="119" spans="1:11" s="17" customFormat="1">
      <c r="A119" s="373"/>
      <c r="B119" s="416" t="s">
        <v>81</v>
      </c>
      <c r="C119" s="420"/>
      <c r="D119" s="356"/>
      <c r="E119" s="533"/>
      <c r="F119" s="299"/>
      <c r="G119" s="348"/>
      <c r="H119" s="306"/>
      <c r="J119" s="582"/>
      <c r="K119" s="582"/>
    </row>
    <row r="120" spans="1:11" s="17" customFormat="1">
      <c r="A120" s="373">
        <f>+A117+1</f>
        <v>66</v>
      </c>
      <c r="B120" s="416"/>
      <c r="C120" s="420" t="s">
        <v>64</v>
      </c>
      <c r="D120" s="356"/>
      <c r="E120" s="362" t="str">
        <f>"(Note  "&amp;B$335&amp;")"</f>
        <v>(Note  L)</v>
      </c>
      <c r="F120" s="294" t="str">
        <f>"(Attachment 4, Line "&amp;'4 - Cost Support'!A247&amp;")"</f>
        <v>(Attachment 4, Line 87)</v>
      </c>
      <c r="G120" s="492"/>
      <c r="H120" s="300">
        <f>+'4 - Cost Support'!T247</f>
        <v>-3800365.18</v>
      </c>
      <c r="J120" s="582"/>
      <c r="K120" s="582"/>
    </row>
    <row r="121" spans="1:11" s="17" customFormat="1">
      <c r="A121" s="373">
        <f>+A120+1</f>
        <v>67</v>
      </c>
      <c r="B121" s="399"/>
      <c r="C121" s="423" t="s">
        <v>34</v>
      </c>
      <c r="D121" s="392"/>
      <c r="E121" s="376"/>
      <c r="F121" s="298" t="str">
        <f>"(Line "&amp;A$16&amp;")"</f>
        <v>(Line 5)</v>
      </c>
      <c r="G121" s="425"/>
      <c r="H121" s="311">
        <f>+H16</f>
        <v>0.12146075795343095</v>
      </c>
      <c r="J121" s="582"/>
      <c r="K121" s="582"/>
    </row>
    <row r="122" spans="1:11" s="17" customFormat="1">
      <c r="A122" s="373">
        <f>+A121+1</f>
        <v>68</v>
      </c>
      <c r="B122" s="399"/>
      <c r="C122" s="398" t="s">
        <v>82</v>
      </c>
      <c r="D122" s="356"/>
      <c r="E122" s="533"/>
      <c r="F122" s="299" t="str">
        <f>"(Line "&amp;A120&amp;" * Line "&amp;A121&amp;")"</f>
        <v>(Line 66 * Line 67)</v>
      </c>
      <c r="G122" s="348"/>
      <c r="H122" s="306">
        <f>+H120*H121</f>
        <v>-461595.23526262707</v>
      </c>
      <c r="J122" s="582"/>
      <c r="K122" s="582"/>
    </row>
    <row r="123" spans="1:11" s="17" customFormat="1">
      <c r="A123" s="373"/>
      <c r="B123" s="399"/>
      <c r="C123" s="420"/>
      <c r="D123" s="356"/>
      <c r="E123" s="533"/>
      <c r="F123" s="299"/>
      <c r="G123" s="348"/>
      <c r="H123" s="306"/>
      <c r="J123" s="582"/>
      <c r="K123" s="582"/>
    </row>
    <row r="124" spans="1:11" s="17" customFormat="1">
      <c r="A124" s="373">
        <f>+A122+1</f>
        <v>69</v>
      </c>
      <c r="B124" s="416" t="s">
        <v>83</v>
      </c>
      <c r="C124" s="420"/>
      <c r="D124" s="356"/>
      <c r="E124" s="362" t="str">
        <f>"(Note  "&amp;B$335&amp;")"</f>
        <v>(Note  L)</v>
      </c>
      <c r="F124" s="294" t="str">
        <f>"(Attachment 4, Line "&amp;'4 - Cost Support'!A215&amp;")"</f>
        <v>(Attachment 4, Line 76)</v>
      </c>
      <c r="G124" s="348"/>
      <c r="H124" s="306">
        <f>+'4 - Cost Support'!T215</f>
        <v>-1946.5</v>
      </c>
      <c r="J124" s="582"/>
      <c r="K124" s="582"/>
    </row>
    <row r="125" spans="1:11" s="17" customFormat="1">
      <c r="A125" s="373"/>
      <c r="B125" s="416"/>
      <c r="C125" s="420"/>
      <c r="D125" s="356"/>
      <c r="E125" s="533"/>
      <c r="F125" s="299"/>
      <c r="G125" s="348"/>
      <c r="H125" s="306"/>
      <c r="J125" s="582"/>
      <c r="K125" s="582"/>
    </row>
    <row r="126" spans="1:11" s="17" customFormat="1">
      <c r="A126" s="373">
        <f>+A124+1</f>
        <v>70</v>
      </c>
      <c r="B126" s="409" t="s">
        <v>84</v>
      </c>
      <c r="C126" s="420"/>
      <c r="D126" s="432"/>
      <c r="E126" s="362" t="str">
        <f>"(Note  "&amp;B$335&amp;")"</f>
        <v>(Note  L)</v>
      </c>
      <c r="F126" s="299" t="str">
        <f>"(Attachment 4, Line "&amp;'4 - Cost Support'!A252&amp;")"</f>
        <v>(Attachment 4, Line 88)</v>
      </c>
      <c r="G126" s="434"/>
      <c r="H126" s="327">
        <f>+'4 - Cost Support'!T252</f>
        <v>-1520723.9125894583</v>
      </c>
      <c r="J126" s="582"/>
      <c r="K126" s="582"/>
    </row>
    <row r="127" spans="1:11">
      <c r="A127" s="335"/>
      <c r="B127" s="297"/>
      <c r="C127" s="297"/>
      <c r="D127" s="297"/>
      <c r="F127" s="288"/>
      <c r="H127" s="302"/>
      <c r="J127" s="582"/>
      <c r="K127" s="582"/>
    </row>
    <row r="128" spans="1:11" ht="64.5" customHeight="1" thickBot="1">
      <c r="A128" s="335">
        <f>+A126+1</f>
        <v>71</v>
      </c>
      <c r="B128" s="383" t="s">
        <v>85</v>
      </c>
      <c r="C128" s="383"/>
      <c r="D128" s="383"/>
      <c r="E128" s="404"/>
      <c r="F128" s="631" t="str">
        <f>"(Lines "&amp;A67&amp;" + "&amp;A70&amp;" + "&amp;A73&amp;" + "&amp;A76&amp;" + "&amp;A78&amp;" + "&amp;A83&amp;" + "&amp;A90&amp;" + "&amp;A95&amp;" + "&amp;A100&amp;" + "&amp;A105&amp;" + "&amp;A111&amp;" + "&amp;A113&amp;" + "&amp;A117&amp;"+ "&amp;A122&amp;" + "&amp;A124&amp;" + "&amp;A126&amp;")"</f>
        <v>(Lines 35 + 36 + 37 + 38 + 39 + 42 + 47 + 50 + 53 + 56 + 61 + 62 + 65+ 68 + 69 + 70)</v>
      </c>
      <c r="G128" s="436"/>
      <c r="H128" s="867">
        <f>+H67+H70+H73+H76+H78+H83+H90+H95+H100+H105+H111+H113+H117+H122+H124+H126</f>
        <v>-37158234.236459374</v>
      </c>
      <c r="I128" s="582"/>
      <c r="J128" s="582"/>
      <c r="K128" s="582"/>
    </row>
    <row r="129" spans="1:13" ht="21" thickTop="1">
      <c r="A129" s="335"/>
      <c r="B129" s="297"/>
      <c r="C129" s="297"/>
      <c r="D129" s="297"/>
      <c r="F129" s="288"/>
      <c r="H129" s="768"/>
      <c r="J129" s="582"/>
      <c r="K129" s="582"/>
    </row>
    <row r="130" spans="1:13" ht="21" thickBot="1">
      <c r="A130" s="437">
        <f>+A128+1</f>
        <v>72</v>
      </c>
      <c r="B130" s="438" t="s">
        <v>86</v>
      </c>
      <c r="C130" s="438"/>
      <c r="D130" s="438"/>
      <c r="E130" s="439"/>
      <c r="F130" s="440" t="str">
        <f>"(Line "&amp;A62&amp;" + Line "&amp;A128&amp;")"</f>
        <v>(Line 34 + Line 71)</v>
      </c>
      <c r="G130" s="438"/>
      <c r="H130" s="772">
        <f>H62+H128</f>
        <v>245784047.18886077</v>
      </c>
      <c r="J130" s="582"/>
      <c r="K130" s="582"/>
    </row>
    <row r="131" spans="1:13">
      <c r="B131" s="297"/>
      <c r="C131" s="297"/>
      <c r="D131" s="297"/>
      <c r="J131" s="582"/>
      <c r="K131" s="582"/>
    </row>
    <row r="132" spans="1:13" s="13" customFormat="1">
      <c r="A132" s="441" t="s">
        <v>87</v>
      </c>
      <c r="B132" s="442"/>
      <c r="C132" s="443"/>
      <c r="D132" s="444"/>
      <c r="E132" s="445"/>
      <c r="F132" s="305"/>
      <c r="G132" s="305"/>
      <c r="H132" s="291"/>
      <c r="J132" s="582"/>
      <c r="K132" s="582"/>
    </row>
    <row r="133" spans="1:13" s="13" customFormat="1">
      <c r="A133" s="336"/>
      <c r="B133" s="336"/>
      <c r="C133" s="336"/>
      <c r="D133" s="336"/>
      <c r="E133" s="358"/>
      <c r="F133" s="288"/>
      <c r="G133" s="288"/>
      <c r="H133" s="844"/>
      <c r="J133" s="582"/>
      <c r="K133" s="582"/>
    </row>
    <row r="134" spans="1:13">
      <c r="A134" s="360"/>
      <c r="B134" s="359" t="s">
        <v>88</v>
      </c>
      <c r="D134" s="293"/>
      <c r="E134" s="304"/>
      <c r="G134" s="293"/>
      <c r="H134" s="293"/>
      <c r="J134" s="582"/>
      <c r="K134" s="582"/>
    </row>
    <row r="135" spans="1:13">
      <c r="A135" s="373">
        <f>+A130+1</f>
        <v>73</v>
      </c>
      <c r="B135" s="373"/>
      <c r="C135" s="387" t="s">
        <v>88</v>
      </c>
      <c r="D135" s="336"/>
      <c r="E135" s="362"/>
      <c r="F135" s="294" t="str">
        <f>"(Attachment 4, Line "&amp;'4 - Cost Support'!A62&amp;")"</f>
        <v>(Attachment 4, Line 21)</v>
      </c>
      <c r="G135" s="358"/>
      <c r="H135" s="294">
        <f>+'4 - Cost Support'!S62</f>
        <v>65339750.652602136</v>
      </c>
      <c r="J135" s="625"/>
      <c r="K135" s="625"/>
      <c r="L135" s="13"/>
      <c r="M135" s="13"/>
    </row>
    <row r="136" spans="1:13">
      <c r="A136" s="373">
        <f>+A135+1</f>
        <v>74</v>
      </c>
      <c r="B136" s="360"/>
      <c r="C136" s="387" t="s">
        <v>89</v>
      </c>
      <c r="D136" s="294"/>
      <c r="E136" s="362"/>
      <c r="F136" s="298" t="str">
        <f>"(Attachment 4, Line "&amp;'4 - Cost Support'!A65&amp;")"</f>
        <v>(Attachment 4, Line 24)</v>
      </c>
      <c r="G136" s="336"/>
      <c r="H136" s="299">
        <f>+'4 - Cost Support'!S65</f>
        <v>57130413.368592352</v>
      </c>
      <c r="I136" s="13"/>
      <c r="J136" s="582"/>
      <c r="K136" s="582"/>
    </row>
    <row r="137" spans="1:13">
      <c r="A137" s="373">
        <f>1+A136</f>
        <v>75</v>
      </c>
      <c r="B137" s="336"/>
      <c r="C137" s="446" t="s">
        <v>88</v>
      </c>
      <c r="D137" s="393"/>
      <c r="E137" s="394"/>
      <c r="F137" s="299" t="str">
        <f>"(Lines "&amp;A135&amp;" - "&amp;A136&amp;")"</f>
        <v>(Lines 73 - 74)</v>
      </c>
      <c r="G137" s="378"/>
      <c r="H137" s="313">
        <f>+H135-H136</f>
        <v>8209337.2840097845</v>
      </c>
      <c r="J137" s="582"/>
      <c r="K137" s="582"/>
    </row>
    <row r="138" spans="1:13">
      <c r="A138" s="373"/>
      <c r="B138" s="373"/>
      <c r="C138" s="359"/>
      <c r="D138" s="336"/>
      <c r="E138" s="372"/>
      <c r="F138" s="336"/>
      <c r="G138" s="336"/>
      <c r="H138" s="314"/>
      <c r="J138" s="582"/>
      <c r="K138" s="582"/>
    </row>
    <row r="139" spans="1:13">
      <c r="A139" s="373"/>
      <c r="B139" s="359" t="s">
        <v>90</v>
      </c>
      <c r="C139" s="336"/>
      <c r="D139" s="336"/>
      <c r="E139" s="372"/>
      <c r="F139" s="336"/>
      <c r="G139" s="336"/>
      <c r="H139" s="314"/>
      <c r="J139" s="582"/>
      <c r="K139" s="582"/>
    </row>
    <row r="140" spans="1:13">
      <c r="A140" s="373">
        <f>A137+1</f>
        <v>76</v>
      </c>
      <c r="B140" s="373"/>
      <c r="C140" s="387" t="s">
        <v>91</v>
      </c>
      <c r="D140" s="336"/>
      <c r="E140" s="362" t="str">
        <f>"(Note  "&amp;B324&amp;")"</f>
        <v>(Note  G)</v>
      </c>
      <c r="F140" s="294" t="str">
        <f>"(Attachment 4, Line "&amp;'4 - Cost Support'!A78&amp;")"</f>
        <v>(Attachment 4, Line 26)</v>
      </c>
      <c r="G140" s="336"/>
      <c r="H140" s="294">
        <f>+'4 - Cost Support'!S78</f>
        <v>64449337</v>
      </c>
      <c r="J140" s="582"/>
      <c r="K140" s="582"/>
    </row>
    <row r="141" spans="1:13">
      <c r="A141" s="373">
        <f t="shared" ref="A141:A147" si="0">+A140+1</f>
        <v>77</v>
      </c>
      <c r="B141" s="373"/>
      <c r="C141" s="387" t="s">
        <v>92</v>
      </c>
      <c r="D141" s="294"/>
      <c r="E141" s="362"/>
      <c r="F141" s="294" t="str">
        <f>"(Attachment 4, Line "&amp;'4 - Cost Support'!A72&amp;")"</f>
        <v>(Attachment 4, Line 25)</v>
      </c>
      <c r="G141" s="336"/>
      <c r="H141" s="294">
        <f>+'4 - Cost Support'!S72</f>
        <v>4444530</v>
      </c>
      <c r="J141" s="582"/>
      <c r="K141" s="582"/>
    </row>
    <row r="142" spans="1:13">
      <c r="A142" s="373">
        <f t="shared" si="0"/>
        <v>78</v>
      </c>
      <c r="B142" s="373"/>
      <c r="C142" s="387" t="s">
        <v>93</v>
      </c>
      <c r="D142" s="294"/>
      <c r="E142" s="362" t="str">
        <f>"(Note "&amp;B$321&amp;")"</f>
        <v>(Note D)</v>
      </c>
      <c r="F142" s="294" t="str">
        <f>"(Attachment 4, Line "&amp;'4 - Cost Support'!A87&amp;")"</f>
        <v>(Attachment 4, Line 29)</v>
      </c>
      <c r="G142" s="336"/>
      <c r="H142" s="294">
        <f>+'4 - Cost Support'!S87</f>
        <v>2747836</v>
      </c>
      <c r="J142" s="582"/>
      <c r="K142" s="582"/>
    </row>
    <row r="143" spans="1:13">
      <c r="A143" s="373">
        <f t="shared" si="0"/>
        <v>79</v>
      </c>
      <c r="B143" s="373"/>
      <c r="C143" s="387" t="s">
        <v>94</v>
      </c>
      <c r="D143" s="294"/>
      <c r="E143" s="362" t="str">
        <f>"(Note "&amp;B339&amp;")"</f>
        <v>(Note O)</v>
      </c>
      <c r="F143" s="294" t="str">
        <f>"(Attachment 4, Line "&amp;'4 - Cost Support'!A80&amp;")"</f>
        <v>(Attachment 4, Line 28)</v>
      </c>
      <c r="G143" s="336"/>
      <c r="H143" s="294">
        <f>+'4 - Cost Support'!S80</f>
        <v>29159620</v>
      </c>
      <c r="J143" s="582"/>
      <c r="K143" s="582"/>
    </row>
    <row r="144" spans="1:13">
      <c r="A144" s="373">
        <f t="shared" si="0"/>
        <v>80</v>
      </c>
      <c r="B144" s="373"/>
      <c r="C144" s="387" t="s">
        <v>95</v>
      </c>
      <c r="D144" s="288"/>
      <c r="E144" s="362" t="str">
        <f>"(Note "&amp;B$320&amp;")"</f>
        <v>(Note C)</v>
      </c>
      <c r="F144" s="298" t="str">
        <f>"(Attachment 4, Line "&amp;'4 - Cost Support'!A95&amp;")"</f>
        <v>(Attachment 4, Line 31)</v>
      </c>
      <c r="G144" s="336"/>
      <c r="H144" s="294">
        <f>+'4 - Cost Support'!S95</f>
        <v>0</v>
      </c>
      <c r="J144" s="625"/>
      <c r="K144" s="582"/>
    </row>
    <row r="145" spans="1:11">
      <c r="A145" s="373">
        <f t="shared" si="0"/>
        <v>81</v>
      </c>
      <c r="B145" s="373"/>
      <c r="C145" s="446" t="s">
        <v>96</v>
      </c>
      <c r="D145" s="393"/>
      <c r="E145" s="400"/>
      <c r="F145" s="299" t="str">
        <f>"(Lines "&amp;A140&amp;" - "&amp;A141&amp;" - "&amp;A142&amp;" - "&amp;A143&amp;" - "&amp;A144&amp;")"</f>
        <v>(Lines 76 - 77 - 78 - 79 - 80)</v>
      </c>
      <c r="G145" s="393"/>
      <c r="H145" s="303">
        <f>+H140-SUM(H141:H144)</f>
        <v>28097351</v>
      </c>
      <c r="J145" s="582"/>
      <c r="K145" s="582"/>
    </row>
    <row r="146" spans="1:11">
      <c r="A146" s="373">
        <f t="shared" si="0"/>
        <v>82</v>
      </c>
      <c r="B146" s="373"/>
      <c r="C146" s="423" t="s">
        <v>34</v>
      </c>
      <c r="D146" s="332"/>
      <c r="E146" s="391"/>
      <c r="F146" s="397" t="str">
        <f>"(Line "&amp;A$16&amp;")"</f>
        <v>(Line 5)</v>
      </c>
      <c r="G146" s="315"/>
      <c r="H146" s="744">
        <f>H16</f>
        <v>0.12146075795343095</v>
      </c>
      <c r="J146" s="582"/>
      <c r="K146" s="582"/>
    </row>
    <row r="147" spans="1:11">
      <c r="A147" s="373">
        <f t="shared" si="0"/>
        <v>83</v>
      </c>
      <c r="B147" s="373"/>
      <c r="C147" s="446" t="s">
        <v>97</v>
      </c>
      <c r="D147" s="393"/>
      <c r="E147" s="400"/>
      <c r="F147" s="299" t="str">
        <f>"(Line "&amp;A145&amp;" * Line "&amp;A146&amp;")"</f>
        <v>(Line 81 * Line 82)</v>
      </c>
      <c r="G147" s="393"/>
      <c r="H147" s="316">
        <f>H145*H146</f>
        <v>3412725.5489435908</v>
      </c>
      <c r="J147" s="582"/>
      <c r="K147" s="582"/>
    </row>
    <row r="148" spans="1:11">
      <c r="A148" s="373"/>
      <c r="B148" s="373"/>
      <c r="C148" s="414"/>
      <c r="D148" s="357"/>
      <c r="E148" s="401"/>
      <c r="F148" s="357"/>
      <c r="G148" s="357"/>
      <c r="H148" s="299"/>
      <c r="J148" s="582"/>
      <c r="K148" s="582"/>
    </row>
    <row r="149" spans="1:11">
      <c r="A149" s="373"/>
      <c r="B149" s="359" t="s">
        <v>98</v>
      </c>
      <c r="C149" s="288"/>
      <c r="D149" s="357"/>
      <c r="E149" s="401"/>
      <c r="F149" s="357"/>
      <c r="G149" s="357"/>
      <c r="H149" s="299"/>
      <c r="J149" s="582"/>
      <c r="K149" s="582"/>
    </row>
    <row r="150" spans="1:11">
      <c r="A150" s="373">
        <f>+A147+1</f>
        <v>84</v>
      </c>
      <c r="B150" s="421"/>
      <c r="C150" s="398" t="s">
        <v>99</v>
      </c>
      <c r="D150" s="447"/>
      <c r="E150" s="362" t="str">
        <f>"(Note "&amp;B$322&amp;")"</f>
        <v>(Note E)</v>
      </c>
      <c r="F150" s="294" t="str">
        <f>"(Attachment 4, Line "&amp;'4 - Cost Support'!A88&amp;")"</f>
        <v>(Attachment 4, Line 30)</v>
      </c>
      <c r="G150" s="288"/>
      <c r="H150" s="294">
        <f>+'4 - Cost Support'!S88</f>
        <v>150000</v>
      </c>
      <c r="J150" s="582"/>
      <c r="K150" s="582"/>
    </row>
    <row r="151" spans="1:11">
      <c r="A151" s="373">
        <f>+A150+1</f>
        <v>85</v>
      </c>
      <c r="B151" s="421"/>
      <c r="C151" s="396" t="s">
        <v>100</v>
      </c>
      <c r="D151" s="448"/>
      <c r="E151" s="376" t="str">
        <f>"(Note "&amp;B339&amp;")"</f>
        <v>(Note O)</v>
      </c>
      <c r="F151" s="298" t="str">
        <f>"(Attachment 4, Line "&amp;'4 - Cost Support'!A79&amp;")"</f>
        <v>(Attachment 4, Line 27)</v>
      </c>
      <c r="G151" s="374"/>
      <c r="H151" s="298">
        <f>+'4 - Cost Support'!S79</f>
        <v>3225856.250140897</v>
      </c>
      <c r="J151" s="582"/>
      <c r="K151" s="582"/>
    </row>
    <row r="152" spans="1:11">
      <c r="A152" s="373">
        <f>+A151+1</f>
        <v>86</v>
      </c>
      <c r="B152" s="421"/>
      <c r="C152" s="398" t="s">
        <v>101</v>
      </c>
      <c r="D152" s="336"/>
      <c r="E152" s="422"/>
      <c r="F152" s="299" t="str">
        <f>"(Line "&amp;A150&amp;" + Line "&amp;A151&amp;")"</f>
        <v>(Line 84 + Line 85)</v>
      </c>
      <c r="G152" s="288"/>
      <c r="H152" s="307">
        <f>SUM(H150:H151)</f>
        <v>3375856.250140897</v>
      </c>
      <c r="J152" s="582"/>
      <c r="K152" s="582"/>
    </row>
    <row r="153" spans="1:11">
      <c r="A153" s="373"/>
      <c r="B153" s="421"/>
      <c r="C153" s="398"/>
      <c r="D153" s="336"/>
      <c r="E153" s="422"/>
      <c r="F153" s="398"/>
      <c r="G153" s="288"/>
      <c r="H153" s="315"/>
      <c r="J153" s="582"/>
      <c r="K153" s="582"/>
    </row>
    <row r="154" spans="1:11">
      <c r="A154" s="373">
        <f>+A152+1</f>
        <v>87</v>
      </c>
      <c r="B154" s="421"/>
      <c r="C154" s="398" t="s">
        <v>102</v>
      </c>
      <c r="D154" s="336"/>
      <c r="E154" s="362"/>
      <c r="F154" s="398" t="str">
        <f>"(Line "&amp;A141&amp;")"</f>
        <v>(Line 77)</v>
      </c>
      <c r="G154" s="288"/>
      <c r="H154" s="307">
        <f>H141</f>
        <v>4444530</v>
      </c>
      <c r="J154" s="582"/>
      <c r="K154" s="582"/>
    </row>
    <row r="155" spans="1:11">
      <c r="A155" s="373">
        <f>+A154+1</f>
        <v>88</v>
      </c>
      <c r="B155" s="373"/>
      <c r="C155" s="420" t="s">
        <v>22</v>
      </c>
      <c r="D155" s="332"/>
      <c r="E155" s="373"/>
      <c r="F155" s="298" t="str">
        <f>"(Line "&amp;A$27&amp;")"</f>
        <v>(Line 12)</v>
      </c>
      <c r="G155" s="315"/>
      <c r="H155" s="744">
        <f>H27</f>
        <v>0.20363964961424239</v>
      </c>
      <c r="J155" s="582"/>
      <c r="K155" s="582"/>
    </row>
    <row r="156" spans="1:11">
      <c r="A156" s="373">
        <f>+A155+1</f>
        <v>89</v>
      </c>
      <c r="B156" s="373"/>
      <c r="C156" s="446" t="s">
        <v>73</v>
      </c>
      <c r="D156" s="393"/>
      <c r="E156" s="400"/>
      <c r="F156" s="299" t="str">
        <f>"(Line "&amp;A154&amp;" * Line "&amp;A155&amp;")"</f>
        <v>(Line 87 * Line 88)</v>
      </c>
      <c r="G156" s="303"/>
      <c r="H156" s="316">
        <f>+H154*H155</f>
        <v>905082.53189998865</v>
      </c>
      <c r="J156" s="582"/>
      <c r="K156" s="582"/>
    </row>
    <row r="157" spans="1:11">
      <c r="A157" s="373"/>
      <c r="B157" s="373"/>
      <c r="C157" s="414"/>
      <c r="D157" s="357"/>
      <c r="E157" s="401"/>
      <c r="F157" s="299"/>
      <c r="G157" s="299"/>
      <c r="H157" s="632"/>
      <c r="J157" s="582"/>
      <c r="K157" s="582"/>
    </row>
    <row r="158" spans="1:11">
      <c r="A158" s="373">
        <f>+A156+1</f>
        <v>90</v>
      </c>
      <c r="B158" s="373"/>
      <c r="C158" s="359" t="s">
        <v>103</v>
      </c>
      <c r="D158" s="336"/>
      <c r="E158" s="372"/>
      <c r="F158" s="299" t="str">
        <f>"(Lines "&amp;A147&amp;" + "&amp;A152&amp;" + "&amp;A156&amp;")"</f>
        <v>(Lines 83 + 86 + 89)</v>
      </c>
      <c r="G158" s="336"/>
      <c r="H158" s="306">
        <f>+H147+H152+H156</f>
        <v>7693664.330984477</v>
      </c>
      <c r="J158" s="582"/>
      <c r="K158" s="582"/>
    </row>
    <row r="159" spans="1:11">
      <c r="A159" s="373"/>
      <c r="B159" s="373"/>
      <c r="C159" s="359"/>
      <c r="D159" s="336"/>
      <c r="E159" s="372"/>
      <c r="F159" s="299"/>
      <c r="G159" s="336"/>
      <c r="H159" s="299"/>
      <c r="J159" s="582"/>
      <c r="K159" s="582"/>
    </row>
    <row r="160" spans="1:11">
      <c r="A160" s="373">
        <f>+A158+1</f>
        <v>91</v>
      </c>
      <c r="B160" s="373"/>
      <c r="C160" s="359" t="str">
        <f>+'4 - Cost Support'!C220</f>
        <v>Customers Accounts Expenses</v>
      </c>
      <c r="D160" s="336"/>
      <c r="E160" s="362"/>
      <c r="F160" s="294" t="str">
        <f>"(Attachment 4, Line "&amp;'4 - Cost Support'!A220&amp;")"</f>
        <v>(Attachment 4, Line 77)</v>
      </c>
      <c r="G160" s="336"/>
      <c r="H160" s="299">
        <f>+'4 - Cost Support'!T220</f>
        <v>27774773</v>
      </c>
      <c r="J160" s="582"/>
      <c r="K160" s="582"/>
    </row>
    <row r="161" spans="1:11">
      <c r="A161" s="373">
        <f t="shared" ref="A161:A166" si="1">+A160+1</f>
        <v>92</v>
      </c>
      <c r="B161" s="373"/>
      <c r="C161" s="359" t="str">
        <f>+'4 - Cost Support'!C221</f>
        <v>Customer Services and Informational Expenses</v>
      </c>
      <c r="D161" s="336"/>
      <c r="E161" s="362"/>
      <c r="F161" s="294" t="str">
        <f>"(Attachment 4, Line "&amp;'4 - Cost Support'!A221&amp;")"</f>
        <v>(Attachment 4, Line 78)</v>
      </c>
      <c r="G161" s="336"/>
      <c r="H161" s="299">
        <f>+'4 - Cost Support'!T221</f>
        <v>28254644</v>
      </c>
      <c r="J161" s="582"/>
      <c r="K161" s="582"/>
    </row>
    <row r="162" spans="1:11">
      <c r="A162" s="373">
        <f t="shared" si="1"/>
        <v>93</v>
      </c>
      <c r="B162" s="373"/>
      <c r="C162" s="414" t="str">
        <f>+'4 - Cost Support'!C222</f>
        <v>Sales Expenses</v>
      </c>
      <c r="D162" s="357"/>
      <c r="E162" s="362"/>
      <c r="F162" s="299" t="str">
        <f>"(Attachment 4, Line "&amp;'4 - Cost Support'!A222&amp;")"</f>
        <v>(Attachment 4, Line 79)</v>
      </c>
      <c r="G162" s="357"/>
      <c r="H162" s="299">
        <f>+'4 - Cost Support'!T222</f>
        <v>0</v>
      </c>
      <c r="J162" s="582"/>
      <c r="K162" s="582"/>
    </row>
    <row r="163" spans="1:11">
      <c r="A163" s="373">
        <f t="shared" si="1"/>
        <v>94</v>
      </c>
      <c r="B163" s="373"/>
      <c r="C163" s="396" t="s">
        <v>104</v>
      </c>
      <c r="D163" s="397"/>
      <c r="E163" s="376"/>
      <c r="F163" s="298" t="str">
        <f>"(Attachment 4, Line "&amp;'4 - Cost Support'!A223&amp;")"</f>
        <v>(Attachment 4, Line 80)</v>
      </c>
      <c r="G163" s="397"/>
      <c r="H163" s="298">
        <f>+'4 - Cost Support'!T223</f>
        <v>26842106.059999999</v>
      </c>
      <c r="J163" s="582"/>
      <c r="K163" s="582"/>
    </row>
    <row r="164" spans="1:11">
      <c r="A164" s="373">
        <f t="shared" si="1"/>
        <v>95</v>
      </c>
      <c r="B164" s="373"/>
      <c r="C164" s="359" t="s">
        <v>105</v>
      </c>
      <c r="D164" s="336"/>
      <c r="E164" s="372"/>
      <c r="F164" s="299" t="str">
        <f>"(Lines "&amp;A160&amp;" + "&amp;A161&amp;" + "&amp;A162&amp;" - "&amp;A163&amp;")"</f>
        <v>(Lines 91 + 92 + 93 - 94)</v>
      </c>
      <c r="G164" s="336"/>
      <c r="H164" s="299">
        <f>+H160+H161+H162-H163</f>
        <v>29187310.940000001</v>
      </c>
      <c r="J164" s="582"/>
      <c r="K164" s="582"/>
    </row>
    <row r="165" spans="1:11">
      <c r="A165" s="373">
        <f t="shared" si="1"/>
        <v>96</v>
      </c>
      <c r="B165" s="373"/>
      <c r="C165" s="396" t="s">
        <v>23</v>
      </c>
      <c r="D165" s="397"/>
      <c r="E165" s="633"/>
      <c r="F165" s="397" t="str">
        <f>"(Line "&amp;A$33&amp;")"</f>
        <v>(Line 17)</v>
      </c>
      <c r="G165" s="397"/>
      <c r="H165" s="743">
        <f>+H33</f>
        <v>0.18298233367566416</v>
      </c>
      <c r="J165" s="582"/>
      <c r="K165" s="582"/>
    </row>
    <row r="166" spans="1:11">
      <c r="A166" s="373">
        <f t="shared" si="1"/>
        <v>97</v>
      </c>
      <c r="B166" s="373"/>
      <c r="C166" s="359" t="s">
        <v>106</v>
      </c>
      <c r="D166" s="336"/>
      <c r="E166" s="372"/>
      <c r="F166" s="299" t="str">
        <f>"(Line "&amp;A164&amp;" * Line "&amp;A165&amp;")"</f>
        <v>(Line 95 * Line 96)</v>
      </c>
      <c r="G166" s="336"/>
      <c r="H166" s="306">
        <f>+H164*H165</f>
        <v>5340762.2695184434</v>
      </c>
      <c r="J166" s="582"/>
      <c r="K166" s="582"/>
    </row>
    <row r="167" spans="1:11" ht="21" thickBot="1">
      <c r="A167" s="373"/>
      <c r="B167" s="373"/>
      <c r="C167" s="359"/>
      <c r="D167" s="336"/>
      <c r="E167" s="372"/>
      <c r="F167" s="592"/>
      <c r="G167" s="336"/>
      <c r="H167" s="306"/>
      <c r="J167" s="582"/>
      <c r="K167" s="582"/>
    </row>
    <row r="168" spans="1:11" ht="21" thickBot="1">
      <c r="A168" s="373">
        <f>+A166+1</f>
        <v>98</v>
      </c>
      <c r="B168" s="373"/>
      <c r="C168" s="449" t="s">
        <v>107</v>
      </c>
      <c r="D168" s="450"/>
      <c r="E168" s="451"/>
      <c r="F168" s="317" t="str">
        <f>"(Lines "&amp;A137&amp;" + "&amp;A158&amp;" + "&amp;A166&amp;")"</f>
        <v>(Lines 75 + 90 + 97)</v>
      </c>
      <c r="G168" s="450"/>
      <c r="H168" s="773">
        <f>+H137+H158+H166</f>
        <v>21243763.884512704</v>
      </c>
      <c r="J168" s="625"/>
      <c r="K168" s="582"/>
    </row>
    <row r="169" spans="1:11">
      <c r="A169" s="388"/>
      <c r="B169" s="360"/>
      <c r="C169" s="359"/>
      <c r="D169" s="336"/>
      <c r="E169" s="304"/>
      <c r="F169" s="320"/>
      <c r="G169" s="320"/>
      <c r="H169" s="296"/>
      <c r="J169" s="582"/>
      <c r="K169" s="582"/>
    </row>
    <row r="170" spans="1:11">
      <c r="A170" s="441" t="s">
        <v>108</v>
      </c>
      <c r="B170" s="442"/>
      <c r="C170" s="443"/>
      <c r="D170" s="444"/>
      <c r="E170" s="445"/>
      <c r="F170" s="305"/>
      <c r="G170" s="305"/>
      <c r="H170" s="291"/>
      <c r="J170" s="582"/>
      <c r="K170" s="582"/>
    </row>
    <row r="171" spans="1:11">
      <c r="A171" s="359"/>
      <c r="B171" s="360"/>
      <c r="C171" s="359"/>
      <c r="D171" s="336"/>
      <c r="E171" s="304"/>
      <c r="F171" s="320"/>
      <c r="G171" s="320"/>
      <c r="H171" s="296"/>
      <c r="J171" s="582"/>
      <c r="K171" s="582"/>
    </row>
    <row r="172" spans="1:11">
      <c r="A172" s="335"/>
      <c r="B172" s="416" t="s">
        <v>109</v>
      </c>
      <c r="C172" s="288"/>
      <c r="F172" s="410"/>
      <c r="G172" s="452"/>
      <c r="H172" s="318"/>
      <c r="J172" s="582"/>
      <c r="K172" s="582"/>
    </row>
    <row r="173" spans="1:11">
      <c r="A173" s="373">
        <f>+A168+1</f>
        <v>99</v>
      </c>
      <c r="B173" s="421"/>
      <c r="C173" s="398" t="s">
        <v>110</v>
      </c>
      <c r="D173" s="336"/>
      <c r="E173" s="362" t="str">
        <f>"(Note "&amp;B$324&amp;")"</f>
        <v>(Note G)</v>
      </c>
      <c r="F173" s="294" t="str">
        <f>"(Attachment 4, Line "&amp;'4 - Cost Support'!A102&amp;")"</f>
        <v>(Attachment 4, Line 32)</v>
      </c>
      <c r="G173" s="288"/>
      <c r="H173" s="306">
        <f>+'4 - Cost Support'!S102</f>
        <v>10714901.413802294</v>
      </c>
      <c r="J173" s="582"/>
      <c r="K173" s="582"/>
    </row>
    <row r="174" spans="1:11">
      <c r="A174" s="373">
        <f>+A173+1</f>
        <v>100</v>
      </c>
      <c r="B174" s="421"/>
      <c r="C174" s="398" t="s">
        <v>111</v>
      </c>
      <c r="D174" s="336"/>
      <c r="E174" s="362" t="str">
        <f>"(Note "&amp;B$336&amp;")"</f>
        <v>(Note M)</v>
      </c>
      <c r="F174" s="294" t="str">
        <f>"(Attachment 4, Line "&amp;'4 - Cost Support'!A185&amp;")"</f>
        <v>(Attachment 4, Line 68)</v>
      </c>
      <c r="G174" s="288"/>
      <c r="H174" s="306">
        <f>+'4 - Cost Support'!H185</f>
        <v>0</v>
      </c>
      <c r="J174" s="582"/>
      <c r="K174" s="582"/>
    </row>
    <row r="175" spans="1:11">
      <c r="A175" s="373"/>
      <c r="B175" s="421"/>
      <c r="C175" s="398"/>
      <c r="D175" s="336"/>
      <c r="E175" s="362"/>
      <c r="F175" s="398"/>
      <c r="G175" s="288"/>
      <c r="H175" s="306"/>
      <c r="J175" s="582"/>
      <c r="K175" s="582"/>
    </row>
    <row r="176" spans="1:11">
      <c r="A176" s="373">
        <f>+A174+1</f>
        <v>101</v>
      </c>
      <c r="B176" s="421"/>
      <c r="C176" s="420" t="s">
        <v>112</v>
      </c>
      <c r="D176" s="357"/>
      <c r="E176" s="362" t="str">
        <f>"(Note "&amp;B$324&amp;")"</f>
        <v>(Note G)</v>
      </c>
      <c r="F176" s="294" t="str">
        <f>"(Attachment 4, Line "&amp;'4 - Cost Support'!A103&amp;")"</f>
        <v>(Attachment 4, Line 33)</v>
      </c>
      <c r="G176" s="289"/>
      <c r="H176" s="306">
        <f>+'4 - Cost Support'!S103</f>
        <v>1626797.4667466106</v>
      </c>
      <c r="J176" s="582"/>
      <c r="K176" s="582"/>
    </row>
    <row r="177" spans="1:11">
      <c r="A177" s="373">
        <f>+A176+1</f>
        <v>102</v>
      </c>
      <c r="B177" s="421"/>
      <c r="C177" s="423" t="s">
        <v>113</v>
      </c>
      <c r="D177" s="397"/>
      <c r="E177" s="376" t="str">
        <f>"(Note "&amp;B317&amp;" &amp; "&amp;B$324&amp;")"</f>
        <v>(Note A &amp; G)</v>
      </c>
      <c r="F177" s="298" t="str">
        <f>"(Attachment 4, Line "&amp;'4 - Cost Support'!A104&amp;")"</f>
        <v>(Attachment 4, Line 34)</v>
      </c>
      <c r="G177" s="374"/>
      <c r="H177" s="298">
        <f>+'4 - Cost Support'!S104</f>
        <v>5408746.8241998227</v>
      </c>
      <c r="J177" s="582"/>
      <c r="K177" s="582"/>
    </row>
    <row r="178" spans="1:11">
      <c r="A178" s="373">
        <f>+A177+1</f>
        <v>103</v>
      </c>
      <c r="B178" s="421"/>
      <c r="C178" s="420" t="s">
        <v>75</v>
      </c>
      <c r="D178" s="357"/>
      <c r="E178" s="453"/>
      <c r="F178" s="299" t="str">
        <f>"(Line "&amp;A176&amp;" + Line "&amp;A177&amp;")"</f>
        <v>(Line 101 + Line 102)</v>
      </c>
      <c r="G178" s="288"/>
      <c r="H178" s="306">
        <f>+H176+H177</f>
        <v>7035544.2909464333</v>
      </c>
      <c r="J178" s="582"/>
      <c r="K178" s="582"/>
    </row>
    <row r="179" spans="1:11">
      <c r="A179" s="373">
        <f>+A178+1</f>
        <v>104</v>
      </c>
      <c r="B179" s="421"/>
      <c r="C179" s="423" t="s">
        <v>34</v>
      </c>
      <c r="D179" s="392"/>
      <c r="E179" s="454"/>
      <c r="F179" s="397" t="str">
        <f>"(Line "&amp;A$16&amp;")"</f>
        <v>(Line 5)</v>
      </c>
      <c r="G179" s="455"/>
      <c r="H179" s="743">
        <f>H16</f>
        <v>0.12146075795343095</v>
      </c>
      <c r="J179" s="582"/>
      <c r="K179" s="582"/>
    </row>
    <row r="180" spans="1:11">
      <c r="A180" s="373">
        <f>+A179+1</f>
        <v>105</v>
      </c>
      <c r="B180" s="421"/>
      <c r="C180" s="398" t="s">
        <v>114</v>
      </c>
      <c r="D180" s="336"/>
      <c r="E180" s="373"/>
      <c r="F180" s="299" t="str">
        <f>"(Line "&amp;A178&amp;" * Line "&amp;A179&amp;")"</f>
        <v>(Line 103 * Line 104)</v>
      </c>
      <c r="G180" s="315"/>
      <c r="H180" s="306">
        <f>H178*H179</f>
        <v>854542.54219328775</v>
      </c>
      <c r="J180" s="582"/>
      <c r="K180" s="582"/>
    </row>
    <row r="181" spans="1:11">
      <c r="A181" s="456"/>
      <c r="B181" s="457"/>
      <c r="C181" s="398"/>
      <c r="D181" s="336"/>
      <c r="E181" s="373"/>
      <c r="F181" s="398"/>
      <c r="G181" s="418"/>
      <c r="H181" s="319"/>
      <c r="J181" s="582"/>
      <c r="K181" s="582"/>
    </row>
    <row r="182" spans="1:11" s="17" customFormat="1" ht="21" thickBot="1">
      <c r="A182" s="360">
        <f>+A180+1</f>
        <v>106</v>
      </c>
      <c r="B182" s="458" t="s">
        <v>115</v>
      </c>
      <c r="C182" s="458"/>
      <c r="D182" s="459"/>
      <c r="E182" s="460"/>
      <c r="F182" s="458" t="str">
        <f>"(Lines "&amp;A173&amp;" + "&amp;A174&amp;" + "&amp;A180&amp;")"</f>
        <v>(Lines 99 + 100 + 105)</v>
      </c>
      <c r="G182" s="458"/>
      <c r="H182" s="773">
        <f>+H173+H174+H180</f>
        <v>11569443.955995582</v>
      </c>
      <c r="J182" s="582"/>
      <c r="K182" s="582"/>
    </row>
    <row r="183" spans="1:11">
      <c r="H183" s="452"/>
      <c r="J183" s="582"/>
      <c r="K183" s="582"/>
    </row>
    <row r="184" spans="1:11">
      <c r="A184" s="441" t="s">
        <v>116</v>
      </c>
      <c r="B184" s="442"/>
      <c r="C184" s="443"/>
      <c r="D184" s="444"/>
      <c r="E184" s="461"/>
      <c r="F184" s="305"/>
      <c r="G184" s="305"/>
      <c r="H184" s="774"/>
      <c r="J184" s="582"/>
      <c r="K184" s="582"/>
    </row>
    <row r="185" spans="1:11">
      <c r="A185" s="407"/>
      <c r="B185" s="360"/>
      <c r="C185" s="359"/>
      <c r="D185" s="336"/>
      <c r="E185" s="304"/>
      <c r="F185" s="320"/>
      <c r="G185" s="320"/>
      <c r="H185" s="775"/>
      <c r="J185" s="582"/>
      <c r="K185" s="582"/>
    </row>
    <row r="186" spans="1:11">
      <c r="A186" s="373">
        <f>+A182+1</f>
        <v>107</v>
      </c>
      <c r="B186" s="398" t="s">
        <v>117</v>
      </c>
      <c r="C186" s="419"/>
      <c r="E186" s="362"/>
      <c r="F186" s="294" t="str">
        <f>"(Attachment 2, Line "&amp;'2 - Other Taxes'!A29&amp;")"</f>
        <v>(Attachment 2, Line 11)</v>
      </c>
      <c r="G186" s="288"/>
      <c r="H186" s="307">
        <f>+'2 - Other Taxes'!G29</f>
        <v>15202555.077334238</v>
      </c>
      <c r="J186" s="582"/>
      <c r="K186" s="582"/>
    </row>
    <row r="187" spans="1:11">
      <c r="A187" s="391"/>
      <c r="B187" s="336"/>
      <c r="E187" s="360"/>
      <c r="F187" s="398"/>
      <c r="G187" s="288"/>
      <c r="H187" s="452"/>
      <c r="J187" s="582"/>
      <c r="K187" s="582"/>
    </row>
    <row r="188" spans="1:11" ht="21" thickBot="1">
      <c r="A188" s="373">
        <f>+A186+1</f>
        <v>108</v>
      </c>
      <c r="B188" s="449" t="s">
        <v>118</v>
      </c>
      <c r="C188" s="449"/>
      <c r="D188" s="459"/>
      <c r="E188" s="439"/>
      <c r="F188" s="440" t="str">
        <f>"(Line "&amp;A186&amp;")"</f>
        <v>(Line 107)</v>
      </c>
      <c r="G188" s="438"/>
      <c r="H188" s="772">
        <f>H186</f>
        <v>15202555.077334238</v>
      </c>
      <c r="J188" s="582"/>
      <c r="K188" s="582"/>
    </row>
    <row r="189" spans="1:11">
      <c r="A189" s="441" t="s">
        <v>119</v>
      </c>
      <c r="B189" s="442"/>
      <c r="C189" s="443"/>
      <c r="D189" s="444"/>
      <c r="E189" s="445"/>
      <c r="F189" s="305"/>
      <c r="G189" s="305"/>
      <c r="H189" s="291"/>
      <c r="J189" s="582"/>
      <c r="K189" s="582"/>
    </row>
    <row r="190" spans="1:11">
      <c r="A190" s="388"/>
      <c r="B190" s="360"/>
      <c r="C190" s="359"/>
      <c r="D190" s="336"/>
      <c r="E190" s="304"/>
      <c r="F190" s="320"/>
      <c r="G190" s="320"/>
      <c r="H190" s="844"/>
      <c r="J190" s="582"/>
      <c r="K190" s="582"/>
    </row>
    <row r="191" spans="1:11">
      <c r="A191" s="373">
        <f>+A188+1</f>
        <v>109</v>
      </c>
      <c r="B191" s="462" t="s">
        <v>120</v>
      </c>
      <c r="D191" s="381"/>
      <c r="E191" s="362"/>
      <c r="F191" s="294" t="str">
        <f>"(Attachment 4, Line "&amp;'4 - Cost Support'!A126&amp;")"</f>
        <v>(Attachment 4, Line 44)</v>
      </c>
      <c r="G191" s="301"/>
      <c r="H191" s="294">
        <f>+'4 - Cost Support'!S126</f>
        <v>25191736.047274709</v>
      </c>
      <c r="K191" s="582"/>
    </row>
    <row r="192" spans="1:11">
      <c r="A192" s="360"/>
      <c r="B192" s="360"/>
      <c r="C192" s="293"/>
      <c r="E192" s="382"/>
      <c r="F192" s="336"/>
      <c r="G192" s="293"/>
      <c r="H192" s="294"/>
      <c r="J192" s="582"/>
      <c r="K192" s="582"/>
    </row>
    <row r="193" spans="1:11">
      <c r="A193" s="360">
        <f>+A191+1</f>
        <v>110</v>
      </c>
      <c r="B193" s="463" t="s">
        <v>121</v>
      </c>
      <c r="E193" s="362"/>
      <c r="F193" s="294" t="str">
        <f>"(Attachment 4, Line "&amp;'4 - Cost Support'!A127&amp;")"</f>
        <v>(Attachment 4, Line 45)</v>
      </c>
      <c r="G193" s="293"/>
      <c r="H193" s="294">
        <f>+'4 - Cost Support'!S127</f>
        <v>0</v>
      </c>
      <c r="J193" s="582"/>
      <c r="K193" s="582"/>
    </row>
    <row r="194" spans="1:11">
      <c r="A194" s="360"/>
      <c r="B194" s="465" t="s">
        <v>122</v>
      </c>
      <c r="C194" s="366"/>
      <c r="E194" s="464"/>
      <c r="F194" s="294"/>
      <c r="G194" s="293"/>
      <c r="H194" s="293"/>
      <c r="J194" s="582"/>
      <c r="K194" s="582"/>
    </row>
    <row r="195" spans="1:11">
      <c r="A195" s="360"/>
      <c r="B195" s="465" t="s">
        <v>123</v>
      </c>
      <c r="E195" s="464"/>
      <c r="F195" s="294"/>
      <c r="G195" s="293"/>
      <c r="H195" s="293"/>
      <c r="J195" s="582"/>
      <c r="K195" s="582"/>
    </row>
    <row r="196" spans="1:11">
      <c r="A196" s="360">
        <f>+A193+1</f>
        <v>111</v>
      </c>
      <c r="B196" s="360"/>
      <c r="C196" s="293" t="s">
        <v>124</v>
      </c>
      <c r="D196" s="293"/>
      <c r="E196" s="362" t="str">
        <f>"(Note "&amp;B$334&amp;")"</f>
        <v>(Note K)</v>
      </c>
      <c r="F196" s="294" t="str">
        <f>"(Attachment 4, Line "&amp;'4 - Cost Support'!A128&amp;")"</f>
        <v>(Attachment 4, Line 46)</v>
      </c>
      <c r="G196" s="293"/>
      <c r="H196" s="294">
        <f>+'4 - Cost Support'!T128</f>
        <v>-737267572.99134326</v>
      </c>
      <c r="J196" s="582"/>
      <c r="K196" s="582"/>
    </row>
    <row r="197" spans="1:11">
      <c r="A197" s="373">
        <f>A196+1</f>
        <v>112</v>
      </c>
      <c r="B197" s="373"/>
      <c r="C197" s="294" t="s">
        <v>125</v>
      </c>
      <c r="D197" s="294"/>
      <c r="E197" s="362" t="str">
        <f>"(Note "&amp;B$334&amp;" )"</f>
        <v>(Note K )</v>
      </c>
      <c r="F197" s="294" t="str">
        <f>"(Attachment 4, Line "&amp;'4 - Cost Support'!A129&amp;")"</f>
        <v>(Attachment 4, Line 47)</v>
      </c>
      <c r="G197" s="293"/>
      <c r="H197" s="294">
        <f>+'4 - Cost Support'!T129</f>
        <v>30353973.876100004</v>
      </c>
      <c r="J197" s="582"/>
      <c r="K197" s="582"/>
    </row>
    <row r="198" spans="1:11">
      <c r="A198" s="373">
        <f>A197+1</f>
        <v>113</v>
      </c>
      <c r="B198" s="373"/>
      <c r="C198" s="294" t="s">
        <v>126</v>
      </c>
      <c r="D198" s="294"/>
      <c r="E198" s="362" t="str">
        <f>"(Note "&amp;B$334&amp;" )"</f>
        <v>(Note K )</v>
      </c>
      <c r="F198" s="294" t="str">
        <f>"(Attachment 4, Line "&amp;'4 - Cost Support'!A139&amp;")"</f>
        <v>(Attachment 4, Line 57)</v>
      </c>
      <c r="G198" s="293"/>
      <c r="H198" s="294">
        <f>+'4 - Cost Support'!T139</f>
        <v>0</v>
      </c>
      <c r="J198" s="582"/>
      <c r="K198" s="582"/>
    </row>
    <row r="199" spans="1:11">
      <c r="A199" s="373">
        <f>+A198+1</f>
        <v>114</v>
      </c>
      <c r="B199" s="373"/>
      <c r="C199" s="298" t="s">
        <v>127</v>
      </c>
      <c r="D199" s="298"/>
      <c r="E199" s="376" t="str">
        <f>"(Note "&amp;B$334&amp;")"</f>
        <v>(Note K)</v>
      </c>
      <c r="F199" s="298" t="str">
        <f>"(Attachment 4, Line "&amp;'4 - Cost Support'!A130&amp;")"</f>
        <v>(Attachment 4, Line 48)</v>
      </c>
      <c r="G199" s="466"/>
      <c r="H199" s="298">
        <f>+'4 - Cost Support'!T130</f>
        <v>0</v>
      </c>
      <c r="J199" s="625"/>
      <c r="K199" s="582"/>
    </row>
    <row r="200" spans="1:11">
      <c r="A200" s="373">
        <f>+A199+1</f>
        <v>115</v>
      </c>
      <c r="B200" s="373"/>
      <c r="C200" s="467" t="s">
        <v>123</v>
      </c>
      <c r="D200" s="299"/>
      <c r="E200" s="1078"/>
      <c r="F200" s="336" t="str">
        <f>"(Line "&amp;A196&amp;" - "&amp;A197&amp;" - "&amp;A198&amp;" - "&amp;A199&amp;")"</f>
        <v>(Line 111 - 112 - 113 - 114)</v>
      </c>
      <c r="G200" s="468"/>
      <c r="H200" s="293">
        <f>H196-H197-H198-H199</f>
        <v>-767621546.86744332</v>
      </c>
      <c r="J200" s="582"/>
      <c r="K200" s="582"/>
    </row>
    <row r="201" spans="1:11">
      <c r="A201" s="373"/>
      <c r="B201" s="373"/>
      <c r="C201" s="387"/>
      <c r="D201" s="336"/>
      <c r="E201" s="401"/>
      <c r="F201" s="294"/>
      <c r="G201" s="320"/>
      <c r="H201" s="293"/>
      <c r="J201" s="582"/>
      <c r="K201" s="582"/>
    </row>
    <row r="202" spans="1:11">
      <c r="A202" s="360">
        <f>+A200+1</f>
        <v>116</v>
      </c>
      <c r="B202" s="360"/>
      <c r="C202" s="465" t="s">
        <v>128</v>
      </c>
      <c r="E202" s="362" t="str">
        <f>"(Note "&amp;B$334&amp;")"</f>
        <v>(Note K)</v>
      </c>
      <c r="F202" s="294" t="str">
        <f>"(Attachment 4, Line "&amp;'4 - Cost Support'!A131&amp;")"</f>
        <v>(Attachment 4, Line 49)</v>
      </c>
      <c r="G202" s="320"/>
      <c r="H202" s="294">
        <f>+'4 - Cost Support'!T131</f>
        <v>-582269878.61628151</v>
      </c>
      <c r="J202" s="582"/>
      <c r="K202" s="582"/>
    </row>
    <row r="203" spans="1:11">
      <c r="A203" s="373">
        <f t="shared" ref="A203:A213" si="2">+A202+1</f>
        <v>117</v>
      </c>
      <c r="B203" s="360"/>
      <c r="C203" s="366" t="s">
        <v>129</v>
      </c>
      <c r="E203" s="362" t="str">
        <f>"(Note "&amp;B$334&amp;")"</f>
        <v>(Note K)</v>
      </c>
      <c r="F203" s="294" t="str">
        <f>"(Attachment 4, Line "&amp;'4 - Cost Support'!A132&amp;")"</f>
        <v>(Attachment 4, Line 50)</v>
      </c>
      <c r="G203" s="320"/>
      <c r="H203" s="294">
        <f>+'4 - Cost Support'!T132</f>
        <v>5724354.3400000008</v>
      </c>
      <c r="J203" s="582"/>
      <c r="K203" s="582"/>
    </row>
    <row r="204" spans="1:11">
      <c r="A204" s="373">
        <f t="shared" si="2"/>
        <v>118</v>
      </c>
      <c r="B204" s="360"/>
      <c r="C204" s="366" t="s">
        <v>130</v>
      </c>
      <c r="E204" s="362" t="str">
        <f t="shared" ref="E204:E205" si="3">"(Note "&amp;B$334&amp;")"</f>
        <v>(Note K)</v>
      </c>
      <c r="F204" s="294" t="str">
        <f>"(Attachment 4, Line "&amp;'4 - Cost Support'!A133&amp;")"</f>
        <v>(Attachment 4, Line 51)</v>
      </c>
      <c r="G204" s="320"/>
      <c r="H204" s="294">
        <f>+'4 - Cost Support'!T133</f>
        <v>0</v>
      </c>
      <c r="J204" s="582"/>
      <c r="K204" s="582"/>
    </row>
    <row r="205" spans="1:11">
      <c r="A205" s="373">
        <f t="shared" si="2"/>
        <v>119</v>
      </c>
      <c r="B205" s="360"/>
      <c r="C205" s="366" t="s">
        <v>131</v>
      </c>
      <c r="E205" s="362" t="str">
        <f t="shared" si="3"/>
        <v>(Note K)</v>
      </c>
      <c r="F205" s="294" t="str">
        <f>"(Attachment 4, Line "&amp;'4 - Cost Support'!A134&amp;")"</f>
        <v>(Attachment 4, Line 52)</v>
      </c>
      <c r="G205" s="320"/>
      <c r="H205" s="294">
        <f>+'4 - Cost Support'!T134</f>
        <v>2550885.56</v>
      </c>
      <c r="J205" s="582"/>
      <c r="K205" s="582"/>
    </row>
    <row r="206" spans="1:11">
      <c r="A206" s="373">
        <f t="shared" si="2"/>
        <v>120</v>
      </c>
      <c r="B206" s="360"/>
      <c r="C206" s="366" t="s">
        <v>132</v>
      </c>
      <c r="E206" s="362" t="str">
        <f>"(Note "&amp;B$334&amp;")"</f>
        <v>(Note K)</v>
      </c>
      <c r="F206" s="294" t="str">
        <f>"(Attachment 4, Line "&amp;'4 - Cost Support'!A135&amp;")"</f>
        <v>(Attachment 4, Line 53)</v>
      </c>
      <c r="G206" s="320"/>
      <c r="H206" s="294">
        <f>+'4 - Cost Support'!T135</f>
        <v>0</v>
      </c>
      <c r="J206" s="582"/>
      <c r="K206" s="582"/>
    </row>
    <row r="207" spans="1:11">
      <c r="A207" s="373">
        <f t="shared" si="2"/>
        <v>121</v>
      </c>
      <c r="B207" s="373"/>
      <c r="C207" s="395" t="s">
        <v>133</v>
      </c>
      <c r="D207" s="518"/>
      <c r="E207" s="362" t="str">
        <f>"(Note "&amp;B$334&amp;")"</f>
        <v>(Note K)</v>
      </c>
      <c r="F207" s="294" t="str">
        <f>"(Attachment 4, Line "&amp;'4 - Cost Support'!A136&amp;")"</f>
        <v>(Attachment 4, Line 54)</v>
      </c>
      <c r="G207" s="357"/>
      <c r="H207" s="299">
        <f>+'4 - Cost Support'!T136</f>
        <v>-2524474.5</v>
      </c>
      <c r="J207" s="582"/>
      <c r="K207" s="582"/>
    </row>
    <row r="208" spans="1:11">
      <c r="A208" s="373">
        <f>+A207+1</f>
        <v>122</v>
      </c>
      <c r="B208" s="373"/>
      <c r="C208" s="395" t="s">
        <v>134</v>
      </c>
      <c r="D208" s="518"/>
      <c r="E208" s="362" t="str">
        <f t="shared" ref="E208:E209" si="4">"(Note "&amp;B$334&amp;")"</f>
        <v>(Note K)</v>
      </c>
      <c r="F208" s="294" t="str">
        <f>"(Attachment 4, Line "&amp;'4 - Cost Support'!A137&amp;")"</f>
        <v>(Attachment 4, Line 55)</v>
      </c>
      <c r="G208" s="357"/>
      <c r="H208" s="299">
        <f>+'4 - Cost Support'!T137</f>
        <v>0</v>
      </c>
      <c r="J208" s="582"/>
      <c r="K208" s="582"/>
    </row>
    <row r="209" spans="1:11">
      <c r="A209" s="373">
        <f>+A208+1</f>
        <v>123</v>
      </c>
      <c r="B209" s="373"/>
      <c r="C209" s="396" t="s">
        <v>135</v>
      </c>
      <c r="D209" s="766"/>
      <c r="E209" s="376" t="str">
        <f t="shared" si="4"/>
        <v>(Note K)</v>
      </c>
      <c r="F209" s="298" t="str">
        <f>"(Attachment 4, Line "&amp;'4 - Cost Support'!A138&amp;")"</f>
        <v>(Attachment 4, Line 56)</v>
      </c>
      <c r="G209" s="397"/>
      <c r="H209" s="298">
        <f>+'4 - Cost Support'!T138</f>
        <v>0</v>
      </c>
      <c r="J209" s="582"/>
      <c r="K209" s="582"/>
    </row>
    <row r="210" spans="1:11" ht="60.75">
      <c r="A210" s="373">
        <f>+A209+1</f>
        <v>124</v>
      </c>
      <c r="B210" s="373"/>
      <c r="C210" s="414" t="s">
        <v>128</v>
      </c>
      <c r="D210" s="357"/>
      <c r="E210" s="1078"/>
      <c r="F210" s="786" t="str">
        <f>"(Line "&amp;A202&amp;" + "&amp;A203&amp;" + "&amp;A204&amp;" + "&amp;A205&amp;" + "&amp;A206&amp;" + "&amp;A207&amp;" + "&amp;A208&amp;" + "&amp;A209&amp;")"</f>
        <v>(Line 116 + 117 + 118 + 119 + 120 + 121 + 122 + 123)</v>
      </c>
      <c r="G210" s="357"/>
      <c r="H210" s="299">
        <f>+SUM(H202:H209)</f>
        <v>-576519113.21628153</v>
      </c>
      <c r="I210" s="974"/>
      <c r="J210" s="582"/>
      <c r="K210" s="582"/>
    </row>
    <row r="211" spans="1:11">
      <c r="A211" s="373">
        <f t="shared" si="2"/>
        <v>125</v>
      </c>
      <c r="B211" s="360"/>
      <c r="C211" s="465" t="s">
        <v>136</v>
      </c>
      <c r="E211" s="362"/>
      <c r="F211" s="299" t="str">
        <f>+"(Line "&amp;A198&amp;")"</f>
        <v>(Line 113)</v>
      </c>
      <c r="G211" s="320"/>
      <c r="H211" s="294">
        <f>+'4 - Cost Support'!T139</f>
        <v>0</v>
      </c>
      <c r="I211" s="974"/>
      <c r="J211" s="582"/>
      <c r="K211" s="582"/>
    </row>
    <row r="212" spans="1:11">
      <c r="A212" s="373">
        <f t="shared" si="2"/>
        <v>126</v>
      </c>
      <c r="B212" s="360"/>
      <c r="C212" s="465" t="s">
        <v>123</v>
      </c>
      <c r="E212" s="362"/>
      <c r="F212" s="298" t="str">
        <f>+"(Line "&amp;A200&amp;")"</f>
        <v>(Line 115)</v>
      </c>
      <c r="G212" s="320"/>
      <c r="H212" s="301">
        <f>H200</f>
        <v>-767621546.86744332</v>
      </c>
      <c r="I212" s="974"/>
      <c r="J212" s="117"/>
      <c r="K212" s="582"/>
    </row>
    <row r="213" spans="1:11">
      <c r="A213" s="373">
        <f t="shared" si="2"/>
        <v>127</v>
      </c>
      <c r="B213" s="360"/>
      <c r="C213" s="446" t="s">
        <v>137</v>
      </c>
      <c r="D213" s="365"/>
      <c r="E213" s="379"/>
      <c r="F213" s="299" t="str">
        <f>"(Line "&amp;A210&amp;" + Line"&amp;A211&amp;" + Line "&amp;A212&amp;")"</f>
        <v>(Line 124 + Line125 + Line 126)</v>
      </c>
      <c r="G213" s="295"/>
      <c r="H213" s="295">
        <f>SUM(H210:H212)</f>
        <v>-1344140660.083725</v>
      </c>
      <c r="I213" s="975"/>
      <c r="J213" s="117"/>
      <c r="K213" s="582"/>
    </row>
    <row r="214" spans="1:11">
      <c r="A214" s="360"/>
      <c r="B214" s="360"/>
      <c r="C214" s="366"/>
      <c r="F214" s="288"/>
      <c r="G214" s="293"/>
      <c r="H214" s="304"/>
      <c r="J214" s="582"/>
      <c r="K214" s="582"/>
    </row>
    <row r="215" spans="1:11">
      <c r="A215" s="373">
        <f>+A213+1</f>
        <v>128</v>
      </c>
      <c r="B215" s="360"/>
      <c r="C215" s="469" t="s">
        <v>138</v>
      </c>
      <c r="D215" s="395" t="s">
        <v>139</v>
      </c>
      <c r="E215" s="362"/>
      <c r="F215" s="299" t="str">
        <f>"(Line "&amp;A210&amp;" / Line "&amp;A213&amp;")"</f>
        <v>(Line 124 / Line 127)</v>
      </c>
      <c r="G215" s="293"/>
      <c r="H215" s="776">
        <f>+H210/H213</f>
        <v>0.42891278445543846</v>
      </c>
      <c r="J215" s="582"/>
      <c r="K215" s="582"/>
    </row>
    <row r="216" spans="1:11">
      <c r="A216" s="373">
        <f>+A215+1</f>
        <v>129</v>
      </c>
      <c r="B216" s="360"/>
      <c r="C216" s="469" t="s">
        <v>140</v>
      </c>
      <c r="D216" s="366" t="s">
        <v>136</v>
      </c>
      <c r="E216" s="362"/>
      <c r="F216" s="299" t="str">
        <f>"(Line "&amp;A211&amp;" / Line "&amp;A213&amp;")"</f>
        <v>(Line 125 / Line 127)</v>
      </c>
      <c r="G216" s="293"/>
      <c r="H216" s="777">
        <f>+H211/H213</f>
        <v>0</v>
      </c>
      <c r="J216" s="582"/>
      <c r="K216" s="582"/>
    </row>
    <row r="217" spans="1:11">
      <c r="A217" s="373">
        <f>+A216+1</f>
        <v>130</v>
      </c>
      <c r="B217" s="360"/>
      <c r="C217" s="469" t="s">
        <v>141</v>
      </c>
      <c r="D217" s="366" t="s">
        <v>123</v>
      </c>
      <c r="E217" s="362"/>
      <c r="F217" s="299" t="str">
        <f>"(Line "&amp;A212&amp;" / Line "&amp;A213&amp;")"</f>
        <v>(Line 126 / Line 127)</v>
      </c>
      <c r="G217" s="293"/>
      <c r="H217" s="776">
        <f>+H212/H213</f>
        <v>0.57108721554456143</v>
      </c>
      <c r="J217" s="582"/>
      <c r="K217" s="582"/>
    </row>
    <row r="218" spans="1:11">
      <c r="A218" s="373"/>
      <c r="B218" s="360"/>
      <c r="C218" s="470"/>
      <c r="F218" s="294"/>
      <c r="G218" s="293"/>
      <c r="H218" s="768"/>
      <c r="J218" s="582"/>
      <c r="K218" s="582"/>
    </row>
    <row r="219" spans="1:11">
      <c r="A219" s="373">
        <f>+A217+1</f>
        <v>131</v>
      </c>
      <c r="B219" s="360"/>
      <c r="C219" s="470" t="s">
        <v>142</v>
      </c>
      <c r="D219" s="395" t="s">
        <v>139</v>
      </c>
      <c r="F219" s="299" t="str">
        <f>"(Line "&amp;A191&amp;" / Line "&amp;A210&amp;")"</f>
        <v>(Line 109 / Line 124)</v>
      </c>
      <c r="G219" s="293"/>
      <c r="H219" s="776">
        <f>+H191/H210*-1</f>
        <v>4.36962721092371E-2</v>
      </c>
      <c r="J219" s="582"/>
      <c r="K219" s="582"/>
    </row>
    <row r="220" spans="1:11">
      <c r="A220" s="373">
        <f>+A219+1</f>
        <v>132</v>
      </c>
      <c r="B220" s="360"/>
      <c r="C220" s="470" t="s">
        <v>143</v>
      </c>
      <c r="D220" s="366" t="s">
        <v>136</v>
      </c>
      <c r="F220" s="299" t="str">
        <f>"(Line "&amp;A193&amp;" / Line "&amp;A211&amp;")"</f>
        <v>(Line 110 / Line 125)</v>
      </c>
      <c r="G220" s="293"/>
      <c r="H220" s="776">
        <f>+IF(H211=0,0,H193/H211)</f>
        <v>0</v>
      </c>
      <c r="J220" s="582"/>
      <c r="K220" s="582"/>
    </row>
    <row r="221" spans="1:11">
      <c r="A221" s="373">
        <f>+A220+1</f>
        <v>133</v>
      </c>
      <c r="B221" s="360"/>
      <c r="C221" s="470" t="s">
        <v>144</v>
      </c>
      <c r="D221" s="366" t="s">
        <v>123</v>
      </c>
      <c r="E221" s="362" t="str">
        <f>"(Note "&amp;B$324&amp;")"</f>
        <v>(Note G)</v>
      </c>
      <c r="F221" s="294" t="s">
        <v>145</v>
      </c>
      <c r="G221" s="293"/>
      <c r="H221" s="979">
        <v>0.10390000000000001</v>
      </c>
      <c r="J221" s="582"/>
      <c r="K221" s="582"/>
    </row>
    <row r="222" spans="1:11">
      <c r="A222" s="373"/>
      <c r="B222" s="360"/>
      <c r="C222" s="470"/>
      <c r="F222" s="294"/>
      <c r="G222" s="293"/>
      <c r="H222" s="452"/>
      <c r="J222" s="582"/>
      <c r="K222" s="582"/>
    </row>
    <row r="223" spans="1:11">
      <c r="A223" s="373">
        <f>+A221+1</f>
        <v>134</v>
      </c>
      <c r="B223" s="360"/>
      <c r="C223" s="469" t="s">
        <v>146</v>
      </c>
      <c r="D223" s="395" t="s">
        <v>147</v>
      </c>
      <c r="F223" s="299" t="str">
        <f>"(Line "&amp;A215&amp;" * Line "&amp;A219&amp;")"</f>
        <v>(Line 128 * Line 131)</v>
      </c>
      <c r="G223" s="471"/>
      <c r="H223" s="777">
        <f>H215*H219</f>
        <v>1.8741889740695399E-2</v>
      </c>
      <c r="J223" s="582"/>
      <c r="K223" s="582"/>
    </row>
    <row r="224" spans="1:11">
      <c r="A224" s="373">
        <f>+A223+1</f>
        <v>135</v>
      </c>
      <c r="B224" s="360"/>
      <c r="C224" s="469" t="s">
        <v>148</v>
      </c>
      <c r="D224" s="366" t="s">
        <v>136</v>
      </c>
      <c r="F224" s="299" t="str">
        <f>"(Line "&amp;A216&amp;" * Line "&amp;A220&amp;")"</f>
        <v>(Line 129 * Line 132)</v>
      </c>
      <c r="G224" s="452"/>
      <c r="H224" s="777">
        <f>H216*H220</f>
        <v>0</v>
      </c>
      <c r="J224" s="582"/>
      <c r="K224" s="582"/>
    </row>
    <row r="225" spans="1:11">
      <c r="A225" s="373">
        <f>+A224+1</f>
        <v>136</v>
      </c>
      <c r="B225" s="472"/>
      <c r="C225" s="473" t="s">
        <v>149</v>
      </c>
      <c r="D225" s="474" t="s">
        <v>123</v>
      </c>
      <c r="E225" s="475"/>
      <c r="F225" s="298" t="str">
        <f>"(Line "&amp;A217&amp;" * Line "&amp;A221&amp;")"</f>
        <v>(Line 130 * Line 133)</v>
      </c>
      <c r="G225" s="476"/>
      <c r="H225" s="778">
        <f>H217*H221</f>
        <v>5.9335961695079938E-2</v>
      </c>
      <c r="J225" s="582"/>
      <c r="K225" s="582"/>
    </row>
    <row r="226" spans="1:11" s="17" customFormat="1">
      <c r="A226" s="360">
        <f>+A225+1</f>
        <v>137</v>
      </c>
      <c r="B226" s="477" t="s">
        <v>150</v>
      </c>
      <c r="C226" s="477"/>
      <c r="D226" s="478"/>
      <c r="E226" s="433"/>
      <c r="F226" s="299" t="str">
        <f>"(Lines "&amp;A223&amp;" + "&amp;A224&amp;" + "&amp;A225&amp;")"</f>
        <v>(Lines 134 + 135 + 136)</v>
      </c>
      <c r="G226" s="479"/>
      <c r="H226" s="779">
        <f>SUM(H223:H225)</f>
        <v>7.8077851435775336E-2</v>
      </c>
      <c r="J226" s="582"/>
      <c r="K226" s="582"/>
    </row>
    <row r="227" spans="1:11" s="17" customFormat="1">
      <c r="A227" s="480"/>
      <c r="B227" s="480"/>
      <c r="C227" s="477"/>
      <c r="D227" s="478"/>
      <c r="E227" s="433"/>
      <c r="F227" s="467"/>
      <c r="G227" s="479"/>
      <c r="H227" s="780"/>
      <c r="J227" s="582"/>
      <c r="K227" s="582"/>
    </row>
    <row r="228" spans="1:11" ht="21" thickBot="1">
      <c r="A228" s="360">
        <f>+A226+1</f>
        <v>138</v>
      </c>
      <c r="B228" s="481" t="s">
        <v>151</v>
      </c>
      <c r="C228" s="482"/>
      <c r="D228" s="459"/>
      <c r="E228" s="483"/>
      <c r="F228" s="317" t="str">
        <f>"(Line "&amp;A130&amp;" * Line "&amp;A226&amp;")"</f>
        <v>(Line 72 * Line 137)</v>
      </c>
      <c r="G228" s="484"/>
      <c r="H228" s="772">
        <f>H130*H226</f>
        <v>19190290.321695466</v>
      </c>
      <c r="J228" s="582"/>
      <c r="K228" s="582"/>
    </row>
    <row r="229" spans="1:11">
      <c r="A229" s="441" t="s">
        <v>152</v>
      </c>
      <c r="B229" s="442"/>
      <c r="C229" s="443"/>
      <c r="D229" s="444"/>
      <c r="E229" s="461"/>
      <c r="F229" s="305"/>
      <c r="G229" s="305"/>
      <c r="H229" s="291"/>
      <c r="J229" s="582"/>
      <c r="K229" s="582"/>
    </row>
    <row r="230" spans="1:11">
      <c r="A230" s="360" t="s">
        <v>153</v>
      </c>
      <c r="B230" s="485" t="s">
        <v>154</v>
      </c>
      <c r="E230" s="304"/>
      <c r="F230" s="293"/>
      <c r="G230" s="486"/>
      <c r="H230" s="320"/>
      <c r="J230" s="582"/>
      <c r="K230" s="582"/>
    </row>
    <row r="231" spans="1:11">
      <c r="A231" s="360">
        <f>+A228+1</f>
        <v>139</v>
      </c>
      <c r="B231" s="360"/>
      <c r="C231" s="320" t="s">
        <v>155</v>
      </c>
      <c r="E231" s="362"/>
      <c r="F231" s="320"/>
      <c r="G231" s="487"/>
      <c r="H231" s="322">
        <v>0.21</v>
      </c>
      <c r="J231" s="582"/>
      <c r="K231" s="582"/>
    </row>
    <row r="232" spans="1:11">
      <c r="A232" s="360">
        <f>+A231+1</f>
        <v>140</v>
      </c>
      <c r="B232" s="360"/>
      <c r="C232" s="487" t="s">
        <v>156</v>
      </c>
      <c r="D232" s="488"/>
      <c r="F232" s="294" t="str">
        <f>"(Attachment 4, Line "&amp;'4 - Cost Support'!A146&amp;")"</f>
        <v>(Attachment 4, Line 58)</v>
      </c>
      <c r="G232" s="487"/>
      <c r="H232" s="324">
        <f>+'4 - Cost Support'!S146</f>
        <v>0</v>
      </c>
      <c r="J232" s="582"/>
      <c r="K232" s="582"/>
    </row>
    <row r="233" spans="1:11">
      <c r="A233" s="360">
        <f>+A232+1</f>
        <v>141</v>
      </c>
      <c r="B233" s="360"/>
      <c r="C233" s="487" t="s">
        <v>157</v>
      </c>
      <c r="D233" s="488"/>
      <c r="F233" s="294" t="str">
        <f>"(Attachment 4, Line "&amp;'4 - Cost Support'!A147&amp;")"</f>
        <v>(Attachment 4, Line 59)</v>
      </c>
      <c r="G233" s="487"/>
      <c r="H233" s="593">
        <f>+'4 - Cost Support'!S147</f>
        <v>1.6899999999999998E-2</v>
      </c>
      <c r="J233" s="582"/>
      <c r="K233" s="582"/>
    </row>
    <row r="234" spans="1:11">
      <c r="A234" s="360">
        <f>+A233+1</f>
        <v>142</v>
      </c>
      <c r="B234" s="360"/>
      <c r="C234" s="487" t="s">
        <v>158</v>
      </c>
      <c r="D234" s="487" t="s">
        <v>159</v>
      </c>
      <c r="F234" s="320" t="s">
        <v>160</v>
      </c>
      <c r="G234" s="487"/>
      <c r="H234" s="322">
        <v>0</v>
      </c>
      <c r="J234" s="582"/>
      <c r="K234" s="582"/>
    </row>
    <row r="235" spans="1:11">
      <c r="A235" s="373">
        <f>+A234+1</f>
        <v>143</v>
      </c>
      <c r="B235" s="373"/>
      <c r="C235" s="487" t="s">
        <v>161</v>
      </c>
      <c r="D235" s="489" t="s">
        <v>162</v>
      </c>
      <c r="E235" s="391"/>
      <c r="F235" s="336"/>
      <c r="G235" s="487"/>
      <c r="H235" s="323">
        <f>+H231+H232+H233-(H232+H233)*H231-(H231*H234*H232)</f>
        <v>0.22335099999999999</v>
      </c>
      <c r="J235" s="582"/>
      <c r="K235" s="582"/>
    </row>
    <row r="236" spans="1:11" s="59" customFormat="1">
      <c r="A236" s="391">
        <f>A235+1</f>
        <v>144</v>
      </c>
      <c r="B236" s="288"/>
      <c r="C236" s="487" t="s">
        <v>163</v>
      </c>
      <c r="D236" s="288"/>
      <c r="E236" s="288"/>
      <c r="F236" s="288"/>
      <c r="G236" s="288"/>
      <c r="H236" s="324">
        <f>H235/(1-H235)</f>
        <v>0.28758293643589317</v>
      </c>
      <c r="J236" s="582"/>
      <c r="K236" s="582"/>
    </row>
    <row r="237" spans="1:11" s="59" customFormat="1">
      <c r="A237" s="391">
        <f>+A236+1</f>
        <v>145</v>
      </c>
      <c r="B237" s="288"/>
      <c r="C237" s="487" t="s">
        <v>164</v>
      </c>
      <c r="D237" s="288"/>
      <c r="E237" s="288"/>
      <c r="F237" s="288"/>
      <c r="G237" s="288"/>
      <c r="H237" s="324">
        <f>1/(1-H235)</f>
        <v>1.2875829364358931</v>
      </c>
      <c r="J237" s="582"/>
      <c r="K237" s="582"/>
    </row>
    <row r="238" spans="1:11">
      <c r="A238" s="360"/>
      <c r="B238" s="360"/>
      <c r="E238" s="403"/>
      <c r="F238" s="320"/>
      <c r="G238" s="486"/>
      <c r="H238" s="323"/>
      <c r="J238" s="582"/>
      <c r="K238" s="582"/>
    </row>
    <row r="239" spans="1:11">
      <c r="A239" s="360"/>
      <c r="B239" s="485" t="s">
        <v>165</v>
      </c>
      <c r="C239" s="366"/>
      <c r="E239" s="362"/>
      <c r="F239" s="320"/>
      <c r="G239" s="486"/>
      <c r="H239" s="325"/>
      <c r="J239" s="582"/>
      <c r="K239" s="582"/>
    </row>
    <row r="240" spans="1:11">
      <c r="A240" s="360">
        <f>+A237+1</f>
        <v>146</v>
      </c>
      <c r="B240" s="360"/>
      <c r="C240" s="387" t="s">
        <v>166</v>
      </c>
      <c r="D240" s="372"/>
      <c r="E240" s="362"/>
      <c r="F240" s="294" t="str">
        <f>"(Attachment 4, Line "&amp;'4 - Cost Support'!A154&amp;")"</f>
        <v>(Attachment 4, Line 61)</v>
      </c>
      <c r="G240" s="486"/>
      <c r="H240" s="294">
        <f>'4 - Cost Support'!S154</f>
        <v>-80311</v>
      </c>
      <c r="J240" s="582"/>
      <c r="K240" s="582"/>
    </row>
    <row r="241" spans="1:11">
      <c r="A241" s="360">
        <f t="shared" ref="A241:A246" si="5">+A240+1</f>
        <v>147</v>
      </c>
      <c r="B241" s="360"/>
      <c r="C241" s="387" t="s">
        <v>167</v>
      </c>
      <c r="D241" s="372"/>
      <c r="E241" s="362"/>
      <c r="F241" s="294" t="str">
        <f>"(Attachment 4, Line "&amp;'4 - Cost Support'!A153&amp;")"</f>
        <v>(Attachment 4, Line 60)</v>
      </c>
      <c r="G241" s="486"/>
      <c r="H241" s="294">
        <f>'4 - Cost Support'!S153</f>
        <v>-102595</v>
      </c>
      <c r="J241" s="582"/>
      <c r="K241" s="582"/>
    </row>
    <row r="242" spans="1:11">
      <c r="A242" s="360">
        <f t="shared" si="5"/>
        <v>148</v>
      </c>
      <c r="B242" s="360"/>
      <c r="C242" s="423" t="s">
        <v>34</v>
      </c>
      <c r="D242" s="392"/>
      <c r="E242" s="454"/>
      <c r="F242" s="397" t="str">
        <f>"(Line "&amp;A$16&amp;")"</f>
        <v>(Line 5)</v>
      </c>
      <c r="G242" s="455"/>
      <c r="H242" s="743">
        <f>+H16</f>
        <v>0.12146075795343095</v>
      </c>
      <c r="J242" s="582"/>
      <c r="K242" s="582"/>
    </row>
    <row r="243" spans="1:11">
      <c r="A243" s="360">
        <f t="shared" si="5"/>
        <v>149</v>
      </c>
      <c r="B243" s="360"/>
      <c r="C243" s="387" t="s">
        <v>168</v>
      </c>
      <c r="D243" s="336"/>
      <c r="E243" s="373"/>
      <c r="F243" s="299" t="str">
        <f>"(Line "&amp;A241&amp;" * Line "&amp;A242&amp;")"</f>
        <v>(Line 147 * Line 148)</v>
      </c>
      <c r="G243" s="315"/>
      <c r="H243" s="306">
        <f>+H241*H242</f>
        <v>-12461.266462232248</v>
      </c>
      <c r="J243" s="582"/>
      <c r="K243" s="582"/>
    </row>
    <row r="244" spans="1:11">
      <c r="A244" s="360">
        <f t="shared" si="5"/>
        <v>150</v>
      </c>
      <c r="B244" s="360"/>
      <c r="C244" s="387" t="s">
        <v>169</v>
      </c>
      <c r="D244" s="336"/>
      <c r="E244" s="373"/>
      <c r="F244" s="299" t="str">
        <f>"(Line "&amp;A240&amp;" + Line "&amp;A243&amp;")"</f>
        <v>(Line 146 + Line 149)</v>
      </c>
      <c r="G244" s="315"/>
      <c r="H244" s="306">
        <f>+H240+H243</f>
        <v>-92772.266462232248</v>
      </c>
      <c r="J244" s="582"/>
      <c r="K244" s="582"/>
    </row>
    <row r="245" spans="1:11">
      <c r="A245" s="373">
        <f t="shared" si="5"/>
        <v>151</v>
      </c>
      <c r="B245" s="373"/>
      <c r="C245" s="396" t="s">
        <v>164</v>
      </c>
      <c r="D245" s="397"/>
      <c r="E245" s="424"/>
      <c r="F245" s="375" t="str">
        <f>"(Line "&amp;A237&amp;")"</f>
        <v>(Line 145)</v>
      </c>
      <c r="G245" s="724"/>
      <c r="H245" s="725">
        <f>+H237</f>
        <v>1.2875829364358931</v>
      </c>
      <c r="J245" s="582"/>
      <c r="K245" s="582"/>
    </row>
    <row r="246" spans="1:11">
      <c r="A246" s="360">
        <f t="shared" si="5"/>
        <v>152</v>
      </c>
      <c r="B246" s="360"/>
      <c r="C246" s="494" t="s">
        <v>170</v>
      </c>
      <c r="D246" s="357"/>
      <c r="E246" s="362"/>
      <c r="F246" s="299" t="str">
        <f>"(Line "&amp;A244&amp;" * Line "&amp;A245&amp;")"</f>
        <v>(Line 150 * Line 151)</v>
      </c>
      <c r="G246" s="492"/>
      <c r="H246" s="312">
        <f>+H244*H245</f>
        <v>-119451.98727125411</v>
      </c>
      <c r="J246" s="582"/>
      <c r="K246" s="582"/>
    </row>
    <row r="247" spans="1:11">
      <c r="A247" s="360"/>
      <c r="B247" s="360"/>
      <c r="C247" s="494"/>
      <c r="D247" s="357"/>
      <c r="E247" s="362"/>
      <c r="F247" s="299"/>
      <c r="G247" s="492"/>
      <c r="H247" s="312"/>
      <c r="J247" s="582"/>
      <c r="K247" s="582"/>
    </row>
    <row r="248" spans="1:11">
      <c r="A248" s="360"/>
      <c r="B248" s="517" t="s">
        <v>171</v>
      </c>
      <c r="C248" s="494"/>
      <c r="D248" s="357"/>
      <c r="E248" s="362"/>
      <c r="F248" s="299"/>
      <c r="G248" s="492"/>
      <c r="H248" s="312"/>
      <c r="J248" s="582"/>
      <c r="K248" s="582"/>
    </row>
    <row r="249" spans="1:11">
      <c r="A249" s="360">
        <f>+A246+1</f>
        <v>153</v>
      </c>
      <c r="B249" s="360"/>
      <c r="C249" s="387" t="s">
        <v>171</v>
      </c>
      <c r="D249" s="372"/>
      <c r="E249" s="362"/>
      <c r="F249" s="294" t="str">
        <f>"(Attachment 4, Line "&amp;'4 - Cost Support'!A155&amp;")"</f>
        <v>(Attachment 4, Line 62)</v>
      </c>
      <c r="G249" s="486"/>
      <c r="H249" s="294">
        <f>+'4 - Cost Support'!S155</f>
        <v>274000</v>
      </c>
      <c r="J249" s="582"/>
      <c r="K249" s="582"/>
    </row>
    <row r="250" spans="1:11">
      <c r="A250" s="360">
        <f>+A249+1</f>
        <v>154</v>
      </c>
      <c r="B250" s="360"/>
      <c r="C250" s="1009" t="s">
        <v>172</v>
      </c>
      <c r="D250" s="372"/>
      <c r="E250" s="362"/>
      <c r="F250" s="299" t="str">
        <f>"(Line "&amp;A235&amp;" * Line "&amp;A249&amp;")"</f>
        <v>(Line 143 * Line 153)</v>
      </c>
      <c r="G250" s="486"/>
      <c r="H250" s="294">
        <f>+H249*H235</f>
        <v>61198.173999999999</v>
      </c>
      <c r="J250" s="582"/>
      <c r="K250" s="582"/>
    </row>
    <row r="251" spans="1:11">
      <c r="A251" s="360">
        <f>+A250+1</f>
        <v>155</v>
      </c>
      <c r="B251" s="360"/>
      <c r="C251" s="387" t="s">
        <v>164</v>
      </c>
      <c r="D251" s="336"/>
      <c r="E251" s="424"/>
      <c r="F251" s="375" t="str">
        <f>"(Line "&amp;A237&amp;")"</f>
        <v>(Line 145)</v>
      </c>
      <c r="G251" s="490"/>
      <c r="H251" s="324">
        <f>+H237</f>
        <v>1.2875829364358931</v>
      </c>
      <c r="J251" s="582"/>
      <c r="K251" s="582"/>
    </row>
    <row r="252" spans="1:11">
      <c r="A252" s="360">
        <f>+A251+1</f>
        <v>156</v>
      </c>
      <c r="B252" s="360"/>
      <c r="C252" s="493" t="s">
        <v>173</v>
      </c>
      <c r="D252" s="393"/>
      <c r="E252" s="362"/>
      <c r="F252" s="299" t="str">
        <f>"(Line "&amp;A250&amp;" * Line "&amp;A251&amp;")"</f>
        <v>(Line 154 * Line 155)</v>
      </c>
      <c r="G252" s="427"/>
      <c r="H252" s="326">
        <f>+H250*H251</f>
        <v>78797.724583434727</v>
      </c>
      <c r="J252" s="582"/>
      <c r="K252" s="582"/>
    </row>
    <row r="253" spans="1:11">
      <c r="A253" s="360"/>
      <c r="B253" s="360"/>
      <c r="C253" s="494"/>
      <c r="D253" s="357"/>
      <c r="E253" s="362"/>
      <c r="F253" s="299"/>
      <c r="G253" s="492"/>
      <c r="H253" s="312"/>
      <c r="J253" s="582"/>
      <c r="K253" s="582"/>
    </row>
    <row r="254" spans="1:11">
      <c r="A254" s="360"/>
      <c r="B254" s="517" t="s">
        <v>174</v>
      </c>
      <c r="C254" s="494"/>
      <c r="D254" s="357"/>
      <c r="E254" s="362"/>
      <c r="F254" s="299"/>
      <c r="G254" s="492"/>
      <c r="H254" s="312"/>
      <c r="J254" s="582"/>
      <c r="K254" s="582"/>
    </row>
    <row r="255" spans="1:11">
      <c r="A255" s="360">
        <f>+A252+1</f>
        <v>157</v>
      </c>
      <c r="B255" s="360"/>
      <c r="C255" s="469" t="s">
        <v>175</v>
      </c>
      <c r="D255" s="357"/>
      <c r="E255" s="362" t="str">
        <f>"(Note "&amp;B337&amp;")"</f>
        <v>(Note N)</v>
      </c>
      <c r="F255" s="294" t="str">
        <f>"(Attachment 9, Line "&amp;'9 - Excess ADIT'!A36&amp;")"</f>
        <v>(Attachment 9, Line 24)</v>
      </c>
      <c r="G255" s="492"/>
      <c r="H255" s="327">
        <f>+'9 - Excess ADIT'!L36</f>
        <v>-2781699.3565477408</v>
      </c>
      <c r="J255" s="582"/>
      <c r="K255" s="582"/>
    </row>
    <row r="256" spans="1:11">
      <c r="A256" s="360">
        <f>+A255+1</f>
        <v>158</v>
      </c>
      <c r="B256" s="360"/>
      <c r="C256" s="387" t="s">
        <v>164</v>
      </c>
      <c r="D256" s="336"/>
      <c r="E256" s="376"/>
      <c r="F256" s="375" t="str">
        <f>+F245</f>
        <v>(Line 145)</v>
      </c>
      <c r="G256" s="490"/>
      <c r="H256" s="324">
        <f>+H237</f>
        <v>1.2875829364358931</v>
      </c>
      <c r="J256" s="582"/>
      <c r="K256" s="582"/>
    </row>
    <row r="257" spans="1:11">
      <c r="A257" s="360">
        <f>+A256+1</f>
        <v>159</v>
      </c>
      <c r="B257" s="360"/>
      <c r="C257" s="493" t="s">
        <v>176</v>
      </c>
      <c r="D257" s="393"/>
      <c r="E257" s="362"/>
      <c r="F257" s="299" t="str">
        <f>"(Line "&amp;A255&amp;" * Line "&amp;A256&amp;")"</f>
        <v>(Line 157 * Line 158)</v>
      </c>
      <c r="G257" s="427"/>
      <c r="H257" s="326">
        <f>+H255*H256</f>
        <v>-3581668.6257855743</v>
      </c>
      <c r="J257" s="582"/>
      <c r="K257" s="582"/>
    </row>
    <row r="258" spans="1:11" ht="142.5" customHeight="1">
      <c r="A258" s="373">
        <f>+A257+1</f>
        <v>160</v>
      </c>
      <c r="B258" s="413" t="s">
        <v>177</v>
      </c>
      <c r="C258" s="288"/>
      <c r="D258" s="788" t="s">
        <v>178</v>
      </c>
      <c r="E258" s="372"/>
      <c r="F258" s="787" t="str">
        <f>"(Line "&amp;A236&amp;" * Line "&amp;A130&amp;" * (Line "&amp;A224&amp;" + Line "&amp;A225&amp;"))"</f>
        <v>(Line 144 * Line 72 * (Line 135 + Line 136))</v>
      </c>
      <c r="G258" s="336"/>
      <c r="H258" s="632">
        <f>+H236*H130*(H224+H225)</f>
        <v>4194061.4637771007</v>
      </c>
      <c r="J258" s="582"/>
      <c r="K258" s="582"/>
    </row>
    <row r="259" spans="1:11" ht="21" thickBot="1">
      <c r="A259" s="360">
        <f>+A258+1</f>
        <v>161</v>
      </c>
      <c r="B259" s="495" t="s">
        <v>179</v>
      </c>
      <c r="C259" s="495"/>
      <c r="D259" s="496"/>
      <c r="E259" s="404"/>
      <c r="F259" s="497" t="str">
        <f>"(Line "&amp;A246&amp;" + Line "&amp;A252&amp;" + Line "&amp;A257&amp;" + Line "&amp;A258&amp;")"</f>
        <v>(Line 152 + Line 156 + Line 159 + Line 160)</v>
      </c>
      <c r="G259" s="498"/>
      <c r="H259" s="868">
        <f>H246+H252+H257+H258</f>
        <v>571738.57530370681</v>
      </c>
      <c r="J259" s="582"/>
      <c r="K259" s="582"/>
    </row>
    <row r="260" spans="1:11" ht="21" thickTop="1">
      <c r="A260" s="360"/>
      <c r="B260" s="360"/>
      <c r="C260" s="499"/>
      <c r="F260" s="307"/>
      <c r="G260" s="500"/>
      <c r="H260" s="321"/>
      <c r="J260" s="582"/>
      <c r="K260" s="582"/>
    </row>
    <row r="261" spans="1:11">
      <c r="A261" s="441" t="s">
        <v>180</v>
      </c>
      <c r="B261" s="442"/>
      <c r="C261" s="443"/>
      <c r="D261" s="444"/>
      <c r="E261" s="445"/>
      <c r="F261" s="305"/>
      <c r="G261" s="305"/>
      <c r="H261" s="291"/>
      <c r="J261" s="582"/>
      <c r="K261" s="582"/>
    </row>
    <row r="262" spans="1:11">
      <c r="A262" s="335"/>
      <c r="B262" s="297"/>
      <c r="C262" s="297"/>
      <c r="D262" s="297"/>
      <c r="H262" s="844"/>
      <c r="J262" s="582"/>
      <c r="K262" s="582"/>
    </row>
    <row r="263" spans="1:11">
      <c r="A263" s="335"/>
      <c r="B263" s="435" t="s">
        <v>181</v>
      </c>
      <c r="C263" s="289"/>
      <c r="D263" s="380"/>
      <c r="J263" s="582"/>
      <c r="K263" s="582"/>
    </row>
    <row r="264" spans="1:11">
      <c r="A264" s="335">
        <f>+A259+1</f>
        <v>162</v>
      </c>
      <c r="B264" s="297"/>
      <c r="C264" s="289" t="s">
        <v>182</v>
      </c>
      <c r="D264" s="380"/>
      <c r="F264" s="299" t="str">
        <f>"(Line "&amp;A62&amp;")"</f>
        <v>(Line 34)</v>
      </c>
      <c r="H264" s="768">
        <f>H62</f>
        <v>282942281.42532015</v>
      </c>
      <c r="J264" s="582"/>
      <c r="K264" s="582"/>
    </row>
    <row r="265" spans="1:11">
      <c r="A265" s="360">
        <f>+A264+1</f>
        <v>163</v>
      </c>
      <c r="B265" s="297"/>
      <c r="C265" s="289" t="s">
        <v>85</v>
      </c>
      <c r="D265" s="380"/>
      <c r="F265" s="298" t="str">
        <f>"(Line "&amp;A128&amp;")"</f>
        <v>(Line 71)</v>
      </c>
      <c r="H265" s="768">
        <f>H128</f>
        <v>-37158234.236459374</v>
      </c>
      <c r="J265" s="582"/>
      <c r="K265" s="582"/>
    </row>
    <row r="266" spans="1:11">
      <c r="A266" s="360">
        <f>+A265+1</f>
        <v>164</v>
      </c>
      <c r="B266" s="360"/>
      <c r="C266" s="431" t="s">
        <v>86</v>
      </c>
      <c r="D266" s="501"/>
      <c r="E266" s="502"/>
      <c r="F266" s="299" t="str">
        <f>"(Line "&amp;A130&amp;")"</f>
        <v>(Line 72)</v>
      </c>
      <c r="G266" s="503"/>
      <c r="H266" s="326">
        <f>SUM(H264:H265)</f>
        <v>245784047.18886077</v>
      </c>
      <c r="J266" s="582"/>
      <c r="K266" s="582"/>
    </row>
    <row r="267" spans="1:11">
      <c r="A267" s="360"/>
      <c r="B267" s="360"/>
      <c r="C267" s="395"/>
      <c r="D267" s="357"/>
      <c r="E267" s="304"/>
      <c r="F267" s="336"/>
      <c r="G267" s="320"/>
      <c r="H267" s="768"/>
      <c r="J267" s="582"/>
      <c r="K267" s="582"/>
    </row>
    <row r="268" spans="1:11">
      <c r="A268" s="360">
        <f>+A266+1</f>
        <v>165</v>
      </c>
      <c r="C268" s="395" t="s">
        <v>183</v>
      </c>
      <c r="D268" s="381"/>
      <c r="F268" s="299" t="str">
        <f>"(Line "&amp;A168&amp;")"</f>
        <v>(Line 98)</v>
      </c>
      <c r="H268" s="768">
        <f>H168</f>
        <v>21243763.884512704</v>
      </c>
      <c r="J268" s="582"/>
      <c r="K268" s="582"/>
    </row>
    <row r="269" spans="1:11">
      <c r="A269" s="360">
        <f>+A268+1</f>
        <v>166</v>
      </c>
      <c r="C269" s="420" t="s">
        <v>115</v>
      </c>
      <c r="D269" s="381"/>
      <c r="F269" s="299" t="str">
        <f>"(Line "&amp;A182&amp;")"</f>
        <v>(Line 106)</v>
      </c>
      <c r="H269" s="768">
        <f>H182</f>
        <v>11569443.955995582</v>
      </c>
      <c r="J269" s="582"/>
      <c r="K269" s="582"/>
    </row>
    <row r="270" spans="1:11">
      <c r="A270" s="360">
        <f>+A269+1</f>
        <v>167</v>
      </c>
      <c r="B270" s="360"/>
      <c r="C270" s="395" t="s">
        <v>184</v>
      </c>
      <c r="D270" s="357"/>
      <c r="E270" s="304"/>
      <c r="F270" s="299" t="str">
        <f>"(Line "&amp;A188&amp;")"</f>
        <v>(Line 108)</v>
      </c>
      <c r="G270" s="320"/>
      <c r="H270" s="768">
        <f>H188</f>
        <v>15202555.077334238</v>
      </c>
      <c r="J270" s="582"/>
      <c r="K270" s="582"/>
    </row>
    <row r="271" spans="1:11">
      <c r="A271" s="360">
        <f>+A270+1</f>
        <v>168</v>
      </c>
      <c r="B271" s="360"/>
      <c r="C271" s="504" t="s">
        <v>185</v>
      </c>
      <c r="D271" s="357"/>
      <c r="E271" s="304"/>
      <c r="F271" s="299" t="str">
        <f>"(Line "&amp;A228&amp;")"</f>
        <v>(Line 138)</v>
      </c>
      <c r="G271" s="320"/>
      <c r="H271" s="768">
        <f>H228</f>
        <v>19190290.321695466</v>
      </c>
      <c r="J271" s="582"/>
      <c r="K271" s="582"/>
    </row>
    <row r="272" spans="1:11">
      <c r="A272" s="360">
        <f>+A271+1</f>
        <v>169</v>
      </c>
      <c r="B272" s="360"/>
      <c r="C272" s="504" t="s">
        <v>186</v>
      </c>
      <c r="D272" s="357"/>
      <c r="E272" s="304"/>
      <c r="F272" s="299" t="str">
        <f>"(Line "&amp;A259&amp;")"</f>
        <v>(Line 161)</v>
      </c>
      <c r="G272" s="320"/>
      <c r="H272" s="768">
        <f>H259</f>
        <v>571738.57530370681</v>
      </c>
      <c r="J272" s="582"/>
      <c r="K272" s="582"/>
    </row>
    <row r="273" spans="1:11">
      <c r="A273" s="360"/>
      <c r="B273" s="360"/>
      <c r="C273" s="504"/>
      <c r="D273" s="357"/>
      <c r="E273" s="304"/>
      <c r="F273" s="336"/>
      <c r="G273" s="320"/>
      <c r="H273" s="768"/>
      <c r="J273" s="582"/>
      <c r="K273" s="582"/>
    </row>
    <row r="274" spans="1:11">
      <c r="A274" s="505">
        <f>+A272+1</f>
        <v>170</v>
      </c>
      <c r="B274" s="506"/>
      <c r="C274" s="507" t="s">
        <v>187</v>
      </c>
      <c r="D274" s="508"/>
      <c r="E274" s="509"/>
      <c r="F274" s="510" t="str">
        <f>"(Sum Lines "&amp;A268&amp;" to "&amp;A272&amp;")"</f>
        <v>(Sum Lines 165 to 169)</v>
      </c>
      <c r="G274" s="511"/>
      <c r="H274" s="781">
        <f>SUM(H268:H272)</f>
        <v>67777791.814841688</v>
      </c>
      <c r="J274" s="582"/>
      <c r="K274" s="582"/>
    </row>
    <row r="275" spans="1:11">
      <c r="A275" s="512"/>
      <c r="B275" s="491"/>
      <c r="C275" s="414"/>
      <c r="D275" s="350"/>
      <c r="E275" s="513"/>
      <c r="F275" s="462"/>
      <c r="G275" s="381"/>
      <c r="H275" s="312"/>
      <c r="J275" s="582"/>
      <c r="K275" s="582"/>
    </row>
    <row r="276" spans="1:11">
      <c r="A276" s="512"/>
      <c r="B276" s="494" t="s">
        <v>188</v>
      </c>
      <c r="C276" s="414"/>
      <c r="D276" s="350"/>
      <c r="E276" s="513"/>
      <c r="F276" s="462"/>
      <c r="G276" s="381"/>
      <c r="H276" s="312"/>
      <c r="J276" s="582"/>
      <c r="K276" s="582"/>
    </row>
    <row r="277" spans="1:11">
      <c r="A277" s="453">
        <f>+A274+1</f>
        <v>171</v>
      </c>
      <c r="B277" s="453"/>
      <c r="C277" s="395" t="str">
        <f>+C38</f>
        <v>Transmission Plant In Service</v>
      </c>
      <c r="D277" s="350"/>
      <c r="E277" s="513"/>
      <c r="F277" s="299" t="str">
        <f>"(Line "&amp;A38&amp;")"</f>
        <v>(Line 18)</v>
      </c>
      <c r="G277" s="381"/>
      <c r="H277" s="306">
        <f>H38</f>
        <v>520793006.47445577</v>
      </c>
      <c r="J277" s="582"/>
      <c r="K277" s="582"/>
    </row>
    <row r="278" spans="1:11">
      <c r="A278" s="453">
        <f>+A277+1</f>
        <v>172</v>
      </c>
      <c r="B278" s="453"/>
      <c r="C278" s="396" t="s">
        <v>189</v>
      </c>
      <c r="D278" s="514"/>
      <c r="E278" s="376" t="str">
        <f>"(Note "&amp;B$317&amp;" &amp; "&amp;B$332&amp;")"</f>
        <v>(Note A &amp; I)</v>
      </c>
      <c r="F278" s="298" t="str">
        <f>"(Attachment 4, Line "&amp;'4 - Cost Support'!A161&amp;")"</f>
        <v>(Attachment 4, Line 63)</v>
      </c>
      <c r="G278" s="375"/>
      <c r="H278" s="310">
        <f>+'4 - Cost Support'!T161</f>
        <v>2469683.44</v>
      </c>
      <c r="J278" s="582"/>
      <c r="K278" s="582"/>
    </row>
    <row r="279" spans="1:11">
      <c r="A279" s="453">
        <f>+A278+1</f>
        <v>173</v>
      </c>
      <c r="B279" s="453"/>
      <c r="C279" s="395" t="s">
        <v>190</v>
      </c>
      <c r="D279" s="350"/>
      <c r="E279" s="515"/>
      <c r="F279" s="299" t="str">
        <f>"(Line "&amp;A277&amp;" - Line "&amp;A278&amp;")"</f>
        <v>(Line 171 - Line 172)</v>
      </c>
      <c r="G279" s="381"/>
      <c r="H279" s="306">
        <f>H277-H278</f>
        <v>518323323.03445578</v>
      </c>
      <c r="J279" s="582"/>
      <c r="K279" s="582"/>
    </row>
    <row r="280" spans="1:11">
      <c r="A280" s="453">
        <f>+A279+1</f>
        <v>174</v>
      </c>
      <c r="B280" s="453"/>
      <c r="C280" s="395" t="s">
        <v>191</v>
      </c>
      <c r="D280" s="350"/>
      <c r="E280" s="513"/>
      <c r="F280" s="299" t="str">
        <f>"(Line "&amp;A279&amp;" / Line "&amp;A277&amp;")"</f>
        <v>(Line 173 / Line 171)</v>
      </c>
      <c r="G280" s="381"/>
      <c r="H280" s="771">
        <f>H279/H277</f>
        <v>0.99525784062132727</v>
      </c>
      <c r="J280" s="582"/>
      <c r="K280" s="582"/>
    </row>
    <row r="281" spans="1:11">
      <c r="A281" s="453">
        <f>+A280+1</f>
        <v>175</v>
      </c>
      <c r="B281" s="453"/>
      <c r="C281" s="396" t="s">
        <v>192</v>
      </c>
      <c r="D281" s="514"/>
      <c r="E281" s="516"/>
      <c r="F281" s="298" t="str">
        <f>"(Line "&amp;A274&amp;")"</f>
        <v>(Line 170)</v>
      </c>
      <c r="G281" s="375"/>
      <c r="H281" s="310">
        <f>H274</f>
        <v>67777791.814841688</v>
      </c>
      <c r="I281" s="582"/>
      <c r="J281" s="582"/>
      <c r="K281" s="582"/>
    </row>
    <row r="282" spans="1:11">
      <c r="A282" s="453">
        <f>+A281+1</f>
        <v>176</v>
      </c>
      <c r="B282" s="453"/>
      <c r="C282" s="414" t="s">
        <v>193</v>
      </c>
      <c r="D282" s="350"/>
      <c r="E282" s="513"/>
      <c r="F282" s="299" t="str">
        <f>"(Line "&amp;A280&amp;" * Line "&amp;A281&amp;")"</f>
        <v>(Line 174 * Line 175)</v>
      </c>
      <c r="G282" s="381"/>
      <c r="H282" s="632">
        <f>H280*H281</f>
        <v>67456378.723721206</v>
      </c>
      <c r="I282" s="976"/>
      <c r="J282" s="582"/>
      <c r="K282" s="582"/>
    </row>
    <row r="283" spans="1:11">
      <c r="A283" s="407"/>
      <c r="B283" s="360"/>
      <c r="C283" s="395"/>
      <c r="D283" s="357"/>
      <c r="E283" s="304"/>
      <c r="F283" s="336"/>
      <c r="G283" s="320"/>
      <c r="H283" s="775"/>
      <c r="J283" s="582"/>
      <c r="K283" s="582"/>
    </row>
    <row r="284" spans="1:11">
      <c r="A284" s="407"/>
      <c r="B284" s="517" t="s">
        <v>194</v>
      </c>
      <c r="C284" s="395"/>
      <c r="D284" s="357"/>
      <c r="E284" s="304"/>
      <c r="F284" s="336"/>
      <c r="G284" s="320"/>
      <c r="H284" s="775"/>
      <c r="J284" s="582"/>
      <c r="K284" s="582"/>
    </row>
    <row r="285" spans="1:11">
      <c r="A285" s="373">
        <f>+A282+1</f>
        <v>177</v>
      </c>
      <c r="B285" s="297"/>
      <c r="C285" s="517" t="s">
        <v>195</v>
      </c>
      <c r="D285" s="518"/>
      <c r="E285" s="362"/>
      <c r="F285" s="294" t="str">
        <f>"(Attachment 3, Line "&amp;'3 - Revenue Credits'!A40&amp;")"</f>
        <v>(Attachment 3, Line 23)</v>
      </c>
      <c r="G285" s="320"/>
      <c r="H285" s="306">
        <f>+'3 - Revenue Credits'!D40</f>
        <v>-2899540.8352226205</v>
      </c>
      <c r="J285" s="582"/>
      <c r="K285" s="582"/>
    </row>
    <row r="286" spans="1:11" ht="21" thickBot="1">
      <c r="A286" s="360"/>
      <c r="B286" s="360"/>
      <c r="C286" s="289"/>
      <c r="D286" s="289"/>
      <c r="F286" s="519"/>
      <c r="G286" s="320"/>
      <c r="H286" s="775"/>
      <c r="J286" s="582"/>
      <c r="K286" s="582"/>
    </row>
    <row r="287" spans="1:11" s="17" customFormat="1" ht="21" thickBot="1">
      <c r="A287" s="520">
        <f>+A285+1</f>
        <v>178</v>
      </c>
      <c r="B287" s="521"/>
      <c r="C287" s="522" t="s">
        <v>196</v>
      </c>
      <c r="D287" s="328"/>
      <c r="E287" s="523"/>
      <c r="F287" s="524" t="str">
        <f>"(Line "&amp;A282&amp;" + Line "&amp;A285&amp;")"</f>
        <v>(Line 176 + Line 177)</v>
      </c>
      <c r="G287" s="525"/>
      <c r="H287" s="782">
        <f>H282+H285</f>
        <v>64556837.888498589</v>
      </c>
      <c r="J287" s="582"/>
      <c r="K287" s="582"/>
    </row>
    <row r="288" spans="1:11" s="17" customFormat="1">
      <c r="A288" s="512"/>
      <c r="B288" s="434"/>
      <c r="C288" s="494"/>
      <c r="D288" s="809"/>
      <c r="E288" s="433"/>
      <c r="F288" s="462"/>
      <c r="G288" s="478"/>
      <c r="H288" s="632"/>
      <c r="J288" s="582"/>
      <c r="K288" s="582"/>
    </row>
    <row r="289" spans="1:11" s="17" customFormat="1">
      <c r="A289" s="441" t="s">
        <v>197</v>
      </c>
      <c r="B289" s="442"/>
      <c r="C289" s="443"/>
      <c r="D289" s="444"/>
      <c r="E289" s="445"/>
      <c r="F289" s="305"/>
      <c r="G289" s="305"/>
      <c r="H289" s="291"/>
      <c r="J289" s="582"/>
      <c r="K289" s="582"/>
    </row>
    <row r="290" spans="1:11">
      <c r="A290" s="407"/>
      <c r="B290" s="360"/>
      <c r="C290" s="289"/>
      <c r="D290" s="289"/>
      <c r="F290" s="320"/>
      <c r="G290" s="320"/>
      <c r="H290" s="775"/>
      <c r="J290" s="582"/>
      <c r="K290" s="582"/>
    </row>
    <row r="291" spans="1:11">
      <c r="A291" s="373"/>
      <c r="B291" s="348" t="s">
        <v>198</v>
      </c>
      <c r="C291" s="288"/>
      <c r="D291" s="289"/>
      <c r="F291" s="336"/>
      <c r="G291" s="320"/>
      <c r="H291" s="775"/>
      <c r="J291" s="582"/>
      <c r="K291" s="582"/>
    </row>
    <row r="292" spans="1:11">
      <c r="A292" s="373">
        <f>+A287+1</f>
        <v>179</v>
      </c>
      <c r="B292" s="373"/>
      <c r="C292" s="289" t="str">
        <f>+C281</f>
        <v>Gross Revenue Requirement</v>
      </c>
      <c r="D292" s="289"/>
      <c r="F292" s="336" t="str">
        <f>"(Line "&amp;A274&amp;")"</f>
        <v>(Line 170)</v>
      </c>
      <c r="G292" s="320"/>
      <c r="H292" s="632">
        <f>+H274</f>
        <v>67777791.814841688</v>
      </c>
      <c r="J292" s="582"/>
      <c r="K292" s="582"/>
    </row>
    <row r="293" spans="1:11">
      <c r="A293" s="373">
        <f>+A292+1</f>
        <v>180</v>
      </c>
      <c r="B293" s="373"/>
      <c r="C293" s="289" t="s">
        <v>199</v>
      </c>
      <c r="D293" s="289"/>
      <c r="F293" s="336" t="str">
        <f>"(Line "&amp;A38&amp;" + Line "&amp;A51&amp;" + Line "&amp;A73&amp;")"</f>
        <v>(Line 18 + Line 26 + Line 37)</v>
      </c>
      <c r="G293" s="320"/>
      <c r="H293" s="632">
        <f>+H38+H51+H73</f>
        <v>306142325.77487904</v>
      </c>
      <c r="J293" s="582"/>
      <c r="K293" s="582"/>
    </row>
    <row r="294" spans="1:11">
      <c r="A294" s="373">
        <f>+A293+1</f>
        <v>181</v>
      </c>
      <c r="B294" s="373"/>
      <c r="C294" s="289" t="s">
        <v>200</v>
      </c>
      <c r="D294" s="289"/>
      <c r="F294" s="336" t="str">
        <f>"(Line "&amp;A292&amp;" / Line "&amp;A293&amp;")"</f>
        <v>(Line 179 / Line 180)</v>
      </c>
      <c r="G294" s="320"/>
      <c r="H294" s="783">
        <f>H292/H293</f>
        <v>0.22139307801784294</v>
      </c>
      <c r="J294" s="582"/>
      <c r="K294" s="582"/>
    </row>
    <row r="295" spans="1:11">
      <c r="A295" s="373">
        <f>+A294+1</f>
        <v>182</v>
      </c>
      <c r="B295" s="373"/>
      <c r="C295" s="289" t="s">
        <v>201</v>
      </c>
      <c r="D295" s="289"/>
      <c r="F295" s="336" t="str">
        <f>"(Line "&amp;A292&amp;" - Line "&amp;A173&amp;") / Line "&amp;A293</f>
        <v>(Line 179 - Line 99) / Line 180</v>
      </c>
      <c r="G295" s="320"/>
      <c r="H295" s="783">
        <f>(H292-H173)/H293</f>
        <v>0.18639333929605159</v>
      </c>
      <c r="J295" s="582"/>
      <c r="K295" s="582"/>
    </row>
    <row r="296" spans="1:11">
      <c r="A296" s="373">
        <f>+A295+1</f>
        <v>183</v>
      </c>
      <c r="B296" s="373"/>
      <c r="C296" s="289" t="s">
        <v>202</v>
      </c>
      <c r="D296" s="289"/>
      <c r="E296" s="391"/>
      <c r="F296" s="336" t="str">
        <f>"(Line "&amp;A292&amp;" - Line "&amp;A173&amp;" - Line "&amp;A271&amp;" - Line "&amp;A272&amp;") / Line "&amp;A293</f>
        <v>(Line 179 - Line 99 - Line 168 - Line 169) / Line 180</v>
      </c>
      <c r="G296" s="320"/>
      <c r="H296" s="783">
        <f>(H292-H173-H271-H272)/H293</f>
        <v>0.12184156963473687</v>
      </c>
      <c r="J296" s="582"/>
      <c r="K296" s="582"/>
    </row>
    <row r="297" spans="1:11">
      <c r="A297" s="373"/>
      <c r="B297" s="373"/>
      <c r="C297" s="289"/>
      <c r="D297" s="289"/>
      <c r="F297" s="336"/>
      <c r="G297" s="320"/>
      <c r="H297" s="775"/>
      <c r="J297" s="582"/>
      <c r="K297" s="582"/>
    </row>
    <row r="298" spans="1:11">
      <c r="A298" s="373">
        <f>+A296+1</f>
        <v>184</v>
      </c>
      <c r="B298" s="373"/>
      <c r="C298" s="348" t="s">
        <v>196</v>
      </c>
      <c r="D298" s="289"/>
      <c r="E298" s="391"/>
      <c r="F298" s="336" t="str">
        <f>"(Line "&amp;A287&amp;")"</f>
        <v>(Line 178)</v>
      </c>
      <c r="G298" s="320"/>
      <c r="H298" s="632">
        <f>H287</f>
        <v>64556837.888498589</v>
      </c>
      <c r="J298" s="582"/>
      <c r="K298" s="582"/>
    </row>
    <row r="299" spans="1:11">
      <c r="A299" s="373">
        <f t="shared" ref="A299:A304" si="6">+A298+1</f>
        <v>185</v>
      </c>
      <c r="B299" s="373"/>
      <c r="C299" s="289" t="s">
        <v>203</v>
      </c>
      <c r="D299" s="289"/>
      <c r="E299" s="362" t="str">
        <f>"(Note "&amp;B$340&amp;")"</f>
        <v>(Note P)</v>
      </c>
      <c r="F299" s="294" t="str">
        <f>"(Attachment 6A, Line "&amp;'6A - NITS True-Up '!B41&amp;")"</f>
        <v>(Attachment 6A, Line F)</v>
      </c>
      <c r="G299" s="320"/>
      <c r="H299" s="632">
        <f>'6A - NITS True-Up '!I41</f>
        <v>0</v>
      </c>
      <c r="J299" s="582"/>
      <c r="K299" s="582"/>
    </row>
    <row r="300" spans="1:11">
      <c r="A300" s="373">
        <f t="shared" si="6"/>
        <v>186</v>
      </c>
      <c r="B300" s="373"/>
      <c r="C300" s="289" t="s">
        <v>204</v>
      </c>
      <c r="D300" s="289"/>
      <c r="E300" s="362"/>
      <c r="F300" s="294" t="str">
        <f>"(Attachment 11, Line "&amp;'11 - Corrections'!A29&amp;")"</f>
        <v>(Attachment 11, Line 11)</v>
      </c>
      <c r="G300" s="320"/>
      <c r="H300" s="632">
        <f>+'11 - Corrections'!F29</f>
        <v>0</v>
      </c>
      <c r="J300" s="582"/>
      <c r="K300" s="582"/>
    </row>
    <row r="301" spans="1:11">
      <c r="A301" s="373">
        <f t="shared" si="6"/>
        <v>187</v>
      </c>
      <c r="B301" s="373"/>
      <c r="C301" s="289" t="s">
        <v>205</v>
      </c>
      <c r="D301" s="289"/>
      <c r="E301" s="362" t="str">
        <f>"(Note "&amp;B$341&amp;")"</f>
        <v>(Note Q)</v>
      </c>
      <c r="F301" s="294" t="str">
        <f>"(Attachment 7A, Line "&amp;'7A - Project ROE Adder'!A18&amp;")"</f>
        <v>(Attachment 7A, Line 9)</v>
      </c>
      <c r="G301" s="336"/>
      <c r="H301" s="632">
        <f>+'7A - Project ROE Adder'!E18</f>
        <v>0</v>
      </c>
      <c r="J301" s="582"/>
      <c r="K301" s="582"/>
    </row>
    <row r="302" spans="1:11">
      <c r="A302" s="373">
        <f t="shared" si="6"/>
        <v>188</v>
      </c>
      <c r="B302" s="373"/>
      <c r="C302" s="289" t="s">
        <v>206</v>
      </c>
      <c r="D302" s="289"/>
      <c r="E302" s="362" t="str">
        <f>"(Note "&amp;B$342&amp;")"</f>
        <v>(Note R)</v>
      </c>
      <c r="F302" s="294" t="str">
        <f>"(Attachment 7B, Line "&amp;'7B - Schedule 12 Projects'!A28&amp;")"</f>
        <v>(Attachment 7B, Line 12)</v>
      </c>
      <c r="G302" s="336"/>
      <c r="H302" s="632">
        <f>+'7B - Schedule 12 Projects'!E23*-1</f>
        <v>-1980599.623052642</v>
      </c>
      <c r="J302" s="582"/>
      <c r="K302" s="582"/>
    </row>
    <row r="303" spans="1:11">
      <c r="A303" s="373">
        <f t="shared" si="6"/>
        <v>189</v>
      </c>
      <c r="B303" s="373"/>
      <c r="C303" s="397" t="s">
        <v>207</v>
      </c>
      <c r="D303" s="745"/>
      <c r="E303" s="376" t="str">
        <f>"(Note "&amp;B$344&amp;")"</f>
        <v>(Note S)</v>
      </c>
      <c r="F303" s="298" t="str">
        <f>"(Attachment 4, Line "&amp;'4 - Cost Support'!A168</f>
        <v>(Attachment 4, Line 64</v>
      </c>
      <c r="G303" s="375"/>
      <c r="H303" s="784">
        <f>+'4 - Cost Support'!S168</f>
        <v>0</v>
      </c>
      <c r="J303" s="582"/>
      <c r="K303" s="582"/>
    </row>
    <row r="304" spans="1:11">
      <c r="A304" s="373">
        <f t="shared" si="6"/>
        <v>190</v>
      </c>
      <c r="B304" s="373"/>
      <c r="C304" s="348" t="s">
        <v>208</v>
      </c>
      <c r="D304" s="289"/>
      <c r="E304" s="391"/>
      <c r="F304" s="336" t="str">
        <f>"(Line "&amp;A298&amp;" + "&amp;A299&amp;" + "&amp;A301&amp;" + "&amp;A302&amp;" + "&amp;A303&amp;")"</f>
        <v>(Line 184 + 185 + 187 + 188 + 189)</v>
      </c>
      <c r="G304" s="320"/>
      <c r="H304" s="632">
        <f>(H298+H299+H301+H302+H303)</f>
        <v>62576238.265445948</v>
      </c>
      <c r="I304" s="1094"/>
      <c r="J304" s="582"/>
      <c r="K304" s="582"/>
    </row>
    <row r="305" spans="1:11">
      <c r="A305" s="373"/>
      <c r="B305" s="360"/>
      <c r="C305" s="289"/>
      <c r="D305" s="289"/>
      <c r="F305" s="336"/>
      <c r="G305" s="320"/>
      <c r="H305" s="785"/>
      <c r="J305" s="582"/>
      <c r="K305" s="582"/>
    </row>
    <row r="306" spans="1:11">
      <c r="A306" s="373"/>
      <c r="B306" s="517" t="s">
        <v>209</v>
      </c>
      <c r="C306" s="289"/>
      <c r="D306" s="289"/>
      <c r="F306" s="336"/>
      <c r="G306" s="320"/>
      <c r="H306" s="785"/>
      <c r="J306" s="582"/>
      <c r="K306" s="582"/>
    </row>
    <row r="307" spans="1:11">
      <c r="A307" s="373">
        <f>+A304+1</f>
        <v>191</v>
      </c>
      <c r="B307" s="360"/>
      <c r="C307" s="336" t="s">
        <v>210</v>
      </c>
      <c r="E307" s="362" t="str">
        <f>"(Note "&amp;B$330&amp;")"</f>
        <v>(Note H)</v>
      </c>
      <c r="F307" s="294" t="str">
        <f>"(Attachment 4, Line "&amp;'4 - Cost Support'!A176&amp;")"</f>
        <v>(Attachment 4, Line 65)</v>
      </c>
      <c r="G307" s="289"/>
      <c r="H307" s="981">
        <f>+'4 - Cost Support'!S176</f>
        <v>3258.6</v>
      </c>
      <c r="J307" s="582"/>
      <c r="K307" s="582"/>
    </row>
    <row r="308" spans="1:11">
      <c r="A308" s="373">
        <f>+A307+1</f>
        <v>192</v>
      </c>
      <c r="B308" s="360"/>
      <c r="C308" s="320" t="s">
        <v>211</v>
      </c>
      <c r="D308" s="526"/>
      <c r="E308" s="527"/>
      <c r="F308" s="299" t="str">
        <f>"(Line "&amp;A304&amp;" / "&amp;A307&amp;")"</f>
        <v>(Line 190 / 191)</v>
      </c>
      <c r="G308" s="528"/>
      <c r="H308" s="810">
        <f>H304/H307</f>
        <v>19203.411976138817</v>
      </c>
      <c r="J308" s="582"/>
      <c r="K308" s="582"/>
    </row>
    <row r="309" spans="1:11" ht="21" thickBot="1">
      <c r="A309" s="360"/>
      <c r="B309" s="360"/>
      <c r="E309" s="529"/>
      <c r="F309" s="333"/>
      <c r="G309" s="528"/>
      <c r="H309" s="329"/>
      <c r="J309" s="582"/>
      <c r="K309" s="582"/>
    </row>
    <row r="310" spans="1:11" s="15" customFormat="1">
      <c r="A310" s="990">
        <f>+A308+1</f>
        <v>193</v>
      </c>
      <c r="B310" s="991"/>
      <c r="C310" s="992" t="s">
        <v>212</v>
      </c>
      <c r="D310" s="991"/>
      <c r="E310" s="991"/>
      <c r="F310" s="993" t="str">
        <f>"(Line "&amp;A308&amp;")"</f>
        <v>(Line 192)</v>
      </c>
      <c r="G310" s="991"/>
      <c r="H310" s="994">
        <f>H308</f>
        <v>19203.411976138817</v>
      </c>
      <c r="J310" s="582"/>
      <c r="K310" s="582"/>
    </row>
    <row r="311" spans="1:11" s="15" customFormat="1">
      <c r="A311" s="995">
        <f>+A310+1</f>
        <v>194</v>
      </c>
      <c r="B311" s="512"/>
      <c r="C311" s="494" t="s">
        <v>213</v>
      </c>
      <c r="D311" s="512"/>
      <c r="E311" s="512"/>
      <c r="F311" s="469" t="str">
        <f>"(Line "&amp;A310&amp;" / 12)"</f>
        <v>(Line 193 / 12)</v>
      </c>
      <c r="G311" s="512"/>
      <c r="H311" s="996">
        <f>+H310/12</f>
        <v>1600.2843313449014</v>
      </c>
      <c r="J311" s="582"/>
      <c r="K311" s="582"/>
    </row>
    <row r="312" spans="1:11" s="15" customFormat="1">
      <c r="A312" s="995">
        <f t="shared" ref="A312:A313" si="7">+A311+1</f>
        <v>195</v>
      </c>
      <c r="B312" s="512"/>
      <c r="C312" s="494" t="s">
        <v>214</v>
      </c>
      <c r="D312" s="512"/>
      <c r="E312" s="512"/>
      <c r="F312" s="469" t="str">
        <f>"(Line "&amp;A310&amp;" / 52)"</f>
        <v>(Line 193 / 52)</v>
      </c>
      <c r="G312" s="512"/>
      <c r="H312" s="996">
        <f>+H310/52</f>
        <v>369.29638415651573</v>
      </c>
      <c r="J312" s="582"/>
      <c r="K312" s="582"/>
    </row>
    <row r="313" spans="1:11" s="15" customFormat="1">
      <c r="A313" s="995">
        <f t="shared" si="7"/>
        <v>196</v>
      </c>
      <c r="B313" s="512"/>
      <c r="C313" s="494" t="s">
        <v>215</v>
      </c>
      <c r="D313" s="512"/>
      <c r="E313" s="512"/>
      <c r="F313" s="469" t="str">
        <f>"(Line "&amp;A312&amp;" / 5)"</f>
        <v>(Line 195 / 5)</v>
      </c>
      <c r="G313" s="512"/>
      <c r="H313" s="996">
        <f>+H312/5</f>
        <v>73.859276831303148</v>
      </c>
      <c r="J313" s="582"/>
      <c r="K313" s="582"/>
    </row>
    <row r="314" spans="1:11" s="15" customFormat="1" ht="21" thickBot="1">
      <c r="A314" s="997">
        <f>+A313+1</f>
        <v>197</v>
      </c>
      <c r="B314" s="998"/>
      <c r="C314" s="999" t="s">
        <v>216</v>
      </c>
      <c r="D314" s="998"/>
      <c r="E314" s="998"/>
      <c r="F314" s="1001" t="str">
        <f>"(Line "&amp;A312&amp;" / 7)"</f>
        <v>(Line 195 / 7)</v>
      </c>
      <c r="G314" s="998"/>
      <c r="H314" s="1000">
        <f>+H312/7</f>
        <v>52.756626308073677</v>
      </c>
      <c r="J314" s="582"/>
      <c r="K314" s="582"/>
    </row>
    <row r="315" spans="1:11" s="15" customFormat="1">
      <c r="A315" s="512"/>
      <c r="B315" s="512"/>
      <c r="C315" s="494"/>
      <c r="D315" s="512"/>
      <c r="E315" s="512"/>
      <c r="F315" s="512"/>
      <c r="G315" s="512"/>
      <c r="H315" s="810"/>
      <c r="J315" s="582"/>
      <c r="K315" s="582"/>
    </row>
    <row r="316" spans="1:11" s="15" customFormat="1">
      <c r="A316" s="441" t="s">
        <v>4</v>
      </c>
      <c r="B316" s="442"/>
      <c r="C316" s="443"/>
      <c r="D316" s="444"/>
      <c r="E316" s="445"/>
      <c r="F316" s="305"/>
      <c r="G316" s="305"/>
      <c r="H316" s="291"/>
    </row>
    <row r="317" spans="1:11" s="14" customFormat="1" ht="61.9" customHeight="1">
      <c r="A317" s="331"/>
      <c r="B317" s="453" t="s">
        <v>217</v>
      </c>
      <c r="C317" s="357" t="s">
        <v>218</v>
      </c>
      <c r="D317" s="357"/>
      <c r="E317" s="527"/>
      <c r="F317" s="333"/>
      <c r="G317" s="333"/>
      <c r="H317" s="844"/>
    </row>
    <row r="318" spans="1:11" s="14" customFormat="1" ht="28.15" customHeight="1">
      <c r="A318" s="331"/>
      <c r="B318" s="453" t="s">
        <v>219</v>
      </c>
      <c r="C318" s="332" t="s">
        <v>220</v>
      </c>
      <c r="D318" s="357"/>
      <c r="E318" s="527"/>
      <c r="F318" s="333"/>
      <c r="G318" s="333"/>
      <c r="H318" s="330"/>
    </row>
    <row r="319" spans="1:11" s="14" customFormat="1" ht="28.15" customHeight="1">
      <c r="A319" s="331"/>
      <c r="B319" s="453"/>
      <c r="C319" s="332" t="s">
        <v>221</v>
      </c>
      <c r="D319" s="357"/>
      <c r="E319" s="527"/>
      <c r="F319" s="333"/>
      <c r="G319" s="333"/>
      <c r="H319" s="330"/>
    </row>
    <row r="320" spans="1:11" s="14" customFormat="1" ht="28.15" customHeight="1">
      <c r="A320" s="331"/>
      <c r="B320" s="453" t="s">
        <v>222</v>
      </c>
      <c r="C320" s="487" t="s">
        <v>223</v>
      </c>
      <c r="D320" s="357"/>
      <c r="E320" s="527"/>
      <c r="F320" s="333"/>
      <c r="G320" s="333"/>
      <c r="H320" s="330"/>
    </row>
    <row r="321" spans="1:9" s="14" customFormat="1" ht="28.15" customHeight="1">
      <c r="A321" s="331"/>
      <c r="B321" s="453" t="s">
        <v>224</v>
      </c>
      <c r="C321" s="336" t="s">
        <v>225</v>
      </c>
      <c r="D321" s="357"/>
      <c r="E321" s="527"/>
      <c r="F321" s="333"/>
      <c r="G321" s="333"/>
      <c r="H321" s="330"/>
    </row>
    <row r="322" spans="1:9" s="14" customFormat="1" ht="28.15" customHeight="1">
      <c r="A322" s="331"/>
      <c r="B322" s="453" t="s">
        <v>226</v>
      </c>
      <c r="C322" s="487" t="s">
        <v>227</v>
      </c>
      <c r="D322" s="357"/>
      <c r="E322" s="527"/>
      <c r="F322" s="333"/>
      <c r="G322" s="333"/>
      <c r="H322" s="330"/>
    </row>
    <row r="323" spans="1:9" s="14" customFormat="1" ht="28.15" customHeight="1">
      <c r="A323" s="331"/>
      <c r="B323" s="453" t="s">
        <v>228</v>
      </c>
      <c r="C323" s="487" t="s">
        <v>229</v>
      </c>
      <c r="D323" s="357"/>
      <c r="E323" s="527"/>
      <c r="F323" s="333"/>
      <c r="G323" s="333"/>
      <c r="H323" s="333"/>
      <c r="I323" s="330"/>
    </row>
    <row r="324" spans="1:9" s="14" customFormat="1" ht="28.15" customHeight="1">
      <c r="A324" s="331"/>
      <c r="B324" s="453" t="s">
        <v>230</v>
      </c>
      <c r="C324" s="357" t="s">
        <v>231</v>
      </c>
      <c r="D324" s="530"/>
      <c r="E324" s="531"/>
      <c r="F324" s="532"/>
      <c r="G324" s="333"/>
      <c r="H324" s="330"/>
    </row>
    <row r="325" spans="1:9" s="14" customFormat="1" ht="28.15" customHeight="1">
      <c r="A325" s="331"/>
      <c r="B325" s="453"/>
      <c r="C325" s="357" t="s">
        <v>232</v>
      </c>
      <c r="D325" s="357"/>
      <c r="E325" s="533"/>
      <c r="F325" s="333"/>
      <c r="G325" s="333"/>
      <c r="H325" s="330"/>
    </row>
    <row r="326" spans="1:9" s="14" customFormat="1" ht="28.15" customHeight="1">
      <c r="A326" s="331"/>
      <c r="B326" s="453"/>
      <c r="C326" s="357" t="s">
        <v>233</v>
      </c>
      <c r="D326" s="357"/>
      <c r="E326" s="533"/>
      <c r="F326" s="333"/>
      <c r="G326" s="333"/>
      <c r="H326" s="330"/>
    </row>
    <row r="327" spans="1:9" s="14" customFormat="1" ht="28.15" customHeight="1">
      <c r="A327" s="331"/>
      <c r="B327" s="453"/>
      <c r="C327" s="357" t="s">
        <v>234</v>
      </c>
      <c r="D327" s="357"/>
      <c r="E327" s="533"/>
      <c r="F327" s="333"/>
      <c r="G327" s="333"/>
      <c r="H327" s="330"/>
    </row>
    <row r="328" spans="1:9" s="14" customFormat="1" ht="28.15" customHeight="1">
      <c r="A328" s="331"/>
      <c r="B328" s="453"/>
      <c r="C328" s="357" t="s">
        <v>235</v>
      </c>
      <c r="D328" s="530"/>
      <c r="E328" s="531"/>
      <c r="F328" s="532"/>
      <c r="G328" s="333"/>
      <c r="H328" s="330"/>
    </row>
    <row r="329" spans="1:9" s="14" customFormat="1" ht="28.15" customHeight="1">
      <c r="A329" s="331"/>
      <c r="B329" s="453"/>
      <c r="C329" s="357" t="s">
        <v>236</v>
      </c>
      <c r="D329" s="530"/>
      <c r="E329" s="531"/>
      <c r="F329" s="532"/>
      <c r="G329" s="333"/>
      <c r="H329" s="330"/>
    </row>
    <row r="330" spans="1:9" s="14" customFormat="1" ht="28.15" customHeight="1">
      <c r="A330" s="331"/>
      <c r="B330" s="453" t="s">
        <v>237</v>
      </c>
      <c r="C330" s="357" t="s">
        <v>238</v>
      </c>
      <c r="D330" s="357"/>
      <c r="E330" s="527"/>
      <c r="F330" s="333"/>
      <c r="G330" s="333"/>
      <c r="H330" s="330"/>
    </row>
    <row r="331" spans="1:9" s="14" customFormat="1" ht="28.15" customHeight="1">
      <c r="A331" s="331"/>
      <c r="B331" s="453"/>
      <c r="C331" s="357" t="s">
        <v>239</v>
      </c>
      <c r="D331" s="357"/>
      <c r="E331" s="527"/>
      <c r="F331" s="333"/>
      <c r="G331" s="333"/>
      <c r="H331" s="330"/>
    </row>
    <row r="332" spans="1:9" s="13" customFormat="1" ht="28.15" customHeight="1">
      <c r="A332" s="373"/>
      <c r="B332" s="373" t="s">
        <v>240</v>
      </c>
      <c r="C332" s="336" t="s">
        <v>241</v>
      </c>
      <c r="D332" s="336"/>
      <c r="E332" s="527"/>
      <c r="F332" s="333"/>
      <c r="G332" s="333"/>
      <c r="H332" s="330"/>
    </row>
    <row r="333" spans="1:9" s="14" customFormat="1" ht="28.15" customHeight="1">
      <c r="A333" s="534"/>
      <c r="B333" s="453" t="s">
        <v>242</v>
      </c>
      <c r="C333" s="357" t="s">
        <v>243</v>
      </c>
      <c r="D333" s="357"/>
      <c r="E333" s="527"/>
      <c r="F333" s="333"/>
      <c r="G333" s="331"/>
      <c r="H333" s="331"/>
    </row>
    <row r="334" spans="1:9" s="13" customFormat="1" ht="28.15" customHeight="1">
      <c r="A334" s="332"/>
      <c r="B334" s="336" t="s">
        <v>244</v>
      </c>
      <c r="C334" s="332" t="s">
        <v>245</v>
      </c>
      <c r="D334" s="332"/>
      <c r="E334" s="332"/>
      <c r="F334" s="332"/>
      <c r="G334" s="332"/>
      <c r="H334" s="332"/>
    </row>
    <row r="335" spans="1:9" s="14" customFormat="1" ht="28.15" customHeight="1">
      <c r="A335" s="331"/>
      <c r="B335" s="453" t="s">
        <v>246</v>
      </c>
      <c r="C335" s="357" t="s">
        <v>247</v>
      </c>
      <c r="D335" s="357"/>
      <c r="E335" s="527"/>
      <c r="F335" s="333"/>
      <c r="G335" s="333"/>
      <c r="H335" s="330"/>
    </row>
    <row r="336" spans="1:9" s="13" customFormat="1" ht="28.15" customHeight="1">
      <c r="B336" s="453" t="s">
        <v>248</v>
      </c>
      <c r="C336" s="357" t="s">
        <v>249</v>
      </c>
      <c r="D336" s="357"/>
      <c r="E336" s="527"/>
      <c r="F336" s="333"/>
      <c r="G336" s="333"/>
      <c r="H336" s="333"/>
    </row>
    <row r="337" spans="1:8" s="13" customFormat="1" ht="32.450000000000003" customHeight="1">
      <c r="B337" s="336" t="s">
        <v>250</v>
      </c>
      <c r="C337" s="336" t="s">
        <v>251</v>
      </c>
      <c r="D337" s="336"/>
      <c r="E337" s="535"/>
      <c r="F337" s="356"/>
      <c r="G337" s="288"/>
      <c r="H337" s="288"/>
    </row>
    <row r="338" spans="1:8" s="13" customFormat="1" ht="32.450000000000003" customHeight="1">
      <c r="B338" s="336"/>
      <c r="C338" s="336" t="s">
        <v>252</v>
      </c>
      <c r="D338" s="336"/>
      <c r="E338" s="535"/>
      <c r="F338" s="356"/>
      <c r="G338" s="288"/>
      <c r="H338" s="288"/>
    </row>
    <row r="339" spans="1:8" s="13" customFormat="1" ht="31.15" customHeight="1">
      <c r="B339" s="336" t="s">
        <v>253</v>
      </c>
      <c r="C339" s="336" t="s">
        <v>254</v>
      </c>
      <c r="D339" s="336"/>
      <c r="E339" s="356"/>
      <c r="F339" s="356"/>
      <c r="G339" s="288"/>
      <c r="H339" s="288"/>
    </row>
    <row r="340" spans="1:8" s="13" customFormat="1" ht="30" customHeight="1">
      <c r="B340" s="336" t="s">
        <v>255</v>
      </c>
      <c r="C340" s="336" t="s">
        <v>256</v>
      </c>
      <c r="D340" s="336"/>
      <c r="E340" s="356"/>
      <c r="F340" s="356"/>
      <c r="G340" s="288"/>
      <c r="H340" s="288"/>
    </row>
    <row r="341" spans="1:8" ht="30.6" customHeight="1">
      <c r="A341" s="12"/>
      <c r="B341" s="336" t="s">
        <v>257</v>
      </c>
      <c r="C341" s="336" t="s">
        <v>258</v>
      </c>
      <c r="D341" s="336"/>
      <c r="E341" s="391"/>
      <c r="F341" s="288"/>
    </row>
    <row r="342" spans="1:8">
      <c r="B342" s="336" t="s">
        <v>259</v>
      </c>
      <c r="C342" s="336" t="s">
        <v>260</v>
      </c>
      <c r="D342" s="336"/>
      <c r="E342" s="391"/>
      <c r="F342" s="288"/>
    </row>
    <row r="343" spans="1:8">
      <c r="B343" s="336"/>
      <c r="C343" s="336" t="s">
        <v>261</v>
      </c>
      <c r="D343" s="336"/>
      <c r="E343" s="391"/>
      <c r="F343" s="288"/>
    </row>
    <row r="344" spans="1:8">
      <c r="B344" s="336" t="s">
        <v>262</v>
      </c>
      <c r="C344" s="336" t="s">
        <v>263</v>
      </c>
      <c r="D344" s="336"/>
      <c r="E344" s="391"/>
      <c r="F344" s="288"/>
    </row>
    <row r="345" spans="1:8">
      <c r="A345" s="331" t="s">
        <v>264</v>
      </c>
      <c r="B345" s="336" t="s">
        <v>265</v>
      </c>
      <c r="C345" s="977" t="s">
        <v>266</v>
      </c>
      <c r="D345" s="336"/>
      <c r="E345" s="391"/>
      <c r="F345" s="288"/>
      <c r="G345" s="12"/>
      <c r="H345" s="12"/>
    </row>
    <row r="346" spans="1:8">
      <c r="A346" s="332"/>
      <c r="B346" s="336"/>
      <c r="D346" s="336"/>
      <c r="E346" s="391"/>
      <c r="F346" s="288"/>
      <c r="G346" s="12"/>
      <c r="H346" s="12"/>
    </row>
    <row r="347" spans="1:8" ht="20.45" customHeight="1">
      <c r="A347" s="332"/>
      <c r="B347" s="336"/>
      <c r="D347" s="336"/>
      <c r="E347" s="391"/>
      <c r="F347" s="288"/>
      <c r="G347" s="12"/>
      <c r="H347" s="12"/>
    </row>
    <row r="348" spans="1:8">
      <c r="A348" s="332"/>
      <c r="B348" s="336"/>
      <c r="C348" s="336"/>
      <c r="D348" s="336"/>
      <c r="E348" s="391"/>
      <c r="F348" s="288"/>
      <c r="G348" s="12"/>
      <c r="H348" s="12"/>
    </row>
    <row r="349" spans="1:8">
      <c r="A349" s="332"/>
      <c r="B349" s="336"/>
      <c r="C349" s="336"/>
      <c r="D349" s="336"/>
      <c r="E349" s="391"/>
      <c r="F349" s="288"/>
      <c r="G349" s="12"/>
      <c r="H349" s="12"/>
    </row>
    <row r="350" spans="1:8">
      <c r="A350" s="332"/>
      <c r="B350" s="336"/>
      <c r="C350" s="336"/>
      <c r="D350" s="336"/>
      <c r="E350" s="391"/>
      <c r="F350" s="288"/>
      <c r="G350" s="12"/>
      <c r="H350" s="12"/>
    </row>
    <row r="351" spans="1:8">
      <c r="A351" s="332"/>
      <c r="B351" s="336"/>
      <c r="C351" s="336"/>
      <c r="D351" s="336"/>
      <c r="E351" s="391"/>
      <c r="F351" s="288"/>
      <c r="G351" s="12"/>
      <c r="H351" s="12"/>
    </row>
    <row r="352" spans="1:8">
      <c r="A352" s="332"/>
      <c r="B352" s="336"/>
      <c r="C352" s="336"/>
      <c r="D352" s="336"/>
      <c r="E352" s="391"/>
      <c r="F352" s="288"/>
      <c r="G352" s="12"/>
      <c r="H352" s="12"/>
    </row>
    <row r="353" spans="1:8">
      <c r="A353" s="332"/>
      <c r="B353" s="336"/>
      <c r="C353" s="336"/>
      <c r="D353" s="336"/>
      <c r="E353" s="391"/>
      <c r="F353" s="288"/>
      <c r="G353" s="12"/>
      <c r="H353" s="12"/>
    </row>
    <row r="354" spans="1:8">
      <c r="A354" s="332"/>
      <c r="B354" s="336"/>
      <c r="C354" s="336"/>
      <c r="D354" s="336"/>
      <c r="E354" s="391"/>
      <c r="F354" s="288"/>
      <c r="G354" s="12"/>
      <c r="H354" s="12"/>
    </row>
    <row r="355" spans="1:8">
      <c r="A355" s="332"/>
      <c r="B355" s="336"/>
      <c r="C355" s="336"/>
      <c r="D355" s="336"/>
      <c r="E355" s="391"/>
      <c r="F355" s="288"/>
      <c r="G355" s="12"/>
      <c r="H355" s="12"/>
    </row>
    <row r="356" spans="1:8">
      <c r="A356" s="332"/>
      <c r="B356" s="336"/>
      <c r="C356" s="336"/>
      <c r="D356" s="336"/>
      <c r="E356" s="391"/>
      <c r="F356" s="288"/>
      <c r="G356" s="12"/>
      <c r="H356" s="12"/>
    </row>
    <row r="357" spans="1:8">
      <c r="A357" s="332"/>
      <c r="B357" s="336"/>
      <c r="C357" s="336"/>
      <c r="D357" s="336"/>
      <c r="E357" s="391"/>
      <c r="F357" s="288"/>
      <c r="G357" s="12"/>
      <c r="H357" s="12"/>
    </row>
    <row r="358" spans="1:8">
      <c r="A358" s="332"/>
      <c r="B358" s="336"/>
      <c r="C358" s="336"/>
      <c r="D358" s="336"/>
      <c r="E358" s="391"/>
      <c r="F358" s="288"/>
      <c r="G358" s="12"/>
      <c r="H358" s="12"/>
    </row>
    <row r="359" spans="1:8">
      <c r="A359" s="332"/>
      <c r="B359" s="336"/>
      <c r="C359" s="336"/>
      <c r="D359" s="336"/>
      <c r="E359" s="391"/>
      <c r="F359" s="288"/>
      <c r="G359" s="12"/>
      <c r="H359" s="12"/>
    </row>
    <row r="360" spans="1:8">
      <c r="A360" s="332"/>
      <c r="B360" s="336"/>
      <c r="C360" s="336"/>
      <c r="D360" s="336"/>
      <c r="E360" s="391"/>
      <c r="F360" s="288"/>
      <c r="G360" s="12"/>
      <c r="H360" s="12"/>
    </row>
    <row r="361" spans="1:8">
      <c r="A361" s="332"/>
      <c r="B361" s="336"/>
      <c r="C361" s="336"/>
      <c r="D361" s="336"/>
      <c r="E361" s="391"/>
      <c r="F361" s="288"/>
      <c r="G361" s="12"/>
      <c r="H361" s="12"/>
    </row>
    <row r="362" spans="1:8">
      <c r="A362" s="332"/>
      <c r="B362" s="336"/>
      <c r="C362" s="336"/>
      <c r="D362" s="336"/>
      <c r="E362" s="391"/>
      <c r="F362" s="288"/>
      <c r="G362" s="12"/>
      <c r="H362" s="12"/>
    </row>
    <row r="363" spans="1:8">
      <c r="A363" s="332"/>
      <c r="B363" s="336"/>
      <c r="C363" s="336"/>
      <c r="D363" s="336"/>
      <c r="E363" s="391"/>
      <c r="F363" s="288"/>
      <c r="G363" s="12"/>
      <c r="H363" s="12"/>
    </row>
    <row r="364" spans="1:8">
      <c r="A364" s="332"/>
      <c r="B364" s="336"/>
      <c r="C364" s="336"/>
      <c r="D364" s="336"/>
      <c r="E364" s="391"/>
      <c r="F364" s="288"/>
      <c r="G364" s="12"/>
      <c r="H364" s="12"/>
    </row>
    <row r="365" spans="1:8">
      <c r="A365" s="332"/>
      <c r="B365" s="336"/>
      <c r="C365" s="336"/>
      <c r="D365" s="336"/>
      <c r="E365" s="391"/>
      <c r="F365" s="288"/>
      <c r="G365" s="12"/>
      <c r="H365" s="12"/>
    </row>
    <row r="366" spans="1:8">
      <c r="A366" s="332"/>
      <c r="B366" s="336"/>
      <c r="C366" s="336"/>
      <c r="D366" s="336"/>
      <c r="E366" s="391"/>
      <c r="F366" s="288"/>
      <c r="G366" s="12"/>
      <c r="H366" s="12"/>
    </row>
    <row r="367" spans="1:8">
      <c r="A367" s="332"/>
      <c r="B367" s="336"/>
      <c r="C367" s="336"/>
      <c r="D367" s="336"/>
      <c r="E367" s="391"/>
      <c r="F367" s="288"/>
      <c r="G367" s="12"/>
      <c r="H367" s="12"/>
    </row>
    <row r="368" spans="1:8">
      <c r="A368" s="332"/>
      <c r="B368" s="336"/>
      <c r="C368" s="336"/>
      <c r="D368" s="336"/>
      <c r="E368" s="391"/>
      <c r="F368" s="288"/>
      <c r="G368" s="12"/>
      <c r="H368" s="12"/>
    </row>
    <row r="369" spans="1:8">
      <c r="A369" s="332"/>
      <c r="B369" s="336"/>
      <c r="C369" s="336"/>
      <c r="D369" s="336"/>
      <c r="E369" s="391"/>
      <c r="F369" s="288"/>
      <c r="G369" s="12"/>
      <c r="H369" s="12"/>
    </row>
    <row r="370" spans="1:8">
      <c r="A370" s="332"/>
      <c r="B370" s="336"/>
      <c r="C370" s="336"/>
      <c r="D370" s="336"/>
      <c r="E370" s="391"/>
      <c r="F370" s="288"/>
      <c r="G370" s="12"/>
      <c r="H370" s="12"/>
    </row>
    <row r="371" spans="1:8">
      <c r="A371" s="332"/>
      <c r="B371" s="336"/>
      <c r="C371" s="336"/>
      <c r="D371" s="336"/>
      <c r="E371" s="391"/>
      <c r="F371" s="288"/>
      <c r="G371" s="12"/>
      <c r="H371" s="12"/>
    </row>
    <row r="372" spans="1:8">
      <c r="A372" s="332"/>
      <c r="B372" s="336"/>
      <c r="C372" s="336"/>
      <c r="D372" s="336"/>
      <c r="E372" s="391"/>
      <c r="F372" s="288"/>
      <c r="G372" s="12"/>
      <c r="H372" s="12"/>
    </row>
    <row r="373" spans="1:8">
      <c r="A373" s="332"/>
      <c r="B373" s="336"/>
      <c r="C373" s="336"/>
      <c r="D373" s="336"/>
      <c r="E373" s="391"/>
      <c r="F373" s="288"/>
      <c r="G373" s="12"/>
      <c r="H373" s="12"/>
    </row>
    <row r="374" spans="1:8">
      <c r="A374" s="332"/>
      <c r="B374" s="336"/>
      <c r="C374" s="336"/>
      <c r="D374" s="336"/>
      <c r="E374" s="391"/>
      <c r="F374" s="288"/>
      <c r="G374" s="12"/>
      <c r="H374" s="12"/>
    </row>
    <row r="375" spans="1:8">
      <c r="A375" s="332"/>
      <c r="B375" s="336"/>
      <c r="C375" s="336"/>
      <c r="D375" s="336"/>
      <c r="E375" s="391"/>
      <c r="F375" s="288"/>
      <c r="G375" s="12"/>
      <c r="H375" s="12"/>
    </row>
    <row r="376" spans="1:8">
      <c r="A376" s="332"/>
      <c r="B376" s="336"/>
      <c r="C376" s="336"/>
      <c r="D376" s="336"/>
      <c r="E376" s="391"/>
      <c r="F376" s="288"/>
      <c r="G376" s="12"/>
      <c r="H376" s="12"/>
    </row>
    <row r="377" spans="1:8">
      <c r="A377" s="332"/>
      <c r="B377" s="336"/>
      <c r="C377" s="336"/>
      <c r="D377" s="336"/>
      <c r="E377" s="391"/>
      <c r="F377" s="288"/>
      <c r="G377" s="12"/>
      <c r="H377" s="12"/>
    </row>
    <row r="378" spans="1:8">
      <c r="A378" s="332"/>
      <c r="B378" s="336"/>
      <c r="C378" s="336"/>
      <c r="D378" s="336"/>
      <c r="E378" s="391"/>
      <c r="F378" s="288"/>
      <c r="G378" s="12"/>
      <c r="H378" s="12"/>
    </row>
    <row r="379" spans="1:8">
      <c r="A379" s="332"/>
      <c r="B379" s="336"/>
      <c r="C379" s="336"/>
      <c r="D379" s="336"/>
      <c r="E379" s="391"/>
      <c r="F379" s="288"/>
      <c r="G379" s="12"/>
      <c r="H379" s="12"/>
    </row>
    <row r="380" spans="1:8">
      <c r="A380" s="332"/>
      <c r="B380" s="336"/>
      <c r="C380" s="336"/>
      <c r="D380" s="336"/>
      <c r="E380" s="391"/>
      <c r="F380" s="288"/>
      <c r="G380" s="12"/>
      <c r="H380" s="12"/>
    </row>
    <row r="381" spans="1:8">
      <c r="A381" s="332"/>
      <c r="B381" s="336"/>
      <c r="C381" s="336"/>
      <c r="D381" s="336"/>
      <c r="E381" s="391"/>
      <c r="F381" s="288"/>
      <c r="G381" s="12"/>
      <c r="H381" s="12"/>
    </row>
    <row r="382" spans="1:8">
      <c r="A382" s="332"/>
      <c r="B382" s="336"/>
      <c r="C382" s="336"/>
      <c r="D382" s="336"/>
      <c r="E382" s="391"/>
      <c r="F382" s="288"/>
      <c r="G382" s="12"/>
      <c r="H382" s="12"/>
    </row>
    <row r="383" spans="1:8">
      <c r="A383" s="332"/>
      <c r="B383" s="336"/>
      <c r="C383" s="336"/>
      <c r="D383" s="336"/>
      <c r="E383" s="391"/>
      <c r="F383" s="288"/>
      <c r="G383" s="12"/>
      <c r="H383" s="12"/>
    </row>
    <row r="384" spans="1:8">
      <c r="A384" s="332"/>
      <c r="B384" s="336"/>
      <c r="C384" s="336"/>
      <c r="D384" s="336"/>
      <c r="E384" s="391"/>
      <c r="F384" s="288"/>
      <c r="G384" s="12"/>
      <c r="H384" s="12"/>
    </row>
    <row r="385" spans="1:8">
      <c r="A385" s="332"/>
      <c r="B385" s="336"/>
      <c r="C385" s="336"/>
      <c r="D385" s="336"/>
      <c r="E385" s="391"/>
      <c r="F385" s="288"/>
      <c r="G385" s="12"/>
      <c r="H385" s="12"/>
    </row>
    <row r="386" spans="1:8">
      <c r="A386" s="332"/>
      <c r="B386" s="336"/>
      <c r="C386" s="336"/>
      <c r="D386" s="336"/>
      <c r="E386" s="391"/>
      <c r="F386" s="288"/>
      <c r="G386" s="12"/>
      <c r="H386" s="12"/>
    </row>
    <row r="387" spans="1:8">
      <c r="A387" s="332"/>
      <c r="B387" s="336"/>
      <c r="C387" s="336"/>
      <c r="D387" s="336"/>
      <c r="E387" s="391"/>
      <c r="F387" s="288"/>
      <c r="G387" s="12"/>
      <c r="H387" s="12"/>
    </row>
    <row r="388" spans="1:8">
      <c r="A388" s="332"/>
      <c r="B388" s="336"/>
      <c r="C388" s="336"/>
      <c r="D388" s="336"/>
      <c r="E388" s="391"/>
      <c r="F388" s="288"/>
      <c r="G388" s="12"/>
      <c r="H388" s="12"/>
    </row>
    <row r="389" spans="1:8">
      <c r="A389" s="332"/>
      <c r="B389" s="336"/>
      <c r="C389" s="336"/>
      <c r="D389" s="336"/>
      <c r="E389" s="391"/>
      <c r="F389" s="288"/>
      <c r="G389" s="12"/>
      <c r="H389" s="12"/>
    </row>
    <row r="390" spans="1:8">
      <c r="A390" s="332"/>
      <c r="B390" s="336"/>
      <c r="C390" s="336"/>
      <c r="D390" s="336"/>
      <c r="E390" s="391"/>
      <c r="F390" s="288"/>
      <c r="G390" s="12"/>
      <c r="H390" s="12"/>
    </row>
    <row r="391" spans="1:8">
      <c r="A391" s="332"/>
      <c r="B391" s="336"/>
      <c r="C391" s="336"/>
      <c r="D391" s="336"/>
      <c r="E391" s="391"/>
      <c r="F391" s="288"/>
      <c r="G391" s="12"/>
      <c r="H391" s="12"/>
    </row>
    <row r="392" spans="1:8">
      <c r="A392" s="332"/>
      <c r="B392" s="336"/>
      <c r="C392" s="336"/>
      <c r="D392" s="336"/>
      <c r="E392" s="391"/>
      <c r="F392" s="288"/>
      <c r="G392" s="12"/>
      <c r="H392" s="12"/>
    </row>
    <row r="393" spans="1:8">
      <c r="A393" s="332"/>
      <c r="B393" s="336"/>
      <c r="C393" s="336"/>
      <c r="D393" s="336"/>
      <c r="E393" s="391"/>
      <c r="F393" s="288"/>
      <c r="G393" s="12"/>
      <c r="H393" s="12"/>
    </row>
    <row r="394" spans="1:8">
      <c r="A394" s="332"/>
      <c r="B394" s="336"/>
      <c r="C394" s="336"/>
      <c r="D394" s="336"/>
      <c r="E394" s="391"/>
      <c r="F394" s="288"/>
      <c r="G394" s="12"/>
      <c r="H394" s="12"/>
    </row>
    <row r="395" spans="1:8">
      <c r="A395" s="332"/>
      <c r="B395" s="336"/>
      <c r="C395" s="336"/>
      <c r="D395" s="336"/>
      <c r="E395" s="391"/>
      <c r="F395" s="288"/>
      <c r="G395" s="12"/>
      <c r="H395" s="12"/>
    </row>
    <row r="396" spans="1:8">
      <c r="A396" s="332"/>
      <c r="B396" s="336"/>
      <c r="C396" s="336"/>
      <c r="D396" s="336"/>
      <c r="E396" s="391"/>
      <c r="F396" s="288"/>
      <c r="G396" s="12"/>
      <c r="H396" s="12"/>
    </row>
    <row r="397" spans="1:8">
      <c r="A397" s="332"/>
      <c r="B397" s="336"/>
      <c r="C397" s="336"/>
      <c r="D397" s="336"/>
      <c r="E397" s="391"/>
      <c r="F397" s="288"/>
      <c r="G397" s="12"/>
      <c r="H397" s="12"/>
    </row>
    <row r="398" spans="1:8">
      <c r="A398" s="332"/>
      <c r="B398" s="336"/>
      <c r="C398" s="336"/>
      <c r="D398" s="336"/>
      <c r="E398" s="391"/>
      <c r="F398" s="288"/>
      <c r="G398" s="12"/>
      <c r="H398" s="12"/>
    </row>
    <row r="399" spans="1:8">
      <c r="A399" s="332"/>
      <c r="B399" s="336"/>
      <c r="C399" s="336"/>
      <c r="D399" s="336"/>
      <c r="E399" s="391"/>
      <c r="F399" s="288"/>
      <c r="G399" s="12"/>
      <c r="H399" s="12"/>
    </row>
    <row r="400" spans="1:8">
      <c r="A400" s="332"/>
      <c r="B400" s="336"/>
      <c r="C400" s="336"/>
      <c r="D400" s="336"/>
      <c r="E400" s="391"/>
      <c r="F400" s="288"/>
      <c r="G400" s="12"/>
      <c r="H400" s="12"/>
    </row>
    <row r="401" spans="1:8">
      <c r="A401" s="332"/>
      <c r="B401" s="336"/>
      <c r="C401" s="336"/>
      <c r="D401" s="336"/>
      <c r="E401" s="391"/>
      <c r="F401" s="288"/>
      <c r="G401" s="12"/>
      <c r="H401" s="12"/>
    </row>
    <row r="402" spans="1:8">
      <c r="A402" s="332"/>
      <c r="B402" s="336"/>
      <c r="C402" s="336"/>
      <c r="D402" s="336"/>
      <c r="E402" s="391"/>
      <c r="F402" s="288"/>
      <c r="G402" s="12"/>
      <c r="H402" s="12"/>
    </row>
    <row r="403" spans="1:8">
      <c r="A403" s="332"/>
      <c r="B403" s="336"/>
      <c r="C403" s="336"/>
      <c r="D403" s="336"/>
      <c r="E403" s="391"/>
      <c r="F403" s="288"/>
      <c r="G403" s="12"/>
      <c r="H403" s="12"/>
    </row>
    <row r="404" spans="1:8">
      <c r="A404" s="332"/>
      <c r="B404" s="336"/>
      <c r="C404" s="336"/>
      <c r="D404" s="336"/>
      <c r="E404" s="391"/>
      <c r="F404" s="288"/>
      <c r="G404" s="12"/>
      <c r="H404" s="12"/>
    </row>
    <row r="405" spans="1:8">
      <c r="A405" s="332"/>
      <c r="B405" s="336"/>
      <c r="C405" s="336"/>
      <c r="D405" s="336"/>
      <c r="E405" s="391"/>
      <c r="F405" s="288"/>
      <c r="G405" s="12"/>
      <c r="H405" s="12"/>
    </row>
    <row r="406" spans="1:8">
      <c r="A406" s="332"/>
      <c r="B406" s="336"/>
      <c r="C406" s="336"/>
      <c r="D406" s="336"/>
      <c r="E406" s="391"/>
      <c r="F406" s="288"/>
      <c r="G406" s="12"/>
      <c r="H406" s="12"/>
    </row>
    <row r="407" spans="1:8">
      <c r="A407" s="332"/>
      <c r="B407" s="336"/>
      <c r="C407" s="336"/>
      <c r="D407" s="336"/>
      <c r="E407" s="391"/>
      <c r="F407" s="288"/>
      <c r="G407" s="12"/>
      <c r="H407" s="12"/>
    </row>
    <row r="408" spans="1:8">
      <c r="A408" s="332"/>
      <c r="B408" s="336"/>
      <c r="C408" s="336"/>
      <c r="D408" s="336"/>
      <c r="E408" s="391"/>
      <c r="F408" s="288"/>
      <c r="G408" s="12"/>
      <c r="H408" s="12"/>
    </row>
    <row r="409" spans="1:8">
      <c r="A409" s="332"/>
      <c r="B409" s="336"/>
      <c r="C409" s="336"/>
      <c r="D409" s="336"/>
      <c r="E409" s="391"/>
      <c r="F409" s="288"/>
      <c r="G409" s="12"/>
      <c r="H409" s="12"/>
    </row>
    <row r="410" spans="1:8">
      <c r="A410" s="332"/>
      <c r="B410" s="336"/>
      <c r="C410" s="336"/>
      <c r="D410" s="336"/>
      <c r="E410" s="391"/>
      <c r="F410" s="288"/>
      <c r="G410" s="12"/>
      <c r="H410" s="12"/>
    </row>
    <row r="411" spans="1:8">
      <c r="A411" s="332"/>
      <c r="B411" s="336"/>
      <c r="C411" s="336"/>
      <c r="D411" s="336"/>
      <c r="E411" s="391"/>
      <c r="F411" s="288"/>
      <c r="G411" s="12"/>
      <c r="H411" s="12"/>
    </row>
    <row r="412" spans="1:8">
      <c r="A412" s="332"/>
      <c r="B412" s="336"/>
      <c r="C412" s="336"/>
      <c r="D412" s="336"/>
      <c r="E412" s="391"/>
      <c r="F412" s="288"/>
      <c r="G412" s="12"/>
      <c r="H412" s="12"/>
    </row>
    <row r="413" spans="1:8">
      <c r="A413" s="332"/>
      <c r="B413" s="336"/>
      <c r="C413" s="336"/>
      <c r="D413" s="336"/>
      <c r="E413" s="391"/>
      <c r="F413" s="288"/>
      <c r="G413" s="12"/>
      <c r="H413" s="12"/>
    </row>
    <row r="414" spans="1:8">
      <c r="A414" s="332"/>
      <c r="B414" s="336"/>
      <c r="C414" s="336"/>
      <c r="D414" s="336"/>
      <c r="E414" s="391"/>
      <c r="F414" s="288"/>
      <c r="G414" s="12"/>
      <c r="H414" s="12"/>
    </row>
    <row r="415" spans="1:8">
      <c r="A415" s="332"/>
      <c r="B415" s="336"/>
      <c r="C415" s="336"/>
      <c r="D415" s="336"/>
      <c r="E415" s="391"/>
      <c r="F415" s="288"/>
      <c r="G415" s="12"/>
      <c r="H415" s="12"/>
    </row>
    <row r="416" spans="1:8">
      <c r="A416" s="332"/>
      <c r="B416" s="336"/>
      <c r="C416" s="336"/>
      <c r="D416" s="336"/>
      <c r="E416" s="391"/>
      <c r="F416" s="288"/>
      <c r="G416" s="12"/>
      <c r="H416" s="12"/>
    </row>
    <row r="417" spans="1:8">
      <c r="A417" s="332"/>
      <c r="B417" s="336"/>
      <c r="C417" s="336"/>
      <c r="D417" s="336"/>
      <c r="E417" s="391"/>
      <c r="F417" s="288"/>
      <c r="G417" s="12"/>
      <c r="H417" s="12"/>
    </row>
    <row r="418" spans="1:8">
      <c r="A418" s="332"/>
      <c r="B418" s="336"/>
      <c r="C418" s="336"/>
      <c r="D418" s="336"/>
      <c r="E418" s="391"/>
      <c r="F418" s="288"/>
      <c r="G418" s="12"/>
      <c r="H418" s="12"/>
    </row>
    <row r="419" spans="1:8">
      <c r="A419" s="332"/>
      <c r="B419" s="336"/>
      <c r="C419" s="336"/>
      <c r="D419" s="336"/>
      <c r="E419" s="391"/>
      <c r="F419" s="288"/>
      <c r="G419" s="12"/>
      <c r="H419" s="12"/>
    </row>
    <row r="420" spans="1:8">
      <c r="A420" s="332"/>
      <c r="B420" s="336"/>
      <c r="C420" s="336"/>
      <c r="D420" s="336"/>
      <c r="E420" s="391"/>
      <c r="F420" s="288"/>
      <c r="G420" s="12"/>
      <c r="H420" s="12"/>
    </row>
    <row r="421" spans="1:8">
      <c r="A421" s="332"/>
      <c r="B421" s="336"/>
      <c r="C421" s="336"/>
      <c r="D421" s="336"/>
      <c r="E421" s="391"/>
      <c r="F421" s="288"/>
      <c r="G421" s="12"/>
      <c r="H421" s="12"/>
    </row>
    <row r="422" spans="1:8">
      <c r="A422" s="332"/>
      <c r="B422" s="336"/>
      <c r="C422" s="336"/>
      <c r="D422" s="336"/>
      <c r="E422" s="391"/>
      <c r="F422" s="288"/>
      <c r="G422" s="12"/>
      <c r="H422" s="12"/>
    </row>
    <row r="423" spans="1:8">
      <c r="A423" s="332"/>
      <c r="B423" s="336"/>
      <c r="C423" s="336"/>
      <c r="D423" s="336"/>
      <c r="E423" s="391"/>
      <c r="F423" s="288"/>
      <c r="G423" s="12"/>
      <c r="H423" s="12"/>
    </row>
    <row r="424" spans="1:8">
      <c r="A424" s="332"/>
      <c r="B424" s="336"/>
      <c r="C424" s="336"/>
      <c r="D424" s="336"/>
      <c r="E424" s="391"/>
      <c r="F424" s="288"/>
      <c r="G424" s="12"/>
      <c r="H424" s="12"/>
    </row>
    <row r="425" spans="1:8">
      <c r="A425" s="332"/>
      <c r="B425" s="336"/>
      <c r="C425" s="336"/>
      <c r="D425" s="336"/>
      <c r="E425" s="391"/>
      <c r="F425" s="288"/>
      <c r="G425" s="12"/>
      <c r="H425" s="12"/>
    </row>
    <row r="426" spans="1:8">
      <c r="A426" s="332"/>
      <c r="B426" s="336"/>
      <c r="C426" s="336"/>
      <c r="D426" s="336"/>
      <c r="E426" s="391"/>
      <c r="F426" s="288"/>
      <c r="G426" s="12"/>
      <c r="H426" s="12"/>
    </row>
    <row r="427" spans="1:8">
      <c r="A427" s="332"/>
      <c r="B427" s="336"/>
      <c r="C427" s="336"/>
      <c r="D427" s="336"/>
      <c r="E427" s="391"/>
      <c r="F427" s="288"/>
      <c r="G427" s="12"/>
      <c r="H427" s="12"/>
    </row>
    <row r="428" spans="1:8">
      <c r="A428" s="332"/>
      <c r="B428" s="336"/>
      <c r="C428" s="336"/>
      <c r="D428" s="336"/>
      <c r="E428" s="391"/>
      <c r="F428" s="288"/>
      <c r="G428" s="12"/>
      <c r="H428" s="12"/>
    </row>
    <row r="429" spans="1:8">
      <c r="A429" s="332"/>
      <c r="B429" s="336"/>
      <c r="C429" s="336"/>
      <c r="D429" s="336"/>
      <c r="E429" s="391"/>
      <c r="F429" s="288"/>
      <c r="G429" s="12"/>
      <c r="H429" s="12"/>
    </row>
    <row r="430" spans="1:8">
      <c r="A430" s="332"/>
      <c r="B430" s="336"/>
      <c r="C430" s="336"/>
      <c r="D430" s="336"/>
      <c r="E430" s="391"/>
      <c r="F430" s="288"/>
      <c r="G430" s="12"/>
      <c r="H430" s="12"/>
    </row>
    <row r="431" spans="1:8">
      <c r="A431" s="332"/>
      <c r="B431" s="336"/>
      <c r="C431" s="336"/>
      <c r="D431" s="336"/>
      <c r="E431" s="391"/>
      <c r="F431" s="288"/>
      <c r="G431" s="12"/>
      <c r="H431" s="12"/>
    </row>
    <row r="432" spans="1:8">
      <c r="A432" s="332"/>
      <c r="B432" s="336"/>
      <c r="C432" s="336"/>
      <c r="D432" s="336"/>
      <c r="E432" s="391"/>
      <c r="F432" s="288"/>
      <c r="G432" s="12"/>
      <c r="H432" s="12"/>
    </row>
    <row r="433" spans="1:8">
      <c r="A433" s="332"/>
      <c r="B433" s="336"/>
      <c r="C433" s="336"/>
      <c r="D433" s="336"/>
      <c r="E433" s="391"/>
      <c r="F433" s="288"/>
      <c r="G433" s="12"/>
      <c r="H433" s="12"/>
    </row>
    <row r="434" spans="1:8">
      <c r="A434" s="332"/>
      <c r="B434" s="336"/>
      <c r="C434" s="336"/>
      <c r="D434" s="336"/>
      <c r="E434" s="391"/>
      <c r="F434" s="288"/>
      <c r="G434" s="12"/>
      <c r="H434" s="12"/>
    </row>
    <row r="435" spans="1:8">
      <c r="A435" s="332"/>
      <c r="B435" s="336"/>
      <c r="C435" s="336"/>
      <c r="D435" s="336"/>
      <c r="E435" s="391"/>
      <c r="F435" s="288"/>
      <c r="G435" s="12"/>
      <c r="H435" s="12"/>
    </row>
    <row r="436" spans="1:8">
      <c r="A436" s="332"/>
      <c r="B436" s="336"/>
      <c r="C436" s="336"/>
      <c r="D436" s="336"/>
      <c r="E436" s="391"/>
      <c r="F436" s="288"/>
      <c r="G436" s="12"/>
      <c r="H436" s="12"/>
    </row>
    <row r="437" spans="1:8">
      <c r="A437" s="332"/>
      <c r="B437" s="336"/>
      <c r="C437" s="336"/>
      <c r="D437" s="336"/>
      <c r="E437" s="391"/>
      <c r="F437" s="288"/>
      <c r="G437" s="12"/>
      <c r="H437" s="12"/>
    </row>
    <row r="438" spans="1:8">
      <c r="A438" s="332"/>
      <c r="B438" s="336"/>
      <c r="C438" s="336"/>
      <c r="D438" s="336"/>
      <c r="E438" s="391"/>
      <c r="F438" s="288"/>
      <c r="G438" s="12"/>
      <c r="H438" s="12"/>
    </row>
    <row r="439" spans="1:8">
      <c r="A439" s="332"/>
      <c r="B439" s="336"/>
      <c r="C439" s="336"/>
      <c r="D439" s="336"/>
      <c r="E439" s="391"/>
      <c r="F439" s="288"/>
      <c r="G439" s="12"/>
      <c r="H439" s="12"/>
    </row>
    <row r="440" spans="1:8">
      <c r="A440" s="332"/>
      <c r="B440" s="336"/>
      <c r="C440" s="336"/>
      <c r="D440" s="336"/>
      <c r="E440" s="391"/>
      <c r="F440" s="288"/>
      <c r="G440" s="12"/>
      <c r="H440" s="12"/>
    </row>
    <row r="441" spans="1:8">
      <c r="A441" s="332"/>
      <c r="B441" s="336"/>
      <c r="C441" s="336"/>
      <c r="D441" s="336"/>
      <c r="E441" s="391"/>
      <c r="F441" s="288"/>
      <c r="G441" s="12"/>
      <c r="H441" s="12"/>
    </row>
    <row r="442" spans="1:8">
      <c r="A442" s="332"/>
      <c r="B442" s="336"/>
      <c r="C442" s="336"/>
      <c r="D442" s="336"/>
      <c r="E442" s="391"/>
      <c r="F442" s="288"/>
      <c r="G442" s="12"/>
      <c r="H442" s="12"/>
    </row>
    <row r="443" spans="1:8">
      <c r="A443" s="332"/>
      <c r="B443" s="336"/>
      <c r="C443" s="336"/>
      <c r="D443" s="336"/>
      <c r="E443" s="391"/>
      <c r="F443" s="288"/>
      <c r="G443" s="12"/>
      <c r="H443" s="12"/>
    </row>
    <row r="444" spans="1:8">
      <c r="A444" s="332"/>
      <c r="B444" s="336"/>
      <c r="C444" s="336"/>
      <c r="D444" s="336"/>
      <c r="E444" s="391"/>
      <c r="F444" s="288"/>
      <c r="G444" s="12"/>
      <c r="H444" s="12"/>
    </row>
    <row r="445" spans="1:8">
      <c r="A445" s="332"/>
      <c r="B445" s="336"/>
      <c r="C445" s="336"/>
      <c r="D445" s="336"/>
      <c r="E445" s="391"/>
      <c r="F445" s="288"/>
      <c r="G445" s="12"/>
      <c r="H445" s="12"/>
    </row>
    <row r="446" spans="1:8">
      <c r="A446" s="332"/>
      <c r="B446" s="336"/>
      <c r="C446" s="336"/>
      <c r="D446" s="336"/>
      <c r="E446" s="391"/>
      <c r="F446" s="288"/>
      <c r="G446" s="12"/>
      <c r="H446" s="12"/>
    </row>
    <row r="447" spans="1:8">
      <c r="A447" s="332"/>
      <c r="B447" s="336"/>
      <c r="C447" s="336"/>
      <c r="D447" s="336"/>
      <c r="E447" s="391"/>
      <c r="F447" s="288"/>
      <c r="G447" s="12"/>
      <c r="H447" s="12"/>
    </row>
    <row r="448" spans="1:8">
      <c r="A448" s="332"/>
      <c r="B448" s="336"/>
      <c r="C448" s="336"/>
      <c r="D448" s="336"/>
      <c r="E448" s="391"/>
      <c r="F448" s="288"/>
      <c r="G448" s="12"/>
      <c r="H448" s="12"/>
    </row>
    <row r="449" spans="1:8">
      <c r="A449" s="332"/>
      <c r="B449" s="336"/>
      <c r="C449" s="336"/>
      <c r="D449" s="336"/>
      <c r="E449" s="391"/>
      <c r="F449" s="288"/>
      <c r="G449" s="12"/>
      <c r="H449" s="12"/>
    </row>
    <row r="450" spans="1:8">
      <c r="A450" s="332"/>
      <c r="B450" s="336"/>
      <c r="C450" s="336"/>
      <c r="D450" s="336"/>
      <c r="E450" s="391"/>
      <c r="F450" s="288"/>
      <c r="G450" s="12"/>
      <c r="H450" s="12"/>
    </row>
    <row r="451" spans="1:8">
      <c r="A451" s="332"/>
      <c r="B451" s="336"/>
      <c r="C451" s="336"/>
      <c r="D451" s="336"/>
      <c r="E451" s="391"/>
      <c r="F451" s="288"/>
      <c r="G451" s="12"/>
      <c r="H451" s="12"/>
    </row>
    <row r="452" spans="1:8">
      <c r="A452" s="332"/>
      <c r="B452" s="336"/>
      <c r="C452" s="336"/>
      <c r="D452" s="336"/>
      <c r="E452" s="391"/>
      <c r="F452" s="288"/>
      <c r="G452" s="12"/>
      <c r="H452" s="12"/>
    </row>
    <row r="453" spans="1:8">
      <c r="A453" s="332"/>
      <c r="B453" s="336"/>
      <c r="C453" s="336"/>
      <c r="D453" s="336"/>
      <c r="E453" s="391"/>
      <c r="F453" s="288"/>
      <c r="G453" s="12"/>
      <c r="H453" s="12"/>
    </row>
    <row r="454" spans="1:8">
      <c r="A454" s="332"/>
      <c r="B454" s="336"/>
      <c r="C454" s="336"/>
      <c r="D454" s="336"/>
      <c r="E454" s="391"/>
      <c r="F454" s="288"/>
      <c r="G454" s="12"/>
      <c r="H454" s="12"/>
    </row>
    <row r="455" spans="1:8">
      <c r="A455" s="332"/>
      <c r="B455" s="336"/>
      <c r="C455" s="336"/>
      <c r="D455" s="336"/>
      <c r="E455" s="391"/>
      <c r="F455" s="288"/>
      <c r="G455" s="12"/>
      <c r="H455" s="12"/>
    </row>
    <row r="456" spans="1:8">
      <c r="A456" s="332"/>
      <c r="B456" s="336"/>
      <c r="C456" s="336"/>
      <c r="D456" s="336"/>
      <c r="E456" s="391"/>
      <c r="F456" s="288"/>
      <c r="G456" s="12"/>
      <c r="H456" s="12"/>
    </row>
    <row r="457" spans="1:8">
      <c r="A457" s="332"/>
      <c r="B457" s="336"/>
      <c r="C457" s="336"/>
      <c r="D457" s="336"/>
      <c r="E457" s="391"/>
      <c r="F457" s="288"/>
      <c r="G457" s="12"/>
      <c r="H457" s="12"/>
    </row>
    <row r="458" spans="1:8">
      <c r="A458" s="332"/>
      <c r="B458" s="336"/>
      <c r="C458" s="336"/>
      <c r="D458" s="336"/>
      <c r="E458" s="391"/>
      <c r="F458" s="288"/>
      <c r="G458" s="12"/>
      <c r="H458" s="12"/>
    </row>
    <row r="459" spans="1:8">
      <c r="A459" s="332"/>
      <c r="B459" s="336"/>
      <c r="C459" s="336"/>
      <c r="D459" s="336"/>
      <c r="E459" s="391"/>
      <c r="F459" s="288"/>
      <c r="G459" s="12"/>
      <c r="H459" s="12"/>
    </row>
    <row r="460" spans="1:8">
      <c r="A460" s="332"/>
      <c r="B460" s="336"/>
      <c r="C460" s="336"/>
      <c r="D460" s="336"/>
      <c r="E460" s="391"/>
      <c r="F460" s="288"/>
      <c r="G460" s="12"/>
      <c r="H460" s="12"/>
    </row>
    <row r="461" spans="1:8">
      <c r="A461" s="332"/>
      <c r="B461" s="336"/>
      <c r="C461" s="336"/>
      <c r="D461" s="336"/>
      <c r="E461" s="391"/>
      <c r="F461" s="288"/>
      <c r="G461" s="12"/>
      <c r="H461" s="12"/>
    </row>
    <row r="462" spans="1:8">
      <c r="A462" s="332"/>
      <c r="B462" s="336"/>
      <c r="C462" s="336"/>
      <c r="D462" s="336"/>
      <c r="E462" s="391"/>
      <c r="F462" s="288"/>
      <c r="G462" s="12"/>
      <c r="H462" s="12"/>
    </row>
    <row r="463" spans="1:8">
      <c r="A463" s="332"/>
      <c r="B463" s="336"/>
      <c r="C463" s="336"/>
      <c r="D463" s="336"/>
      <c r="E463" s="391"/>
      <c r="F463" s="288"/>
      <c r="G463" s="12"/>
      <c r="H463" s="12"/>
    </row>
    <row r="464" spans="1:8">
      <c r="A464" s="332"/>
      <c r="B464" s="336"/>
      <c r="C464" s="336"/>
      <c r="D464" s="336"/>
      <c r="E464" s="391"/>
      <c r="F464" s="288"/>
      <c r="G464" s="12"/>
      <c r="H464" s="12"/>
    </row>
    <row r="465" spans="1:8">
      <c r="A465" s="332"/>
      <c r="B465" s="336"/>
      <c r="C465" s="336"/>
      <c r="D465" s="336"/>
      <c r="E465" s="391"/>
      <c r="F465" s="288"/>
      <c r="G465" s="12"/>
      <c r="H465" s="12"/>
    </row>
    <row r="466" spans="1:8">
      <c r="A466" s="332"/>
      <c r="B466" s="336"/>
      <c r="C466" s="336"/>
      <c r="D466" s="336"/>
      <c r="E466" s="391"/>
      <c r="F466" s="288"/>
      <c r="G466" s="12"/>
      <c r="H466" s="12"/>
    </row>
    <row r="467" spans="1:8">
      <c r="A467" s="332"/>
      <c r="B467" s="336"/>
      <c r="C467" s="336"/>
      <c r="D467" s="336"/>
      <c r="E467" s="391"/>
      <c r="F467" s="288"/>
      <c r="G467" s="12"/>
      <c r="H467" s="12"/>
    </row>
    <row r="468" spans="1:8">
      <c r="A468" s="332"/>
      <c r="B468" s="336"/>
      <c r="C468" s="336"/>
      <c r="D468" s="336"/>
      <c r="E468" s="391"/>
      <c r="F468" s="288"/>
      <c r="G468" s="12"/>
      <c r="H468" s="12"/>
    </row>
    <row r="469" spans="1:8">
      <c r="A469" s="332"/>
      <c r="B469" s="336"/>
      <c r="C469" s="336"/>
      <c r="D469" s="336"/>
      <c r="E469" s="391"/>
      <c r="F469" s="288"/>
      <c r="G469" s="12"/>
      <c r="H469" s="12"/>
    </row>
    <row r="470" spans="1:8">
      <c r="A470" s="332"/>
      <c r="B470" s="336"/>
      <c r="C470" s="336"/>
      <c r="D470" s="336"/>
      <c r="E470" s="391"/>
      <c r="F470" s="288"/>
      <c r="G470" s="12"/>
      <c r="H470" s="12"/>
    </row>
    <row r="471" spans="1:8">
      <c r="A471" s="332"/>
      <c r="B471" s="336"/>
      <c r="C471" s="336"/>
      <c r="D471" s="336"/>
      <c r="E471" s="391"/>
      <c r="F471" s="288"/>
      <c r="G471" s="12"/>
      <c r="H471" s="12"/>
    </row>
    <row r="472" spans="1:8">
      <c r="A472" s="332"/>
      <c r="B472" s="336"/>
      <c r="C472" s="336"/>
      <c r="D472" s="336"/>
      <c r="E472" s="391"/>
      <c r="F472" s="288"/>
      <c r="G472" s="12"/>
      <c r="H472" s="12"/>
    </row>
    <row r="473" spans="1:8">
      <c r="A473" s="332"/>
      <c r="B473" s="336"/>
      <c r="C473" s="336"/>
      <c r="D473" s="336"/>
      <c r="E473" s="391"/>
      <c r="F473" s="288"/>
      <c r="G473" s="12"/>
      <c r="H473" s="12"/>
    </row>
    <row r="474" spans="1:8">
      <c r="A474" s="332"/>
      <c r="B474" s="336"/>
      <c r="C474" s="336"/>
      <c r="D474" s="336"/>
      <c r="E474" s="391"/>
      <c r="F474" s="288"/>
      <c r="G474" s="12"/>
      <c r="H474" s="12"/>
    </row>
    <row r="475" spans="1:8">
      <c r="A475" s="332"/>
      <c r="B475" s="336"/>
      <c r="C475" s="336"/>
      <c r="D475" s="336"/>
      <c r="E475" s="391"/>
      <c r="F475" s="288"/>
      <c r="G475" s="12"/>
      <c r="H475" s="12"/>
    </row>
    <row r="476" spans="1:8">
      <c r="A476" s="332"/>
      <c r="B476" s="336"/>
      <c r="C476" s="336"/>
      <c r="D476" s="336"/>
      <c r="E476" s="391"/>
      <c r="F476" s="288"/>
      <c r="G476" s="12"/>
      <c r="H476" s="12"/>
    </row>
    <row r="477" spans="1:8">
      <c r="A477" s="332"/>
      <c r="B477" s="336"/>
      <c r="C477" s="336"/>
      <c r="D477" s="336"/>
      <c r="E477" s="391"/>
      <c r="F477" s="288"/>
      <c r="G477" s="12"/>
      <c r="H477" s="12"/>
    </row>
    <row r="478" spans="1:8">
      <c r="A478" s="332"/>
      <c r="B478" s="336"/>
      <c r="C478" s="336"/>
      <c r="D478" s="336"/>
      <c r="E478" s="391"/>
      <c r="F478" s="288"/>
      <c r="G478" s="12"/>
      <c r="H478" s="12"/>
    </row>
    <row r="479" spans="1:8">
      <c r="A479" s="332"/>
      <c r="B479" s="336"/>
      <c r="C479" s="336"/>
      <c r="D479" s="336"/>
      <c r="E479" s="391"/>
      <c r="F479" s="288"/>
      <c r="G479" s="12"/>
      <c r="H479" s="12"/>
    </row>
    <row r="480" spans="1:8">
      <c r="A480" s="332"/>
      <c r="B480" s="336"/>
      <c r="C480" s="336"/>
      <c r="D480" s="336"/>
      <c r="E480" s="391"/>
      <c r="F480" s="288"/>
      <c r="G480" s="12"/>
      <c r="H480" s="12"/>
    </row>
    <row r="481" spans="1:8">
      <c r="A481" s="332"/>
      <c r="B481" s="336"/>
      <c r="C481" s="336"/>
      <c r="D481" s="336"/>
      <c r="E481" s="391"/>
      <c r="F481" s="288"/>
      <c r="G481" s="12"/>
      <c r="H481" s="12"/>
    </row>
    <row r="482" spans="1:8">
      <c r="A482" s="332"/>
      <c r="B482" s="336"/>
      <c r="C482" s="336"/>
      <c r="D482" s="336"/>
      <c r="E482" s="391"/>
      <c r="F482" s="288"/>
      <c r="G482" s="12"/>
      <c r="H482" s="12"/>
    </row>
    <row r="483" spans="1:8">
      <c r="A483" s="332"/>
      <c r="B483" s="336"/>
      <c r="C483" s="336"/>
      <c r="D483" s="336"/>
      <c r="E483" s="391"/>
      <c r="F483" s="288"/>
      <c r="G483" s="12"/>
      <c r="H483" s="12"/>
    </row>
    <row r="484" spans="1:8">
      <c r="A484" s="332"/>
      <c r="B484" s="336"/>
      <c r="C484" s="336"/>
      <c r="D484" s="336"/>
      <c r="E484" s="391"/>
      <c r="F484" s="288"/>
      <c r="G484" s="12"/>
      <c r="H484" s="12"/>
    </row>
    <row r="485" spans="1:8">
      <c r="A485" s="332"/>
      <c r="B485" s="336"/>
      <c r="C485" s="336"/>
      <c r="D485" s="336"/>
      <c r="E485" s="391"/>
      <c r="F485" s="288"/>
      <c r="G485" s="12"/>
      <c r="H485" s="12"/>
    </row>
    <row r="486" spans="1:8">
      <c r="A486" s="332"/>
      <c r="B486" s="336"/>
      <c r="C486" s="336"/>
      <c r="D486" s="336"/>
      <c r="E486" s="391"/>
      <c r="F486" s="288"/>
      <c r="G486" s="12"/>
      <c r="H486" s="12"/>
    </row>
    <row r="487" spans="1:8">
      <c r="A487" s="332"/>
      <c r="B487" s="336"/>
      <c r="C487" s="336"/>
      <c r="D487" s="336"/>
      <c r="E487" s="391"/>
      <c r="F487" s="288"/>
      <c r="G487" s="12"/>
      <c r="H487" s="12"/>
    </row>
    <row r="488" spans="1:8">
      <c r="A488" s="332"/>
      <c r="B488" s="336"/>
      <c r="C488" s="336"/>
      <c r="D488" s="336"/>
      <c r="E488" s="391"/>
      <c r="F488" s="288"/>
      <c r="G488" s="12"/>
      <c r="H488" s="12"/>
    </row>
    <row r="489" spans="1:8">
      <c r="A489" s="332"/>
      <c r="B489" s="336"/>
      <c r="C489" s="336"/>
      <c r="D489" s="336"/>
      <c r="E489" s="391"/>
      <c r="F489" s="288"/>
      <c r="G489" s="12"/>
      <c r="H489" s="12"/>
    </row>
    <row r="490" spans="1:8">
      <c r="A490" s="332"/>
      <c r="B490" s="336"/>
      <c r="C490" s="336"/>
      <c r="D490" s="336"/>
      <c r="E490" s="391"/>
      <c r="F490" s="288"/>
      <c r="G490" s="12"/>
      <c r="H490" s="12"/>
    </row>
    <row r="491" spans="1:8">
      <c r="A491" s="332"/>
      <c r="B491" s="336"/>
      <c r="C491" s="336"/>
      <c r="D491" s="336"/>
      <c r="E491" s="391"/>
      <c r="F491" s="288"/>
      <c r="G491" s="12"/>
      <c r="H491" s="12"/>
    </row>
    <row r="492" spans="1:8">
      <c r="A492" s="332"/>
      <c r="B492" s="336"/>
      <c r="C492" s="336"/>
      <c r="D492" s="336"/>
      <c r="E492" s="391"/>
      <c r="F492" s="288"/>
      <c r="G492" s="12"/>
      <c r="H492" s="12"/>
    </row>
    <row r="493" spans="1:8">
      <c r="A493" s="332"/>
      <c r="B493" s="336"/>
      <c r="C493" s="336"/>
      <c r="D493" s="336"/>
      <c r="E493" s="391"/>
      <c r="F493" s="288"/>
      <c r="G493" s="12"/>
      <c r="H493" s="12"/>
    </row>
    <row r="494" spans="1:8">
      <c r="A494" s="332"/>
      <c r="B494" s="336"/>
      <c r="C494" s="336"/>
      <c r="D494" s="336"/>
      <c r="E494" s="391"/>
      <c r="F494" s="288"/>
      <c r="G494" s="12"/>
      <c r="H494" s="12"/>
    </row>
    <row r="495" spans="1:8">
      <c r="A495" s="332"/>
      <c r="B495" s="336"/>
      <c r="C495" s="336"/>
      <c r="D495" s="336"/>
      <c r="E495" s="391"/>
      <c r="F495" s="288"/>
      <c r="G495" s="12"/>
      <c r="H495" s="12"/>
    </row>
    <row r="496" spans="1:8">
      <c r="A496" s="332"/>
      <c r="B496" s="336"/>
      <c r="C496" s="336"/>
      <c r="D496" s="336"/>
      <c r="E496" s="391"/>
      <c r="F496" s="288"/>
      <c r="G496" s="12"/>
      <c r="H496" s="12"/>
    </row>
    <row r="497" spans="1:8">
      <c r="A497" s="332"/>
      <c r="B497" s="336"/>
      <c r="C497" s="336"/>
      <c r="D497" s="336"/>
      <c r="E497" s="391"/>
      <c r="F497" s="288"/>
      <c r="G497" s="12"/>
      <c r="H497" s="12"/>
    </row>
    <row r="498" spans="1:8">
      <c r="A498" s="332"/>
      <c r="B498" s="336"/>
      <c r="C498" s="336"/>
      <c r="D498" s="336"/>
      <c r="E498" s="391"/>
      <c r="F498" s="288"/>
      <c r="G498" s="12"/>
      <c r="H498" s="12"/>
    </row>
    <row r="499" spans="1:8">
      <c r="A499" s="332"/>
      <c r="B499" s="336"/>
      <c r="C499" s="336"/>
      <c r="D499" s="336"/>
      <c r="E499" s="391"/>
      <c r="F499" s="288"/>
      <c r="G499" s="12"/>
      <c r="H499" s="12"/>
    </row>
    <row r="500" spans="1:8">
      <c r="A500" s="332"/>
      <c r="B500" s="336"/>
      <c r="C500" s="336"/>
      <c r="D500" s="336"/>
      <c r="E500" s="391"/>
      <c r="F500" s="288"/>
      <c r="G500" s="12"/>
      <c r="H500" s="12"/>
    </row>
    <row r="501" spans="1:8">
      <c r="A501" s="332"/>
      <c r="B501" s="336"/>
      <c r="C501" s="336"/>
      <c r="D501" s="336"/>
      <c r="E501" s="391"/>
      <c r="F501" s="288"/>
      <c r="G501" s="12"/>
      <c r="H501" s="12"/>
    </row>
    <row r="502" spans="1:8">
      <c r="A502" s="332"/>
      <c r="B502" s="336"/>
      <c r="C502" s="336"/>
      <c r="D502" s="336"/>
      <c r="E502" s="391"/>
      <c r="F502" s="288"/>
      <c r="G502" s="12"/>
      <c r="H502" s="12"/>
    </row>
    <row r="503" spans="1:8">
      <c r="A503" s="332"/>
      <c r="B503" s="336"/>
      <c r="C503" s="336"/>
      <c r="D503" s="336"/>
      <c r="E503" s="391"/>
      <c r="F503" s="288"/>
      <c r="G503" s="12"/>
      <c r="H503" s="12"/>
    </row>
    <row r="504" spans="1:8">
      <c r="A504" s="332"/>
      <c r="B504" s="336"/>
      <c r="C504" s="336"/>
      <c r="D504" s="336"/>
      <c r="E504" s="391"/>
      <c r="F504" s="288"/>
      <c r="G504" s="12"/>
      <c r="H504" s="12"/>
    </row>
    <row r="505" spans="1:8">
      <c r="A505" s="332"/>
      <c r="B505" s="336"/>
      <c r="C505" s="336"/>
      <c r="D505" s="336"/>
      <c r="E505" s="391"/>
      <c r="F505" s="288"/>
      <c r="G505" s="12"/>
      <c r="H505" s="12"/>
    </row>
    <row r="506" spans="1:8">
      <c r="A506" s="332"/>
      <c r="B506" s="336"/>
      <c r="C506" s="336"/>
      <c r="D506" s="336"/>
      <c r="E506" s="391"/>
      <c r="F506" s="288"/>
      <c r="G506" s="12"/>
      <c r="H506" s="12"/>
    </row>
    <row r="507" spans="1:8">
      <c r="A507" s="332"/>
      <c r="B507" s="336"/>
      <c r="C507" s="336"/>
      <c r="D507" s="336"/>
      <c r="E507" s="391"/>
      <c r="F507" s="288"/>
      <c r="G507" s="12"/>
      <c r="H507" s="12"/>
    </row>
    <row r="508" spans="1:8">
      <c r="A508" s="332"/>
      <c r="B508" s="336"/>
      <c r="C508" s="336"/>
      <c r="D508" s="336"/>
      <c r="E508" s="391"/>
      <c r="F508" s="288"/>
      <c r="G508" s="12"/>
      <c r="H508" s="12"/>
    </row>
    <row r="509" spans="1:8">
      <c r="A509" s="332"/>
      <c r="B509" s="336"/>
      <c r="C509" s="336"/>
      <c r="D509" s="336"/>
      <c r="E509" s="391"/>
      <c r="F509" s="288"/>
      <c r="G509" s="12"/>
      <c r="H509" s="12"/>
    </row>
    <row r="510" spans="1:8">
      <c r="A510" s="332"/>
      <c r="B510" s="336"/>
      <c r="C510" s="336"/>
      <c r="D510" s="336"/>
      <c r="E510" s="391"/>
      <c r="F510" s="288"/>
      <c r="G510" s="12"/>
      <c r="H510" s="12"/>
    </row>
    <row r="511" spans="1:8">
      <c r="A511" s="332"/>
      <c r="B511" s="336"/>
      <c r="C511" s="336"/>
      <c r="D511" s="336"/>
      <c r="E511" s="391"/>
      <c r="F511" s="288"/>
      <c r="G511" s="12"/>
      <c r="H511" s="12"/>
    </row>
    <row r="512" spans="1:8">
      <c r="A512" s="332"/>
      <c r="B512" s="336"/>
      <c r="C512" s="336"/>
      <c r="D512" s="336"/>
      <c r="E512" s="391"/>
      <c r="F512" s="288"/>
      <c r="G512" s="12"/>
      <c r="H512" s="12"/>
    </row>
    <row r="513" spans="1:8">
      <c r="A513" s="332"/>
      <c r="B513" s="336"/>
      <c r="C513" s="336"/>
      <c r="D513" s="336"/>
      <c r="E513" s="391"/>
      <c r="F513" s="288"/>
      <c r="G513" s="12"/>
      <c r="H513" s="12"/>
    </row>
    <row r="514" spans="1:8">
      <c r="A514" s="332"/>
      <c r="B514" s="336"/>
      <c r="C514" s="336"/>
      <c r="D514" s="336"/>
      <c r="E514" s="391"/>
      <c r="F514" s="288"/>
      <c r="G514" s="12"/>
      <c r="H514" s="12"/>
    </row>
    <row r="515" spans="1:8">
      <c r="A515" s="332"/>
      <c r="B515" s="336"/>
      <c r="C515" s="336"/>
      <c r="D515" s="336"/>
      <c r="E515" s="391"/>
      <c r="F515" s="288"/>
      <c r="G515" s="12"/>
      <c r="H515" s="12"/>
    </row>
    <row r="516" spans="1:8">
      <c r="A516" s="332"/>
      <c r="B516" s="336"/>
      <c r="C516" s="336"/>
      <c r="D516" s="336"/>
      <c r="E516" s="391"/>
      <c r="F516" s="288"/>
      <c r="G516" s="12"/>
      <c r="H516" s="12"/>
    </row>
    <row r="517" spans="1:8">
      <c r="A517" s="332"/>
      <c r="B517" s="336"/>
      <c r="C517" s="336"/>
      <c r="D517" s="336"/>
      <c r="E517" s="391"/>
      <c r="F517" s="288"/>
      <c r="G517" s="12"/>
      <c r="H517" s="12"/>
    </row>
    <row r="518" spans="1:8">
      <c r="A518" s="332"/>
      <c r="B518" s="336"/>
      <c r="C518" s="336"/>
      <c r="D518" s="336"/>
      <c r="E518" s="391"/>
      <c r="F518" s="288"/>
      <c r="G518" s="12"/>
      <c r="H518" s="12"/>
    </row>
    <row r="519" spans="1:8">
      <c r="A519" s="332"/>
      <c r="B519" s="336"/>
      <c r="C519" s="336"/>
      <c r="D519" s="336"/>
      <c r="E519" s="391"/>
      <c r="F519" s="288"/>
      <c r="G519" s="12"/>
      <c r="H519" s="12"/>
    </row>
    <row r="520" spans="1:8">
      <c r="A520" s="332"/>
      <c r="B520" s="336"/>
      <c r="C520" s="336"/>
      <c r="D520" s="336"/>
      <c r="E520" s="391"/>
      <c r="F520" s="288"/>
      <c r="G520" s="12"/>
      <c r="H520" s="12"/>
    </row>
    <row r="521" spans="1:8">
      <c r="A521" s="332"/>
      <c r="B521" s="336"/>
      <c r="C521" s="336"/>
      <c r="D521" s="336"/>
      <c r="E521" s="391"/>
      <c r="F521" s="288"/>
      <c r="G521" s="12"/>
      <c r="H521" s="12"/>
    </row>
    <row r="522" spans="1:8">
      <c r="A522" s="332"/>
      <c r="B522" s="336"/>
      <c r="C522" s="336"/>
      <c r="D522" s="336"/>
      <c r="E522" s="391"/>
      <c r="F522" s="288"/>
      <c r="G522" s="12"/>
      <c r="H522" s="12"/>
    </row>
    <row r="523" spans="1:8">
      <c r="A523" s="332"/>
      <c r="B523" s="336"/>
      <c r="C523" s="336"/>
      <c r="D523" s="336"/>
      <c r="E523" s="391"/>
      <c r="F523" s="288"/>
      <c r="G523" s="12"/>
      <c r="H523" s="12"/>
    </row>
    <row r="524" spans="1:8">
      <c r="A524" s="332"/>
      <c r="B524" s="336"/>
      <c r="C524" s="336"/>
      <c r="D524" s="336"/>
      <c r="E524" s="391"/>
      <c r="F524" s="288"/>
      <c r="G524" s="12"/>
      <c r="H524" s="12"/>
    </row>
    <row r="525" spans="1:8">
      <c r="A525" s="332"/>
      <c r="B525" s="336"/>
      <c r="C525" s="336"/>
      <c r="D525" s="336"/>
      <c r="E525" s="391"/>
      <c r="F525" s="288"/>
      <c r="G525" s="12"/>
      <c r="H525" s="12"/>
    </row>
    <row r="526" spans="1:8">
      <c r="A526" s="332"/>
      <c r="B526" s="336"/>
      <c r="C526" s="336"/>
      <c r="D526" s="336"/>
      <c r="E526" s="391"/>
      <c r="F526" s="288"/>
      <c r="G526" s="12"/>
      <c r="H526" s="12"/>
    </row>
    <row r="527" spans="1:8">
      <c r="A527" s="332"/>
      <c r="B527" s="336"/>
      <c r="C527" s="336"/>
      <c r="D527" s="336"/>
      <c r="E527" s="391"/>
      <c r="F527" s="288"/>
      <c r="G527" s="12"/>
      <c r="H527" s="12"/>
    </row>
    <row r="528" spans="1:8">
      <c r="A528" s="332"/>
      <c r="B528" s="336"/>
      <c r="C528" s="336"/>
      <c r="D528" s="336"/>
      <c r="E528" s="391"/>
      <c r="F528" s="288"/>
      <c r="G528" s="12"/>
      <c r="H528" s="12"/>
    </row>
    <row r="529" spans="1:8">
      <c r="A529" s="332"/>
      <c r="B529" s="336"/>
      <c r="C529" s="336"/>
      <c r="D529" s="336"/>
      <c r="E529" s="391"/>
      <c r="F529" s="288"/>
      <c r="G529" s="12"/>
      <c r="H529" s="12"/>
    </row>
    <row r="530" spans="1:8">
      <c r="A530" s="332"/>
      <c r="B530" s="336"/>
      <c r="C530" s="336"/>
      <c r="D530" s="336"/>
      <c r="E530" s="391"/>
      <c r="F530" s="288"/>
      <c r="G530" s="12"/>
      <c r="H530" s="12"/>
    </row>
    <row r="531" spans="1:8">
      <c r="A531" s="332"/>
      <c r="B531" s="336"/>
      <c r="C531" s="336"/>
      <c r="D531" s="336"/>
      <c r="E531" s="391"/>
      <c r="F531" s="288"/>
      <c r="G531" s="12"/>
      <c r="H531" s="12"/>
    </row>
    <row r="532" spans="1:8">
      <c r="A532" s="332"/>
      <c r="B532" s="336"/>
      <c r="C532" s="336"/>
      <c r="D532" s="336"/>
      <c r="E532" s="391"/>
      <c r="F532" s="288"/>
      <c r="G532" s="12"/>
      <c r="H532" s="12"/>
    </row>
    <row r="533" spans="1:8">
      <c r="A533" s="332"/>
      <c r="B533" s="336"/>
      <c r="C533" s="336"/>
      <c r="D533" s="336"/>
      <c r="E533" s="391"/>
      <c r="F533" s="288"/>
      <c r="G533" s="12"/>
      <c r="H533" s="12"/>
    </row>
    <row r="534" spans="1:8">
      <c r="A534" s="332"/>
      <c r="B534" s="336"/>
      <c r="C534" s="336"/>
      <c r="D534" s="336"/>
      <c r="E534" s="391"/>
      <c r="F534" s="288"/>
      <c r="G534" s="12"/>
      <c r="H534" s="12"/>
    </row>
    <row r="535" spans="1:8">
      <c r="A535" s="332"/>
      <c r="B535" s="336"/>
      <c r="C535" s="336"/>
      <c r="D535" s="336"/>
      <c r="E535" s="391"/>
      <c r="F535" s="288"/>
      <c r="G535" s="12"/>
      <c r="H535" s="12"/>
    </row>
    <row r="536" spans="1:8">
      <c r="A536" s="332"/>
      <c r="B536" s="336"/>
      <c r="C536" s="336"/>
      <c r="D536" s="336"/>
      <c r="E536" s="391"/>
      <c r="F536" s="288"/>
      <c r="G536" s="12"/>
      <c r="H536" s="12"/>
    </row>
    <row r="537" spans="1:8">
      <c r="A537" s="332"/>
      <c r="B537" s="336"/>
      <c r="C537" s="336"/>
      <c r="D537" s="336"/>
      <c r="E537" s="391"/>
      <c r="F537" s="288"/>
      <c r="G537" s="12"/>
      <c r="H537" s="12"/>
    </row>
    <row r="538" spans="1:8">
      <c r="A538" s="332"/>
      <c r="B538" s="336"/>
      <c r="C538" s="336"/>
      <c r="D538" s="336"/>
      <c r="E538" s="391"/>
      <c r="F538" s="288"/>
      <c r="G538" s="12"/>
      <c r="H538" s="12"/>
    </row>
    <row r="539" spans="1:8">
      <c r="A539" s="332"/>
      <c r="B539" s="336"/>
      <c r="C539" s="336"/>
      <c r="D539" s="336"/>
      <c r="E539" s="391"/>
      <c r="F539" s="288"/>
      <c r="G539" s="12"/>
      <c r="H539" s="12"/>
    </row>
    <row r="540" spans="1:8">
      <c r="A540" s="332"/>
      <c r="B540" s="336"/>
      <c r="C540" s="336"/>
      <c r="D540" s="336"/>
      <c r="E540" s="391"/>
      <c r="F540" s="288"/>
      <c r="G540" s="12"/>
      <c r="H540" s="12"/>
    </row>
    <row r="541" spans="1:8">
      <c r="A541" s="332"/>
      <c r="B541" s="336"/>
      <c r="C541" s="336"/>
      <c r="D541" s="336"/>
      <c r="E541" s="391"/>
      <c r="F541" s="288"/>
      <c r="G541" s="12"/>
      <c r="H541" s="12"/>
    </row>
    <row r="542" spans="1:8">
      <c r="A542" s="332"/>
      <c r="B542" s="336"/>
      <c r="C542" s="336"/>
      <c r="D542" s="336"/>
      <c r="E542" s="391"/>
      <c r="F542" s="288"/>
      <c r="G542" s="12"/>
      <c r="H542" s="12"/>
    </row>
    <row r="543" spans="1:8">
      <c r="A543" s="332"/>
      <c r="B543" s="336"/>
      <c r="C543" s="336"/>
      <c r="D543" s="336"/>
      <c r="E543" s="391"/>
      <c r="F543" s="288"/>
      <c r="G543" s="12"/>
      <c r="H543" s="12"/>
    </row>
    <row r="544" spans="1:8">
      <c r="A544" s="332"/>
      <c r="B544" s="336"/>
      <c r="C544" s="336"/>
      <c r="D544" s="336"/>
      <c r="E544" s="391"/>
      <c r="F544" s="288"/>
      <c r="G544" s="12"/>
      <c r="H544" s="12"/>
    </row>
    <row r="545" spans="1:8">
      <c r="A545" s="332"/>
      <c r="B545" s="336"/>
      <c r="C545" s="336"/>
      <c r="D545" s="336"/>
      <c r="E545" s="391"/>
      <c r="F545" s="288"/>
      <c r="G545" s="12"/>
      <c r="H545" s="12"/>
    </row>
    <row r="546" spans="1:8">
      <c r="A546" s="332"/>
      <c r="B546" s="336"/>
      <c r="C546" s="336"/>
      <c r="D546" s="336"/>
      <c r="E546" s="391"/>
      <c r="F546" s="288"/>
      <c r="G546" s="12"/>
      <c r="H546" s="12"/>
    </row>
    <row r="547" spans="1:8">
      <c r="A547" s="332"/>
      <c r="B547" s="336"/>
      <c r="C547" s="336"/>
      <c r="D547" s="336"/>
      <c r="E547" s="391"/>
      <c r="F547" s="288"/>
      <c r="G547" s="12"/>
      <c r="H547" s="12"/>
    </row>
    <row r="548" spans="1:8">
      <c r="A548" s="332"/>
      <c r="B548" s="336"/>
      <c r="C548" s="336"/>
      <c r="D548" s="336"/>
      <c r="E548" s="391"/>
      <c r="F548" s="288"/>
      <c r="G548" s="12"/>
      <c r="H548" s="12"/>
    </row>
    <row r="549" spans="1:8">
      <c r="A549" s="332"/>
      <c r="B549" s="336"/>
      <c r="C549" s="336"/>
      <c r="D549" s="336"/>
      <c r="E549" s="391"/>
      <c r="F549" s="288"/>
      <c r="G549" s="12"/>
      <c r="H549" s="12"/>
    </row>
    <row r="550" spans="1:8">
      <c r="A550" s="332"/>
      <c r="B550" s="336"/>
      <c r="C550" s="336"/>
      <c r="D550" s="336"/>
      <c r="E550" s="391"/>
      <c r="F550" s="288"/>
      <c r="G550" s="12"/>
      <c r="H550" s="12"/>
    </row>
    <row r="551" spans="1:8">
      <c r="A551" s="332"/>
      <c r="B551" s="336"/>
      <c r="C551" s="336"/>
      <c r="D551" s="336"/>
      <c r="E551" s="391"/>
      <c r="F551" s="288"/>
      <c r="G551" s="12"/>
      <c r="H551" s="12"/>
    </row>
    <row r="552" spans="1:8">
      <c r="A552" s="332"/>
      <c r="B552" s="336"/>
      <c r="C552" s="336"/>
      <c r="D552" s="336"/>
      <c r="E552" s="391"/>
      <c r="F552" s="288"/>
      <c r="G552" s="12"/>
      <c r="H552" s="12"/>
    </row>
    <row r="553" spans="1:8">
      <c r="A553" s="332"/>
      <c r="B553" s="336"/>
      <c r="C553" s="336"/>
      <c r="D553" s="336"/>
      <c r="E553" s="391"/>
      <c r="F553" s="288"/>
      <c r="G553" s="12"/>
      <c r="H553" s="12"/>
    </row>
    <row r="554" spans="1:8">
      <c r="A554" s="332"/>
      <c r="B554" s="336"/>
      <c r="C554" s="336"/>
      <c r="D554" s="336"/>
      <c r="E554" s="391"/>
      <c r="F554" s="288"/>
      <c r="G554" s="12"/>
      <c r="H554" s="12"/>
    </row>
    <row r="555" spans="1:8">
      <c r="A555" s="332"/>
      <c r="B555" s="336"/>
      <c r="C555" s="336"/>
      <c r="D555" s="336"/>
      <c r="E555" s="391"/>
      <c r="F555" s="288"/>
      <c r="G555" s="12"/>
      <c r="H555" s="12"/>
    </row>
    <row r="556" spans="1:8">
      <c r="A556" s="332"/>
      <c r="B556" s="336"/>
      <c r="C556" s="336"/>
      <c r="D556" s="336"/>
      <c r="E556" s="391"/>
      <c r="F556" s="288"/>
      <c r="G556" s="12"/>
      <c r="H556" s="12"/>
    </row>
    <row r="557" spans="1:8">
      <c r="A557" s="332"/>
      <c r="B557" s="336"/>
      <c r="C557" s="336"/>
      <c r="D557" s="336"/>
      <c r="E557" s="391"/>
      <c r="F557" s="288"/>
      <c r="G557" s="12"/>
      <c r="H557" s="12"/>
    </row>
    <row r="558" spans="1:8">
      <c r="A558" s="332"/>
      <c r="B558" s="336"/>
      <c r="C558" s="336"/>
      <c r="D558" s="336"/>
      <c r="E558" s="391"/>
      <c r="F558" s="288"/>
      <c r="G558" s="12"/>
      <c r="H558" s="12"/>
    </row>
    <row r="559" spans="1:8">
      <c r="A559" s="332"/>
      <c r="B559" s="336"/>
      <c r="C559" s="336"/>
      <c r="D559" s="336"/>
      <c r="E559" s="391"/>
      <c r="F559" s="288"/>
      <c r="G559" s="12"/>
      <c r="H559" s="12"/>
    </row>
    <row r="560" spans="1:8">
      <c r="A560" s="332"/>
      <c r="B560" s="336"/>
      <c r="C560" s="336"/>
      <c r="D560" s="336"/>
      <c r="E560" s="391"/>
      <c r="F560" s="288"/>
      <c r="G560" s="12"/>
      <c r="H560" s="12"/>
    </row>
    <row r="561" spans="1:8">
      <c r="A561" s="332"/>
      <c r="B561" s="336"/>
      <c r="C561" s="336"/>
      <c r="D561" s="336"/>
      <c r="E561" s="391"/>
      <c r="F561" s="288"/>
      <c r="G561" s="12"/>
      <c r="H561" s="12"/>
    </row>
    <row r="562" spans="1:8">
      <c r="A562" s="332"/>
      <c r="B562" s="336"/>
      <c r="C562" s="336"/>
      <c r="D562" s="336"/>
      <c r="E562" s="391"/>
      <c r="F562" s="288"/>
      <c r="G562" s="12"/>
      <c r="H562" s="12"/>
    </row>
    <row r="563" spans="1:8">
      <c r="A563" s="332"/>
      <c r="B563" s="336"/>
      <c r="C563" s="336"/>
      <c r="D563" s="336"/>
      <c r="E563" s="391"/>
      <c r="F563" s="288"/>
      <c r="G563" s="12"/>
      <c r="H563" s="12"/>
    </row>
    <row r="564" spans="1:8">
      <c r="A564" s="332"/>
      <c r="B564" s="336"/>
      <c r="C564" s="336"/>
      <c r="D564" s="336"/>
      <c r="E564" s="391"/>
      <c r="F564" s="288"/>
      <c r="G564" s="12"/>
      <c r="H564" s="12"/>
    </row>
    <row r="565" spans="1:8">
      <c r="A565" s="332"/>
      <c r="B565" s="336"/>
      <c r="C565" s="336"/>
      <c r="D565" s="336"/>
      <c r="E565" s="391"/>
      <c r="F565" s="288"/>
      <c r="G565" s="12"/>
      <c r="H565" s="12"/>
    </row>
    <row r="566" spans="1:8">
      <c r="A566" s="332"/>
      <c r="B566" s="336"/>
      <c r="C566" s="336"/>
      <c r="D566" s="336"/>
      <c r="E566" s="391"/>
      <c r="F566" s="288"/>
      <c r="G566" s="12"/>
      <c r="H566" s="12"/>
    </row>
    <row r="567" spans="1:8">
      <c r="A567" s="332"/>
      <c r="B567" s="336"/>
      <c r="C567" s="336"/>
      <c r="D567" s="336"/>
      <c r="E567" s="391"/>
      <c r="F567" s="288"/>
      <c r="G567" s="12"/>
      <c r="H567" s="12"/>
    </row>
    <row r="568" spans="1:8">
      <c r="A568" s="332"/>
      <c r="B568" s="336"/>
      <c r="C568" s="336"/>
      <c r="D568" s="336"/>
      <c r="E568" s="391"/>
      <c r="F568" s="288"/>
      <c r="G568" s="12"/>
      <c r="H568" s="12"/>
    </row>
    <row r="569" spans="1:8">
      <c r="A569" s="332"/>
      <c r="B569" s="336"/>
      <c r="C569" s="336"/>
      <c r="D569" s="336"/>
      <c r="E569" s="391"/>
      <c r="F569" s="288"/>
      <c r="G569" s="12"/>
      <c r="H569" s="12"/>
    </row>
    <row r="570" spans="1:8">
      <c r="A570" s="332"/>
      <c r="B570" s="336"/>
      <c r="C570" s="336"/>
      <c r="D570" s="336"/>
      <c r="E570" s="391"/>
      <c r="F570" s="288"/>
      <c r="G570" s="12"/>
      <c r="H570" s="12"/>
    </row>
    <row r="571" spans="1:8">
      <c r="A571" s="332"/>
      <c r="B571" s="336"/>
      <c r="C571" s="336"/>
      <c r="D571" s="336"/>
      <c r="E571" s="391"/>
      <c r="F571" s="288"/>
      <c r="G571" s="12"/>
      <c r="H571" s="12"/>
    </row>
    <row r="572" spans="1:8">
      <c r="A572" s="332"/>
      <c r="B572" s="336"/>
      <c r="C572" s="336"/>
      <c r="D572" s="336"/>
      <c r="E572" s="391"/>
      <c r="F572" s="288"/>
      <c r="G572" s="12"/>
      <c r="H572" s="12"/>
    </row>
    <row r="573" spans="1:8">
      <c r="A573" s="332"/>
      <c r="B573" s="336"/>
      <c r="C573" s="336"/>
      <c r="D573" s="336"/>
      <c r="E573" s="391"/>
      <c r="F573" s="288"/>
      <c r="G573" s="12"/>
      <c r="H573" s="12"/>
    </row>
    <row r="574" spans="1:8">
      <c r="A574" s="332"/>
      <c r="B574" s="336"/>
      <c r="C574" s="336"/>
      <c r="D574" s="336"/>
      <c r="E574" s="391"/>
      <c r="F574" s="288"/>
      <c r="G574" s="12"/>
      <c r="H574" s="12"/>
    </row>
    <row r="575" spans="1:8">
      <c r="A575" s="332"/>
      <c r="B575" s="336"/>
      <c r="C575" s="336"/>
      <c r="D575" s="336"/>
      <c r="E575" s="391"/>
      <c r="F575" s="288"/>
      <c r="G575" s="12"/>
      <c r="H575" s="12"/>
    </row>
    <row r="576" spans="1:8">
      <c r="A576" s="332"/>
      <c r="B576" s="336"/>
      <c r="C576" s="336"/>
      <c r="D576" s="336"/>
      <c r="E576" s="391"/>
      <c r="F576" s="288"/>
      <c r="G576" s="12"/>
      <c r="H576" s="12"/>
    </row>
    <row r="577" spans="1:8">
      <c r="A577" s="332"/>
      <c r="B577" s="336"/>
      <c r="C577" s="336"/>
      <c r="D577" s="336"/>
      <c r="E577" s="391"/>
      <c r="F577" s="288"/>
      <c r="G577" s="12"/>
      <c r="H577" s="12"/>
    </row>
    <row r="578" spans="1:8">
      <c r="A578" s="332"/>
      <c r="B578" s="336"/>
      <c r="C578" s="336"/>
      <c r="D578" s="336"/>
      <c r="E578" s="391"/>
      <c r="F578" s="288"/>
      <c r="G578" s="12"/>
      <c r="H578" s="12"/>
    </row>
    <row r="579" spans="1:8">
      <c r="A579" s="332"/>
      <c r="B579" s="336"/>
      <c r="C579" s="336"/>
      <c r="D579" s="336"/>
      <c r="E579" s="391"/>
      <c r="F579" s="288"/>
      <c r="G579" s="12"/>
      <c r="H579" s="12"/>
    </row>
    <row r="580" spans="1:8">
      <c r="A580" s="332"/>
      <c r="B580" s="336"/>
      <c r="C580" s="336"/>
      <c r="D580" s="336"/>
      <c r="E580" s="391"/>
      <c r="F580" s="288"/>
      <c r="G580" s="12"/>
      <c r="H580" s="12"/>
    </row>
    <row r="581" spans="1:8">
      <c r="A581" s="332"/>
      <c r="B581" s="336"/>
      <c r="C581" s="336"/>
      <c r="D581" s="336"/>
      <c r="E581" s="391"/>
      <c r="F581" s="288"/>
      <c r="G581" s="12"/>
      <c r="H581" s="12"/>
    </row>
    <row r="582" spans="1:8">
      <c r="A582" s="332"/>
      <c r="B582" s="336"/>
      <c r="C582" s="336"/>
      <c r="D582" s="336"/>
      <c r="E582" s="391"/>
      <c r="F582" s="288"/>
      <c r="G582" s="12"/>
      <c r="H582" s="12"/>
    </row>
    <row r="583" spans="1:8">
      <c r="A583" s="332"/>
      <c r="B583" s="336"/>
      <c r="C583" s="336"/>
      <c r="D583" s="336"/>
      <c r="E583" s="391"/>
      <c r="F583" s="288"/>
      <c r="G583" s="12"/>
      <c r="H583" s="12"/>
    </row>
    <row r="584" spans="1:8">
      <c r="A584" s="332"/>
      <c r="B584" s="336"/>
      <c r="C584" s="336"/>
      <c r="D584" s="336"/>
      <c r="E584" s="391"/>
      <c r="F584" s="288"/>
      <c r="G584" s="12"/>
      <c r="H584" s="12"/>
    </row>
    <row r="585" spans="1:8">
      <c r="A585" s="332"/>
      <c r="B585" s="336"/>
      <c r="C585" s="336"/>
      <c r="D585" s="336"/>
      <c r="E585" s="391"/>
      <c r="F585" s="288"/>
      <c r="G585" s="12"/>
      <c r="H585" s="12"/>
    </row>
    <row r="586" spans="1:8">
      <c r="A586" s="332"/>
      <c r="B586" s="336"/>
      <c r="C586" s="336"/>
      <c r="D586" s="336"/>
      <c r="E586" s="391"/>
      <c r="F586" s="288"/>
      <c r="G586" s="12"/>
      <c r="H586" s="12"/>
    </row>
    <row r="587" spans="1:8">
      <c r="A587" s="332"/>
      <c r="B587" s="336"/>
      <c r="C587" s="336"/>
      <c r="D587" s="336"/>
      <c r="E587" s="391"/>
      <c r="F587" s="288"/>
      <c r="G587" s="12"/>
      <c r="H587" s="12"/>
    </row>
    <row r="588" spans="1:8">
      <c r="A588" s="332"/>
      <c r="B588" s="336"/>
      <c r="C588" s="336"/>
      <c r="D588" s="336"/>
      <c r="E588" s="391"/>
      <c r="F588" s="288"/>
      <c r="G588" s="12"/>
      <c r="H588" s="12"/>
    </row>
    <row r="589" spans="1:8">
      <c r="A589" s="332"/>
      <c r="B589" s="336"/>
      <c r="C589" s="336"/>
      <c r="D589" s="336"/>
      <c r="E589" s="391"/>
      <c r="F589" s="288"/>
      <c r="G589" s="12"/>
      <c r="H589" s="12"/>
    </row>
    <row r="590" spans="1:8">
      <c r="A590" s="332"/>
      <c r="B590" s="336"/>
      <c r="C590" s="336"/>
      <c r="D590" s="336"/>
      <c r="E590" s="391"/>
      <c r="F590" s="288"/>
      <c r="G590" s="12"/>
      <c r="H590" s="12"/>
    </row>
    <row r="591" spans="1:8">
      <c r="A591" s="332"/>
      <c r="B591" s="336"/>
      <c r="C591" s="336"/>
      <c r="D591" s="336"/>
      <c r="E591" s="391"/>
      <c r="F591" s="288"/>
      <c r="G591" s="12"/>
      <c r="H591" s="12"/>
    </row>
    <row r="592" spans="1:8">
      <c r="A592" s="332"/>
      <c r="B592" s="336"/>
      <c r="C592" s="336"/>
      <c r="D592" s="336"/>
      <c r="E592" s="391"/>
      <c r="F592" s="288"/>
      <c r="G592" s="12"/>
      <c r="H592" s="12"/>
    </row>
    <row r="593" spans="1:8">
      <c r="A593" s="332"/>
      <c r="B593" s="336"/>
      <c r="C593" s="336"/>
      <c r="D593" s="336"/>
      <c r="E593" s="391"/>
      <c r="F593" s="288"/>
      <c r="G593" s="12"/>
      <c r="H593" s="12"/>
    </row>
    <row r="594" spans="1:8">
      <c r="A594" s="332"/>
      <c r="B594" s="336"/>
      <c r="C594" s="336"/>
      <c r="D594" s="336"/>
      <c r="E594" s="391"/>
      <c r="F594" s="288"/>
      <c r="G594" s="12"/>
      <c r="H594" s="12"/>
    </row>
    <row r="595" spans="1:8">
      <c r="A595" s="332"/>
      <c r="B595" s="336"/>
      <c r="C595" s="336"/>
      <c r="D595" s="336"/>
      <c r="E595" s="391"/>
      <c r="F595" s="288"/>
      <c r="G595" s="12"/>
      <c r="H595" s="12"/>
    </row>
    <row r="596" spans="1:8">
      <c r="A596" s="332"/>
      <c r="B596" s="336"/>
      <c r="C596" s="336"/>
      <c r="D596" s="336"/>
      <c r="E596" s="391"/>
      <c r="F596" s="288"/>
      <c r="G596" s="12"/>
      <c r="H596" s="12"/>
    </row>
    <row r="597" spans="1:8">
      <c r="A597" s="332"/>
      <c r="B597" s="336"/>
      <c r="C597" s="336"/>
      <c r="D597" s="336"/>
      <c r="E597" s="391"/>
      <c r="F597" s="288"/>
      <c r="G597" s="12"/>
      <c r="H597" s="12"/>
    </row>
    <row r="598" spans="1:8">
      <c r="A598" s="332"/>
      <c r="B598" s="336"/>
      <c r="C598" s="336"/>
      <c r="D598" s="336"/>
      <c r="E598" s="391"/>
      <c r="F598" s="288"/>
      <c r="G598" s="12"/>
      <c r="H598" s="12"/>
    </row>
    <row r="599" spans="1:8">
      <c r="A599" s="332"/>
      <c r="B599" s="336"/>
      <c r="C599" s="336"/>
      <c r="D599" s="336"/>
      <c r="E599" s="391"/>
      <c r="F599" s="288"/>
      <c r="G599" s="12"/>
      <c r="H599" s="12"/>
    </row>
    <row r="600" spans="1:8">
      <c r="A600" s="332"/>
      <c r="B600" s="336"/>
      <c r="C600" s="336"/>
      <c r="D600" s="336"/>
      <c r="E600" s="391"/>
      <c r="F600" s="288"/>
      <c r="G600" s="12"/>
      <c r="H600" s="12"/>
    </row>
    <row r="601" spans="1:8">
      <c r="A601" s="332"/>
      <c r="B601" s="336"/>
      <c r="C601" s="336"/>
      <c r="D601" s="336"/>
      <c r="E601" s="391"/>
      <c r="F601" s="288"/>
      <c r="G601" s="12"/>
      <c r="H601" s="12"/>
    </row>
    <row r="602" spans="1:8">
      <c r="A602" s="332"/>
      <c r="B602" s="336"/>
      <c r="C602" s="336"/>
      <c r="D602" s="336"/>
      <c r="E602" s="391"/>
      <c r="F602" s="288"/>
      <c r="G602" s="12"/>
      <c r="H602" s="12"/>
    </row>
    <row r="603" spans="1:8">
      <c r="A603" s="332"/>
      <c r="B603" s="336"/>
      <c r="C603" s="336"/>
      <c r="D603" s="336"/>
      <c r="E603" s="391"/>
      <c r="F603" s="288"/>
      <c r="G603" s="12"/>
      <c r="H603" s="12"/>
    </row>
    <row r="604" spans="1:8">
      <c r="A604" s="332"/>
      <c r="B604" s="336"/>
      <c r="C604" s="336"/>
      <c r="D604" s="336"/>
      <c r="E604" s="391"/>
      <c r="F604" s="288"/>
      <c r="G604" s="12"/>
      <c r="H604" s="12"/>
    </row>
    <row r="605" spans="1:8">
      <c r="A605" s="332"/>
      <c r="B605" s="336"/>
      <c r="C605" s="336"/>
      <c r="D605" s="336"/>
      <c r="E605" s="391"/>
      <c r="F605" s="288"/>
      <c r="G605" s="12"/>
      <c r="H605" s="12"/>
    </row>
    <row r="606" spans="1:8">
      <c r="A606" s="332"/>
      <c r="B606" s="336"/>
      <c r="C606" s="336"/>
      <c r="D606" s="336"/>
      <c r="E606" s="391"/>
      <c r="F606" s="288"/>
      <c r="G606" s="12"/>
      <c r="H606" s="12"/>
    </row>
    <row r="607" spans="1:8">
      <c r="A607" s="332"/>
      <c r="B607" s="336"/>
      <c r="C607" s="336"/>
      <c r="D607" s="336"/>
      <c r="E607" s="391"/>
      <c r="F607" s="288"/>
      <c r="G607" s="12"/>
      <c r="H607" s="12"/>
    </row>
    <row r="608" spans="1:8">
      <c r="A608" s="332"/>
      <c r="B608" s="336"/>
      <c r="C608" s="336"/>
      <c r="D608" s="336"/>
      <c r="E608" s="391"/>
      <c r="F608" s="288"/>
      <c r="G608" s="12"/>
      <c r="H608" s="12"/>
    </row>
    <row r="609" spans="1:8">
      <c r="A609" s="332"/>
      <c r="B609" s="336"/>
      <c r="C609" s="336"/>
      <c r="D609" s="336"/>
      <c r="E609" s="391"/>
      <c r="F609" s="288"/>
      <c r="G609" s="12"/>
      <c r="H609" s="12"/>
    </row>
    <row r="610" spans="1:8">
      <c r="A610" s="332"/>
      <c r="B610" s="336"/>
      <c r="C610" s="336"/>
      <c r="D610" s="336"/>
      <c r="E610" s="391"/>
      <c r="F610" s="288"/>
      <c r="G610" s="12"/>
      <c r="H610" s="12"/>
    </row>
    <row r="611" spans="1:8">
      <c r="A611" s="332"/>
      <c r="B611" s="336"/>
      <c r="C611" s="336"/>
      <c r="D611" s="336"/>
      <c r="E611" s="391"/>
      <c r="F611" s="288"/>
      <c r="G611" s="12"/>
      <c r="H611" s="12"/>
    </row>
    <row r="612" spans="1:8">
      <c r="A612" s="332"/>
      <c r="B612" s="336"/>
      <c r="C612" s="336"/>
      <c r="D612" s="336"/>
      <c r="E612" s="391"/>
      <c r="F612" s="288"/>
      <c r="G612" s="12"/>
      <c r="H612" s="12"/>
    </row>
    <row r="613" spans="1:8">
      <c r="A613" s="332"/>
      <c r="B613" s="336"/>
      <c r="C613" s="336"/>
      <c r="D613" s="336"/>
      <c r="E613" s="391"/>
      <c r="F613" s="288"/>
      <c r="G613" s="12"/>
      <c r="H613" s="12"/>
    </row>
    <row r="614" spans="1:8">
      <c r="A614" s="332"/>
      <c r="B614" s="336"/>
      <c r="C614" s="336"/>
      <c r="D614" s="336"/>
      <c r="E614" s="391"/>
      <c r="F614" s="288"/>
      <c r="G614" s="12"/>
      <c r="H614" s="12"/>
    </row>
    <row r="615" spans="1:8">
      <c r="A615" s="332"/>
      <c r="B615" s="336"/>
      <c r="C615" s="336"/>
      <c r="D615" s="336"/>
      <c r="E615" s="391"/>
      <c r="F615" s="288"/>
      <c r="G615" s="12"/>
      <c r="H615" s="12"/>
    </row>
    <row r="616" spans="1:8">
      <c r="A616" s="332"/>
      <c r="B616" s="336"/>
      <c r="C616" s="336"/>
      <c r="D616" s="336"/>
      <c r="E616" s="391"/>
      <c r="F616" s="288"/>
      <c r="G616" s="12"/>
      <c r="H616" s="12"/>
    </row>
    <row r="617" spans="1:8">
      <c r="A617" s="332"/>
      <c r="B617" s="336"/>
      <c r="C617" s="336"/>
      <c r="D617" s="336"/>
      <c r="E617" s="391"/>
      <c r="F617" s="288"/>
      <c r="G617" s="12"/>
      <c r="H617" s="12"/>
    </row>
    <row r="618" spans="1:8">
      <c r="A618" s="332"/>
      <c r="B618" s="336"/>
      <c r="C618" s="336"/>
      <c r="D618" s="336"/>
      <c r="E618" s="391"/>
      <c r="F618" s="288"/>
      <c r="G618" s="12"/>
      <c r="H618" s="12"/>
    </row>
    <row r="619" spans="1:8">
      <c r="A619" s="332"/>
      <c r="B619" s="336"/>
      <c r="C619" s="336"/>
      <c r="D619" s="336"/>
      <c r="E619" s="391"/>
      <c r="F619" s="288"/>
      <c r="G619" s="12"/>
      <c r="H619" s="12"/>
    </row>
    <row r="620" spans="1:8">
      <c r="A620" s="332"/>
      <c r="B620" s="336"/>
      <c r="C620" s="336"/>
      <c r="D620" s="336"/>
      <c r="E620" s="391"/>
      <c r="F620" s="288"/>
      <c r="G620" s="12"/>
      <c r="H620" s="12"/>
    </row>
    <row r="621" spans="1:8">
      <c r="A621" s="332"/>
      <c r="B621" s="336"/>
      <c r="C621" s="336"/>
      <c r="D621" s="336"/>
      <c r="E621" s="391"/>
      <c r="F621" s="288"/>
      <c r="G621" s="12"/>
      <c r="H621" s="12"/>
    </row>
    <row r="622" spans="1:8">
      <c r="A622" s="332"/>
      <c r="B622" s="336"/>
      <c r="C622" s="336"/>
      <c r="D622" s="336"/>
      <c r="E622" s="391"/>
      <c r="F622" s="288"/>
      <c r="G622" s="12"/>
      <c r="H622" s="12"/>
    </row>
    <row r="623" spans="1:8">
      <c r="A623" s="332"/>
      <c r="B623" s="336"/>
      <c r="C623" s="336"/>
      <c r="D623" s="336"/>
      <c r="E623" s="391"/>
      <c r="F623" s="288"/>
      <c r="G623" s="12"/>
      <c r="H623" s="12"/>
    </row>
    <row r="624" spans="1:8">
      <c r="A624" s="332"/>
      <c r="B624" s="336"/>
      <c r="C624" s="336"/>
      <c r="D624" s="336"/>
      <c r="E624" s="391"/>
      <c r="F624" s="288"/>
      <c r="G624" s="12"/>
      <c r="H624" s="12"/>
    </row>
    <row r="625" spans="1:8">
      <c r="A625" s="332"/>
      <c r="B625" s="336"/>
      <c r="C625" s="336"/>
      <c r="D625" s="336"/>
      <c r="E625" s="391"/>
      <c r="F625" s="288"/>
      <c r="G625" s="12"/>
      <c r="H625" s="12"/>
    </row>
    <row r="626" spans="1:8">
      <c r="A626" s="332"/>
      <c r="B626" s="336"/>
      <c r="C626" s="336"/>
      <c r="D626" s="336"/>
      <c r="E626" s="391"/>
      <c r="F626" s="288"/>
      <c r="G626" s="12"/>
      <c r="H626" s="12"/>
    </row>
    <row r="627" spans="1:8">
      <c r="A627" s="332"/>
      <c r="B627" s="336"/>
      <c r="C627" s="336"/>
      <c r="D627" s="336"/>
      <c r="E627" s="391"/>
      <c r="F627" s="288"/>
      <c r="G627" s="12"/>
      <c r="H627" s="12"/>
    </row>
    <row r="628" spans="1:8">
      <c r="A628" s="332"/>
      <c r="B628" s="336"/>
      <c r="C628" s="336"/>
      <c r="D628" s="336"/>
      <c r="E628" s="391"/>
      <c r="F628" s="288"/>
      <c r="G628" s="12"/>
      <c r="H628" s="12"/>
    </row>
    <row r="629" spans="1:8">
      <c r="A629" s="332"/>
      <c r="B629" s="336"/>
      <c r="C629" s="336"/>
      <c r="D629" s="336"/>
      <c r="E629" s="391"/>
      <c r="F629" s="288"/>
      <c r="G629" s="12"/>
      <c r="H629" s="12"/>
    </row>
    <row r="630" spans="1:8">
      <c r="A630" s="332"/>
      <c r="B630" s="336"/>
      <c r="C630" s="336"/>
      <c r="D630" s="336"/>
      <c r="E630" s="391"/>
      <c r="F630" s="288"/>
      <c r="G630" s="12"/>
      <c r="H630" s="12"/>
    </row>
    <row r="631" spans="1:8">
      <c r="A631" s="332"/>
      <c r="B631" s="336"/>
      <c r="C631" s="336"/>
      <c r="D631" s="336"/>
      <c r="E631" s="391"/>
      <c r="F631" s="288"/>
      <c r="G631" s="12"/>
      <c r="H631" s="12"/>
    </row>
    <row r="632" spans="1:8">
      <c r="A632" s="332"/>
      <c r="B632" s="336"/>
      <c r="C632" s="336"/>
      <c r="D632" s="336"/>
      <c r="E632" s="391"/>
      <c r="F632" s="288"/>
      <c r="G632" s="12"/>
      <c r="H632" s="12"/>
    </row>
    <row r="633" spans="1:8">
      <c r="A633" s="332"/>
      <c r="B633" s="336"/>
      <c r="C633" s="336"/>
      <c r="D633" s="336"/>
      <c r="E633" s="391"/>
      <c r="F633" s="288"/>
      <c r="G633" s="12"/>
      <c r="H633" s="12"/>
    </row>
    <row r="634" spans="1:8">
      <c r="A634" s="332"/>
      <c r="B634" s="336"/>
      <c r="C634" s="336"/>
      <c r="D634" s="336"/>
      <c r="E634" s="391"/>
      <c r="F634" s="288"/>
      <c r="G634" s="12"/>
      <c r="H634" s="12"/>
    </row>
    <row r="635" spans="1:8">
      <c r="A635" s="332"/>
      <c r="B635" s="336"/>
      <c r="C635" s="336"/>
      <c r="D635" s="336"/>
      <c r="E635" s="391"/>
      <c r="F635" s="288"/>
      <c r="G635" s="12"/>
      <c r="H635" s="12"/>
    </row>
    <row r="636" spans="1:8">
      <c r="A636" s="332"/>
      <c r="B636" s="336"/>
      <c r="C636" s="336"/>
      <c r="D636" s="336"/>
      <c r="E636" s="391"/>
      <c r="F636" s="288"/>
      <c r="G636" s="12"/>
      <c r="H636" s="12"/>
    </row>
    <row r="637" spans="1:8">
      <c r="A637" s="332"/>
      <c r="B637" s="336"/>
      <c r="C637" s="336"/>
      <c r="D637" s="336"/>
      <c r="E637" s="391"/>
      <c r="F637" s="288"/>
      <c r="G637" s="12"/>
      <c r="H637" s="12"/>
    </row>
    <row r="638" spans="1:8">
      <c r="A638" s="332"/>
      <c r="B638" s="336"/>
      <c r="C638" s="336"/>
      <c r="D638" s="336"/>
      <c r="E638" s="391"/>
      <c r="F638" s="288"/>
      <c r="G638" s="12"/>
      <c r="H638" s="12"/>
    </row>
    <row r="639" spans="1:8">
      <c r="A639" s="332"/>
      <c r="B639" s="336"/>
      <c r="C639" s="336"/>
      <c r="D639" s="336"/>
      <c r="E639" s="391"/>
      <c r="F639" s="288"/>
      <c r="G639" s="12"/>
      <c r="H639" s="12"/>
    </row>
    <row r="640" spans="1:8">
      <c r="A640" s="332"/>
      <c r="B640" s="336"/>
      <c r="C640" s="336"/>
      <c r="D640" s="336"/>
      <c r="E640" s="391"/>
      <c r="F640" s="288"/>
      <c r="G640" s="12"/>
      <c r="H640" s="12"/>
    </row>
    <row r="641" spans="1:8">
      <c r="A641" s="332"/>
      <c r="B641" s="336"/>
      <c r="C641" s="336"/>
      <c r="D641" s="336"/>
      <c r="E641" s="391"/>
      <c r="F641" s="288"/>
      <c r="G641" s="12"/>
      <c r="H641" s="12"/>
    </row>
    <row r="642" spans="1:8">
      <c r="A642" s="332"/>
      <c r="B642" s="336"/>
      <c r="C642" s="336"/>
      <c r="D642" s="336"/>
      <c r="E642" s="391"/>
      <c r="F642" s="288"/>
      <c r="G642" s="12"/>
      <c r="H642" s="12"/>
    </row>
    <row r="643" spans="1:8">
      <c r="A643" s="332"/>
      <c r="B643" s="336"/>
      <c r="C643" s="336"/>
      <c r="D643" s="336"/>
      <c r="E643" s="391"/>
      <c r="F643" s="288"/>
      <c r="G643" s="12"/>
      <c r="H643" s="12"/>
    </row>
    <row r="644" spans="1:8">
      <c r="A644" s="332"/>
      <c r="B644" s="336"/>
      <c r="C644" s="336"/>
      <c r="D644" s="336"/>
      <c r="E644" s="391"/>
      <c r="F644" s="288"/>
      <c r="G644" s="12"/>
      <c r="H644" s="12"/>
    </row>
    <row r="645" spans="1:8">
      <c r="A645" s="332"/>
      <c r="B645" s="336"/>
      <c r="C645" s="336"/>
      <c r="D645" s="336"/>
      <c r="E645" s="391"/>
      <c r="F645" s="288"/>
      <c r="G645" s="12"/>
      <c r="H645" s="12"/>
    </row>
    <row r="646" spans="1:8">
      <c r="A646" s="332"/>
      <c r="B646" s="336"/>
      <c r="C646" s="336"/>
      <c r="D646" s="336"/>
      <c r="E646" s="391"/>
      <c r="F646" s="288"/>
      <c r="G646" s="12"/>
      <c r="H646" s="12"/>
    </row>
    <row r="647" spans="1:8">
      <c r="A647" s="332"/>
      <c r="B647" s="336"/>
      <c r="C647" s="336"/>
      <c r="D647" s="336"/>
      <c r="E647" s="391"/>
      <c r="F647" s="288"/>
      <c r="G647" s="12"/>
      <c r="H647" s="12"/>
    </row>
    <row r="648" spans="1:8">
      <c r="A648" s="332"/>
      <c r="B648" s="336"/>
      <c r="C648" s="336"/>
      <c r="D648" s="336"/>
      <c r="E648" s="391"/>
      <c r="F648" s="288"/>
      <c r="G648" s="12"/>
      <c r="H648" s="12"/>
    </row>
    <row r="649" spans="1:8">
      <c r="A649" s="332"/>
      <c r="B649" s="336"/>
      <c r="C649" s="336"/>
      <c r="D649" s="336"/>
      <c r="E649" s="391"/>
      <c r="F649" s="288"/>
      <c r="G649" s="12"/>
      <c r="H649" s="12"/>
    </row>
    <row r="650" spans="1:8">
      <c r="A650" s="332"/>
      <c r="B650" s="336"/>
      <c r="C650" s="336"/>
      <c r="D650" s="336"/>
      <c r="E650" s="391"/>
      <c r="F650" s="288"/>
      <c r="G650" s="12"/>
      <c r="H650" s="12"/>
    </row>
    <row r="651" spans="1:8">
      <c r="A651" s="332"/>
      <c r="B651" s="336"/>
      <c r="C651" s="336"/>
      <c r="D651" s="336"/>
      <c r="E651" s="391"/>
      <c r="F651" s="288"/>
      <c r="G651" s="12"/>
      <c r="H651" s="12"/>
    </row>
    <row r="652" spans="1:8">
      <c r="A652" s="332"/>
      <c r="B652" s="336"/>
      <c r="C652" s="336"/>
      <c r="D652" s="336"/>
      <c r="E652" s="391"/>
      <c r="F652" s="288"/>
      <c r="G652" s="12"/>
      <c r="H652" s="12"/>
    </row>
    <row r="653" spans="1:8">
      <c r="A653" s="332"/>
      <c r="B653" s="336"/>
      <c r="C653" s="336"/>
      <c r="D653" s="336"/>
      <c r="E653" s="391"/>
      <c r="F653" s="288"/>
      <c r="G653" s="12"/>
      <c r="H653" s="12"/>
    </row>
    <row r="654" spans="1:8">
      <c r="A654" s="332"/>
      <c r="B654" s="336"/>
      <c r="C654" s="336"/>
      <c r="D654" s="336"/>
      <c r="E654" s="391"/>
      <c r="F654" s="288"/>
      <c r="G654" s="12"/>
      <c r="H654" s="12"/>
    </row>
    <row r="655" spans="1:8">
      <c r="A655" s="332"/>
      <c r="B655" s="336"/>
      <c r="C655" s="336"/>
      <c r="D655" s="336"/>
      <c r="E655" s="391"/>
      <c r="F655" s="288"/>
      <c r="G655" s="12"/>
      <c r="H655" s="12"/>
    </row>
    <row r="656" spans="1:8">
      <c r="A656" s="332"/>
      <c r="B656" s="336"/>
      <c r="C656" s="336"/>
      <c r="D656" s="336"/>
      <c r="E656" s="391"/>
      <c r="F656" s="288"/>
      <c r="G656" s="12"/>
      <c r="H656" s="12"/>
    </row>
    <row r="657" spans="1:8">
      <c r="A657" s="332"/>
      <c r="B657" s="336"/>
      <c r="C657" s="336"/>
      <c r="D657" s="336"/>
      <c r="E657" s="391"/>
      <c r="F657" s="288"/>
      <c r="G657" s="12"/>
      <c r="H657" s="12"/>
    </row>
    <row r="658" spans="1:8">
      <c r="A658" s="332"/>
      <c r="B658" s="336"/>
      <c r="C658" s="336"/>
      <c r="D658" s="336"/>
      <c r="E658" s="391"/>
      <c r="F658" s="288"/>
      <c r="G658" s="12"/>
      <c r="H658" s="12"/>
    </row>
    <row r="659" spans="1:8">
      <c r="A659" s="332"/>
      <c r="B659" s="336"/>
      <c r="C659" s="336"/>
      <c r="D659" s="336"/>
      <c r="E659" s="391"/>
      <c r="F659" s="288"/>
      <c r="G659" s="12"/>
      <c r="H659" s="12"/>
    </row>
    <row r="660" spans="1:8">
      <c r="A660" s="332"/>
      <c r="B660" s="336"/>
      <c r="C660" s="336"/>
      <c r="D660" s="336"/>
      <c r="E660" s="391"/>
      <c r="F660" s="288"/>
      <c r="G660" s="12"/>
      <c r="H660" s="12"/>
    </row>
    <row r="661" spans="1:8">
      <c r="A661" s="332"/>
      <c r="B661" s="336"/>
      <c r="C661" s="336"/>
      <c r="D661" s="336"/>
      <c r="E661" s="391"/>
      <c r="F661" s="288"/>
      <c r="G661" s="12"/>
      <c r="H661" s="12"/>
    </row>
    <row r="662" spans="1:8">
      <c r="A662" s="332"/>
      <c r="B662" s="336"/>
      <c r="C662" s="336"/>
      <c r="D662" s="336"/>
      <c r="E662" s="391"/>
      <c r="F662" s="288"/>
      <c r="G662" s="12"/>
      <c r="H662" s="12"/>
    </row>
    <row r="663" spans="1:8">
      <c r="A663" s="332"/>
      <c r="B663" s="336"/>
      <c r="C663" s="336"/>
      <c r="D663" s="336"/>
      <c r="E663" s="391"/>
      <c r="F663" s="288"/>
      <c r="G663" s="12"/>
      <c r="H663" s="12"/>
    </row>
    <row r="664" spans="1:8">
      <c r="A664" s="332"/>
      <c r="B664" s="336"/>
      <c r="C664" s="336"/>
      <c r="D664" s="336"/>
      <c r="E664" s="391"/>
      <c r="F664" s="288"/>
      <c r="G664" s="12"/>
      <c r="H664" s="12"/>
    </row>
    <row r="665" spans="1:8">
      <c r="A665" s="332"/>
      <c r="B665" s="336"/>
      <c r="C665" s="336"/>
      <c r="D665" s="336"/>
      <c r="E665" s="391"/>
      <c r="F665" s="288"/>
      <c r="G665" s="12"/>
      <c r="H665" s="12"/>
    </row>
    <row r="666" spans="1:8">
      <c r="A666" s="332"/>
      <c r="B666" s="336"/>
      <c r="C666" s="336"/>
      <c r="D666" s="336"/>
      <c r="E666" s="391"/>
      <c r="F666" s="288"/>
      <c r="G666" s="12"/>
      <c r="H666" s="12"/>
    </row>
    <row r="667" spans="1:8">
      <c r="A667" s="332"/>
      <c r="B667" s="336"/>
      <c r="C667" s="336"/>
      <c r="D667" s="336"/>
      <c r="E667" s="391"/>
      <c r="F667" s="288"/>
      <c r="G667" s="12"/>
      <c r="H667" s="12"/>
    </row>
    <row r="668" spans="1:8">
      <c r="A668" s="332"/>
      <c r="B668" s="336"/>
      <c r="C668" s="336"/>
      <c r="D668" s="336"/>
      <c r="E668" s="391"/>
      <c r="F668" s="288"/>
      <c r="G668" s="12"/>
      <c r="H668" s="12"/>
    </row>
    <row r="669" spans="1:8">
      <c r="A669" s="332"/>
      <c r="B669" s="336"/>
      <c r="C669" s="336"/>
      <c r="D669" s="336"/>
      <c r="E669" s="391"/>
      <c r="F669" s="288"/>
      <c r="G669" s="12"/>
      <c r="H669" s="12"/>
    </row>
    <row r="670" spans="1:8">
      <c r="A670" s="332"/>
      <c r="B670" s="336"/>
      <c r="C670" s="336"/>
      <c r="D670" s="336"/>
      <c r="E670" s="391"/>
      <c r="F670" s="288"/>
      <c r="G670" s="12"/>
      <c r="H670" s="12"/>
    </row>
    <row r="671" spans="1:8">
      <c r="A671" s="332"/>
      <c r="B671" s="336"/>
      <c r="C671" s="336"/>
      <c r="D671" s="336"/>
      <c r="E671" s="391"/>
      <c r="F671" s="288"/>
      <c r="G671" s="12"/>
      <c r="H671" s="12"/>
    </row>
    <row r="672" spans="1:8">
      <c r="A672" s="332"/>
      <c r="B672" s="336"/>
      <c r="C672" s="336"/>
      <c r="D672" s="336"/>
      <c r="E672" s="391"/>
      <c r="F672" s="288"/>
      <c r="G672" s="12"/>
      <c r="H672" s="12"/>
    </row>
    <row r="673" spans="1:8">
      <c r="A673" s="332"/>
      <c r="B673" s="336"/>
      <c r="C673" s="336"/>
      <c r="D673" s="336"/>
      <c r="E673" s="391"/>
      <c r="F673" s="288"/>
      <c r="G673" s="12"/>
      <c r="H673" s="12"/>
    </row>
    <row r="674" spans="1:8">
      <c r="A674" s="332"/>
      <c r="B674" s="336"/>
      <c r="C674" s="336"/>
      <c r="D674" s="336"/>
      <c r="E674" s="391"/>
      <c r="F674" s="288"/>
      <c r="G674" s="12"/>
      <c r="H674" s="12"/>
    </row>
    <row r="675" spans="1:8">
      <c r="A675" s="332"/>
      <c r="B675" s="336"/>
      <c r="C675" s="336"/>
      <c r="D675" s="336"/>
      <c r="E675" s="391"/>
      <c r="F675" s="288"/>
      <c r="G675" s="12"/>
      <c r="H675" s="12"/>
    </row>
    <row r="676" spans="1:8">
      <c r="A676" s="332"/>
      <c r="B676" s="336"/>
      <c r="C676" s="336"/>
      <c r="D676" s="336"/>
      <c r="E676" s="391"/>
      <c r="F676" s="288"/>
      <c r="G676" s="12"/>
      <c r="H676" s="12"/>
    </row>
    <row r="677" spans="1:8">
      <c r="A677" s="332"/>
      <c r="B677" s="336"/>
      <c r="C677" s="336"/>
      <c r="D677" s="336"/>
      <c r="E677" s="391"/>
      <c r="F677" s="288"/>
      <c r="G677" s="12"/>
      <c r="H677" s="12"/>
    </row>
    <row r="678" spans="1:8">
      <c r="A678" s="332"/>
      <c r="B678" s="336"/>
      <c r="C678" s="336"/>
      <c r="D678" s="336"/>
      <c r="E678" s="391"/>
      <c r="F678" s="288"/>
      <c r="G678" s="12"/>
      <c r="H678" s="12"/>
    </row>
    <row r="679" spans="1:8">
      <c r="A679" s="332"/>
      <c r="B679" s="336"/>
      <c r="C679" s="336"/>
      <c r="D679" s="336"/>
      <c r="E679" s="391"/>
      <c r="F679" s="288"/>
      <c r="G679" s="12"/>
      <c r="H679" s="12"/>
    </row>
    <row r="680" spans="1:8">
      <c r="A680" s="332"/>
      <c r="B680" s="336"/>
      <c r="C680" s="336"/>
      <c r="D680" s="336"/>
      <c r="E680" s="391"/>
      <c r="F680" s="288"/>
      <c r="G680" s="12"/>
      <c r="H680" s="12"/>
    </row>
    <row r="681" spans="1:8">
      <c r="A681" s="332"/>
      <c r="B681" s="336"/>
      <c r="C681" s="336"/>
      <c r="D681" s="336"/>
      <c r="E681" s="391"/>
      <c r="F681" s="288"/>
      <c r="G681" s="12"/>
      <c r="H681" s="12"/>
    </row>
    <row r="682" spans="1:8">
      <c r="A682" s="332"/>
      <c r="B682" s="336"/>
      <c r="C682" s="336"/>
      <c r="D682" s="336"/>
      <c r="E682" s="391"/>
      <c r="F682" s="288"/>
      <c r="G682" s="12"/>
      <c r="H682" s="12"/>
    </row>
    <row r="683" spans="1:8">
      <c r="A683" s="332"/>
      <c r="B683" s="336"/>
      <c r="C683" s="336"/>
      <c r="D683" s="336"/>
      <c r="E683" s="391"/>
      <c r="F683" s="288"/>
      <c r="G683" s="12"/>
      <c r="H683" s="12"/>
    </row>
    <row r="684" spans="1:8">
      <c r="A684" s="332"/>
      <c r="B684" s="336"/>
      <c r="C684" s="336"/>
      <c r="D684" s="336"/>
      <c r="E684" s="391"/>
      <c r="F684" s="288"/>
      <c r="G684" s="12"/>
      <c r="H684" s="12"/>
    </row>
    <row r="685" spans="1:8">
      <c r="A685" s="332"/>
      <c r="B685" s="336"/>
      <c r="C685" s="336"/>
      <c r="D685" s="336"/>
      <c r="E685" s="391"/>
      <c r="F685" s="288"/>
      <c r="G685" s="12"/>
      <c r="H685" s="12"/>
    </row>
    <row r="686" spans="1:8">
      <c r="A686" s="332"/>
      <c r="B686" s="336"/>
      <c r="C686" s="336"/>
      <c r="D686" s="336"/>
      <c r="E686" s="391"/>
      <c r="F686" s="288"/>
      <c r="G686" s="12"/>
      <c r="H686" s="12"/>
    </row>
    <row r="687" spans="1:8">
      <c r="A687" s="332"/>
      <c r="B687" s="336"/>
      <c r="C687" s="336"/>
      <c r="D687" s="336"/>
      <c r="E687" s="391"/>
      <c r="F687" s="288"/>
      <c r="G687" s="12"/>
      <c r="H687" s="12"/>
    </row>
    <row r="688" spans="1:8">
      <c r="A688" s="332"/>
      <c r="B688" s="336"/>
      <c r="C688" s="336"/>
      <c r="D688" s="336"/>
      <c r="E688" s="391"/>
      <c r="F688" s="288"/>
      <c r="G688" s="12"/>
      <c r="H688" s="12"/>
    </row>
    <row r="689" spans="1:8">
      <c r="A689" s="332"/>
      <c r="B689" s="336"/>
      <c r="C689" s="336"/>
      <c r="D689" s="336"/>
      <c r="E689" s="391"/>
      <c r="F689" s="288"/>
      <c r="G689" s="12"/>
      <c r="H689" s="12"/>
    </row>
    <row r="690" spans="1:8">
      <c r="A690" s="332"/>
      <c r="B690" s="336"/>
      <c r="C690" s="336"/>
      <c r="D690" s="336"/>
      <c r="E690" s="391"/>
      <c r="F690" s="288"/>
      <c r="G690" s="12"/>
      <c r="H690" s="12"/>
    </row>
    <row r="691" spans="1:8">
      <c r="A691" s="332"/>
      <c r="B691" s="336"/>
      <c r="C691" s="336"/>
      <c r="D691" s="336"/>
      <c r="E691" s="391"/>
      <c r="F691" s="288"/>
      <c r="G691" s="12"/>
      <c r="H691" s="12"/>
    </row>
    <row r="692" spans="1:8">
      <c r="A692" s="332"/>
      <c r="B692" s="336"/>
      <c r="C692" s="336"/>
      <c r="D692" s="336"/>
      <c r="E692" s="391"/>
      <c r="F692" s="288"/>
      <c r="G692" s="12"/>
      <c r="H692" s="12"/>
    </row>
    <row r="693" spans="1:8">
      <c r="A693" s="332"/>
      <c r="B693" s="336"/>
      <c r="C693" s="336"/>
      <c r="D693" s="336"/>
      <c r="E693" s="391"/>
      <c r="F693" s="288"/>
      <c r="G693" s="12"/>
      <c r="H693" s="12"/>
    </row>
    <row r="694" spans="1:8">
      <c r="A694" s="332"/>
      <c r="B694" s="336"/>
      <c r="C694" s="336"/>
      <c r="D694" s="336"/>
      <c r="E694" s="391"/>
      <c r="F694" s="288"/>
      <c r="G694" s="12"/>
      <c r="H694" s="12"/>
    </row>
    <row r="695" spans="1:8">
      <c r="A695" s="332"/>
      <c r="B695" s="336"/>
      <c r="C695" s="336"/>
      <c r="D695" s="336"/>
      <c r="E695" s="391"/>
      <c r="F695" s="288"/>
      <c r="G695" s="12"/>
      <c r="H695" s="12"/>
    </row>
    <row r="696" spans="1:8">
      <c r="A696" s="332"/>
      <c r="B696" s="336"/>
      <c r="C696" s="336"/>
      <c r="D696" s="336"/>
      <c r="E696" s="391"/>
      <c r="F696" s="288"/>
      <c r="G696" s="12"/>
      <c r="H696" s="12"/>
    </row>
    <row r="697" spans="1:8">
      <c r="A697" s="332"/>
      <c r="B697" s="336"/>
      <c r="C697" s="336"/>
      <c r="D697" s="336"/>
      <c r="E697" s="391"/>
      <c r="F697" s="288"/>
      <c r="G697" s="12"/>
      <c r="H697" s="12"/>
    </row>
    <row r="698" spans="1:8">
      <c r="A698" s="332"/>
      <c r="B698" s="336"/>
      <c r="C698" s="336"/>
      <c r="D698" s="336"/>
      <c r="E698" s="391"/>
      <c r="F698" s="288"/>
      <c r="G698" s="12"/>
      <c r="H698" s="12"/>
    </row>
    <row r="699" spans="1:8">
      <c r="A699" s="332"/>
      <c r="B699" s="336"/>
      <c r="C699" s="336"/>
      <c r="D699" s="336"/>
      <c r="E699" s="391"/>
      <c r="F699" s="288"/>
      <c r="G699" s="12"/>
      <c r="H699" s="12"/>
    </row>
    <row r="700" spans="1:8">
      <c r="A700" s="332"/>
      <c r="B700" s="336"/>
      <c r="C700" s="336"/>
      <c r="D700" s="336"/>
      <c r="E700" s="391"/>
      <c r="F700" s="288"/>
      <c r="G700" s="12"/>
      <c r="H700" s="12"/>
    </row>
    <row r="701" spans="1:8">
      <c r="A701" s="332"/>
      <c r="B701" s="336"/>
      <c r="C701" s="336"/>
      <c r="D701" s="336"/>
      <c r="E701" s="391"/>
      <c r="F701" s="288"/>
      <c r="G701" s="12"/>
      <c r="H701" s="12"/>
    </row>
    <row r="702" spans="1:8">
      <c r="A702" s="332"/>
      <c r="B702" s="336"/>
      <c r="C702" s="336"/>
      <c r="D702" s="336"/>
      <c r="E702" s="391"/>
      <c r="F702" s="288"/>
      <c r="G702" s="12"/>
      <c r="H702" s="12"/>
    </row>
    <row r="703" spans="1:8">
      <c r="A703" s="332"/>
      <c r="B703" s="336"/>
      <c r="C703" s="336"/>
      <c r="D703" s="336"/>
      <c r="E703" s="391"/>
      <c r="F703" s="288"/>
      <c r="G703" s="12"/>
      <c r="H703" s="12"/>
    </row>
    <row r="704" spans="1:8">
      <c r="A704" s="332"/>
      <c r="B704" s="336"/>
      <c r="C704" s="336"/>
      <c r="D704" s="336"/>
      <c r="E704" s="391"/>
      <c r="F704" s="288"/>
      <c r="G704" s="12"/>
      <c r="H704" s="12"/>
    </row>
    <row r="705" spans="1:8">
      <c r="A705" s="332"/>
      <c r="B705" s="336"/>
      <c r="C705" s="336"/>
      <c r="D705" s="336"/>
      <c r="E705" s="391"/>
      <c r="F705" s="288"/>
      <c r="G705" s="12"/>
      <c r="H705" s="12"/>
    </row>
    <row r="706" spans="1:8">
      <c r="A706" s="332"/>
      <c r="B706" s="336"/>
      <c r="C706" s="336"/>
      <c r="D706" s="336"/>
      <c r="E706" s="391"/>
      <c r="F706" s="288"/>
      <c r="G706" s="12"/>
      <c r="H706" s="12"/>
    </row>
    <row r="707" spans="1:8">
      <c r="A707" s="332"/>
      <c r="B707" s="336"/>
      <c r="C707" s="336"/>
      <c r="D707" s="336"/>
      <c r="E707" s="391"/>
      <c r="F707" s="288"/>
      <c r="G707" s="12"/>
      <c r="H707" s="12"/>
    </row>
    <row r="708" spans="1:8">
      <c r="A708" s="332"/>
      <c r="B708" s="336"/>
      <c r="C708" s="336"/>
      <c r="D708" s="336"/>
      <c r="E708" s="391"/>
      <c r="F708" s="288"/>
      <c r="G708" s="12"/>
      <c r="H708" s="12"/>
    </row>
    <row r="709" spans="1:8">
      <c r="A709" s="332"/>
      <c r="B709" s="336"/>
      <c r="C709" s="336"/>
      <c r="D709" s="336"/>
      <c r="E709" s="391"/>
      <c r="F709" s="288"/>
      <c r="G709" s="12"/>
      <c r="H709" s="12"/>
    </row>
    <row r="710" spans="1:8">
      <c r="A710" s="332"/>
      <c r="B710" s="336"/>
      <c r="C710" s="336"/>
      <c r="D710" s="336"/>
      <c r="E710" s="391"/>
      <c r="F710" s="288"/>
      <c r="G710" s="12"/>
      <c r="H710" s="12"/>
    </row>
    <row r="711" spans="1:8">
      <c r="A711" s="332"/>
      <c r="B711" s="336"/>
      <c r="C711" s="336"/>
      <c r="D711" s="336"/>
      <c r="E711" s="391"/>
      <c r="F711" s="288"/>
      <c r="G711" s="12"/>
      <c r="H711" s="12"/>
    </row>
    <row r="712" spans="1:8">
      <c r="A712" s="332"/>
      <c r="B712" s="336"/>
      <c r="C712" s="336"/>
      <c r="D712" s="336"/>
      <c r="E712" s="391"/>
      <c r="F712" s="288"/>
      <c r="G712" s="12"/>
      <c r="H712" s="12"/>
    </row>
    <row r="713" spans="1:8">
      <c r="A713" s="332"/>
      <c r="B713" s="336"/>
      <c r="C713" s="336"/>
      <c r="D713" s="336"/>
      <c r="E713" s="391"/>
      <c r="F713" s="288"/>
      <c r="G713" s="12"/>
      <c r="H713" s="12"/>
    </row>
    <row r="714" spans="1:8">
      <c r="A714" s="332"/>
      <c r="B714" s="336"/>
      <c r="C714" s="336"/>
      <c r="D714" s="336"/>
      <c r="E714" s="391"/>
      <c r="F714" s="288"/>
      <c r="G714" s="12"/>
      <c r="H714" s="12"/>
    </row>
    <row r="715" spans="1:8">
      <c r="A715" s="332"/>
      <c r="B715" s="336"/>
      <c r="C715" s="336"/>
      <c r="D715" s="336"/>
      <c r="E715" s="391"/>
      <c r="F715" s="288"/>
      <c r="G715" s="12"/>
      <c r="H715" s="12"/>
    </row>
    <row r="716" spans="1:8">
      <c r="A716" s="332"/>
      <c r="B716" s="336"/>
      <c r="C716" s="336"/>
      <c r="D716" s="336"/>
      <c r="E716" s="391"/>
      <c r="F716" s="288"/>
      <c r="G716" s="12"/>
      <c r="H716" s="12"/>
    </row>
    <row r="717" spans="1:8">
      <c r="A717" s="332"/>
      <c r="B717" s="336"/>
      <c r="C717" s="336"/>
      <c r="D717" s="336"/>
      <c r="E717" s="391"/>
      <c r="F717" s="288"/>
      <c r="G717" s="12"/>
      <c r="H717" s="12"/>
    </row>
    <row r="718" spans="1:8">
      <c r="A718" s="332"/>
      <c r="B718" s="336"/>
      <c r="C718" s="336"/>
      <c r="D718" s="336"/>
      <c r="E718" s="391"/>
      <c r="F718" s="288"/>
      <c r="G718" s="12"/>
      <c r="H718" s="12"/>
    </row>
    <row r="719" spans="1:8">
      <c r="A719" s="332"/>
      <c r="B719" s="336"/>
      <c r="C719" s="336"/>
      <c r="D719" s="336"/>
      <c r="E719" s="391"/>
      <c r="F719" s="288"/>
      <c r="G719" s="12"/>
      <c r="H719" s="12"/>
    </row>
    <row r="720" spans="1:8">
      <c r="A720" s="332"/>
      <c r="B720" s="336"/>
      <c r="C720" s="336"/>
      <c r="D720" s="336"/>
      <c r="E720" s="391"/>
      <c r="F720" s="288"/>
      <c r="G720" s="12"/>
      <c r="H720" s="12"/>
    </row>
    <row r="721" spans="1:8">
      <c r="A721" s="332"/>
      <c r="B721" s="336"/>
      <c r="C721" s="336"/>
      <c r="D721" s="336"/>
      <c r="E721" s="391"/>
      <c r="F721" s="288"/>
      <c r="G721" s="12"/>
      <c r="H721" s="12"/>
    </row>
    <row r="722" spans="1:8">
      <c r="A722" s="332"/>
      <c r="B722" s="336"/>
      <c r="C722" s="336"/>
      <c r="D722" s="336"/>
      <c r="E722" s="391"/>
      <c r="F722" s="288"/>
      <c r="G722" s="12"/>
      <c r="H722" s="12"/>
    </row>
    <row r="723" spans="1:8">
      <c r="A723" s="332"/>
      <c r="B723" s="336"/>
      <c r="C723" s="336"/>
      <c r="D723" s="336"/>
      <c r="E723" s="391"/>
      <c r="F723" s="288"/>
      <c r="G723" s="12"/>
      <c r="H723" s="12"/>
    </row>
    <row r="724" spans="1:8">
      <c r="A724" s="332"/>
      <c r="B724" s="336"/>
      <c r="C724" s="336"/>
      <c r="D724" s="336"/>
      <c r="E724" s="391"/>
      <c r="F724" s="288"/>
      <c r="G724" s="12"/>
      <c r="H724" s="12"/>
    </row>
    <row r="725" spans="1:8">
      <c r="A725" s="332"/>
      <c r="B725" s="336"/>
      <c r="C725" s="336"/>
      <c r="D725" s="336"/>
      <c r="E725" s="391"/>
      <c r="F725" s="288"/>
      <c r="G725" s="12"/>
      <c r="H725" s="12"/>
    </row>
    <row r="726" spans="1:8">
      <c r="A726" s="332"/>
      <c r="B726" s="336"/>
      <c r="C726" s="336"/>
      <c r="D726" s="336"/>
      <c r="E726" s="391"/>
      <c r="F726" s="288"/>
      <c r="G726" s="12"/>
      <c r="H726" s="12"/>
    </row>
    <row r="727" spans="1:8">
      <c r="A727" s="332"/>
      <c r="B727" s="336"/>
      <c r="C727" s="336"/>
      <c r="D727" s="336"/>
      <c r="E727" s="391"/>
      <c r="F727" s="288"/>
      <c r="G727" s="12"/>
      <c r="H727" s="12"/>
    </row>
    <row r="728" spans="1:8">
      <c r="A728" s="332"/>
      <c r="B728" s="336"/>
      <c r="C728" s="336"/>
      <c r="D728" s="336"/>
      <c r="E728" s="391"/>
      <c r="F728" s="288"/>
      <c r="G728" s="12"/>
      <c r="H728" s="12"/>
    </row>
    <row r="729" spans="1:8">
      <c r="A729" s="332"/>
      <c r="B729" s="336"/>
      <c r="C729" s="336"/>
      <c r="D729" s="336"/>
      <c r="E729" s="391"/>
      <c r="F729" s="288"/>
      <c r="G729" s="12"/>
      <c r="H729" s="12"/>
    </row>
    <row r="730" spans="1:8">
      <c r="A730" s="332"/>
      <c r="B730" s="336"/>
      <c r="C730" s="336"/>
      <c r="D730" s="336"/>
      <c r="E730" s="391"/>
      <c r="F730" s="288"/>
      <c r="G730" s="12"/>
      <c r="H730" s="12"/>
    </row>
    <row r="731" spans="1:8">
      <c r="A731" s="332"/>
      <c r="B731" s="336"/>
      <c r="C731" s="336"/>
      <c r="D731" s="336"/>
      <c r="E731" s="391"/>
      <c r="F731" s="288"/>
      <c r="G731" s="12"/>
      <c r="H731" s="12"/>
    </row>
    <row r="732" spans="1:8">
      <c r="A732" s="332"/>
      <c r="B732" s="336"/>
      <c r="C732" s="336"/>
      <c r="D732" s="336"/>
      <c r="E732" s="391"/>
      <c r="F732" s="288"/>
      <c r="G732" s="12"/>
      <c r="H732" s="12"/>
    </row>
    <row r="733" spans="1:8">
      <c r="A733" s="332"/>
      <c r="B733" s="336"/>
      <c r="C733" s="336"/>
      <c r="D733" s="336"/>
      <c r="E733" s="391"/>
      <c r="F733" s="288"/>
      <c r="G733" s="12"/>
      <c r="H733" s="12"/>
    </row>
    <row r="734" spans="1:8">
      <c r="A734" s="332"/>
      <c r="B734" s="336"/>
      <c r="C734" s="336"/>
      <c r="D734" s="336"/>
      <c r="E734" s="391"/>
      <c r="F734" s="288"/>
      <c r="G734" s="12"/>
      <c r="H734" s="12"/>
    </row>
    <row r="735" spans="1:8">
      <c r="A735" s="332"/>
      <c r="B735" s="336"/>
      <c r="C735" s="336"/>
      <c r="D735" s="336"/>
      <c r="E735" s="391"/>
      <c r="F735" s="288"/>
      <c r="G735" s="12"/>
      <c r="H735" s="12"/>
    </row>
    <row r="736" spans="1:8">
      <c r="A736" s="332"/>
      <c r="B736" s="336"/>
      <c r="C736" s="336"/>
      <c r="D736" s="336"/>
      <c r="E736" s="391"/>
      <c r="F736" s="288"/>
      <c r="G736" s="12"/>
      <c r="H736" s="12"/>
    </row>
    <row r="737" spans="1:8">
      <c r="A737" s="332"/>
      <c r="B737" s="336"/>
      <c r="C737" s="336"/>
      <c r="D737" s="336"/>
      <c r="E737" s="391"/>
      <c r="F737" s="288"/>
      <c r="G737" s="12"/>
      <c r="H737" s="12"/>
    </row>
    <row r="738" spans="1:8">
      <c r="A738" s="332"/>
      <c r="B738" s="336"/>
      <c r="C738" s="336"/>
      <c r="D738" s="336"/>
      <c r="E738" s="391"/>
      <c r="F738" s="288"/>
      <c r="G738" s="12"/>
      <c r="H738" s="12"/>
    </row>
    <row r="739" spans="1:8">
      <c r="A739" s="332"/>
      <c r="B739" s="336"/>
      <c r="C739" s="336"/>
      <c r="D739" s="336"/>
      <c r="E739" s="391"/>
      <c r="F739" s="288"/>
      <c r="G739" s="12"/>
      <c r="H739" s="12"/>
    </row>
    <row r="740" spans="1:8">
      <c r="A740" s="332"/>
      <c r="B740" s="336"/>
      <c r="C740" s="336"/>
      <c r="D740" s="336"/>
      <c r="E740" s="391"/>
      <c r="F740" s="288"/>
      <c r="G740" s="12"/>
      <c r="H740" s="12"/>
    </row>
    <row r="741" spans="1:8">
      <c r="A741" s="332"/>
      <c r="B741" s="336"/>
      <c r="C741" s="336"/>
      <c r="D741" s="336"/>
      <c r="E741" s="391"/>
      <c r="F741" s="288"/>
      <c r="G741" s="12"/>
      <c r="H741" s="12"/>
    </row>
    <row r="742" spans="1:8">
      <c r="A742" s="332"/>
      <c r="B742" s="336"/>
      <c r="C742" s="336"/>
      <c r="D742" s="336"/>
      <c r="E742" s="391"/>
      <c r="F742" s="288"/>
      <c r="G742" s="12"/>
      <c r="H742" s="12"/>
    </row>
    <row r="743" spans="1:8">
      <c r="A743" s="332"/>
      <c r="B743" s="336"/>
      <c r="C743" s="336"/>
      <c r="D743" s="336"/>
      <c r="E743" s="391"/>
      <c r="F743" s="288"/>
      <c r="G743" s="12"/>
      <c r="H743" s="12"/>
    </row>
    <row r="744" spans="1:8">
      <c r="A744" s="332"/>
      <c r="B744" s="336"/>
      <c r="C744" s="336"/>
      <c r="D744" s="336"/>
      <c r="E744" s="391"/>
      <c r="F744" s="288"/>
      <c r="G744" s="12"/>
      <c r="H744" s="12"/>
    </row>
    <row r="745" spans="1:8">
      <c r="A745" s="332"/>
      <c r="B745" s="336"/>
      <c r="C745" s="336"/>
      <c r="D745" s="336"/>
      <c r="E745" s="391"/>
      <c r="F745" s="288"/>
      <c r="G745" s="12"/>
      <c r="H745" s="12"/>
    </row>
    <row r="746" spans="1:8">
      <c r="A746" s="332"/>
      <c r="B746" s="336"/>
      <c r="C746" s="336"/>
      <c r="D746" s="336"/>
      <c r="E746" s="391"/>
      <c r="F746" s="288"/>
      <c r="G746" s="12"/>
      <c r="H746" s="12"/>
    </row>
    <row r="747" spans="1:8">
      <c r="A747" s="332"/>
      <c r="B747" s="336"/>
      <c r="C747" s="336"/>
      <c r="D747" s="336"/>
      <c r="E747" s="391"/>
      <c r="F747" s="288"/>
      <c r="G747" s="12"/>
      <c r="H747" s="12"/>
    </row>
    <row r="748" spans="1:8">
      <c r="A748" s="332"/>
      <c r="B748" s="336"/>
      <c r="C748" s="336"/>
      <c r="D748" s="336"/>
      <c r="E748" s="391"/>
      <c r="F748" s="288"/>
      <c r="G748" s="12"/>
      <c r="H748" s="12"/>
    </row>
    <row r="749" spans="1:8">
      <c r="A749" s="332"/>
      <c r="B749" s="336"/>
      <c r="C749" s="336"/>
      <c r="D749" s="336"/>
      <c r="E749" s="391"/>
      <c r="F749" s="288"/>
      <c r="G749" s="12"/>
      <c r="H749" s="12"/>
    </row>
    <row r="750" spans="1:8">
      <c r="A750" s="332"/>
      <c r="B750" s="336"/>
      <c r="C750" s="336"/>
      <c r="D750" s="336"/>
      <c r="E750" s="391"/>
      <c r="F750" s="288"/>
      <c r="G750" s="12"/>
      <c r="H750" s="12"/>
    </row>
    <row r="751" spans="1:8">
      <c r="A751" s="332"/>
      <c r="B751" s="336"/>
      <c r="C751" s="336"/>
      <c r="D751" s="336"/>
      <c r="E751" s="391"/>
      <c r="F751" s="288"/>
      <c r="G751" s="12"/>
      <c r="H751" s="12"/>
    </row>
    <row r="752" spans="1:8">
      <c r="A752" s="332"/>
      <c r="B752" s="336"/>
      <c r="C752" s="336"/>
      <c r="D752" s="336"/>
      <c r="E752" s="391"/>
      <c r="F752" s="288"/>
      <c r="G752" s="12"/>
      <c r="H752" s="12"/>
    </row>
    <row r="753" spans="1:8">
      <c r="A753" s="332"/>
      <c r="B753" s="336"/>
      <c r="C753" s="336"/>
      <c r="D753" s="336"/>
      <c r="E753" s="391"/>
      <c r="F753" s="288"/>
      <c r="G753" s="12"/>
      <c r="H753" s="12"/>
    </row>
    <row r="754" spans="1:8">
      <c r="A754" s="332"/>
      <c r="B754" s="336"/>
      <c r="C754" s="336"/>
      <c r="D754" s="336"/>
      <c r="E754" s="391"/>
      <c r="F754" s="288"/>
      <c r="G754" s="12"/>
      <c r="H754" s="12"/>
    </row>
    <row r="755" spans="1:8">
      <c r="A755" s="332"/>
      <c r="B755" s="336"/>
      <c r="C755" s="336"/>
      <c r="D755" s="336"/>
      <c r="E755" s="391"/>
      <c r="F755" s="288"/>
      <c r="G755" s="12"/>
      <c r="H755" s="12"/>
    </row>
    <row r="756" spans="1:8">
      <c r="A756" s="332"/>
      <c r="B756" s="336"/>
      <c r="C756" s="336"/>
      <c r="D756" s="336"/>
      <c r="E756" s="391"/>
      <c r="F756" s="288"/>
      <c r="G756" s="12"/>
      <c r="H756" s="12"/>
    </row>
    <row r="757" spans="1:8">
      <c r="A757" s="332"/>
      <c r="B757" s="336"/>
      <c r="C757" s="336"/>
      <c r="D757" s="336"/>
      <c r="E757" s="391"/>
      <c r="F757" s="288"/>
      <c r="G757" s="12"/>
      <c r="H757" s="12"/>
    </row>
    <row r="758" spans="1:8">
      <c r="A758" s="332"/>
      <c r="B758" s="336"/>
      <c r="C758" s="336"/>
      <c r="D758" s="336"/>
      <c r="E758" s="391"/>
      <c r="F758" s="288"/>
      <c r="G758" s="12"/>
      <c r="H758" s="12"/>
    </row>
    <row r="759" spans="1:8">
      <c r="A759" s="332"/>
      <c r="B759" s="336"/>
      <c r="C759" s="336"/>
      <c r="D759" s="336"/>
      <c r="E759" s="391"/>
      <c r="F759" s="288"/>
      <c r="G759" s="12"/>
      <c r="H759" s="12"/>
    </row>
    <row r="760" spans="1:8">
      <c r="A760" s="332"/>
      <c r="B760" s="336"/>
      <c r="C760" s="336"/>
      <c r="D760" s="336"/>
      <c r="E760" s="391"/>
      <c r="F760" s="288"/>
      <c r="G760" s="12"/>
      <c r="H760" s="12"/>
    </row>
    <row r="761" spans="1:8">
      <c r="A761" s="332"/>
      <c r="B761" s="336"/>
      <c r="C761" s="336"/>
      <c r="D761" s="336"/>
      <c r="E761" s="391"/>
      <c r="F761" s="288"/>
      <c r="G761" s="12"/>
      <c r="H761" s="12"/>
    </row>
    <row r="762" spans="1:8">
      <c r="A762" s="332"/>
      <c r="B762" s="336"/>
      <c r="C762" s="336"/>
      <c r="D762" s="336"/>
      <c r="E762" s="391"/>
      <c r="F762" s="288"/>
      <c r="G762" s="12"/>
      <c r="H762" s="12"/>
    </row>
    <row r="763" spans="1:8">
      <c r="A763" s="332"/>
      <c r="B763" s="336"/>
      <c r="C763" s="336"/>
      <c r="D763" s="336"/>
      <c r="E763" s="391"/>
      <c r="F763" s="288"/>
      <c r="G763" s="12"/>
      <c r="H763" s="12"/>
    </row>
    <row r="764" spans="1:8">
      <c r="A764" s="332"/>
      <c r="B764" s="336"/>
      <c r="C764" s="336"/>
      <c r="D764" s="336"/>
      <c r="E764" s="391"/>
      <c r="F764" s="288"/>
      <c r="G764" s="12"/>
      <c r="H764" s="12"/>
    </row>
    <row r="765" spans="1:8">
      <c r="A765" s="332"/>
      <c r="B765" s="336"/>
      <c r="C765" s="336"/>
      <c r="D765" s="336"/>
      <c r="E765" s="391"/>
      <c r="F765" s="288"/>
      <c r="G765" s="12"/>
      <c r="H765" s="12"/>
    </row>
    <row r="766" spans="1:8">
      <c r="A766" s="332"/>
      <c r="B766" s="336"/>
      <c r="C766" s="336"/>
      <c r="D766" s="336"/>
      <c r="E766" s="391"/>
      <c r="F766" s="288"/>
      <c r="G766" s="12"/>
      <c r="H766" s="12"/>
    </row>
    <row r="767" spans="1:8">
      <c r="A767" s="332"/>
      <c r="B767" s="336"/>
      <c r="C767" s="336"/>
      <c r="D767" s="336"/>
      <c r="E767" s="391"/>
      <c r="F767" s="288"/>
      <c r="G767" s="12"/>
      <c r="H767" s="12"/>
    </row>
    <row r="768" spans="1:8">
      <c r="A768" s="332"/>
      <c r="B768" s="336"/>
      <c r="C768" s="336"/>
      <c r="D768" s="336"/>
      <c r="E768" s="391"/>
      <c r="F768" s="288"/>
      <c r="G768" s="12"/>
      <c r="H768" s="12"/>
    </row>
    <row r="769" spans="1:8">
      <c r="A769" s="332"/>
      <c r="B769" s="336"/>
      <c r="C769" s="336"/>
      <c r="D769" s="336"/>
      <c r="E769" s="391"/>
      <c r="F769" s="288"/>
      <c r="G769" s="12"/>
      <c r="H769" s="12"/>
    </row>
    <row r="770" spans="1:8">
      <c r="A770" s="332"/>
      <c r="B770" s="336"/>
      <c r="C770" s="336"/>
      <c r="D770" s="336"/>
      <c r="E770" s="391"/>
      <c r="F770" s="288"/>
      <c r="G770" s="12"/>
      <c r="H770" s="12"/>
    </row>
    <row r="771" spans="1:8">
      <c r="A771" s="332"/>
      <c r="B771" s="336"/>
      <c r="C771" s="336"/>
      <c r="D771" s="336"/>
      <c r="E771" s="391"/>
      <c r="F771" s="288"/>
      <c r="G771" s="12"/>
      <c r="H771" s="12"/>
    </row>
    <row r="772" spans="1:8">
      <c r="A772" s="332"/>
      <c r="B772" s="336"/>
      <c r="C772" s="336"/>
      <c r="D772" s="336"/>
      <c r="E772" s="391"/>
      <c r="F772" s="288"/>
      <c r="G772" s="12"/>
      <c r="H772" s="12"/>
    </row>
    <row r="773" spans="1:8">
      <c r="A773" s="332"/>
      <c r="B773" s="336"/>
      <c r="C773" s="336"/>
      <c r="D773" s="336"/>
      <c r="E773" s="391"/>
      <c r="F773" s="288"/>
      <c r="G773" s="12"/>
      <c r="H773" s="12"/>
    </row>
    <row r="774" spans="1:8">
      <c r="A774" s="332"/>
      <c r="B774" s="336"/>
      <c r="C774" s="336"/>
      <c r="D774" s="336"/>
      <c r="E774" s="391"/>
      <c r="F774" s="288"/>
      <c r="G774" s="12"/>
      <c r="H774" s="12"/>
    </row>
    <row r="775" spans="1:8">
      <c r="A775" s="332"/>
      <c r="B775" s="336"/>
      <c r="C775" s="336"/>
      <c r="D775" s="336"/>
      <c r="E775" s="391"/>
      <c r="F775" s="288"/>
      <c r="G775" s="12"/>
      <c r="H775" s="12"/>
    </row>
    <row r="776" spans="1:8">
      <c r="A776" s="332"/>
      <c r="B776" s="336"/>
      <c r="C776" s="336"/>
      <c r="D776" s="336"/>
      <c r="E776" s="391"/>
      <c r="F776" s="288"/>
      <c r="G776" s="12"/>
      <c r="H776" s="12"/>
    </row>
    <row r="777" spans="1:8">
      <c r="A777" s="332"/>
      <c r="B777" s="336"/>
      <c r="C777" s="336"/>
      <c r="D777" s="336"/>
      <c r="E777" s="391"/>
      <c r="F777" s="288"/>
      <c r="G777" s="12"/>
      <c r="H777" s="12"/>
    </row>
    <row r="778" spans="1:8">
      <c r="A778" s="332"/>
      <c r="B778" s="336"/>
      <c r="C778" s="336"/>
      <c r="D778" s="336"/>
      <c r="E778" s="391"/>
      <c r="F778" s="288"/>
      <c r="G778" s="12"/>
      <c r="H778" s="12"/>
    </row>
    <row r="779" spans="1:8">
      <c r="A779" s="332"/>
      <c r="B779" s="336"/>
      <c r="C779" s="336"/>
      <c r="D779" s="336"/>
      <c r="E779" s="391"/>
      <c r="F779" s="288"/>
      <c r="G779" s="12"/>
      <c r="H779" s="12"/>
    </row>
    <row r="780" spans="1:8">
      <c r="A780" s="332"/>
      <c r="B780" s="336"/>
      <c r="C780" s="336"/>
      <c r="D780" s="336"/>
      <c r="E780" s="391"/>
      <c r="F780" s="288"/>
      <c r="G780" s="12"/>
      <c r="H780" s="12"/>
    </row>
    <row r="781" spans="1:8">
      <c r="A781" s="332"/>
      <c r="B781" s="336"/>
      <c r="C781" s="336"/>
      <c r="D781" s="336"/>
      <c r="E781" s="391"/>
      <c r="F781" s="288"/>
      <c r="G781" s="12"/>
      <c r="H781" s="12"/>
    </row>
    <row r="782" spans="1:8">
      <c r="A782" s="332"/>
      <c r="B782" s="336"/>
      <c r="C782" s="336"/>
      <c r="D782" s="336"/>
      <c r="E782" s="391"/>
      <c r="F782" s="288"/>
      <c r="G782" s="12"/>
      <c r="H782" s="12"/>
    </row>
    <row r="783" spans="1:8">
      <c r="A783" s="332"/>
      <c r="B783" s="336"/>
      <c r="C783" s="336"/>
      <c r="D783" s="336"/>
      <c r="E783" s="391"/>
      <c r="F783" s="288"/>
      <c r="G783" s="12"/>
      <c r="H783" s="12"/>
    </row>
    <row r="784" spans="1:8">
      <c r="A784" s="332"/>
      <c r="B784" s="336"/>
      <c r="C784" s="336"/>
      <c r="D784" s="336"/>
      <c r="E784" s="391"/>
      <c r="F784" s="288"/>
      <c r="G784" s="12"/>
      <c r="H784" s="12"/>
    </row>
    <row r="785" spans="1:8">
      <c r="A785" s="332"/>
      <c r="B785" s="336"/>
      <c r="C785" s="336"/>
      <c r="D785" s="336"/>
      <c r="E785" s="391"/>
      <c r="F785" s="288"/>
      <c r="G785" s="12"/>
      <c r="H785" s="12"/>
    </row>
    <row r="786" spans="1:8">
      <c r="A786" s="332"/>
      <c r="B786" s="336"/>
      <c r="C786" s="336"/>
      <c r="D786" s="336"/>
      <c r="E786" s="391"/>
      <c r="F786" s="288"/>
      <c r="G786" s="12"/>
      <c r="H786" s="12"/>
    </row>
    <row r="787" spans="1:8">
      <c r="A787" s="332"/>
      <c r="B787" s="336"/>
      <c r="C787" s="336"/>
      <c r="D787" s="336"/>
      <c r="E787" s="391"/>
      <c r="F787" s="288"/>
      <c r="G787" s="12"/>
      <c r="H787" s="12"/>
    </row>
    <row r="788" spans="1:8">
      <c r="A788" s="332"/>
      <c r="B788" s="336"/>
      <c r="C788" s="336"/>
      <c r="D788" s="336"/>
      <c r="E788" s="391"/>
      <c r="F788" s="288"/>
      <c r="G788" s="12"/>
      <c r="H788" s="12"/>
    </row>
    <row r="789" spans="1:8">
      <c r="A789" s="332"/>
      <c r="B789" s="336"/>
      <c r="C789" s="336"/>
      <c r="D789" s="336"/>
      <c r="E789" s="391"/>
      <c r="F789" s="288"/>
      <c r="G789" s="12"/>
      <c r="H789" s="12"/>
    </row>
    <row r="790" spans="1:8">
      <c r="A790" s="332"/>
      <c r="B790" s="336"/>
      <c r="C790" s="336"/>
      <c r="D790" s="336"/>
      <c r="E790" s="391"/>
      <c r="F790" s="288"/>
      <c r="G790" s="12"/>
      <c r="H790" s="12"/>
    </row>
    <row r="791" spans="1:8">
      <c r="A791" s="332"/>
      <c r="B791" s="336"/>
      <c r="C791" s="336"/>
      <c r="D791" s="336"/>
      <c r="E791" s="391"/>
      <c r="F791" s="288"/>
      <c r="G791" s="12"/>
      <c r="H791" s="12"/>
    </row>
    <row r="792" spans="1:8">
      <c r="A792" s="332"/>
      <c r="B792" s="336"/>
      <c r="C792" s="336"/>
      <c r="D792" s="336"/>
      <c r="E792" s="391"/>
      <c r="F792" s="288"/>
      <c r="G792" s="12"/>
      <c r="H792" s="12"/>
    </row>
    <row r="793" spans="1:8">
      <c r="A793" s="332"/>
      <c r="B793" s="336"/>
      <c r="C793" s="336"/>
      <c r="D793" s="336"/>
      <c r="E793" s="391"/>
      <c r="F793" s="288"/>
      <c r="G793" s="12"/>
      <c r="H793" s="12"/>
    </row>
    <row r="794" spans="1:8">
      <c r="A794" s="332"/>
      <c r="B794" s="336"/>
      <c r="C794" s="336"/>
      <c r="D794" s="336"/>
      <c r="E794" s="391"/>
      <c r="F794" s="288"/>
      <c r="G794" s="12"/>
      <c r="H794" s="12"/>
    </row>
    <row r="795" spans="1:8">
      <c r="A795" s="332"/>
      <c r="B795" s="336"/>
      <c r="C795" s="336"/>
      <c r="D795" s="336"/>
      <c r="E795" s="391"/>
      <c r="F795" s="288"/>
      <c r="G795" s="12"/>
      <c r="H795" s="12"/>
    </row>
    <row r="796" spans="1:8">
      <c r="A796" s="332"/>
      <c r="B796" s="336"/>
      <c r="C796" s="336"/>
      <c r="D796" s="336"/>
      <c r="E796" s="391"/>
      <c r="F796" s="288"/>
      <c r="G796" s="12"/>
      <c r="H796" s="12"/>
    </row>
    <row r="797" spans="1:8">
      <c r="A797" s="332"/>
      <c r="B797" s="336"/>
      <c r="C797" s="336"/>
      <c r="D797" s="336"/>
      <c r="E797" s="391"/>
      <c r="F797" s="288"/>
      <c r="G797" s="12"/>
      <c r="H797" s="12"/>
    </row>
    <row r="798" spans="1:8">
      <c r="A798" s="332"/>
      <c r="B798" s="336"/>
      <c r="C798" s="336"/>
      <c r="D798" s="336"/>
      <c r="E798" s="391"/>
      <c r="F798" s="288"/>
      <c r="G798" s="12"/>
      <c r="H798" s="12"/>
    </row>
    <row r="799" spans="1:8">
      <c r="A799" s="332"/>
      <c r="B799" s="336"/>
      <c r="C799" s="336"/>
      <c r="D799" s="336"/>
      <c r="E799" s="391"/>
      <c r="F799" s="288"/>
      <c r="G799" s="12"/>
      <c r="H799" s="12"/>
    </row>
    <row r="800" spans="1:8">
      <c r="A800" s="332"/>
      <c r="B800" s="336"/>
      <c r="C800" s="336"/>
      <c r="D800" s="336"/>
      <c r="E800" s="391"/>
      <c r="F800" s="288"/>
      <c r="G800" s="12"/>
      <c r="H800" s="12"/>
    </row>
    <row r="801" spans="1:8">
      <c r="A801" s="332"/>
      <c r="B801" s="336"/>
      <c r="C801" s="336"/>
      <c r="D801" s="336"/>
      <c r="E801" s="391"/>
      <c r="F801" s="288"/>
      <c r="G801" s="12"/>
      <c r="H801" s="12"/>
    </row>
    <row r="802" spans="1:8">
      <c r="A802" s="332"/>
      <c r="B802" s="336"/>
      <c r="C802" s="336"/>
      <c r="D802" s="336"/>
      <c r="E802" s="391"/>
      <c r="F802" s="288"/>
      <c r="G802" s="12"/>
      <c r="H802" s="12"/>
    </row>
    <row r="803" spans="1:8">
      <c r="A803" s="332"/>
      <c r="B803" s="336"/>
      <c r="C803" s="336"/>
      <c r="D803" s="336"/>
      <c r="E803" s="391"/>
      <c r="F803" s="288"/>
      <c r="G803" s="12"/>
      <c r="H803" s="12"/>
    </row>
    <row r="804" spans="1:8">
      <c r="A804" s="332"/>
      <c r="B804" s="336"/>
      <c r="C804" s="336"/>
      <c r="D804" s="336"/>
      <c r="E804" s="391"/>
      <c r="F804" s="288"/>
      <c r="G804" s="12"/>
      <c r="H804" s="12"/>
    </row>
    <row r="805" spans="1:8">
      <c r="A805" s="332"/>
      <c r="B805" s="336"/>
      <c r="C805" s="336"/>
      <c r="D805" s="336"/>
      <c r="E805" s="391"/>
      <c r="F805" s="288"/>
      <c r="G805" s="12"/>
      <c r="H805" s="12"/>
    </row>
    <row r="806" spans="1:8">
      <c r="A806" s="332"/>
      <c r="B806" s="336"/>
      <c r="C806" s="336"/>
      <c r="D806" s="336"/>
      <c r="E806" s="391"/>
      <c r="F806" s="288"/>
      <c r="G806" s="12"/>
      <c r="H806" s="12"/>
    </row>
    <row r="807" spans="1:8">
      <c r="A807" s="332"/>
      <c r="B807" s="336"/>
      <c r="C807" s="336"/>
      <c r="D807" s="336"/>
      <c r="E807" s="391"/>
      <c r="F807" s="288"/>
      <c r="G807" s="12"/>
      <c r="H807" s="12"/>
    </row>
    <row r="808" spans="1:8">
      <c r="A808" s="332"/>
      <c r="B808" s="336"/>
      <c r="C808" s="336"/>
      <c r="D808" s="336"/>
      <c r="E808" s="391"/>
      <c r="F808" s="288"/>
      <c r="G808" s="12"/>
      <c r="H808" s="12"/>
    </row>
    <row r="809" spans="1:8">
      <c r="A809" s="332"/>
      <c r="B809" s="336"/>
      <c r="C809" s="336"/>
      <c r="D809" s="336"/>
      <c r="E809" s="391"/>
      <c r="F809" s="288"/>
      <c r="G809" s="12"/>
      <c r="H809" s="12"/>
    </row>
    <row r="810" spans="1:8">
      <c r="A810" s="332"/>
      <c r="B810" s="336"/>
      <c r="C810" s="336"/>
      <c r="D810" s="336"/>
      <c r="E810" s="391"/>
      <c r="F810" s="288"/>
      <c r="G810" s="12"/>
      <c r="H810" s="12"/>
    </row>
    <row r="811" spans="1:8">
      <c r="A811" s="332"/>
      <c r="B811" s="336"/>
      <c r="C811" s="336"/>
      <c r="D811" s="336"/>
      <c r="E811" s="391"/>
      <c r="F811" s="288"/>
      <c r="G811" s="12"/>
      <c r="H811" s="12"/>
    </row>
    <row r="812" spans="1:8">
      <c r="A812" s="332"/>
      <c r="B812" s="336"/>
      <c r="C812" s="336"/>
      <c r="D812" s="336"/>
      <c r="E812" s="391"/>
      <c r="F812" s="288"/>
      <c r="G812" s="12"/>
      <c r="H812" s="12"/>
    </row>
    <row r="813" spans="1:8">
      <c r="A813" s="332"/>
      <c r="B813" s="336"/>
      <c r="C813" s="336"/>
      <c r="D813" s="336"/>
      <c r="E813" s="391"/>
      <c r="F813" s="288"/>
      <c r="G813" s="12"/>
      <c r="H813" s="12"/>
    </row>
    <row r="814" spans="1:8">
      <c r="A814" s="332"/>
      <c r="B814" s="336"/>
      <c r="C814" s="336"/>
      <c r="D814" s="336"/>
      <c r="E814" s="391"/>
      <c r="F814" s="288"/>
      <c r="G814" s="12"/>
      <c r="H814" s="12"/>
    </row>
    <row r="815" spans="1:8">
      <c r="A815" s="332"/>
      <c r="B815" s="336"/>
      <c r="C815" s="336"/>
      <c r="D815" s="336"/>
      <c r="E815" s="391"/>
      <c r="F815" s="288"/>
      <c r="G815" s="12"/>
      <c r="H815" s="12"/>
    </row>
    <row r="816" spans="1:8">
      <c r="A816" s="332"/>
      <c r="B816" s="336"/>
      <c r="C816" s="336"/>
      <c r="D816" s="336"/>
      <c r="E816" s="391"/>
      <c r="F816" s="288"/>
      <c r="G816" s="12"/>
      <c r="H816" s="12"/>
    </row>
    <row r="817" spans="1:8">
      <c r="A817" s="332"/>
      <c r="B817" s="336"/>
      <c r="C817" s="336"/>
      <c r="D817" s="336"/>
      <c r="E817" s="391"/>
      <c r="F817" s="288"/>
      <c r="G817" s="12"/>
      <c r="H817" s="12"/>
    </row>
    <row r="818" spans="1:8">
      <c r="A818" s="332"/>
      <c r="B818" s="336"/>
      <c r="C818" s="336"/>
      <c r="D818" s="336"/>
      <c r="E818" s="391"/>
      <c r="F818" s="288"/>
      <c r="G818" s="12"/>
      <c r="H818" s="12"/>
    </row>
    <row r="819" spans="1:8">
      <c r="A819" s="332"/>
      <c r="B819" s="336"/>
      <c r="C819" s="336"/>
      <c r="D819" s="336"/>
      <c r="E819" s="391"/>
      <c r="F819" s="288"/>
      <c r="G819" s="12"/>
      <c r="H819" s="12"/>
    </row>
    <row r="820" spans="1:8">
      <c r="A820" s="332"/>
      <c r="B820" s="336"/>
      <c r="C820" s="336"/>
      <c r="D820" s="336"/>
      <c r="E820" s="391"/>
      <c r="F820" s="288"/>
      <c r="G820" s="12"/>
      <c r="H820" s="12"/>
    </row>
    <row r="821" spans="1:8">
      <c r="A821" s="332"/>
      <c r="B821" s="336"/>
      <c r="C821" s="336"/>
      <c r="D821" s="336"/>
      <c r="E821" s="391"/>
      <c r="F821" s="288"/>
      <c r="G821" s="12"/>
      <c r="H821" s="12"/>
    </row>
    <row r="822" spans="1:8">
      <c r="A822" s="332"/>
      <c r="B822" s="336"/>
      <c r="C822" s="336"/>
      <c r="D822" s="336"/>
      <c r="E822" s="391"/>
      <c r="F822" s="288"/>
      <c r="G822" s="12"/>
      <c r="H822" s="12"/>
    </row>
    <row r="823" spans="1:8">
      <c r="A823" s="332"/>
      <c r="B823" s="336"/>
      <c r="C823" s="336"/>
      <c r="D823" s="336"/>
      <c r="E823" s="391"/>
      <c r="F823" s="288"/>
      <c r="G823" s="12"/>
      <c r="H823" s="12"/>
    </row>
    <row r="824" spans="1:8">
      <c r="A824" s="332"/>
      <c r="B824" s="336"/>
      <c r="C824" s="336"/>
      <c r="D824" s="336"/>
      <c r="E824" s="391"/>
      <c r="F824" s="288"/>
      <c r="G824" s="12"/>
      <c r="H824" s="12"/>
    </row>
    <row r="825" spans="1:8">
      <c r="A825" s="332"/>
      <c r="B825" s="336"/>
      <c r="C825" s="336"/>
      <c r="D825" s="336"/>
      <c r="E825" s="391"/>
      <c r="F825" s="288"/>
      <c r="G825" s="12"/>
      <c r="H825" s="12"/>
    </row>
    <row r="826" spans="1:8">
      <c r="A826" s="332"/>
      <c r="B826" s="336"/>
      <c r="C826" s="336"/>
      <c r="D826" s="336"/>
      <c r="E826" s="391"/>
      <c r="F826" s="288"/>
      <c r="G826" s="12"/>
      <c r="H826" s="12"/>
    </row>
    <row r="827" spans="1:8">
      <c r="A827" s="332"/>
      <c r="B827" s="336"/>
      <c r="C827" s="336"/>
      <c r="D827" s="336"/>
      <c r="E827" s="391"/>
      <c r="F827" s="288"/>
      <c r="G827" s="12"/>
      <c r="H827" s="12"/>
    </row>
    <row r="828" spans="1:8">
      <c r="A828" s="332"/>
      <c r="B828" s="336"/>
      <c r="C828" s="336"/>
      <c r="D828" s="336"/>
      <c r="E828" s="391"/>
      <c r="F828" s="288"/>
      <c r="G828" s="12"/>
      <c r="H828" s="12"/>
    </row>
    <row r="829" spans="1:8">
      <c r="A829" s="332"/>
      <c r="B829" s="336"/>
      <c r="C829" s="336"/>
      <c r="D829" s="336"/>
      <c r="E829" s="391"/>
      <c r="F829" s="288"/>
      <c r="G829" s="12"/>
      <c r="H829" s="12"/>
    </row>
    <row r="830" spans="1:8">
      <c r="A830" s="332"/>
      <c r="B830" s="336"/>
      <c r="C830" s="336"/>
      <c r="D830" s="336"/>
      <c r="E830" s="391"/>
      <c r="F830" s="288"/>
      <c r="G830" s="12"/>
      <c r="H830" s="12"/>
    </row>
    <row r="831" spans="1:8">
      <c r="A831" s="332"/>
      <c r="B831" s="336"/>
      <c r="C831" s="336"/>
      <c r="D831" s="336"/>
      <c r="E831" s="391"/>
      <c r="F831" s="288"/>
      <c r="G831" s="12"/>
      <c r="H831" s="12"/>
    </row>
    <row r="832" spans="1:8">
      <c r="A832" s="332"/>
      <c r="B832" s="336"/>
      <c r="C832" s="336"/>
      <c r="D832" s="336"/>
      <c r="E832" s="391"/>
      <c r="F832" s="288"/>
      <c r="G832" s="12"/>
      <c r="H832" s="12"/>
    </row>
    <row r="833" spans="1:8">
      <c r="A833" s="332"/>
      <c r="B833" s="336"/>
      <c r="C833" s="336"/>
      <c r="D833" s="336"/>
      <c r="E833" s="391"/>
      <c r="F833" s="288"/>
      <c r="G833" s="12"/>
      <c r="H833" s="12"/>
    </row>
    <row r="834" spans="1:8">
      <c r="A834" s="332"/>
      <c r="B834" s="336"/>
      <c r="C834" s="336"/>
      <c r="D834" s="336"/>
      <c r="E834" s="391"/>
      <c r="F834" s="288"/>
      <c r="G834" s="12"/>
      <c r="H834" s="12"/>
    </row>
    <row r="835" spans="1:8">
      <c r="A835" s="332"/>
      <c r="B835" s="336"/>
      <c r="C835" s="336"/>
      <c r="D835" s="336"/>
      <c r="E835" s="391"/>
      <c r="F835" s="288"/>
      <c r="G835" s="12"/>
      <c r="H835" s="12"/>
    </row>
    <row r="836" spans="1:8">
      <c r="A836" s="332"/>
      <c r="B836" s="336"/>
      <c r="C836" s="336"/>
      <c r="D836" s="336"/>
      <c r="E836" s="391"/>
      <c r="F836" s="288"/>
      <c r="G836" s="12"/>
      <c r="H836" s="12"/>
    </row>
    <row r="837" spans="1:8">
      <c r="A837" s="332"/>
      <c r="B837" s="336"/>
      <c r="C837" s="336"/>
      <c r="D837" s="336"/>
      <c r="E837" s="391"/>
      <c r="F837" s="288"/>
      <c r="G837" s="12"/>
      <c r="H837" s="12"/>
    </row>
    <row r="838" spans="1:8">
      <c r="A838" s="332"/>
      <c r="B838" s="336"/>
      <c r="C838" s="336"/>
      <c r="D838" s="336"/>
      <c r="E838" s="391"/>
      <c r="F838" s="288"/>
      <c r="G838" s="12"/>
      <c r="H838" s="12"/>
    </row>
    <row r="839" spans="1:8">
      <c r="A839" s="332"/>
      <c r="B839" s="336"/>
      <c r="C839" s="336"/>
      <c r="D839" s="336"/>
      <c r="E839" s="391"/>
      <c r="F839" s="288"/>
      <c r="G839" s="12"/>
      <c r="H839" s="12"/>
    </row>
    <row r="840" spans="1:8">
      <c r="A840" s="332"/>
      <c r="B840" s="336"/>
      <c r="C840" s="336"/>
      <c r="D840" s="336"/>
      <c r="E840" s="391"/>
      <c r="F840" s="288"/>
      <c r="G840" s="12"/>
      <c r="H840" s="12"/>
    </row>
    <row r="841" spans="1:8">
      <c r="A841" s="332"/>
      <c r="B841" s="336"/>
      <c r="C841" s="336"/>
      <c r="D841" s="336"/>
      <c r="E841" s="391"/>
      <c r="F841" s="288"/>
      <c r="G841" s="12"/>
      <c r="H841" s="12"/>
    </row>
    <row r="842" spans="1:8">
      <c r="A842" s="332"/>
      <c r="B842" s="336"/>
      <c r="C842" s="336"/>
      <c r="D842" s="336"/>
      <c r="E842" s="391"/>
      <c r="F842" s="288"/>
      <c r="G842" s="12"/>
      <c r="H842" s="12"/>
    </row>
    <row r="843" spans="1:8">
      <c r="A843" s="332"/>
      <c r="B843" s="336"/>
      <c r="C843" s="336"/>
      <c r="D843" s="336"/>
      <c r="E843" s="391"/>
      <c r="F843" s="288"/>
      <c r="G843" s="12"/>
      <c r="H843" s="12"/>
    </row>
    <row r="844" spans="1:8">
      <c r="A844" s="332"/>
      <c r="B844" s="336"/>
      <c r="C844" s="336"/>
      <c r="D844" s="336"/>
      <c r="E844" s="391"/>
      <c r="F844" s="288"/>
      <c r="G844" s="12"/>
      <c r="H844" s="12"/>
    </row>
    <row r="845" spans="1:8">
      <c r="A845" s="332"/>
      <c r="B845" s="336"/>
      <c r="C845" s="336"/>
      <c r="D845" s="336"/>
      <c r="E845" s="391"/>
      <c r="F845" s="288"/>
      <c r="G845" s="12"/>
      <c r="H845" s="12"/>
    </row>
    <row r="846" spans="1:8">
      <c r="A846" s="332"/>
      <c r="B846" s="336"/>
      <c r="C846" s="336"/>
      <c r="D846" s="336"/>
      <c r="E846" s="391"/>
      <c r="F846" s="288"/>
      <c r="G846" s="12"/>
      <c r="H846" s="12"/>
    </row>
    <row r="847" spans="1:8">
      <c r="A847" s="332"/>
      <c r="B847" s="336"/>
      <c r="C847" s="336"/>
      <c r="D847" s="336"/>
      <c r="E847" s="391"/>
      <c r="F847" s="288"/>
      <c r="G847" s="12"/>
      <c r="H847" s="12"/>
    </row>
    <row r="848" spans="1:8">
      <c r="A848" s="332"/>
      <c r="B848" s="336"/>
      <c r="C848" s="336"/>
      <c r="D848" s="336"/>
      <c r="E848" s="391"/>
      <c r="F848" s="288"/>
      <c r="G848" s="12"/>
      <c r="H848" s="12"/>
    </row>
    <row r="849" spans="1:8">
      <c r="A849" s="332"/>
      <c r="B849" s="336"/>
      <c r="C849" s="336"/>
      <c r="D849" s="336"/>
      <c r="E849" s="391"/>
      <c r="F849" s="288"/>
      <c r="G849" s="12"/>
      <c r="H849" s="12"/>
    </row>
    <row r="850" spans="1:8">
      <c r="A850" s="332"/>
      <c r="B850" s="336"/>
      <c r="C850" s="336"/>
      <c r="D850" s="336"/>
      <c r="E850" s="391"/>
      <c r="F850" s="288"/>
      <c r="G850" s="12"/>
      <c r="H850" s="12"/>
    </row>
    <row r="851" spans="1:8">
      <c r="A851" s="332"/>
      <c r="B851" s="336"/>
      <c r="C851" s="336"/>
      <c r="D851" s="336"/>
      <c r="E851" s="391"/>
      <c r="F851" s="288"/>
      <c r="G851" s="12"/>
      <c r="H851" s="12"/>
    </row>
    <row r="852" spans="1:8">
      <c r="A852" s="332"/>
      <c r="B852" s="336"/>
      <c r="C852" s="336"/>
      <c r="D852" s="336"/>
      <c r="E852" s="391"/>
      <c r="F852" s="288"/>
      <c r="G852" s="12"/>
      <c r="H852" s="12"/>
    </row>
    <row r="853" spans="1:8">
      <c r="A853" s="332"/>
      <c r="B853" s="336"/>
      <c r="C853" s="336"/>
      <c r="D853" s="336"/>
      <c r="E853" s="391"/>
      <c r="F853" s="288"/>
      <c r="G853" s="12"/>
      <c r="H853" s="12"/>
    </row>
    <row r="854" spans="1:8">
      <c r="A854" s="332"/>
      <c r="B854" s="336"/>
      <c r="C854" s="336"/>
      <c r="D854" s="336"/>
      <c r="E854" s="391"/>
      <c r="F854" s="288"/>
      <c r="G854" s="12"/>
      <c r="H854" s="12"/>
    </row>
    <row r="855" spans="1:8">
      <c r="A855" s="332"/>
      <c r="B855" s="336"/>
      <c r="C855" s="336"/>
      <c r="D855" s="336"/>
      <c r="E855" s="391"/>
      <c r="F855" s="288"/>
      <c r="G855" s="12"/>
      <c r="H855" s="12"/>
    </row>
    <row r="856" spans="1:8">
      <c r="A856" s="332"/>
      <c r="B856" s="336"/>
      <c r="C856" s="336"/>
      <c r="D856" s="336"/>
      <c r="E856" s="391"/>
      <c r="F856" s="288"/>
      <c r="G856" s="12"/>
      <c r="H856" s="12"/>
    </row>
    <row r="857" spans="1:8">
      <c r="A857" s="332"/>
      <c r="B857" s="336"/>
      <c r="C857" s="336"/>
      <c r="D857" s="336"/>
      <c r="E857" s="391"/>
      <c r="F857" s="288"/>
      <c r="G857" s="12"/>
      <c r="H857" s="12"/>
    </row>
    <row r="858" spans="1:8">
      <c r="A858" s="332"/>
      <c r="B858" s="336"/>
      <c r="C858" s="336"/>
      <c r="D858" s="336"/>
      <c r="E858" s="391"/>
      <c r="F858" s="288"/>
      <c r="G858" s="12"/>
      <c r="H858" s="12"/>
    </row>
    <row r="859" spans="1:8">
      <c r="A859" s="332"/>
      <c r="B859" s="336"/>
      <c r="C859" s="336"/>
      <c r="D859" s="336"/>
      <c r="E859" s="391"/>
      <c r="F859" s="288"/>
      <c r="G859" s="12"/>
      <c r="H859" s="12"/>
    </row>
    <row r="860" spans="1:8">
      <c r="A860" s="332"/>
      <c r="B860" s="336"/>
      <c r="C860" s="336"/>
      <c r="D860" s="336"/>
      <c r="E860" s="391"/>
      <c r="F860" s="288"/>
      <c r="G860" s="12"/>
      <c r="H860" s="12"/>
    </row>
    <row r="861" spans="1:8">
      <c r="A861" s="332"/>
      <c r="B861" s="336"/>
      <c r="C861" s="336"/>
      <c r="D861" s="336"/>
      <c r="E861" s="391"/>
      <c r="F861" s="288"/>
      <c r="G861" s="12"/>
      <c r="H861" s="12"/>
    </row>
    <row r="862" spans="1:8">
      <c r="A862" s="332"/>
      <c r="B862" s="336"/>
      <c r="C862" s="336"/>
      <c r="D862" s="336"/>
      <c r="E862" s="391"/>
      <c r="F862" s="288"/>
      <c r="G862" s="12"/>
      <c r="H862" s="12"/>
    </row>
    <row r="863" spans="1:8">
      <c r="A863" s="332"/>
      <c r="B863" s="336"/>
      <c r="C863" s="336"/>
      <c r="D863" s="336"/>
      <c r="E863" s="391"/>
      <c r="F863" s="288"/>
      <c r="G863" s="12"/>
      <c r="H863" s="12"/>
    </row>
    <row r="864" spans="1:8">
      <c r="A864" s="332"/>
      <c r="B864" s="336"/>
      <c r="C864" s="336"/>
      <c r="D864" s="336"/>
      <c r="E864" s="391"/>
      <c r="F864" s="288"/>
      <c r="G864" s="12"/>
      <c r="H864" s="12"/>
    </row>
    <row r="865" spans="1:8">
      <c r="A865" s="332"/>
      <c r="B865" s="336"/>
      <c r="C865" s="336"/>
      <c r="D865" s="336"/>
      <c r="E865" s="391"/>
      <c r="F865" s="288"/>
      <c r="G865" s="12"/>
      <c r="H865" s="12"/>
    </row>
    <row r="866" spans="1:8">
      <c r="A866" s="332"/>
      <c r="B866" s="336"/>
      <c r="C866" s="336"/>
      <c r="D866" s="336"/>
      <c r="E866" s="391"/>
      <c r="F866" s="288"/>
      <c r="G866" s="12"/>
      <c r="H866" s="12"/>
    </row>
    <row r="867" spans="1:8">
      <c r="A867" s="332"/>
      <c r="B867" s="336"/>
      <c r="C867" s="336"/>
      <c r="D867" s="336"/>
      <c r="E867" s="391"/>
      <c r="F867" s="288"/>
      <c r="G867" s="12"/>
      <c r="H867" s="12"/>
    </row>
    <row r="868" spans="1:8">
      <c r="A868" s="332"/>
      <c r="B868" s="336"/>
      <c r="C868" s="336"/>
      <c r="D868" s="336"/>
      <c r="E868" s="391"/>
      <c r="F868" s="288"/>
      <c r="G868" s="12"/>
      <c r="H868" s="12"/>
    </row>
    <row r="869" spans="1:8">
      <c r="A869" s="332"/>
      <c r="B869" s="336"/>
      <c r="C869" s="336"/>
      <c r="D869" s="336"/>
      <c r="E869" s="391"/>
      <c r="F869" s="288"/>
      <c r="G869" s="12"/>
      <c r="H869" s="12"/>
    </row>
    <row r="870" spans="1:8">
      <c r="A870" s="332"/>
      <c r="B870" s="336"/>
      <c r="C870" s="336"/>
      <c r="D870" s="336"/>
      <c r="E870" s="391"/>
      <c r="F870" s="288"/>
      <c r="G870" s="12"/>
      <c r="H870" s="12"/>
    </row>
    <row r="871" spans="1:8">
      <c r="A871" s="332"/>
      <c r="B871" s="336"/>
      <c r="C871" s="336"/>
      <c r="D871" s="336"/>
      <c r="E871" s="391"/>
      <c r="F871" s="288"/>
      <c r="G871" s="12"/>
      <c r="H871" s="12"/>
    </row>
    <row r="872" spans="1:8">
      <c r="A872" s="332"/>
      <c r="B872" s="336"/>
      <c r="C872" s="336"/>
      <c r="D872" s="336"/>
      <c r="E872" s="391"/>
      <c r="F872" s="288"/>
      <c r="G872" s="12"/>
      <c r="H872" s="12"/>
    </row>
    <row r="873" spans="1:8">
      <c r="A873" s="332"/>
      <c r="B873" s="336"/>
      <c r="C873" s="336"/>
      <c r="D873" s="336"/>
      <c r="E873" s="391"/>
      <c r="F873" s="288"/>
      <c r="G873" s="12"/>
      <c r="H873" s="12"/>
    </row>
    <row r="874" spans="1:8">
      <c r="A874" s="332"/>
      <c r="B874" s="336"/>
      <c r="C874" s="336"/>
      <c r="D874" s="336"/>
      <c r="E874" s="391"/>
      <c r="F874" s="288"/>
      <c r="G874" s="12"/>
      <c r="H874" s="12"/>
    </row>
    <row r="875" spans="1:8">
      <c r="A875" s="332"/>
      <c r="B875" s="336"/>
      <c r="C875" s="336"/>
      <c r="D875" s="336"/>
      <c r="E875" s="391"/>
      <c r="F875" s="288"/>
      <c r="G875" s="12"/>
      <c r="H875" s="12"/>
    </row>
    <row r="876" spans="1:8">
      <c r="A876" s="332"/>
      <c r="B876" s="336"/>
      <c r="C876" s="336"/>
      <c r="D876" s="336"/>
      <c r="E876" s="391"/>
      <c r="F876" s="288"/>
      <c r="G876" s="12"/>
      <c r="H876" s="12"/>
    </row>
    <row r="877" spans="1:8">
      <c r="A877" s="332"/>
      <c r="B877" s="336"/>
      <c r="C877" s="336"/>
      <c r="D877" s="336"/>
      <c r="E877" s="391"/>
      <c r="F877" s="288"/>
      <c r="G877" s="12"/>
      <c r="H877" s="12"/>
    </row>
    <row r="878" spans="1:8">
      <c r="A878" s="332"/>
      <c r="B878" s="336"/>
      <c r="C878" s="336"/>
      <c r="D878" s="336"/>
      <c r="E878" s="391"/>
      <c r="F878" s="288"/>
      <c r="G878" s="12"/>
      <c r="H878" s="12"/>
    </row>
    <row r="879" spans="1:8">
      <c r="A879" s="332"/>
      <c r="B879" s="336"/>
      <c r="C879" s="336"/>
      <c r="D879" s="336"/>
      <c r="E879" s="391"/>
      <c r="F879" s="288"/>
      <c r="G879" s="12"/>
      <c r="H879" s="12"/>
    </row>
    <row r="880" spans="1:8">
      <c r="A880" s="332"/>
      <c r="B880" s="336"/>
      <c r="C880" s="336"/>
      <c r="D880" s="336"/>
      <c r="E880" s="391"/>
      <c r="F880" s="288"/>
      <c r="G880" s="12"/>
      <c r="H880" s="12"/>
    </row>
    <row r="881" spans="1:8">
      <c r="A881" s="332"/>
      <c r="B881" s="336"/>
      <c r="C881" s="336"/>
      <c r="D881" s="336"/>
      <c r="E881" s="391"/>
      <c r="F881" s="288"/>
      <c r="G881" s="12"/>
      <c r="H881" s="12"/>
    </row>
    <row r="882" spans="1:8">
      <c r="A882" s="332"/>
      <c r="B882" s="336"/>
      <c r="C882" s="336"/>
      <c r="D882" s="336"/>
      <c r="E882" s="391"/>
      <c r="F882" s="288"/>
      <c r="G882" s="12"/>
      <c r="H882" s="12"/>
    </row>
    <row r="883" spans="1:8">
      <c r="A883" s="332"/>
      <c r="B883" s="336"/>
      <c r="C883" s="336"/>
      <c r="D883" s="336"/>
      <c r="E883" s="391"/>
      <c r="F883" s="288"/>
      <c r="G883" s="12"/>
      <c r="H883" s="12"/>
    </row>
    <row r="884" spans="1:8">
      <c r="A884" s="332"/>
      <c r="B884" s="336"/>
      <c r="C884" s="336"/>
      <c r="D884" s="336"/>
      <c r="E884" s="391"/>
      <c r="F884" s="288"/>
      <c r="G884" s="12"/>
      <c r="H884" s="12"/>
    </row>
    <row r="885" spans="1:8">
      <c r="A885" s="332"/>
      <c r="B885" s="336"/>
      <c r="C885" s="336"/>
      <c r="D885" s="336"/>
      <c r="E885" s="391"/>
      <c r="F885" s="288"/>
      <c r="G885" s="12"/>
      <c r="H885" s="12"/>
    </row>
    <row r="886" spans="1:8">
      <c r="A886" s="332"/>
      <c r="B886" s="336"/>
      <c r="C886" s="336"/>
      <c r="D886" s="336"/>
      <c r="E886" s="391"/>
      <c r="F886" s="288"/>
      <c r="G886" s="12"/>
      <c r="H886" s="12"/>
    </row>
    <row r="887" spans="1:8">
      <c r="A887" s="332"/>
      <c r="B887" s="336"/>
      <c r="C887" s="336"/>
      <c r="D887" s="336"/>
      <c r="E887" s="391"/>
      <c r="F887" s="288"/>
      <c r="G887" s="12"/>
      <c r="H887" s="12"/>
    </row>
    <row r="888" spans="1:8">
      <c r="A888" s="332"/>
      <c r="B888" s="336"/>
      <c r="C888" s="336"/>
      <c r="D888" s="336"/>
      <c r="E888" s="391"/>
      <c r="F888" s="288"/>
      <c r="G888" s="12"/>
      <c r="H888" s="12"/>
    </row>
    <row r="889" spans="1:8">
      <c r="A889" s="332"/>
      <c r="B889" s="336"/>
      <c r="C889" s="336"/>
      <c r="D889" s="336"/>
      <c r="E889" s="391"/>
      <c r="F889" s="288"/>
      <c r="G889" s="12"/>
      <c r="H889" s="12"/>
    </row>
    <row r="890" spans="1:8">
      <c r="A890" s="332"/>
      <c r="B890" s="336"/>
      <c r="C890" s="336"/>
      <c r="D890" s="336"/>
      <c r="E890" s="391"/>
      <c r="F890" s="288"/>
      <c r="G890" s="12"/>
      <c r="H890" s="12"/>
    </row>
    <row r="891" spans="1:8">
      <c r="A891" s="332"/>
      <c r="B891" s="336"/>
      <c r="C891" s="336"/>
      <c r="D891" s="336"/>
      <c r="E891" s="391"/>
      <c r="F891" s="288"/>
      <c r="G891" s="12"/>
      <c r="H891" s="12"/>
    </row>
    <row r="892" spans="1:8">
      <c r="A892" s="332"/>
      <c r="B892" s="336"/>
      <c r="C892" s="336"/>
      <c r="D892" s="336"/>
      <c r="E892" s="391"/>
      <c r="F892" s="288"/>
      <c r="G892" s="12"/>
      <c r="H892" s="12"/>
    </row>
    <row r="893" spans="1:8">
      <c r="A893" s="332"/>
      <c r="B893" s="336"/>
      <c r="C893" s="336"/>
      <c r="D893" s="336"/>
      <c r="E893" s="391"/>
      <c r="F893" s="288"/>
      <c r="G893" s="12"/>
      <c r="H893" s="12"/>
    </row>
    <row r="894" spans="1:8">
      <c r="A894" s="332"/>
      <c r="B894" s="336"/>
      <c r="C894" s="336"/>
      <c r="D894" s="336"/>
      <c r="E894" s="391"/>
      <c r="F894" s="288"/>
      <c r="G894" s="12"/>
      <c r="H894" s="12"/>
    </row>
    <row r="895" spans="1:8">
      <c r="A895" s="332"/>
      <c r="B895" s="336"/>
      <c r="C895" s="336"/>
      <c r="D895" s="336"/>
      <c r="E895" s="391"/>
      <c r="F895" s="288"/>
      <c r="G895" s="12"/>
      <c r="H895" s="12"/>
    </row>
    <row r="896" spans="1:8">
      <c r="A896" s="332"/>
      <c r="B896" s="336"/>
      <c r="C896" s="336"/>
      <c r="D896" s="336"/>
      <c r="E896" s="391"/>
      <c r="F896" s="288"/>
      <c r="G896" s="12"/>
      <c r="H896" s="12"/>
    </row>
    <row r="897" spans="1:8">
      <c r="A897" s="332"/>
      <c r="B897" s="336"/>
      <c r="C897" s="336"/>
      <c r="D897" s="336"/>
      <c r="E897" s="391"/>
      <c r="F897" s="288"/>
      <c r="G897" s="12"/>
      <c r="H897" s="12"/>
    </row>
    <row r="898" spans="1:8">
      <c r="A898" s="332"/>
      <c r="B898" s="336"/>
      <c r="C898" s="336"/>
      <c r="D898" s="336"/>
      <c r="E898" s="391"/>
      <c r="F898" s="288"/>
      <c r="G898" s="12"/>
      <c r="H898" s="12"/>
    </row>
    <row r="899" spans="1:8">
      <c r="A899" s="332"/>
      <c r="B899" s="336"/>
      <c r="C899" s="336"/>
      <c r="D899" s="336"/>
      <c r="E899" s="391"/>
      <c r="F899" s="288"/>
      <c r="G899" s="12"/>
      <c r="H899" s="12"/>
    </row>
    <row r="900" spans="1:8">
      <c r="A900" s="332"/>
      <c r="B900" s="336"/>
      <c r="C900" s="336"/>
      <c r="D900" s="336"/>
      <c r="E900" s="391"/>
      <c r="F900" s="288"/>
      <c r="G900" s="12"/>
      <c r="H900" s="12"/>
    </row>
    <row r="901" spans="1:8">
      <c r="A901" s="332"/>
      <c r="B901" s="336"/>
      <c r="C901" s="336"/>
      <c r="D901" s="336"/>
      <c r="E901" s="391"/>
      <c r="F901" s="288"/>
      <c r="G901" s="12"/>
      <c r="H901" s="12"/>
    </row>
    <row r="902" spans="1:8">
      <c r="A902" s="332"/>
      <c r="B902" s="336"/>
      <c r="C902" s="336"/>
      <c r="D902" s="336"/>
      <c r="E902" s="391"/>
      <c r="F902" s="288"/>
      <c r="G902" s="12"/>
      <c r="H902" s="12"/>
    </row>
    <row r="903" spans="1:8">
      <c r="A903" s="332"/>
      <c r="B903" s="336"/>
      <c r="C903" s="336"/>
      <c r="D903" s="336"/>
      <c r="E903" s="391"/>
      <c r="F903" s="288"/>
      <c r="G903" s="12"/>
      <c r="H903" s="12"/>
    </row>
    <row r="904" spans="1:8">
      <c r="A904" s="332"/>
      <c r="B904" s="336"/>
      <c r="C904" s="336"/>
      <c r="D904" s="336"/>
      <c r="E904" s="391"/>
      <c r="F904" s="288"/>
      <c r="G904" s="12"/>
      <c r="H904" s="12"/>
    </row>
    <row r="905" spans="1:8">
      <c r="A905" s="332"/>
      <c r="B905" s="336"/>
      <c r="C905" s="336"/>
      <c r="D905" s="336"/>
      <c r="E905" s="391"/>
      <c r="F905" s="288"/>
      <c r="G905" s="12"/>
      <c r="H905" s="12"/>
    </row>
    <row r="906" spans="1:8">
      <c r="A906" s="332"/>
      <c r="B906" s="336"/>
      <c r="C906" s="336"/>
      <c r="D906" s="336"/>
      <c r="E906" s="391"/>
      <c r="F906" s="288"/>
      <c r="G906" s="12"/>
      <c r="H906" s="12"/>
    </row>
    <row r="907" spans="1:8">
      <c r="A907" s="332"/>
      <c r="B907" s="336"/>
      <c r="C907" s="336"/>
      <c r="D907" s="336"/>
      <c r="E907" s="391"/>
      <c r="F907" s="288"/>
      <c r="G907" s="12"/>
      <c r="H907" s="12"/>
    </row>
    <row r="908" spans="1:8">
      <c r="A908" s="332"/>
      <c r="B908" s="336"/>
      <c r="C908" s="336"/>
      <c r="D908" s="336"/>
      <c r="E908" s="391"/>
      <c r="F908" s="288"/>
      <c r="G908" s="12"/>
      <c r="H908" s="12"/>
    </row>
    <row r="909" spans="1:8">
      <c r="A909" s="332"/>
      <c r="B909" s="336"/>
      <c r="C909" s="336"/>
      <c r="D909" s="336"/>
      <c r="E909" s="391"/>
      <c r="F909" s="288"/>
      <c r="G909" s="12"/>
      <c r="H909" s="12"/>
    </row>
    <row r="910" spans="1:8">
      <c r="A910" s="332"/>
      <c r="B910" s="336"/>
      <c r="C910" s="336"/>
      <c r="D910" s="336"/>
      <c r="E910" s="391"/>
      <c r="F910" s="288"/>
      <c r="G910" s="12"/>
      <c r="H910" s="12"/>
    </row>
    <row r="911" spans="1:8">
      <c r="A911" s="332"/>
      <c r="B911" s="336"/>
      <c r="C911" s="336"/>
      <c r="D911" s="336"/>
      <c r="E911" s="391"/>
      <c r="F911" s="288"/>
      <c r="G911" s="12"/>
      <c r="H911" s="12"/>
    </row>
    <row r="912" spans="1:8">
      <c r="A912" s="332"/>
      <c r="B912" s="336"/>
      <c r="C912" s="336"/>
      <c r="D912" s="336"/>
      <c r="E912" s="391"/>
      <c r="F912" s="288"/>
      <c r="G912" s="12"/>
      <c r="H912" s="12"/>
    </row>
    <row r="913" spans="1:8">
      <c r="A913" s="332"/>
      <c r="B913" s="336"/>
      <c r="C913" s="336"/>
      <c r="D913" s="336"/>
      <c r="E913" s="391"/>
      <c r="F913" s="288"/>
      <c r="G913" s="12"/>
      <c r="H913" s="12"/>
    </row>
    <row r="914" spans="1:8">
      <c r="A914" s="332"/>
      <c r="B914" s="336"/>
      <c r="C914" s="336"/>
      <c r="D914" s="336"/>
      <c r="E914" s="391"/>
      <c r="F914" s="288"/>
      <c r="G914" s="12"/>
      <c r="H914" s="12"/>
    </row>
    <row r="915" spans="1:8">
      <c r="A915" s="332"/>
      <c r="B915" s="336"/>
      <c r="C915" s="336"/>
      <c r="D915" s="336"/>
      <c r="E915" s="391"/>
      <c r="F915" s="288"/>
      <c r="G915" s="12"/>
      <c r="H915" s="12"/>
    </row>
    <row r="916" spans="1:8">
      <c r="A916" s="332"/>
      <c r="B916" s="336"/>
      <c r="C916" s="336"/>
      <c r="D916" s="336"/>
      <c r="E916" s="391"/>
      <c r="F916" s="288"/>
      <c r="G916" s="12"/>
      <c r="H916" s="12"/>
    </row>
    <row r="917" spans="1:8">
      <c r="A917" s="332"/>
      <c r="B917" s="336"/>
      <c r="C917" s="336"/>
      <c r="D917" s="336"/>
      <c r="E917" s="391"/>
      <c r="F917" s="288"/>
      <c r="G917" s="12"/>
      <c r="H917" s="12"/>
    </row>
    <row r="918" spans="1:8">
      <c r="A918" s="332"/>
      <c r="B918" s="336"/>
      <c r="C918" s="336"/>
      <c r="D918" s="336"/>
      <c r="E918" s="391"/>
      <c r="F918" s="288"/>
      <c r="G918" s="12"/>
      <c r="H918" s="12"/>
    </row>
    <row r="919" spans="1:8">
      <c r="A919" s="332"/>
      <c r="B919" s="336"/>
      <c r="C919" s="336"/>
      <c r="D919" s="336"/>
      <c r="E919" s="391"/>
      <c r="F919" s="288"/>
      <c r="G919" s="12"/>
      <c r="H919" s="12"/>
    </row>
    <row r="920" spans="1:8">
      <c r="A920" s="332"/>
      <c r="B920" s="336"/>
      <c r="C920" s="336"/>
      <c r="D920" s="336"/>
      <c r="E920" s="391"/>
      <c r="F920" s="288"/>
      <c r="G920" s="12"/>
      <c r="H920" s="12"/>
    </row>
    <row r="921" spans="1:8">
      <c r="A921" s="332"/>
      <c r="B921" s="336"/>
      <c r="C921" s="336"/>
      <c r="D921" s="336"/>
      <c r="E921" s="391"/>
      <c r="F921" s="288"/>
      <c r="G921" s="12"/>
      <c r="H921" s="12"/>
    </row>
    <row r="922" spans="1:8">
      <c r="A922" s="332"/>
      <c r="B922" s="336"/>
      <c r="C922" s="336"/>
      <c r="D922" s="336"/>
      <c r="E922" s="391"/>
      <c r="F922" s="288"/>
      <c r="G922" s="12"/>
      <c r="H922" s="12"/>
    </row>
    <row r="923" spans="1:8">
      <c r="A923" s="332"/>
      <c r="B923" s="336"/>
      <c r="C923" s="336"/>
      <c r="D923" s="336"/>
      <c r="E923" s="391"/>
      <c r="F923" s="288"/>
      <c r="G923" s="12"/>
      <c r="H923" s="12"/>
    </row>
    <row r="924" spans="1:8">
      <c r="A924" s="332"/>
      <c r="B924" s="336"/>
      <c r="C924" s="336"/>
      <c r="D924" s="336"/>
      <c r="E924" s="391"/>
      <c r="F924" s="288"/>
      <c r="G924" s="12"/>
      <c r="H924" s="12"/>
    </row>
    <row r="925" spans="1:8">
      <c r="A925" s="332"/>
      <c r="B925" s="336"/>
      <c r="C925" s="336"/>
      <c r="D925" s="336"/>
      <c r="E925" s="391"/>
      <c r="F925" s="288"/>
      <c r="G925" s="12"/>
      <c r="H925" s="12"/>
    </row>
    <row r="926" spans="1:8">
      <c r="A926" s="332"/>
      <c r="B926" s="336"/>
      <c r="C926" s="336"/>
      <c r="D926" s="336"/>
      <c r="E926" s="391"/>
      <c r="F926" s="288"/>
      <c r="G926" s="12"/>
      <c r="H926" s="12"/>
    </row>
    <row r="927" spans="1:8">
      <c r="A927" s="332"/>
      <c r="B927" s="336"/>
      <c r="C927" s="336"/>
      <c r="D927" s="336"/>
      <c r="E927" s="391"/>
      <c r="F927" s="288"/>
      <c r="G927" s="12"/>
      <c r="H927" s="12"/>
    </row>
    <row r="928" spans="1:8">
      <c r="A928" s="332"/>
      <c r="B928" s="336"/>
      <c r="C928" s="336"/>
      <c r="D928" s="336"/>
      <c r="E928" s="391"/>
      <c r="F928" s="288"/>
      <c r="G928" s="12"/>
      <c r="H928" s="12"/>
    </row>
    <row r="929" spans="1:8">
      <c r="A929" s="332"/>
      <c r="B929" s="336"/>
      <c r="C929" s="336"/>
      <c r="D929" s="336"/>
      <c r="E929" s="391"/>
      <c r="F929" s="288"/>
      <c r="G929" s="12"/>
      <c r="H929" s="12"/>
    </row>
    <row r="930" spans="1:8">
      <c r="A930" s="332"/>
      <c r="B930" s="336"/>
      <c r="C930" s="336"/>
      <c r="D930" s="336"/>
      <c r="E930" s="391"/>
      <c r="F930" s="288"/>
      <c r="G930" s="12"/>
      <c r="H930" s="12"/>
    </row>
    <row r="931" spans="1:8">
      <c r="A931" s="332"/>
      <c r="B931" s="336"/>
      <c r="C931" s="336"/>
      <c r="D931" s="336"/>
      <c r="E931" s="391"/>
      <c r="F931" s="288"/>
      <c r="G931" s="12"/>
      <c r="H931" s="12"/>
    </row>
    <row r="932" spans="1:8">
      <c r="A932" s="332"/>
      <c r="B932" s="336"/>
      <c r="C932" s="336"/>
      <c r="D932" s="336"/>
      <c r="E932" s="391"/>
      <c r="F932" s="288"/>
      <c r="G932" s="12"/>
      <c r="H932" s="12"/>
    </row>
    <row r="933" spans="1:8">
      <c r="A933" s="332"/>
      <c r="B933" s="336"/>
      <c r="C933" s="336"/>
      <c r="D933" s="336"/>
      <c r="E933" s="391"/>
      <c r="F933" s="288"/>
      <c r="G933" s="12"/>
      <c r="H933" s="12"/>
    </row>
    <row r="934" spans="1:8">
      <c r="A934" s="332"/>
      <c r="B934" s="336"/>
      <c r="C934" s="336"/>
      <c r="D934" s="336"/>
      <c r="E934" s="391"/>
      <c r="F934" s="288"/>
      <c r="G934" s="12"/>
      <c r="H934" s="12"/>
    </row>
    <row r="935" spans="1:8">
      <c r="A935" s="332"/>
      <c r="B935" s="336"/>
      <c r="C935" s="336"/>
      <c r="D935" s="336"/>
      <c r="E935" s="391"/>
      <c r="F935" s="288"/>
      <c r="G935" s="12"/>
      <c r="H935" s="12"/>
    </row>
    <row r="936" spans="1:8">
      <c r="A936" s="332"/>
      <c r="B936" s="336"/>
      <c r="C936" s="336"/>
      <c r="D936" s="336"/>
      <c r="E936" s="391"/>
      <c r="F936" s="288"/>
      <c r="G936" s="12"/>
      <c r="H936" s="12"/>
    </row>
    <row r="937" spans="1:8">
      <c r="A937" s="332"/>
      <c r="B937" s="336"/>
      <c r="C937" s="336"/>
      <c r="D937" s="336"/>
      <c r="E937" s="391"/>
      <c r="F937" s="288"/>
      <c r="G937" s="12"/>
      <c r="H937" s="12"/>
    </row>
    <row r="938" spans="1:8">
      <c r="A938" s="332"/>
      <c r="B938" s="336"/>
      <c r="C938" s="336"/>
      <c r="D938" s="336"/>
      <c r="E938" s="391"/>
      <c r="F938" s="288"/>
      <c r="G938" s="12"/>
      <c r="H938" s="12"/>
    </row>
    <row r="939" spans="1:8">
      <c r="A939" s="332"/>
      <c r="B939" s="336"/>
      <c r="C939" s="336"/>
      <c r="D939" s="336"/>
      <c r="E939" s="391"/>
      <c r="F939" s="288"/>
      <c r="G939" s="12"/>
      <c r="H939" s="12"/>
    </row>
    <row r="940" spans="1:8">
      <c r="A940" s="332"/>
      <c r="B940" s="336"/>
      <c r="C940" s="336"/>
      <c r="D940" s="336"/>
      <c r="E940" s="391"/>
      <c r="F940" s="288"/>
      <c r="G940" s="12"/>
      <c r="H940" s="12"/>
    </row>
    <row r="941" spans="1:8">
      <c r="A941" s="332"/>
      <c r="B941" s="336"/>
      <c r="C941" s="336"/>
      <c r="D941" s="336"/>
      <c r="E941" s="391"/>
      <c r="F941" s="288"/>
      <c r="G941" s="12"/>
      <c r="H941" s="12"/>
    </row>
    <row r="942" spans="1:8">
      <c r="A942" s="332"/>
      <c r="B942" s="336"/>
      <c r="C942" s="336"/>
      <c r="D942" s="336"/>
      <c r="E942" s="391"/>
      <c r="F942" s="288"/>
      <c r="G942" s="12"/>
      <c r="H942" s="12"/>
    </row>
    <row r="943" spans="1:8">
      <c r="A943" s="332"/>
      <c r="B943" s="336"/>
      <c r="C943" s="336"/>
      <c r="D943" s="336"/>
      <c r="E943" s="391"/>
      <c r="F943" s="288"/>
      <c r="G943" s="12"/>
      <c r="H943" s="12"/>
    </row>
    <row r="944" spans="1:8">
      <c r="A944" s="332"/>
      <c r="B944" s="336"/>
      <c r="C944" s="336"/>
      <c r="D944" s="336"/>
      <c r="E944" s="391"/>
      <c r="F944" s="288"/>
      <c r="G944" s="12"/>
      <c r="H944" s="12"/>
    </row>
    <row r="945" spans="1:8">
      <c r="A945" s="332"/>
      <c r="B945" s="336"/>
      <c r="C945" s="336"/>
      <c r="D945" s="336"/>
      <c r="E945" s="391"/>
      <c r="F945" s="288"/>
      <c r="G945" s="12"/>
      <c r="H945" s="12"/>
    </row>
    <row r="946" spans="1:8">
      <c r="A946" s="332"/>
      <c r="B946" s="336"/>
      <c r="C946" s="336"/>
      <c r="D946" s="336"/>
      <c r="E946" s="391"/>
      <c r="F946" s="288"/>
      <c r="G946" s="12"/>
      <c r="H946" s="12"/>
    </row>
    <row r="947" spans="1:8">
      <c r="A947" s="332"/>
      <c r="B947" s="336"/>
      <c r="C947" s="336"/>
      <c r="D947" s="336"/>
      <c r="E947" s="391"/>
      <c r="F947" s="288"/>
      <c r="G947" s="12"/>
      <c r="H947" s="12"/>
    </row>
    <row r="948" spans="1:8">
      <c r="A948" s="332"/>
      <c r="B948" s="336"/>
      <c r="C948" s="336"/>
      <c r="D948" s="336"/>
      <c r="E948" s="391"/>
      <c r="F948" s="288"/>
      <c r="G948" s="12"/>
      <c r="H948" s="12"/>
    </row>
    <row r="949" spans="1:8">
      <c r="A949" s="332"/>
      <c r="B949" s="336"/>
      <c r="C949" s="336"/>
      <c r="D949" s="336"/>
      <c r="E949" s="391"/>
      <c r="F949" s="288"/>
      <c r="G949" s="12"/>
      <c r="H949" s="12"/>
    </row>
    <row r="950" spans="1:8">
      <c r="A950" s="332"/>
      <c r="B950" s="336"/>
      <c r="C950" s="336"/>
      <c r="D950" s="336"/>
      <c r="E950" s="391"/>
      <c r="F950" s="288"/>
      <c r="G950" s="12"/>
      <c r="H950" s="12"/>
    </row>
    <row r="951" spans="1:8">
      <c r="A951" s="332"/>
      <c r="B951" s="336"/>
      <c r="C951" s="336"/>
      <c r="D951" s="336"/>
      <c r="E951" s="391"/>
      <c r="F951" s="288"/>
      <c r="G951" s="12"/>
      <c r="H951" s="12"/>
    </row>
    <row r="952" spans="1:8">
      <c r="A952" s="332"/>
      <c r="B952" s="336"/>
      <c r="C952" s="336"/>
      <c r="D952" s="336"/>
      <c r="E952" s="391"/>
      <c r="F952" s="288"/>
      <c r="G952" s="12"/>
      <c r="H952" s="12"/>
    </row>
    <row r="953" spans="1:8">
      <c r="A953" s="332"/>
      <c r="B953" s="336"/>
      <c r="C953" s="336"/>
      <c r="D953" s="336"/>
      <c r="E953" s="391"/>
      <c r="F953" s="288"/>
      <c r="G953" s="12"/>
      <c r="H953" s="12"/>
    </row>
    <row r="954" spans="1:8">
      <c r="A954" s="332"/>
      <c r="B954" s="336"/>
      <c r="C954" s="336"/>
      <c r="D954" s="336"/>
      <c r="E954" s="391"/>
      <c r="F954" s="288"/>
      <c r="G954" s="12"/>
      <c r="H954" s="12"/>
    </row>
    <row r="955" spans="1:8">
      <c r="A955" s="332"/>
      <c r="B955" s="336"/>
      <c r="C955" s="336"/>
      <c r="D955" s="336"/>
      <c r="E955" s="391"/>
      <c r="F955" s="288"/>
      <c r="G955" s="12"/>
      <c r="H955" s="12"/>
    </row>
    <row r="956" spans="1:8">
      <c r="A956" s="332"/>
      <c r="B956" s="336"/>
      <c r="C956" s="336"/>
      <c r="D956" s="336"/>
      <c r="E956" s="391"/>
      <c r="F956" s="288"/>
      <c r="G956" s="12"/>
      <c r="H956" s="12"/>
    </row>
    <row r="957" spans="1:8">
      <c r="A957" s="332"/>
      <c r="B957" s="336"/>
      <c r="C957" s="336"/>
      <c r="D957" s="336"/>
      <c r="E957" s="391"/>
      <c r="F957" s="288"/>
      <c r="G957" s="12"/>
      <c r="H957" s="12"/>
    </row>
    <row r="958" spans="1:8">
      <c r="A958" s="332"/>
      <c r="B958" s="336"/>
      <c r="C958" s="336"/>
      <c r="D958" s="336"/>
      <c r="E958" s="391"/>
      <c r="F958" s="288"/>
      <c r="G958" s="12"/>
      <c r="H958" s="12"/>
    </row>
    <row r="959" spans="1:8">
      <c r="A959" s="332"/>
      <c r="B959" s="336"/>
      <c r="C959" s="336"/>
      <c r="D959" s="336"/>
      <c r="E959" s="391"/>
      <c r="F959" s="288"/>
      <c r="G959" s="12"/>
      <c r="H959" s="12"/>
    </row>
    <row r="960" spans="1:8">
      <c r="A960" s="332"/>
      <c r="B960" s="336"/>
      <c r="C960" s="336"/>
      <c r="D960" s="336"/>
      <c r="E960" s="391"/>
      <c r="F960" s="288"/>
      <c r="G960" s="12"/>
      <c r="H960" s="12"/>
    </row>
    <row r="961" spans="1:8">
      <c r="A961" s="332"/>
      <c r="B961" s="336"/>
      <c r="C961" s="336"/>
      <c r="D961" s="336"/>
      <c r="E961" s="391"/>
      <c r="F961" s="288"/>
      <c r="G961" s="12"/>
      <c r="H961" s="12"/>
    </row>
    <row r="962" spans="1:8">
      <c r="A962" s="332"/>
      <c r="B962" s="336"/>
      <c r="C962" s="336"/>
      <c r="D962" s="336"/>
      <c r="E962" s="391"/>
      <c r="F962" s="288"/>
      <c r="G962" s="12"/>
      <c r="H962" s="12"/>
    </row>
    <row r="963" spans="1:8">
      <c r="A963" s="332"/>
      <c r="B963" s="336"/>
      <c r="C963" s="336"/>
      <c r="D963" s="336"/>
      <c r="E963" s="391"/>
      <c r="F963" s="288"/>
      <c r="G963" s="12"/>
      <c r="H963" s="12"/>
    </row>
    <row r="964" spans="1:8">
      <c r="A964" s="332"/>
      <c r="B964" s="336"/>
      <c r="C964" s="336"/>
      <c r="D964" s="336"/>
      <c r="E964" s="391"/>
      <c r="F964" s="288"/>
      <c r="G964" s="12"/>
      <c r="H964" s="12"/>
    </row>
    <row r="965" spans="1:8">
      <c r="A965" s="332"/>
      <c r="B965" s="336"/>
      <c r="C965" s="336"/>
      <c r="D965" s="336"/>
      <c r="E965" s="391"/>
      <c r="F965" s="288"/>
      <c r="G965" s="12"/>
      <c r="H965" s="12"/>
    </row>
    <row r="966" spans="1:8">
      <c r="A966" s="332"/>
      <c r="B966" s="336"/>
      <c r="C966" s="336"/>
      <c r="D966" s="336"/>
      <c r="E966" s="391"/>
      <c r="F966" s="288"/>
      <c r="G966" s="12"/>
      <c r="H966" s="12"/>
    </row>
    <row r="967" spans="1:8">
      <c r="A967" s="332"/>
      <c r="B967" s="336"/>
      <c r="C967" s="336"/>
      <c r="D967" s="336"/>
      <c r="E967" s="391"/>
      <c r="F967" s="288"/>
      <c r="G967" s="12"/>
      <c r="H967" s="12"/>
    </row>
    <row r="968" spans="1:8">
      <c r="A968" s="332"/>
      <c r="B968" s="336"/>
      <c r="C968" s="336"/>
      <c r="D968" s="336"/>
      <c r="E968" s="391"/>
      <c r="F968" s="288"/>
      <c r="G968" s="12"/>
      <c r="H968" s="12"/>
    </row>
    <row r="969" spans="1:8">
      <c r="A969" s="332"/>
      <c r="B969" s="336"/>
      <c r="C969" s="336"/>
      <c r="D969" s="336"/>
      <c r="E969" s="391"/>
      <c r="F969" s="288"/>
      <c r="G969" s="12"/>
      <c r="H969" s="12"/>
    </row>
    <row r="970" spans="1:8">
      <c r="A970" s="332"/>
      <c r="B970" s="336"/>
      <c r="C970" s="336"/>
      <c r="D970" s="336"/>
      <c r="E970" s="391"/>
      <c r="F970" s="288"/>
      <c r="G970" s="12"/>
      <c r="H970" s="12"/>
    </row>
    <row r="971" spans="1:8">
      <c r="A971" s="332"/>
      <c r="B971" s="336"/>
      <c r="C971" s="336"/>
      <c r="D971" s="336"/>
      <c r="E971" s="391"/>
      <c r="F971" s="288"/>
      <c r="G971" s="12"/>
      <c r="H971" s="12"/>
    </row>
    <row r="972" spans="1:8">
      <c r="A972" s="332"/>
      <c r="B972" s="336"/>
      <c r="C972" s="336"/>
      <c r="D972" s="336"/>
      <c r="E972" s="391"/>
      <c r="F972" s="288"/>
      <c r="G972" s="12"/>
      <c r="H972" s="12"/>
    </row>
    <row r="973" spans="1:8">
      <c r="A973" s="332"/>
      <c r="B973" s="336"/>
      <c r="C973" s="336"/>
      <c r="D973" s="336"/>
      <c r="E973" s="391"/>
      <c r="F973" s="288"/>
      <c r="G973" s="12"/>
      <c r="H973" s="12"/>
    </row>
    <row r="974" spans="1:8">
      <c r="A974" s="332"/>
      <c r="B974" s="336"/>
      <c r="C974" s="336"/>
      <c r="D974" s="336"/>
      <c r="E974" s="391"/>
      <c r="F974" s="288"/>
      <c r="G974" s="12"/>
      <c r="H974" s="12"/>
    </row>
    <row r="975" spans="1:8">
      <c r="A975" s="332"/>
      <c r="B975" s="336"/>
      <c r="C975" s="336"/>
      <c r="D975" s="336"/>
      <c r="E975" s="391"/>
      <c r="F975" s="288"/>
      <c r="G975" s="12"/>
      <c r="H975" s="12"/>
    </row>
    <row r="976" spans="1:8">
      <c r="A976" s="332"/>
      <c r="B976" s="336"/>
      <c r="C976" s="336"/>
      <c r="D976" s="336"/>
      <c r="E976" s="391"/>
      <c r="F976" s="288"/>
      <c r="G976" s="12"/>
      <c r="H976" s="12"/>
    </row>
    <row r="977" spans="1:8">
      <c r="A977" s="332"/>
      <c r="B977" s="336"/>
      <c r="C977" s="336"/>
      <c r="D977" s="336"/>
      <c r="E977" s="391"/>
      <c r="F977" s="288"/>
      <c r="G977" s="12"/>
      <c r="H977" s="12"/>
    </row>
    <row r="978" spans="1:8">
      <c r="A978" s="332"/>
      <c r="B978" s="336"/>
      <c r="C978" s="336"/>
      <c r="D978" s="336"/>
      <c r="E978" s="391"/>
      <c r="F978" s="288"/>
      <c r="G978" s="12"/>
      <c r="H978" s="12"/>
    </row>
    <row r="979" spans="1:8">
      <c r="A979" s="332"/>
      <c r="B979" s="336"/>
      <c r="C979" s="336"/>
      <c r="D979" s="336"/>
      <c r="E979" s="391"/>
      <c r="F979" s="288"/>
      <c r="G979" s="12"/>
      <c r="H979" s="12"/>
    </row>
    <row r="980" spans="1:8">
      <c r="A980" s="332"/>
      <c r="B980" s="336"/>
      <c r="C980" s="336"/>
      <c r="D980" s="336"/>
      <c r="E980" s="391"/>
      <c r="F980" s="288"/>
      <c r="G980" s="12"/>
      <c r="H980" s="12"/>
    </row>
    <row r="981" spans="1:8">
      <c r="A981" s="332"/>
      <c r="B981" s="336"/>
      <c r="C981" s="336"/>
      <c r="D981" s="336"/>
      <c r="E981" s="391"/>
      <c r="F981" s="288"/>
      <c r="G981" s="12"/>
      <c r="H981" s="12"/>
    </row>
    <row r="982" spans="1:8">
      <c r="A982" s="332"/>
      <c r="B982" s="336"/>
      <c r="C982" s="336"/>
      <c r="D982" s="336"/>
      <c r="E982" s="391"/>
      <c r="F982" s="288"/>
      <c r="G982" s="12"/>
      <c r="H982" s="12"/>
    </row>
    <row r="983" spans="1:8">
      <c r="A983" s="332"/>
      <c r="B983" s="336"/>
      <c r="C983" s="336"/>
      <c r="D983" s="336"/>
      <c r="E983" s="391"/>
      <c r="F983" s="288"/>
      <c r="G983" s="12"/>
      <c r="H983" s="12"/>
    </row>
    <row r="984" spans="1:8">
      <c r="A984" s="332"/>
      <c r="B984" s="336"/>
      <c r="C984" s="336"/>
      <c r="D984" s="336"/>
      <c r="E984" s="391"/>
      <c r="F984" s="288"/>
      <c r="G984" s="12"/>
      <c r="H984" s="12"/>
    </row>
    <row r="985" spans="1:8">
      <c r="A985" s="332"/>
      <c r="B985" s="336"/>
      <c r="C985" s="336"/>
      <c r="D985" s="336"/>
      <c r="E985" s="391"/>
      <c r="F985" s="288"/>
      <c r="G985" s="12"/>
      <c r="H985" s="12"/>
    </row>
    <row r="986" spans="1:8">
      <c r="A986" s="332"/>
      <c r="B986" s="336"/>
      <c r="C986" s="336"/>
      <c r="D986" s="336"/>
      <c r="E986" s="391"/>
      <c r="F986" s="288"/>
      <c r="G986" s="12"/>
      <c r="H986" s="12"/>
    </row>
    <row r="987" spans="1:8">
      <c r="A987" s="332"/>
      <c r="B987" s="336"/>
      <c r="C987" s="336"/>
      <c r="D987" s="336"/>
      <c r="E987" s="391"/>
      <c r="F987" s="288"/>
      <c r="G987" s="12"/>
      <c r="H987" s="12"/>
    </row>
    <row r="988" spans="1:8">
      <c r="A988" s="332"/>
      <c r="B988" s="336"/>
      <c r="C988" s="336"/>
      <c r="D988" s="336"/>
      <c r="E988" s="391"/>
      <c r="F988" s="288"/>
      <c r="G988" s="12"/>
      <c r="H988" s="12"/>
    </row>
    <row r="989" spans="1:8">
      <c r="A989" s="332"/>
      <c r="B989" s="336"/>
      <c r="C989" s="336"/>
      <c r="D989" s="336"/>
      <c r="E989" s="391"/>
      <c r="F989" s="288"/>
      <c r="G989" s="12"/>
      <c r="H989" s="12"/>
    </row>
    <row r="990" spans="1:8">
      <c r="A990" s="332"/>
      <c r="B990" s="336"/>
      <c r="C990" s="336"/>
      <c r="D990" s="336"/>
      <c r="E990" s="391"/>
      <c r="F990" s="288"/>
      <c r="G990" s="12"/>
      <c r="H990" s="12"/>
    </row>
    <row r="991" spans="1:8">
      <c r="A991" s="332"/>
      <c r="B991" s="336"/>
      <c r="C991" s="336"/>
      <c r="D991" s="336"/>
      <c r="E991" s="391"/>
      <c r="F991" s="288"/>
      <c r="G991" s="12"/>
      <c r="H991" s="12"/>
    </row>
    <row r="992" spans="1:8">
      <c r="A992" s="332"/>
      <c r="B992" s="336"/>
      <c r="C992" s="336"/>
      <c r="D992" s="336"/>
      <c r="E992" s="391"/>
      <c r="F992" s="288"/>
      <c r="G992" s="12"/>
      <c r="H992" s="12"/>
    </row>
    <row r="993" spans="1:8">
      <c r="A993" s="332"/>
      <c r="B993" s="336"/>
      <c r="C993" s="336"/>
      <c r="D993" s="336"/>
      <c r="E993" s="391"/>
      <c r="F993" s="288"/>
      <c r="G993" s="12"/>
      <c r="H993" s="12"/>
    </row>
    <row r="994" spans="1:8">
      <c r="A994" s="332"/>
      <c r="B994" s="336"/>
      <c r="C994" s="336"/>
      <c r="D994" s="336"/>
      <c r="E994" s="391"/>
      <c r="F994" s="288"/>
      <c r="G994" s="12"/>
      <c r="H994" s="12"/>
    </row>
    <row r="995" spans="1:8">
      <c r="A995" s="332"/>
      <c r="B995" s="336"/>
      <c r="C995" s="336"/>
      <c r="D995" s="336"/>
      <c r="E995" s="391"/>
      <c r="F995" s="288"/>
      <c r="G995" s="12"/>
      <c r="H995" s="12"/>
    </row>
    <row r="996" spans="1:8">
      <c r="A996" s="332"/>
      <c r="B996" s="336"/>
      <c r="C996" s="336"/>
      <c r="D996" s="336"/>
      <c r="E996" s="391"/>
      <c r="F996" s="288"/>
      <c r="G996" s="12"/>
      <c r="H996" s="12"/>
    </row>
    <row r="997" spans="1:8">
      <c r="A997" s="332"/>
      <c r="B997" s="336"/>
      <c r="C997" s="336"/>
      <c r="D997" s="336"/>
      <c r="E997" s="391"/>
      <c r="F997" s="288"/>
      <c r="G997" s="12"/>
      <c r="H997" s="12"/>
    </row>
    <row r="998" spans="1:8">
      <c r="A998" s="332"/>
      <c r="B998" s="336"/>
      <c r="C998" s="336"/>
      <c r="D998" s="336"/>
      <c r="E998" s="391"/>
      <c r="F998" s="288"/>
      <c r="G998" s="12"/>
      <c r="H998" s="12"/>
    </row>
    <row r="999" spans="1:8">
      <c r="A999" s="332"/>
      <c r="B999" s="336"/>
      <c r="C999" s="336"/>
      <c r="D999" s="336"/>
      <c r="E999" s="391"/>
      <c r="F999" s="288"/>
      <c r="G999" s="12"/>
      <c r="H999" s="12"/>
    </row>
    <row r="1000" spans="1:8">
      <c r="A1000" s="332"/>
      <c r="B1000" s="336"/>
      <c r="C1000" s="336"/>
      <c r="D1000" s="336"/>
      <c r="E1000" s="391"/>
      <c r="F1000" s="288"/>
      <c r="G1000" s="12"/>
      <c r="H1000" s="12"/>
    </row>
    <row r="1001" spans="1:8">
      <c r="A1001" s="332"/>
      <c r="B1001" s="336"/>
      <c r="C1001" s="336"/>
      <c r="D1001" s="336"/>
      <c r="E1001" s="391"/>
      <c r="F1001" s="288"/>
      <c r="G1001" s="12"/>
      <c r="H1001" s="12"/>
    </row>
    <row r="1002" spans="1:8">
      <c r="A1002" s="332"/>
      <c r="B1002" s="336"/>
      <c r="C1002" s="336"/>
      <c r="D1002" s="336"/>
      <c r="E1002" s="391"/>
      <c r="F1002" s="288"/>
      <c r="G1002" s="12"/>
      <c r="H1002" s="12"/>
    </row>
    <row r="1003" spans="1:8">
      <c r="A1003" s="332"/>
      <c r="B1003" s="336"/>
      <c r="C1003" s="336"/>
      <c r="D1003" s="336"/>
      <c r="E1003" s="391"/>
      <c r="F1003" s="288"/>
      <c r="G1003" s="12"/>
      <c r="H1003" s="12"/>
    </row>
    <row r="1004" spans="1:8">
      <c r="A1004" s="332"/>
      <c r="B1004" s="336"/>
      <c r="C1004" s="336"/>
      <c r="D1004" s="336"/>
      <c r="E1004" s="391"/>
      <c r="F1004" s="288"/>
      <c r="G1004" s="12"/>
      <c r="H1004" s="12"/>
    </row>
    <row r="1005" spans="1:8">
      <c r="A1005" s="332"/>
      <c r="B1005" s="336"/>
      <c r="C1005" s="336"/>
      <c r="D1005" s="336"/>
      <c r="E1005" s="391"/>
      <c r="F1005" s="288"/>
      <c r="G1005" s="12"/>
      <c r="H1005" s="12"/>
    </row>
    <row r="1006" spans="1:8">
      <c r="A1006" s="332"/>
      <c r="B1006" s="336"/>
      <c r="C1006" s="336"/>
      <c r="D1006" s="336"/>
      <c r="E1006" s="391"/>
      <c r="F1006" s="288"/>
      <c r="G1006" s="12"/>
      <c r="H1006" s="12"/>
    </row>
    <row r="1007" spans="1:8">
      <c r="A1007" s="332"/>
      <c r="B1007" s="336"/>
      <c r="C1007" s="336"/>
      <c r="D1007" s="336"/>
      <c r="E1007" s="391"/>
      <c r="F1007" s="288"/>
      <c r="G1007" s="12"/>
      <c r="H1007" s="12"/>
    </row>
    <row r="1008" spans="1:8">
      <c r="A1008" s="332"/>
      <c r="B1008" s="336"/>
      <c r="C1008" s="336"/>
      <c r="D1008" s="336"/>
      <c r="E1008" s="391"/>
      <c r="F1008" s="288"/>
      <c r="G1008" s="12"/>
      <c r="H1008" s="12"/>
    </row>
    <row r="1009" spans="1:8">
      <c r="A1009" s="332"/>
      <c r="B1009" s="336"/>
      <c r="C1009" s="336"/>
      <c r="D1009" s="336"/>
      <c r="E1009" s="391"/>
      <c r="F1009" s="288"/>
      <c r="G1009" s="12"/>
      <c r="H1009" s="12"/>
    </row>
    <row r="1010" spans="1:8">
      <c r="A1010" s="332"/>
      <c r="B1010" s="336"/>
      <c r="C1010" s="336"/>
      <c r="D1010" s="336"/>
      <c r="E1010" s="391"/>
      <c r="F1010" s="288"/>
      <c r="G1010" s="12"/>
      <c r="H1010" s="12"/>
    </row>
    <row r="1011" spans="1:8">
      <c r="A1011" s="332"/>
      <c r="B1011" s="336"/>
      <c r="C1011" s="336"/>
      <c r="D1011" s="336"/>
      <c r="E1011" s="391"/>
      <c r="F1011" s="288"/>
      <c r="G1011" s="12"/>
      <c r="H1011" s="12"/>
    </row>
    <row r="1012" spans="1:8">
      <c r="A1012" s="332"/>
      <c r="B1012" s="336"/>
      <c r="C1012" s="336"/>
      <c r="D1012" s="336"/>
      <c r="E1012" s="391"/>
      <c r="F1012" s="288"/>
      <c r="G1012" s="12"/>
      <c r="H1012" s="12"/>
    </row>
    <row r="1013" spans="1:8">
      <c r="A1013" s="332"/>
      <c r="B1013" s="336"/>
      <c r="C1013" s="336"/>
      <c r="D1013" s="336"/>
      <c r="E1013" s="391"/>
      <c r="F1013" s="288"/>
      <c r="G1013" s="12"/>
      <c r="H1013" s="12"/>
    </row>
    <row r="1014" spans="1:8">
      <c r="A1014" s="332"/>
      <c r="B1014" s="336"/>
      <c r="C1014" s="336"/>
      <c r="D1014" s="336"/>
      <c r="E1014" s="391"/>
      <c r="F1014" s="288"/>
      <c r="G1014" s="12"/>
      <c r="H1014" s="12"/>
    </row>
    <row r="1015" spans="1:8">
      <c r="A1015" s="332"/>
      <c r="B1015" s="336"/>
      <c r="C1015" s="336"/>
      <c r="D1015" s="336"/>
      <c r="E1015" s="391"/>
      <c r="F1015" s="288"/>
      <c r="G1015" s="12"/>
      <c r="H1015" s="12"/>
    </row>
    <row r="1016" spans="1:8">
      <c r="A1016" s="332"/>
      <c r="B1016" s="336"/>
      <c r="C1016" s="336"/>
      <c r="D1016" s="336"/>
      <c r="E1016" s="391"/>
      <c r="F1016" s="288"/>
      <c r="G1016" s="12"/>
      <c r="H1016" s="12"/>
    </row>
    <row r="1017" spans="1:8">
      <c r="A1017" s="332"/>
      <c r="B1017" s="336"/>
      <c r="C1017" s="336"/>
      <c r="D1017" s="336"/>
      <c r="E1017" s="391"/>
      <c r="F1017" s="288"/>
      <c r="G1017" s="12"/>
      <c r="H1017" s="12"/>
    </row>
    <row r="1018" spans="1:8">
      <c r="A1018" s="332"/>
      <c r="B1018" s="336"/>
      <c r="C1018" s="336"/>
      <c r="D1018" s="336"/>
      <c r="E1018" s="391"/>
      <c r="F1018" s="288"/>
      <c r="G1018" s="12"/>
      <c r="H1018" s="12"/>
    </row>
    <row r="1019" spans="1:8">
      <c r="A1019" s="332"/>
      <c r="B1019" s="336"/>
      <c r="C1019" s="336"/>
      <c r="D1019" s="336"/>
      <c r="E1019" s="391"/>
      <c r="F1019" s="288"/>
      <c r="G1019" s="12"/>
      <c r="H1019" s="12"/>
    </row>
    <row r="1020" spans="1:8">
      <c r="A1020" s="332"/>
      <c r="B1020" s="336"/>
      <c r="C1020" s="336"/>
      <c r="D1020" s="336"/>
      <c r="E1020" s="391"/>
      <c r="F1020" s="288"/>
      <c r="G1020" s="12"/>
      <c r="H1020" s="12"/>
    </row>
    <row r="1021" spans="1:8">
      <c r="A1021" s="332"/>
      <c r="B1021" s="336"/>
      <c r="C1021" s="336"/>
      <c r="D1021" s="336"/>
      <c r="E1021" s="391"/>
      <c r="F1021" s="288"/>
      <c r="G1021" s="12"/>
      <c r="H1021" s="12"/>
    </row>
    <row r="1022" spans="1:8">
      <c r="A1022" s="332"/>
      <c r="B1022" s="336"/>
      <c r="C1022" s="336"/>
      <c r="D1022" s="336"/>
      <c r="E1022" s="391"/>
      <c r="F1022" s="288"/>
      <c r="G1022" s="12"/>
      <c r="H1022" s="12"/>
    </row>
    <row r="1023" spans="1:8">
      <c r="A1023" s="332"/>
      <c r="B1023" s="336"/>
      <c r="C1023" s="336"/>
      <c r="D1023" s="336"/>
      <c r="E1023" s="391"/>
      <c r="F1023" s="288"/>
      <c r="G1023" s="12"/>
      <c r="H1023" s="12"/>
    </row>
    <row r="1024" spans="1:8">
      <c r="A1024" s="332"/>
      <c r="B1024" s="336"/>
      <c r="C1024" s="336"/>
      <c r="D1024" s="336"/>
      <c r="E1024" s="391"/>
      <c r="F1024" s="288"/>
      <c r="G1024" s="12"/>
      <c r="H1024" s="12"/>
    </row>
    <row r="1025" spans="1:8">
      <c r="A1025" s="332"/>
      <c r="B1025" s="336"/>
      <c r="C1025" s="336"/>
      <c r="D1025" s="336"/>
      <c r="E1025" s="391"/>
      <c r="F1025" s="288"/>
      <c r="G1025" s="12"/>
      <c r="H1025" s="12"/>
    </row>
    <row r="1026" spans="1:8">
      <c r="A1026" s="332"/>
      <c r="B1026" s="336"/>
      <c r="C1026" s="336"/>
      <c r="D1026" s="336"/>
      <c r="E1026" s="391"/>
      <c r="F1026" s="288"/>
      <c r="G1026" s="12"/>
      <c r="H1026" s="12"/>
    </row>
    <row r="1027" spans="1:8">
      <c r="A1027" s="332"/>
      <c r="B1027" s="336"/>
      <c r="C1027" s="336"/>
      <c r="D1027" s="336"/>
      <c r="E1027" s="391"/>
      <c r="F1027" s="288"/>
      <c r="G1027" s="12"/>
      <c r="H1027" s="12"/>
    </row>
    <row r="1028" spans="1:8">
      <c r="A1028" s="332"/>
      <c r="B1028" s="336"/>
      <c r="C1028" s="336"/>
      <c r="D1028" s="336"/>
      <c r="E1028" s="391"/>
      <c r="F1028" s="288"/>
      <c r="G1028" s="12"/>
      <c r="H1028" s="12"/>
    </row>
    <row r="1029" spans="1:8">
      <c r="A1029" s="332"/>
      <c r="B1029" s="336"/>
      <c r="C1029" s="336"/>
      <c r="D1029" s="336"/>
      <c r="E1029" s="391"/>
      <c r="F1029" s="288"/>
      <c r="G1029" s="12"/>
      <c r="H1029" s="12"/>
    </row>
    <row r="1030" spans="1:8">
      <c r="A1030" s="332"/>
      <c r="B1030" s="336"/>
      <c r="C1030" s="336"/>
      <c r="D1030" s="336"/>
      <c r="E1030" s="391"/>
      <c r="F1030" s="288"/>
      <c r="G1030" s="12"/>
      <c r="H1030" s="12"/>
    </row>
    <row r="1031" spans="1:8">
      <c r="A1031" s="332"/>
      <c r="B1031" s="336"/>
      <c r="C1031" s="336"/>
      <c r="D1031" s="336"/>
      <c r="E1031" s="391"/>
      <c r="F1031" s="288"/>
      <c r="G1031" s="12"/>
      <c r="H1031" s="12"/>
    </row>
    <row r="1032" spans="1:8">
      <c r="A1032" s="332"/>
      <c r="B1032" s="336"/>
      <c r="C1032" s="336"/>
      <c r="D1032" s="336"/>
      <c r="E1032" s="391"/>
      <c r="F1032" s="288"/>
      <c r="G1032" s="12"/>
      <c r="H1032" s="12"/>
    </row>
    <row r="1033" spans="1:8">
      <c r="A1033" s="332"/>
      <c r="B1033" s="336"/>
      <c r="C1033" s="336"/>
      <c r="D1033" s="336"/>
      <c r="E1033" s="391"/>
      <c r="F1033" s="288"/>
      <c r="G1033" s="12"/>
      <c r="H1033" s="12"/>
    </row>
    <row r="1034" spans="1:8">
      <c r="A1034" s="332"/>
      <c r="B1034" s="336"/>
      <c r="C1034" s="336"/>
      <c r="D1034" s="336"/>
      <c r="E1034" s="391"/>
      <c r="F1034" s="288"/>
      <c r="G1034" s="12"/>
      <c r="H1034" s="12"/>
    </row>
    <row r="1035" spans="1:8">
      <c r="A1035" s="332"/>
      <c r="B1035" s="336"/>
      <c r="C1035" s="336"/>
      <c r="D1035" s="336"/>
      <c r="E1035" s="391"/>
      <c r="F1035" s="288"/>
      <c r="G1035" s="12"/>
      <c r="H1035" s="12"/>
    </row>
    <row r="1036" spans="1:8">
      <c r="A1036" s="332"/>
      <c r="B1036" s="336"/>
      <c r="C1036" s="336"/>
      <c r="D1036" s="336"/>
      <c r="E1036" s="391"/>
      <c r="F1036" s="288"/>
      <c r="G1036" s="12"/>
      <c r="H1036" s="12"/>
    </row>
    <row r="1037" spans="1:8">
      <c r="A1037" s="332"/>
      <c r="B1037" s="336"/>
      <c r="C1037" s="336"/>
      <c r="D1037" s="336"/>
      <c r="E1037" s="391"/>
      <c r="F1037" s="288"/>
      <c r="G1037" s="12"/>
      <c r="H1037" s="12"/>
    </row>
    <row r="1038" spans="1:8">
      <c r="A1038" s="332"/>
      <c r="B1038" s="336"/>
      <c r="C1038" s="336"/>
      <c r="D1038" s="336"/>
      <c r="E1038" s="391"/>
      <c r="F1038" s="288"/>
      <c r="G1038" s="12"/>
      <c r="H1038" s="12"/>
    </row>
    <row r="1039" spans="1:8">
      <c r="A1039" s="332"/>
      <c r="B1039" s="336"/>
      <c r="C1039" s="336"/>
      <c r="D1039" s="336"/>
      <c r="E1039" s="391"/>
      <c r="F1039" s="288"/>
      <c r="G1039" s="12"/>
      <c r="H1039" s="12"/>
    </row>
    <row r="1040" spans="1:8">
      <c r="A1040" s="332"/>
      <c r="B1040" s="336"/>
      <c r="C1040" s="336"/>
      <c r="D1040" s="336"/>
      <c r="E1040" s="391"/>
      <c r="F1040" s="288"/>
      <c r="G1040" s="12"/>
      <c r="H1040" s="12"/>
    </row>
    <row r="1041" spans="1:8">
      <c r="A1041" s="332"/>
      <c r="B1041" s="336"/>
      <c r="C1041" s="336"/>
      <c r="D1041" s="336"/>
      <c r="E1041" s="391"/>
      <c r="F1041" s="288"/>
      <c r="G1041" s="12"/>
      <c r="H1041" s="12"/>
    </row>
    <row r="1042" spans="1:8">
      <c r="A1042" s="332"/>
      <c r="B1042" s="336"/>
      <c r="C1042" s="336"/>
      <c r="D1042" s="336"/>
      <c r="E1042" s="391"/>
      <c r="F1042" s="288"/>
      <c r="G1042" s="12"/>
      <c r="H1042" s="12"/>
    </row>
    <row r="1043" spans="1:8">
      <c r="A1043" s="332"/>
      <c r="B1043" s="336"/>
      <c r="C1043" s="336"/>
      <c r="D1043" s="336"/>
      <c r="E1043" s="391"/>
      <c r="F1043" s="288"/>
      <c r="G1043" s="12"/>
      <c r="H1043" s="12"/>
    </row>
    <row r="1044" spans="1:8">
      <c r="A1044" s="332"/>
      <c r="B1044" s="336"/>
      <c r="C1044" s="336"/>
      <c r="D1044" s="336"/>
      <c r="E1044" s="391"/>
      <c r="F1044" s="288"/>
      <c r="G1044" s="12"/>
      <c r="H1044" s="12"/>
    </row>
    <row r="1045" spans="1:8">
      <c r="A1045" s="332"/>
      <c r="B1045" s="336"/>
      <c r="C1045" s="336"/>
      <c r="D1045" s="336"/>
      <c r="E1045" s="391"/>
      <c r="F1045" s="288"/>
      <c r="G1045" s="12"/>
      <c r="H1045" s="12"/>
    </row>
    <row r="1046" spans="1:8">
      <c r="A1046" s="332"/>
      <c r="B1046" s="336"/>
      <c r="C1046" s="336"/>
      <c r="D1046" s="336"/>
      <c r="E1046" s="391"/>
      <c r="F1046" s="288"/>
      <c r="G1046" s="12"/>
      <c r="H1046" s="12"/>
    </row>
    <row r="1047" spans="1:8">
      <c r="A1047" s="332"/>
      <c r="B1047" s="336"/>
      <c r="C1047" s="336"/>
      <c r="D1047" s="336"/>
      <c r="E1047" s="391"/>
      <c r="F1047" s="288"/>
      <c r="G1047" s="12"/>
      <c r="H1047" s="12"/>
    </row>
    <row r="1048" spans="1:8">
      <c r="A1048" s="332"/>
      <c r="B1048" s="336"/>
      <c r="C1048" s="336"/>
      <c r="D1048" s="336"/>
      <c r="E1048" s="391"/>
      <c r="F1048" s="288"/>
      <c r="G1048" s="12"/>
      <c r="H1048" s="12"/>
    </row>
    <row r="1049" spans="1:8">
      <c r="A1049" s="332"/>
      <c r="B1049" s="336"/>
      <c r="C1049" s="336"/>
      <c r="D1049" s="336"/>
      <c r="E1049" s="391"/>
      <c r="F1049" s="288"/>
      <c r="G1049" s="12"/>
      <c r="H1049" s="12"/>
    </row>
    <row r="1050" spans="1:8">
      <c r="A1050" s="332"/>
      <c r="B1050" s="336"/>
      <c r="C1050" s="336"/>
      <c r="D1050" s="336"/>
      <c r="E1050" s="391"/>
      <c r="F1050" s="288"/>
      <c r="G1050" s="12"/>
      <c r="H1050" s="12"/>
    </row>
    <row r="1051" spans="1:8">
      <c r="A1051" s="332"/>
      <c r="B1051" s="336"/>
      <c r="C1051" s="336"/>
      <c r="D1051" s="336"/>
      <c r="E1051" s="391"/>
      <c r="F1051" s="288"/>
      <c r="G1051" s="12"/>
      <c r="H1051" s="12"/>
    </row>
    <row r="1052" spans="1:8">
      <c r="A1052" s="332"/>
      <c r="B1052" s="336"/>
      <c r="C1052" s="336"/>
      <c r="D1052" s="336"/>
      <c r="E1052" s="391"/>
      <c r="F1052" s="288"/>
      <c r="G1052" s="12"/>
      <c r="H1052" s="12"/>
    </row>
    <row r="1053" spans="1:8">
      <c r="A1053" s="332"/>
      <c r="B1053" s="336"/>
      <c r="C1053" s="336"/>
      <c r="D1053" s="336"/>
      <c r="E1053" s="391"/>
      <c r="F1053" s="288"/>
      <c r="G1053" s="12"/>
      <c r="H1053" s="12"/>
    </row>
    <row r="1054" spans="1:8">
      <c r="A1054" s="332"/>
      <c r="B1054" s="336"/>
      <c r="C1054" s="336"/>
      <c r="D1054" s="336"/>
      <c r="E1054" s="391"/>
      <c r="F1054" s="288"/>
      <c r="G1054" s="12"/>
      <c r="H1054" s="12"/>
    </row>
    <row r="1055" spans="1:8">
      <c r="A1055" s="332"/>
      <c r="B1055" s="336"/>
      <c r="C1055" s="336"/>
      <c r="D1055" s="336"/>
      <c r="E1055" s="391"/>
      <c r="F1055" s="288"/>
      <c r="G1055" s="12"/>
      <c r="H1055" s="12"/>
    </row>
    <row r="1056" spans="1:8">
      <c r="A1056" s="332"/>
      <c r="B1056" s="336"/>
      <c r="C1056" s="336"/>
      <c r="D1056" s="336"/>
      <c r="E1056" s="391"/>
      <c r="F1056" s="288"/>
      <c r="G1056" s="12"/>
      <c r="H1056" s="12"/>
    </row>
    <row r="1057" spans="1:8">
      <c r="A1057" s="332"/>
      <c r="B1057" s="336"/>
      <c r="C1057" s="336"/>
      <c r="D1057" s="336"/>
      <c r="E1057" s="391"/>
      <c r="F1057" s="288"/>
      <c r="G1057" s="12"/>
      <c r="H1057" s="12"/>
    </row>
    <row r="1058" spans="1:8">
      <c r="A1058" s="332"/>
      <c r="B1058" s="336"/>
      <c r="C1058" s="336"/>
      <c r="D1058" s="336"/>
      <c r="E1058" s="391"/>
      <c r="F1058" s="288"/>
      <c r="G1058" s="12"/>
      <c r="H1058" s="12"/>
    </row>
    <row r="1059" spans="1:8">
      <c r="A1059" s="332"/>
      <c r="B1059" s="336"/>
      <c r="C1059" s="336"/>
      <c r="D1059" s="336"/>
      <c r="E1059" s="391"/>
      <c r="F1059" s="288"/>
      <c r="G1059" s="12"/>
      <c r="H1059" s="12"/>
    </row>
    <row r="1060" spans="1:8">
      <c r="A1060" s="332"/>
      <c r="B1060" s="336"/>
      <c r="C1060" s="336"/>
      <c r="D1060" s="336"/>
      <c r="E1060" s="391"/>
      <c r="F1060" s="288"/>
      <c r="G1060" s="12"/>
      <c r="H1060" s="12"/>
    </row>
    <row r="1061" spans="1:8">
      <c r="A1061" s="332"/>
      <c r="B1061" s="336"/>
      <c r="C1061" s="336"/>
      <c r="D1061" s="336"/>
      <c r="E1061" s="391"/>
      <c r="F1061" s="288"/>
      <c r="G1061" s="12"/>
      <c r="H1061" s="12"/>
    </row>
    <row r="1062" spans="1:8">
      <c r="A1062" s="332"/>
      <c r="B1062" s="336"/>
      <c r="C1062" s="336"/>
      <c r="D1062" s="336"/>
      <c r="E1062" s="391"/>
      <c r="F1062" s="288"/>
      <c r="G1062" s="12"/>
      <c r="H1062" s="12"/>
    </row>
    <row r="1063" spans="1:8">
      <c r="A1063" s="332"/>
      <c r="B1063" s="336"/>
      <c r="C1063" s="336"/>
      <c r="D1063" s="336"/>
      <c r="E1063" s="391"/>
      <c r="F1063" s="288"/>
      <c r="G1063" s="12"/>
      <c r="H1063" s="12"/>
    </row>
    <row r="1064" spans="1:8">
      <c r="A1064" s="332"/>
      <c r="B1064" s="336"/>
      <c r="C1064" s="336"/>
      <c r="D1064" s="336"/>
      <c r="E1064" s="391"/>
      <c r="F1064" s="288"/>
      <c r="G1064" s="12"/>
      <c r="H1064" s="12"/>
    </row>
    <row r="1065" spans="1:8">
      <c r="A1065" s="332"/>
      <c r="B1065" s="336"/>
      <c r="C1065" s="336"/>
      <c r="D1065" s="336"/>
      <c r="E1065" s="391"/>
      <c r="F1065" s="288"/>
      <c r="G1065" s="12"/>
      <c r="H1065" s="12"/>
    </row>
    <row r="1066" spans="1:8">
      <c r="A1066" s="332"/>
      <c r="B1066" s="336"/>
      <c r="C1066" s="336"/>
      <c r="D1066" s="336"/>
      <c r="E1066" s="391"/>
      <c r="F1066" s="288"/>
      <c r="G1066" s="12"/>
      <c r="H1066" s="12"/>
    </row>
    <row r="1067" spans="1:8">
      <c r="A1067" s="332"/>
      <c r="B1067" s="336"/>
      <c r="C1067" s="336"/>
      <c r="D1067" s="336"/>
      <c r="E1067" s="391"/>
      <c r="F1067" s="288"/>
      <c r="G1067" s="12"/>
      <c r="H1067" s="12"/>
    </row>
    <row r="1068" spans="1:8">
      <c r="A1068" s="332"/>
      <c r="B1068" s="336"/>
      <c r="C1068" s="336"/>
      <c r="D1068" s="336"/>
      <c r="E1068" s="391"/>
      <c r="F1068" s="288"/>
      <c r="G1068" s="12"/>
      <c r="H1068" s="12"/>
    </row>
    <row r="1069" spans="1:8">
      <c r="A1069" s="332"/>
      <c r="B1069" s="336"/>
      <c r="C1069" s="336"/>
      <c r="D1069" s="336"/>
      <c r="E1069" s="391"/>
      <c r="F1069" s="288"/>
      <c r="G1069" s="12"/>
      <c r="H1069" s="12"/>
    </row>
    <row r="1070" spans="1:8">
      <c r="A1070" s="332"/>
      <c r="B1070" s="336"/>
      <c r="C1070" s="336"/>
      <c r="D1070" s="336"/>
      <c r="E1070" s="391"/>
      <c r="F1070" s="288"/>
      <c r="G1070" s="12"/>
      <c r="H1070" s="12"/>
    </row>
    <row r="1071" spans="1:8">
      <c r="A1071" s="332"/>
      <c r="B1071" s="336"/>
      <c r="C1071" s="336"/>
      <c r="D1071" s="336"/>
      <c r="E1071" s="391"/>
      <c r="F1071" s="288"/>
      <c r="G1071" s="12"/>
      <c r="H1071" s="12"/>
    </row>
    <row r="1072" spans="1:8">
      <c r="A1072" s="332"/>
      <c r="B1072" s="336"/>
      <c r="C1072" s="336"/>
      <c r="D1072" s="336"/>
      <c r="E1072" s="391"/>
      <c r="F1072" s="288"/>
      <c r="G1072" s="12"/>
      <c r="H1072" s="12"/>
    </row>
    <row r="1073" spans="1:8">
      <c r="A1073" s="332"/>
      <c r="B1073" s="336"/>
      <c r="C1073" s="336"/>
      <c r="D1073" s="336"/>
      <c r="E1073" s="391"/>
      <c r="F1073" s="288"/>
      <c r="G1073" s="12"/>
      <c r="H1073" s="12"/>
    </row>
    <row r="1074" spans="1:8">
      <c r="A1074" s="332"/>
      <c r="B1074" s="336"/>
      <c r="C1074" s="336"/>
      <c r="D1074" s="336"/>
      <c r="E1074" s="391"/>
      <c r="F1074" s="288"/>
      <c r="G1074" s="12"/>
      <c r="H1074" s="12"/>
    </row>
    <row r="1075" spans="1:8">
      <c r="A1075" s="332"/>
      <c r="B1075" s="336"/>
      <c r="C1075" s="336"/>
      <c r="D1075" s="336"/>
      <c r="E1075" s="391"/>
      <c r="F1075" s="288"/>
      <c r="G1075" s="12"/>
      <c r="H1075" s="12"/>
    </row>
    <row r="1076" spans="1:8">
      <c r="A1076" s="332"/>
      <c r="B1076" s="336"/>
      <c r="C1076" s="336"/>
      <c r="D1076" s="336"/>
      <c r="E1076" s="391"/>
      <c r="F1076" s="288"/>
      <c r="G1076" s="12"/>
      <c r="H1076" s="12"/>
    </row>
    <row r="1077" spans="1:8">
      <c r="A1077" s="332"/>
      <c r="B1077" s="336"/>
      <c r="C1077" s="336"/>
      <c r="D1077" s="336"/>
      <c r="E1077" s="391"/>
      <c r="F1077" s="288"/>
      <c r="G1077" s="12"/>
      <c r="H1077" s="12"/>
    </row>
    <row r="1078" spans="1:8">
      <c r="A1078" s="332"/>
      <c r="B1078" s="336"/>
      <c r="C1078" s="336"/>
      <c r="D1078" s="336"/>
      <c r="E1078" s="391"/>
      <c r="F1078" s="288"/>
      <c r="G1078" s="12"/>
      <c r="H1078" s="12"/>
    </row>
    <row r="1079" spans="1:8">
      <c r="A1079" s="332"/>
      <c r="B1079" s="336"/>
      <c r="C1079" s="336"/>
      <c r="D1079" s="336"/>
      <c r="E1079" s="391"/>
      <c r="F1079" s="288"/>
      <c r="G1079" s="12"/>
      <c r="H1079" s="12"/>
    </row>
    <row r="1080" spans="1:8">
      <c r="A1080" s="332"/>
      <c r="B1080" s="336"/>
      <c r="C1080" s="336"/>
      <c r="D1080" s="336"/>
      <c r="E1080" s="391"/>
      <c r="F1080" s="288"/>
      <c r="G1080" s="12"/>
      <c r="H1080" s="12"/>
    </row>
    <row r="1081" spans="1:8">
      <c r="A1081" s="332"/>
      <c r="B1081" s="336"/>
      <c r="C1081" s="336"/>
      <c r="D1081" s="336"/>
      <c r="E1081" s="391"/>
      <c r="F1081" s="288"/>
      <c r="G1081" s="12"/>
      <c r="H1081" s="12"/>
    </row>
    <row r="1082" spans="1:8">
      <c r="A1082" s="332"/>
      <c r="B1082" s="336"/>
      <c r="C1082" s="336"/>
      <c r="D1082" s="336"/>
      <c r="E1082" s="391"/>
      <c r="F1082" s="288"/>
      <c r="G1082" s="12"/>
      <c r="H1082" s="12"/>
    </row>
    <row r="1083" spans="1:8">
      <c r="A1083" s="332"/>
      <c r="B1083" s="336"/>
      <c r="C1083" s="336"/>
      <c r="D1083" s="336"/>
      <c r="E1083" s="391"/>
      <c r="F1083" s="288"/>
      <c r="G1083" s="12"/>
      <c r="H1083" s="12"/>
    </row>
    <row r="1084" spans="1:8">
      <c r="A1084" s="332"/>
      <c r="B1084" s="336"/>
      <c r="C1084" s="336"/>
      <c r="D1084" s="336"/>
      <c r="E1084" s="391"/>
      <c r="F1084" s="288"/>
      <c r="G1084" s="12"/>
      <c r="H1084" s="12"/>
    </row>
    <row r="1085" spans="1:8">
      <c r="A1085" s="332"/>
      <c r="B1085" s="336"/>
      <c r="C1085" s="336"/>
      <c r="D1085" s="336"/>
      <c r="E1085" s="391"/>
      <c r="F1085" s="288"/>
      <c r="G1085" s="12"/>
      <c r="H1085" s="12"/>
    </row>
    <row r="1086" spans="1:8">
      <c r="A1086" s="332"/>
      <c r="B1086" s="336"/>
      <c r="C1086" s="336"/>
      <c r="D1086" s="336"/>
      <c r="E1086" s="391"/>
      <c r="F1086" s="288"/>
      <c r="G1086" s="12"/>
      <c r="H1086" s="12"/>
    </row>
    <row r="1087" spans="1:8">
      <c r="A1087" s="332"/>
      <c r="B1087" s="336"/>
      <c r="C1087" s="336"/>
      <c r="D1087" s="336"/>
      <c r="E1087" s="391"/>
      <c r="F1087" s="288"/>
      <c r="G1087" s="12"/>
      <c r="H1087" s="12"/>
    </row>
    <row r="1088" spans="1:8">
      <c r="A1088" s="332"/>
      <c r="B1088" s="336"/>
      <c r="C1088" s="336"/>
      <c r="D1088" s="336"/>
      <c r="E1088" s="391"/>
      <c r="F1088" s="288"/>
      <c r="G1088" s="12"/>
      <c r="H1088" s="12"/>
    </row>
    <row r="1089" spans="1:8">
      <c r="A1089" s="332"/>
      <c r="B1089" s="336"/>
      <c r="C1089" s="336"/>
      <c r="D1089" s="336"/>
      <c r="E1089" s="391"/>
      <c r="F1089" s="288"/>
      <c r="G1089" s="12"/>
      <c r="H1089" s="12"/>
    </row>
    <row r="1090" spans="1:8">
      <c r="A1090" s="332"/>
      <c r="B1090" s="336"/>
      <c r="C1090" s="336"/>
      <c r="D1090" s="336"/>
      <c r="E1090" s="391"/>
      <c r="F1090" s="288"/>
      <c r="G1090" s="12"/>
      <c r="H1090" s="12"/>
    </row>
    <row r="1091" spans="1:8">
      <c r="A1091" s="332"/>
      <c r="B1091" s="336"/>
      <c r="C1091" s="336"/>
      <c r="D1091" s="336"/>
      <c r="E1091" s="391"/>
      <c r="F1091" s="288"/>
      <c r="G1091" s="12"/>
      <c r="H1091" s="12"/>
    </row>
    <row r="1092" spans="1:8">
      <c r="A1092" s="332"/>
      <c r="B1092" s="336"/>
      <c r="C1092" s="336"/>
      <c r="D1092" s="336"/>
      <c r="E1092" s="391"/>
      <c r="F1092" s="288"/>
      <c r="G1092" s="12"/>
      <c r="H1092" s="12"/>
    </row>
    <row r="1093" spans="1:8">
      <c r="A1093" s="332"/>
      <c r="B1093" s="336"/>
      <c r="C1093" s="336"/>
      <c r="D1093" s="336"/>
      <c r="E1093" s="391"/>
      <c r="F1093" s="288"/>
      <c r="G1093" s="12"/>
      <c r="H1093" s="12"/>
    </row>
    <row r="1094" spans="1:8">
      <c r="A1094" s="332"/>
      <c r="B1094" s="336"/>
      <c r="C1094" s="336"/>
      <c r="D1094" s="336"/>
      <c r="E1094" s="391"/>
      <c r="F1094" s="288"/>
      <c r="G1094" s="12"/>
      <c r="H1094" s="12"/>
    </row>
    <row r="1095" spans="1:8">
      <c r="A1095" s="332"/>
      <c r="B1095" s="336"/>
      <c r="C1095" s="336"/>
      <c r="D1095" s="336"/>
      <c r="E1095" s="391"/>
      <c r="F1095" s="288"/>
      <c r="G1095" s="12"/>
      <c r="H1095" s="12"/>
    </row>
    <row r="1096" spans="1:8">
      <c r="A1096" s="332"/>
      <c r="B1096" s="336"/>
      <c r="C1096" s="336"/>
      <c r="D1096" s="336"/>
      <c r="E1096" s="391"/>
      <c r="F1096" s="288"/>
      <c r="G1096" s="12"/>
      <c r="H1096" s="12"/>
    </row>
    <row r="1097" spans="1:8">
      <c r="A1097" s="332"/>
      <c r="B1097" s="336"/>
      <c r="C1097" s="336"/>
      <c r="D1097" s="336"/>
      <c r="E1097" s="391"/>
      <c r="F1097" s="288"/>
      <c r="G1097" s="12"/>
      <c r="H1097" s="12"/>
    </row>
    <row r="1098" spans="1:8">
      <c r="A1098" s="332"/>
      <c r="B1098" s="336"/>
      <c r="C1098" s="336"/>
      <c r="D1098" s="336"/>
      <c r="E1098" s="391"/>
      <c r="F1098" s="288"/>
      <c r="G1098" s="12"/>
      <c r="H1098" s="12"/>
    </row>
    <row r="1099" spans="1:8">
      <c r="A1099" s="332"/>
      <c r="B1099" s="336"/>
      <c r="C1099" s="336"/>
      <c r="D1099" s="336"/>
      <c r="E1099" s="391"/>
      <c r="F1099" s="288"/>
      <c r="G1099" s="12"/>
      <c r="H1099" s="12"/>
    </row>
    <row r="1100" spans="1:8">
      <c r="A1100" s="332"/>
      <c r="B1100" s="336"/>
      <c r="C1100" s="336"/>
      <c r="D1100" s="336"/>
      <c r="E1100" s="391"/>
      <c r="F1100" s="288"/>
      <c r="G1100" s="12"/>
      <c r="H1100" s="12"/>
    </row>
    <row r="1101" spans="1:8">
      <c r="A1101" s="332"/>
      <c r="B1101" s="336"/>
      <c r="C1101" s="336"/>
      <c r="D1101" s="336"/>
      <c r="E1101" s="391"/>
      <c r="F1101" s="288"/>
      <c r="G1101" s="12"/>
      <c r="H1101" s="12"/>
    </row>
    <row r="1102" spans="1:8">
      <c r="A1102" s="332"/>
      <c r="B1102" s="336"/>
      <c r="C1102" s="336"/>
      <c r="D1102" s="336"/>
      <c r="E1102" s="391"/>
      <c r="F1102" s="288"/>
      <c r="G1102" s="12"/>
      <c r="H1102" s="12"/>
    </row>
    <row r="1103" spans="1:8">
      <c r="A1103" s="332"/>
      <c r="B1103" s="336"/>
      <c r="C1103" s="336"/>
      <c r="D1103" s="336"/>
      <c r="E1103" s="391"/>
      <c r="F1103" s="288"/>
      <c r="G1103" s="12"/>
      <c r="H1103" s="12"/>
    </row>
    <row r="1104" spans="1:8">
      <c r="A1104" s="332"/>
      <c r="B1104" s="336"/>
      <c r="C1104" s="336"/>
      <c r="D1104" s="336"/>
      <c r="E1104" s="391"/>
      <c r="F1104" s="288"/>
      <c r="G1104" s="12"/>
      <c r="H1104" s="12"/>
    </row>
    <row r="1105" spans="1:8">
      <c r="A1105" s="332"/>
      <c r="B1105" s="336"/>
      <c r="C1105" s="336"/>
      <c r="D1105" s="336"/>
      <c r="E1105" s="391"/>
      <c r="F1105" s="288"/>
      <c r="G1105" s="12"/>
      <c r="H1105" s="12"/>
    </row>
    <row r="1106" spans="1:8">
      <c r="A1106" s="332"/>
      <c r="B1106" s="336"/>
      <c r="C1106" s="336"/>
      <c r="D1106" s="336"/>
      <c r="E1106" s="391"/>
      <c r="F1106" s="288"/>
      <c r="G1106" s="12"/>
      <c r="H1106" s="12"/>
    </row>
    <row r="1107" spans="1:8">
      <c r="A1107" s="332"/>
      <c r="B1107" s="336"/>
      <c r="C1107" s="336"/>
      <c r="D1107" s="336"/>
      <c r="E1107" s="391"/>
      <c r="F1107" s="288"/>
      <c r="G1107" s="12"/>
      <c r="H1107" s="12"/>
    </row>
    <row r="1108" spans="1:8">
      <c r="A1108" s="332"/>
      <c r="B1108" s="336"/>
      <c r="C1108" s="336"/>
      <c r="D1108" s="336"/>
      <c r="E1108" s="391"/>
      <c r="F1108" s="288"/>
      <c r="G1108" s="12"/>
      <c r="H1108" s="12"/>
    </row>
    <row r="1109" spans="1:8">
      <c r="A1109" s="332"/>
      <c r="B1109" s="336"/>
      <c r="C1109" s="336"/>
      <c r="D1109" s="336"/>
      <c r="E1109" s="391"/>
      <c r="F1109" s="288"/>
      <c r="G1109" s="12"/>
      <c r="H1109" s="12"/>
    </row>
    <row r="1110" spans="1:8">
      <c r="A1110" s="332"/>
      <c r="B1110" s="336"/>
      <c r="C1110" s="336"/>
      <c r="D1110" s="336"/>
      <c r="E1110" s="391"/>
      <c r="F1110" s="288"/>
      <c r="G1110" s="12"/>
      <c r="H1110" s="12"/>
    </row>
    <row r="1111" spans="1:8">
      <c r="A1111" s="332"/>
      <c r="B1111" s="336"/>
      <c r="C1111" s="336"/>
      <c r="D1111" s="336"/>
      <c r="E1111" s="391"/>
      <c r="F1111" s="288"/>
      <c r="G1111" s="12"/>
      <c r="H1111" s="12"/>
    </row>
    <row r="1112" spans="1:8">
      <c r="A1112" s="332"/>
      <c r="B1112" s="336"/>
      <c r="C1112" s="336"/>
      <c r="D1112" s="336"/>
      <c r="E1112" s="391"/>
      <c r="F1112" s="288"/>
      <c r="G1112" s="12"/>
      <c r="H1112" s="12"/>
    </row>
    <row r="1113" spans="1:8">
      <c r="A1113" s="332"/>
      <c r="B1113" s="336"/>
      <c r="C1113" s="336"/>
      <c r="D1113" s="336"/>
      <c r="E1113" s="391"/>
      <c r="F1113" s="288"/>
      <c r="G1113" s="12"/>
      <c r="H1113" s="12"/>
    </row>
    <row r="1114" spans="1:8">
      <c r="A1114" s="332"/>
      <c r="B1114" s="336"/>
      <c r="C1114" s="336"/>
      <c r="D1114" s="336"/>
      <c r="E1114" s="391"/>
      <c r="F1114" s="288"/>
      <c r="G1114" s="12"/>
      <c r="H1114" s="12"/>
    </row>
    <row r="1115" spans="1:8">
      <c r="A1115" s="332"/>
      <c r="B1115" s="336"/>
      <c r="C1115" s="336"/>
      <c r="D1115" s="336"/>
      <c r="E1115" s="391"/>
      <c r="F1115" s="288"/>
      <c r="G1115" s="12"/>
      <c r="H1115" s="12"/>
    </row>
    <row r="1116" spans="1:8">
      <c r="A1116" s="332"/>
      <c r="B1116" s="336"/>
      <c r="C1116" s="336"/>
      <c r="D1116" s="336"/>
      <c r="E1116" s="391"/>
      <c r="F1116" s="288"/>
      <c r="G1116" s="12"/>
      <c r="H1116" s="12"/>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2">
    <mergeCell ref="D2:F2"/>
    <mergeCell ref="D3:F3"/>
  </mergeCells>
  <phoneticPr fontId="0" type="noConversion"/>
  <printOptions horizontalCentered="1"/>
  <pageMargins left="0.17" right="0.17" top="1.56" bottom="1.24" header="0.5" footer="0.17"/>
  <pageSetup scale="36" fitToHeight="0" orientation="portrait" r:id="rId10"/>
  <headerFooter alignWithMargins="0"/>
  <rowBreaks count="5" manualBreakCount="5">
    <brk id="62" max="7" man="1"/>
    <brk id="130" max="7" man="1"/>
    <brk id="188" max="16383" man="1"/>
    <brk id="259" max="7" man="1"/>
    <brk id="315" max="7" man="1"/>
  </rowBreaks>
  <customProperties>
    <customPr name="_pios_id" r:id="rId11"/>
    <customPr name="EpmWorksheetKeyString_GUID" r:id="rId12"/>
  </customProperties>
  <ignoredErrors>
    <ignoredError sqref="H2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22"/>
  <sheetViews>
    <sheetView showGridLines="0" topLeftCell="B1" zoomScale="70" zoomScaleNormal="70" workbookViewId="0">
      <selection activeCell="B1" sqref="B1:I1"/>
    </sheetView>
  </sheetViews>
  <sheetFormatPr defaultColWidth="18.7109375" defaultRowHeight="15"/>
  <cols>
    <col min="1" max="1" width="5.5703125" style="216" customWidth="1"/>
    <col min="2" max="2" width="65.7109375" style="245" customWidth="1"/>
    <col min="3" max="3" width="60.5703125" style="216" bestFit="1" customWidth="1"/>
    <col min="4" max="4" width="22.7109375" style="216" customWidth="1"/>
    <col min="5" max="5" width="28.7109375" style="216" customWidth="1"/>
    <col min="6" max="6" width="24.28515625" style="216" customWidth="1"/>
    <col min="7" max="7" width="24" style="216" bestFit="1" customWidth="1"/>
    <col min="8" max="8" width="24" style="216" customWidth="1"/>
    <col min="9" max="9" width="124.7109375" style="216" customWidth="1"/>
    <col min="10" max="16384" width="18.7109375" style="216"/>
  </cols>
  <sheetData>
    <row r="1" spans="1:9" ht="18">
      <c r="B1" s="1112" t="str">
        <f>+'Appendix A'!A3</f>
        <v>Dayton Power and Light</v>
      </c>
      <c r="C1" s="1112"/>
      <c r="D1" s="1112"/>
      <c r="E1" s="1112"/>
      <c r="F1" s="1112"/>
      <c r="G1" s="1112"/>
      <c r="H1" s="1112"/>
      <c r="I1" s="1112"/>
    </row>
    <row r="2" spans="1:9" ht="18">
      <c r="B2" s="1113" t="s">
        <v>1</v>
      </c>
      <c r="C2" s="1113"/>
      <c r="D2" s="1113"/>
      <c r="E2" s="1113"/>
      <c r="F2" s="1113"/>
      <c r="G2" s="1113"/>
      <c r="H2" s="1113"/>
      <c r="I2" s="1113"/>
    </row>
    <row r="3" spans="1:9" s="215" customFormat="1" ht="18">
      <c r="B3" s="1113" t="s">
        <v>267</v>
      </c>
      <c r="C3" s="1113"/>
      <c r="D3" s="1113"/>
      <c r="E3" s="1113"/>
      <c r="F3" s="1113"/>
      <c r="G3" s="1113"/>
      <c r="H3" s="1113"/>
      <c r="I3" s="1113"/>
    </row>
    <row r="4" spans="1:9">
      <c r="B4" s="224" t="s">
        <v>268</v>
      </c>
      <c r="C4" s="222"/>
      <c r="D4" s="222"/>
      <c r="E4" s="222"/>
      <c r="F4" s="222"/>
      <c r="G4" s="222"/>
      <c r="H4" s="222"/>
      <c r="I4" s="222"/>
    </row>
    <row r="5" spans="1:9" ht="18">
      <c r="B5" s="988" t="s">
        <v>269</v>
      </c>
      <c r="C5" s="4"/>
      <c r="D5" s="223" t="s">
        <v>270</v>
      </c>
      <c r="E5" s="223"/>
      <c r="F5" s="220"/>
      <c r="G5" s="223"/>
      <c r="H5" s="223"/>
      <c r="I5" s="967"/>
    </row>
    <row r="6" spans="1:9" ht="18">
      <c r="B6" s="224"/>
      <c r="C6" s="220"/>
      <c r="D6" s="223" t="s">
        <v>271</v>
      </c>
      <c r="E6" s="223" t="s">
        <v>272</v>
      </c>
      <c r="F6" s="223" t="s">
        <v>273</v>
      </c>
      <c r="G6" s="711" t="s">
        <v>274</v>
      </c>
      <c r="H6" s="223" t="s">
        <v>75</v>
      </c>
      <c r="I6" s="968"/>
    </row>
    <row r="7" spans="1:9" ht="18">
      <c r="B7" s="224"/>
      <c r="C7" s="220"/>
      <c r="D7" s="223" t="s">
        <v>275</v>
      </c>
      <c r="E7" s="223" t="s">
        <v>275</v>
      </c>
      <c r="F7" s="223" t="s">
        <v>275</v>
      </c>
      <c r="G7" s="711" t="s">
        <v>275</v>
      </c>
      <c r="H7" s="223" t="s">
        <v>276</v>
      </c>
      <c r="I7" s="968"/>
    </row>
    <row r="8" spans="1:9" s="580" customFormat="1" ht="25.5">
      <c r="B8" s="579"/>
      <c r="C8" s="576"/>
      <c r="D8" s="576"/>
      <c r="E8" s="576"/>
      <c r="F8" s="576"/>
      <c r="H8" s="576"/>
      <c r="I8" s="576"/>
    </row>
    <row r="9" spans="1:9" ht="15.75">
      <c r="A9" s="651">
        <v>1</v>
      </c>
      <c r="B9" s="224"/>
      <c r="C9" s="230" t="s">
        <v>277</v>
      </c>
      <c r="D9" s="226">
        <f>+E49</f>
        <v>0</v>
      </c>
      <c r="E9" s="226">
        <f>+F49</f>
        <v>432284.98</v>
      </c>
      <c r="F9" s="226">
        <f>+G49</f>
        <v>8494594.4000000004</v>
      </c>
      <c r="G9" s="581">
        <f>+H49</f>
        <v>312361.21999999997</v>
      </c>
      <c r="H9" s="226"/>
      <c r="I9" s="650" t="str">
        <f>"(Line "&amp;A49&amp;")"</f>
        <v>(Line 30)</v>
      </c>
    </row>
    <row r="10" spans="1:9" ht="15.75">
      <c r="A10" s="651">
        <f>+A9+1</f>
        <v>2</v>
      </c>
      <c r="B10" s="224"/>
      <c r="C10" s="230" t="s">
        <v>278</v>
      </c>
      <c r="D10" s="226">
        <f>+E68</f>
        <v>-24844364.93904135</v>
      </c>
      <c r="E10" s="226">
        <f t="shared" ref="E10:G10" si="0">+F68</f>
        <v>0</v>
      </c>
      <c r="F10" s="226">
        <f t="shared" si="0"/>
        <v>0</v>
      </c>
      <c r="G10" s="226">
        <f t="shared" si="0"/>
        <v>0</v>
      </c>
      <c r="H10" s="226"/>
      <c r="I10" s="650" t="str">
        <f>"(Line "&amp;A68&amp;")"</f>
        <v>(Line 33)</v>
      </c>
    </row>
    <row r="11" spans="1:9" ht="15.75">
      <c r="A11" s="651">
        <f>+A10+1</f>
        <v>3</v>
      </c>
      <c r="B11" s="224"/>
      <c r="C11" s="230" t="s">
        <v>279</v>
      </c>
      <c r="D11" s="732">
        <f>+E96</f>
        <v>-2885094</v>
      </c>
      <c r="E11" s="732">
        <f t="shared" ref="E11:G11" si="1">+F96</f>
        <v>19621177</v>
      </c>
      <c r="F11" s="732">
        <f t="shared" si="1"/>
        <v>0</v>
      </c>
      <c r="G11" s="732">
        <f t="shared" si="1"/>
        <v>0</v>
      </c>
      <c r="H11" s="226"/>
      <c r="I11" s="650" t="str">
        <f>"(Line "&amp;A96&amp;")"</f>
        <v>(Line 42)</v>
      </c>
    </row>
    <row r="12" spans="1:9" ht="15.75">
      <c r="A12" s="651">
        <f t="shared" ref="A12:A21" si="2">+A11+1</f>
        <v>4</v>
      </c>
      <c r="B12" s="224"/>
      <c r="C12" s="230" t="s">
        <v>101</v>
      </c>
      <c r="D12" s="226">
        <f>+SUM(D9:D11)</f>
        <v>-27729458.93904135</v>
      </c>
      <c r="E12" s="226">
        <f t="shared" ref="E12:G12" si="3">+SUM(E9:E11)</f>
        <v>20053461.98</v>
      </c>
      <c r="F12" s="226">
        <f t="shared" si="3"/>
        <v>8494594.4000000004</v>
      </c>
      <c r="G12" s="226">
        <f t="shared" si="3"/>
        <v>312361.21999999997</v>
      </c>
      <c r="H12" s="226"/>
      <c r="I12" s="650" t="str">
        <f>"(Line "&amp;A9&amp;" + Line "&amp;A10&amp;" + Line "&amp;A11&amp;")"</f>
        <v>(Line 1 + Line 2 + Line 3)</v>
      </c>
    </row>
    <row r="13" spans="1:9" ht="15.75">
      <c r="A13" s="651">
        <f t="shared" si="2"/>
        <v>5</v>
      </c>
      <c r="B13" s="224"/>
      <c r="C13" s="230" t="s">
        <v>14</v>
      </c>
      <c r="D13" s="220"/>
      <c r="E13" s="220"/>
      <c r="F13" s="746">
        <f>'Appendix A'!H16</f>
        <v>0.12146075795343095</v>
      </c>
      <c r="H13" s="220"/>
      <c r="I13" s="28" t="str">
        <f>"(Appendix A, Line "&amp;'Appendix A'!A16&amp;")"</f>
        <v>(Appendix A, Line 5)</v>
      </c>
    </row>
    <row r="14" spans="1:9" ht="15.75">
      <c r="A14" s="651">
        <f t="shared" si="2"/>
        <v>6</v>
      </c>
      <c r="B14" s="224"/>
      <c r="C14" s="230" t="s">
        <v>22</v>
      </c>
      <c r="D14" s="220"/>
      <c r="E14" s="746">
        <f>'Appendix A'!H27</f>
        <v>0.20363964961424239</v>
      </c>
      <c r="F14" s="220"/>
      <c r="H14" s="220"/>
      <c r="I14" s="28" t="str">
        <f>"(Appendix A, Line "&amp;'Appendix A'!A27&amp;")"</f>
        <v>(Appendix A, Line 12)</v>
      </c>
    </row>
    <row r="15" spans="1:9" ht="15.75">
      <c r="A15" s="651">
        <f>+A14+1</f>
        <v>7</v>
      </c>
      <c r="B15" s="224"/>
      <c r="C15" s="230" t="s">
        <v>23</v>
      </c>
      <c r="D15" s="220"/>
      <c r="E15" s="227"/>
      <c r="F15" s="220"/>
      <c r="G15" s="747">
        <f>+'Appendix A'!H33</f>
        <v>0.18298233367566416</v>
      </c>
      <c r="H15" s="220"/>
      <c r="I15" s="28" t="str">
        <f>"(Appendix A, Line "&amp;'Appendix A'!A33&amp;")"</f>
        <v>(Appendix A, Line 17)</v>
      </c>
    </row>
    <row r="16" spans="1:9" ht="15.75">
      <c r="A16" s="651">
        <f>+A15+1</f>
        <v>8</v>
      </c>
      <c r="B16" s="224"/>
      <c r="C16" s="230" t="s">
        <v>280</v>
      </c>
      <c r="D16" s="226">
        <f>+D12</f>
        <v>-27729458.93904135</v>
      </c>
      <c r="E16" s="226">
        <f>+E14*E12</f>
        <v>4083679.9711597315</v>
      </c>
      <c r="F16" s="226">
        <f>+F13*F12</f>
        <v>1031759.87433097</v>
      </c>
      <c r="G16" s="226">
        <f>+G15*G12</f>
        <v>57156.584985377536</v>
      </c>
      <c r="H16" s="228">
        <f>SUM(D16:G16)</f>
        <v>-22556862.508565269</v>
      </c>
      <c r="I16" s="650" t="str">
        <f>"(Line "&amp;A12&amp;" * Line "&amp;A13&amp;" or Line "&amp;A14&amp;" or "&amp;A15&amp;")"</f>
        <v>(Line 4 * Line 5 or Line 6 or 7)</v>
      </c>
    </row>
    <row r="17" spans="1:10" ht="15.75">
      <c r="A17" s="651">
        <f t="shared" si="2"/>
        <v>9</v>
      </c>
      <c r="B17" s="224"/>
      <c r="C17" s="230" t="s">
        <v>281</v>
      </c>
      <c r="D17" s="226">
        <f>+'1C - ADIT Prior Year'!D16</f>
        <v>-25126574.956941638</v>
      </c>
      <c r="E17" s="226">
        <f>+'1C - ADIT Prior Year'!E16</f>
        <v>87971.106795455024</v>
      </c>
      <c r="F17" s="226">
        <f>+'1C - ADIT Prior Year'!F16</f>
        <v>-3083804.229210834</v>
      </c>
      <c r="G17" s="226">
        <f>+'1C - ADIT Prior Year'!G16</f>
        <v>61250.408480589766</v>
      </c>
      <c r="H17" s="228">
        <f>SUM(D17:G17)</f>
        <v>-28061157.670876428</v>
      </c>
      <c r="I17" s="650" t="str">
        <f>"(Attachment 1C - ADIT Prior Year, Line "&amp;A16&amp;")"</f>
        <v>(Attachment 1C - ADIT Prior Year, Line 8)</v>
      </c>
    </row>
    <row r="18" spans="1:10" ht="15.75">
      <c r="A18" s="651">
        <f t="shared" si="2"/>
        <v>10</v>
      </c>
      <c r="B18" s="224"/>
      <c r="C18" s="230" t="s">
        <v>282</v>
      </c>
      <c r="D18" s="226">
        <f>(D16+D17)/2</f>
        <v>-26428016.947991494</v>
      </c>
      <c r="E18" s="226">
        <f>(E16+E17)/2</f>
        <v>2085825.5389775932</v>
      </c>
      <c r="F18" s="226">
        <f>(F16+F17)/2</f>
        <v>-1026022.177439932</v>
      </c>
      <c r="G18" s="226">
        <f>(G16+G17)/2</f>
        <v>59203.496732983651</v>
      </c>
      <c r="H18" s="228">
        <f>SUM(D18:G18)</f>
        <v>-25309010.089720849</v>
      </c>
      <c r="I18" s="650" t="str">
        <f>"(Average of Line "&amp;A16&amp;" + Line "&amp;A17&amp;" and to Appendix A, Line 41)"</f>
        <v>(Average of Line 8 + Line 9 and to Appendix A, Line 41)</v>
      </c>
      <c r="J18" s="575"/>
    </row>
    <row r="19" spans="1:10" ht="15.75">
      <c r="A19" s="651">
        <f t="shared" si="2"/>
        <v>11</v>
      </c>
      <c r="B19" s="224"/>
      <c r="C19" s="709" t="s">
        <v>283</v>
      </c>
      <c r="D19" s="581">
        <f>+'1B - ADIT Proration'!J24</f>
        <v>0</v>
      </c>
      <c r="E19" s="581">
        <f>+'1B - ADIT Proration'!N24</f>
        <v>0</v>
      </c>
      <c r="F19" s="581">
        <f>+'1B - ADIT Proration'!R24</f>
        <v>0</v>
      </c>
      <c r="G19" s="581">
        <f>+'1B - ADIT Proration'!V24</f>
        <v>0</v>
      </c>
      <c r="H19" s="859"/>
      <c r="I19" s="546" t="str">
        <f>"(Attachment 1B, Line "&amp;'1B - ADIT Proration'!A24&amp;")"</f>
        <v>(Attachment 1B, Line 14)</v>
      </c>
    </row>
    <row r="20" spans="1:10" ht="15.75">
      <c r="A20" s="651">
        <f t="shared" si="2"/>
        <v>12</v>
      </c>
      <c r="B20" s="224"/>
      <c r="C20" s="709" t="s">
        <v>284</v>
      </c>
      <c r="D20" s="581">
        <f>+'1B - ADIT Proration'!J44</f>
        <v>-13694895.746426888</v>
      </c>
      <c r="E20" s="581">
        <f>+'1B - ADIT Proration'!N44</f>
        <v>0</v>
      </c>
      <c r="F20" s="581">
        <f>+'1B - ADIT Proration'!R44</f>
        <v>0</v>
      </c>
      <c r="G20" s="581">
        <f>+'1B - ADIT Proration'!V44</f>
        <v>0</v>
      </c>
      <c r="H20" s="859"/>
      <c r="I20" s="546" t="str">
        <f>"(Attachment 1B, Line "&amp;'1B - ADIT Proration'!A44&amp;")"</f>
        <v>(Attachment 1B, Line 28)</v>
      </c>
    </row>
    <row r="21" spans="1:10" ht="15.75">
      <c r="A21" s="651">
        <f t="shared" si="2"/>
        <v>13</v>
      </c>
      <c r="B21" s="224"/>
      <c r="C21" s="860" t="s">
        <v>285</v>
      </c>
      <c r="D21" s="861">
        <f>+'1B - ADIT Proration'!J64</f>
        <v>0</v>
      </c>
      <c r="E21" s="861">
        <f>+'1B - ADIT Proration'!N64</f>
        <v>0</v>
      </c>
      <c r="F21" s="861">
        <f>+'1B - ADIT Proration'!R64</f>
        <v>0</v>
      </c>
      <c r="G21" s="861">
        <f>+'1B - ADIT Proration'!V64</f>
        <v>0</v>
      </c>
      <c r="H21" s="859"/>
      <c r="I21" s="546" t="str">
        <f>"(Attachment 1B, Line "&amp;'1B - ADIT Proration'!A64&amp;")"</f>
        <v>(Attachment 1B, Line 42)</v>
      </c>
    </row>
    <row r="22" spans="1:10" ht="15.75">
      <c r="A22" s="651">
        <f>+A21+1</f>
        <v>14</v>
      </c>
      <c r="B22" s="224"/>
      <c r="C22" s="709" t="s">
        <v>286</v>
      </c>
      <c r="D22" s="581">
        <f>+D19+D20+D21</f>
        <v>-13694895.746426888</v>
      </c>
      <c r="E22" s="581">
        <f t="shared" ref="E22:G22" si="4">+E19+E20+E21</f>
        <v>0</v>
      </c>
      <c r="F22" s="581">
        <f t="shared" si="4"/>
        <v>0</v>
      </c>
      <c r="G22" s="581">
        <f t="shared" si="4"/>
        <v>0</v>
      </c>
      <c r="H22" s="859">
        <f>+D22+E22+F22+G22</f>
        <v>-13694895.746426888</v>
      </c>
      <c r="I22" s="546"/>
    </row>
    <row r="23" spans="1:10" ht="15.75">
      <c r="A23" s="651">
        <f>+A22+1</f>
        <v>15</v>
      </c>
      <c r="B23" s="224"/>
      <c r="C23" s="862" t="s">
        <v>287</v>
      </c>
      <c r="D23" s="581"/>
      <c r="E23" s="581"/>
      <c r="F23" s="581"/>
      <c r="G23" s="859"/>
      <c r="H23" s="859">
        <f>+H18+H22</f>
        <v>-39003905.83614774</v>
      </c>
      <c r="I23" s="546" t="str">
        <f>"(Line "&amp;A18&amp;" + Line "&amp;A22&amp;")"</f>
        <v>(Line 10 + Line 14)</v>
      </c>
    </row>
    <row r="24" spans="1:10" ht="15.75">
      <c r="B24" s="224"/>
      <c r="C24" s="225"/>
      <c r="D24" s="226"/>
      <c r="E24" s="226"/>
      <c r="F24" s="226"/>
      <c r="G24" s="228"/>
      <c r="H24" s="228"/>
      <c r="I24" s="229"/>
    </row>
    <row r="25" spans="1:10" ht="15.75">
      <c r="B25" s="224"/>
      <c r="C25" s="225"/>
      <c r="D25" s="226"/>
      <c r="E25" s="226"/>
      <c r="F25" s="226"/>
      <c r="G25" s="228"/>
      <c r="H25" s="228"/>
      <c r="I25" s="229"/>
    </row>
    <row r="26" spans="1:10" ht="15.75">
      <c r="B26" s="230"/>
      <c r="C26" s="220"/>
      <c r="D26" s="220"/>
      <c r="E26" s="220"/>
      <c r="F26" s="220"/>
      <c r="G26" s="220"/>
      <c r="H26" s="220"/>
      <c r="I26" s="220"/>
    </row>
    <row r="27" spans="1:10">
      <c r="B27" s="220" t="s">
        <v>288</v>
      </c>
      <c r="C27" s="220"/>
      <c r="D27" s="226"/>
      <c r="E27" s="220"/>
      <c r="F27" s="220"/>
      <c r="G27" s="220"/>
      <c r="H27" s="220"/>
    </row>
    <row r="28" spans="1:10">
      <c r="B28" s="220"/>
      <c r="C28" s="220"/>
      <c r="D28" s="220"/>
      <c r="E28" s="220"/>
      <c r="F28" s="220"/>
      <c r="G28" s="220"/>
      <c r="H28" s="220"/>
      <c r="I28" s="220"/>
    </row>
    <row r="29" spans="1:10">
      <c r="B29" s="224" t="s">
        <v>289</v>
      </c>
      <c r="C29" s="220"/>
      <c r="D29" s="220"/>
      <c r="E29" s="220"/>
      <c r="F29" s="220"/>
      <c r="G29" s="220"/>
      <c r="H29" s="220"/>
      <c r="I29" s="220"/>
    </row>
    <row r="30" spans="1:10">
      <c r="B30" s="224" t="s">
        <v>290</v>
      </c>
      <c r="C30" s="220"/>
      <c r="D30" s="220"/>
      <c r="E30" s="220"/>
      <c r="F30" s="220"/>
      <c r="G30" s="220"/>
      <c r="H30" s="220"/>
      <c r="I30" s="220"/>
    </row>
    <row r="31" spans="1:10">
      <c r="B31" s="224"/>
      <c r="C31" s="220"/>
      <c r="D31" s="220"/>
      <c r="E31" s="220"/>
      <c r="F31" s="220"/>
      <c r="G31" s="225"/>
      <c r="H31" s="225"/>
      <c r="I31" s="220"/>
    </row>
    <row r="32" spans="1:10" ht="15.75">
      <c r="B32" s="231" t="s">
        <v>217</v>
      </c>
      <c r="C32" s="232" t="s">
        <v>219</v>
      </c>
      <c r="D32" s="232" t="s">
        <v>222</v>
      </c>
      <c r="E32" s="232" t="s">
        <v>224</v>
      </c>
      <c r="F32" s="232" t="s">
        <v>226</v>
      </c>
      <c r="G32" s="232" t="s">
        <v>228</v>
      </c>
      <c r="H32" s="232" t="s">
        <v>230</v>
      </c>
      <c r="I32" s="232" t="s">
        <v>237</v>
      </c>
    </row>
    <row r="33" spans="1:21">
      <c r="B33" s="233" t="s">
        <v>291</v>
      </c>
      <c r="C33" s="223"/>
      <c r="D33" s="223"/>
      <c r="E33" s="223" t="s">
        <v>271</v>
      </c>
      <c r="F33" s="223" t="s">
        <v>272</v>
      </c>
      <c r="G33" s="223" t="s">
        <v>273</v>
      </c>
      <c r="H33" s="223" t="s">
        <v>274</v>
      </c>
    </row>
    <row r="34" spans="1:21" ht="14.45" customHeight="1" thickBot="1">
      <c r="B34" s="224"/>
      <c r="C34" s="223" t="s">
        <v>75</v>
      </c>
      <c r="D34" s="223" t="s">
        <v>292</v>
      </c>
      <c r="E34" s="223" t="s">
        <v>275</v>
      </c>
      <c r="F34" s="223" t="s">
        <v>275</v>
      </c>
      <c r="G34" s="223" t="s">
        <v>275</v>
      </c>
      <c r="H34" s="710" t="s">
        <v>275</v>
      </c>
      <c r="I34" s="223" t="s">
        <v>293</v>
      </c>
    </row>
    <row r="35" spans="1:21" ht="28.5" customHeight="1" thickBot="1">
      <c r="A35" s="651">
        <f>+A23+1</f>
        <v>16</v>
      </c>
      <c r="B35" s="561" t="s">
        <v>294</v>
      </c>
      <c r="C35" s="869">
        <v>1028911.44</v>
      </c>
      <c r="D35" s="870">
        <v>0</v>
      </c>
      <c r="E35" s="870">
        <v>0</v>
      </c>
      <c r="F35" s="870">
        <v>0</v>
      </c>
      <c r="G35" s="870">
        <f>+C35</f>
        <v>1028911.44</v>
      </c>
      <c r="H35" s="871">
        <v>0</v>
      </c>
      <c r="I35" s="660" t="s">
        <v>295</v>
      </c>
      <c r="Q35" s="578"/>
      <c r="R35" s="578"/>
      <c r="S35" s="578"/>
      <c r="T35" s="578"/>
      <c r="U35" s="578"/>
    </row>
    <row r="36" spans="1:21" ht="28.5" customHeight="1" thickBot="1">
      <c r="A36" s="651">
        <f>+A35+1</f>
        <v>17</v>
      </c>
      <c r="B36" s="563" t="s">
        <v>296</v>
      </c>
      <c r="C36" s="872">
        <v>3929091.5500000003</v>
      </c>
      <c r="D36" s="873">
        <v>0</v>
      </c>
      <c r="E36" s="873">
        <v>0</v>
      </c>
      <c r="F36" s="873">
        <v>0</v>
      </c>
      <c r="G36" s="870">
        <f t="shared" ref="G36:G37" si="5">+C36</f>
        <v>3929091.5500000003</v>
      </c>
      <c r="H36" s="874">
        <v>0</v>
      </c>
      <c r="I36" s="660" t="s">
        <v>297</v>
      </c>
      <c r="Q36" s="578"/>
      <c r="R36" s="578"/>
      <c r="S36" s="578"/>
      <c r="T36" s="578"/>
      <c r="U36" s="578"/>
    </row>
    <row r="37" spans="1:21" ht="39.75" customHeight="1">
      <c r="A37" s="651">
        <f t="shared" ref="A37:A48" si="6">+A36+1</f>
        <v>18</v>
      </c>
      <c r="B37" s="563" t="s">
        <v>298</v>
      </c>
      <c r="C37" s="872">
        <v>1188723.83</v>
      </c>
      <c r="D37" s="873">
        <v>0</v>
      </c>
      <c r="E37" s="873">
        <v>0</v>
      </c>
      <c r="F37" s="873">
        <v>0</v>
      </c>
      <c r="G37" s="870">
        <f t="shared" si="5"/>
        <v>1188723.83</v>
      </c>
      <c r="H37" s="874">
        <v>0</v>
      </c>
      <c r="I37" s="660" t="s">
        <v>295</v>
      </c>
      <c r="Q37" s="578"/>
      <c r="R37" s="578"/>
      <c r="S37" s="578"/>
      <c r="T37" s="578"/>
      <c r="U37" s="578"/>
    </row>
    <row r="38" spans="1:21" ht="39.75" customHeight="1">
      <c r="A38" s="651">
        <f t="shared" si="6"/>
        <v>19</v>
      </c>
      <c r="B38" s="811" t="s">
        <v>299</v>
      </c>
      <c r="C38" s="872">
        <v>-1010449.2</v>
      </c>
      <c r="D38" s="873">
        <v>0</v>
      </c>
      <c r="E38" s="873">
        <v>0</v>
      </c>
      <c r="F38" s="873">
        <f>+C38</f>
        <v>-1010449.2</v>
      </c>
      <c r="G38" s="873">
        <v>0</v>
      </c>
      <c r="H38" s="874">
        <v>0</v>
      </c>
      <c r="I38" s="658" t="s">
        <v>300</v>
      </c>
      <c r="Q38" s="578"/>
      <c r="R38" s="578"/>
      <c r="S38" s="578"/>
      <c r="T38" s="578"/>
      <c r="U38" s="578"/>
    </row>
    <row r="39" spans="1:21" ht="39.75" customHeight="1">
      <c r="A39" s="651">
        <f t="shared" si="6"/>
        <v>20</v>
      </c>
      <c r="B39" s="563" t="s">
        <v>301</v>
      </c>
      <c r="C39" s="872">
        <v>1197240.0900000001</v>
      </c>
      <c r="D39" s="873">
        <v>0</v>
      </c>
      <c r="E39" s="873">
        <v>0</v>
      </c>
      <c r="F39" s="873">
        <v>0</v>
      </c>
      <c r="G39" s="873">
        <f>+C39</f>
        <v>1197240.0900000001</v>
      </c>
      <c r="H39" s="874">
        <v>0</v>
      </c>
      <c r="I39" s="660" t="s">
        <v>302</v>
      </c>
      <c r="Q39" s="578"/>
      <c r="R39" s="578"/>
      <c r="S39" s="578"/>
      <c r="T39" s="578"/>
      <c r="U39" s="578"/>
    </row>
    <row r="40" spans="1:21" ht="39.75" customHeight="1">
      <c r="A40" s="651">
        <f t="shared" si="6"/>
        <v>21</v>
      </c>
      <c r="B40" s="563" t="s">
        <v>303</v>
      </c>
      <c r="C40" s="872">
        <v>937976.08</v>
      </c>
      <c r="D40" s="873">
        <f>+C40</f>
        <v>937976.08</v>
      </c>
      <c r="E40" s="873">
        <v>0</v>
      </c>
      <c r="F40" s="873">
        <v>0</v>
      </c>
      <c r="G40" s="873">
        <v>0</v>
      </c>
      <c r="H40" s="874">
        <v>0</v>
      </c>
      <c r="I40" s="660" t="s">
        <v>304</v>
      </c>
      <c r="Q40" s="578"/>
      <c r="R40" s="578"/>
      <c r="S40" s="578"/>
      <c r="T40" s="578"/>
      <c r="U40" s="578"/>
    </row>
    <row r="41" spans="1:21" ht="39.75" customHeight="1">
      <c r="A41" s="651">
        <f t="shared" si="6"/>
        <v>22</v>
      </c>
      <c r="B41" s="563" t="s">
        <v>305</v>
      </c>
      <c r="C41" s="872">
        <v>1150627.49</v>
      </c>
      <c r="D41" s="873">
        <v>0</v>
      </c>
      <c r="E41" s="873">
        <v>0</v>
      </c>
      <c r="F41" s="873">
        <v>0</v>
      </c>
      <c r="G41" s="873">
        <f>+C41</f>
        <v>1150627.49</v>
      </c>
      <c r="H41" s="874">
        <v>0</v>
      </c>
      <c r="I41" s="660" t="s">
        <v>306</v>
      </c>
      <c r="Q41" s="578"/>
      <c r="R41" s="578"/>
      <c r="S41" s="578"/>
      <c r="T41" s="578"/>
      <c r="U41" s="578"/>
    </row>
    <row r="42" spans="1:21" ht="39.75" customHeight="1">
      <c r="A42" s="651">
        <f t="shared" si="6"/>
        <v>23</v>
      </c>
      <c r="B42" s="563" t="s">
        <v>307</v>
      </c>
      <c r="C42" s="872">
        <v>312361.21999999997</v>
      </c>
      <c r="D42" s="873">
        <v>0</v>
      </c>
      <c r="E42" s="873">
        <v>0</v>
      </c>
      <c r="F42" s="873">
        <v>0</v>
      </c>
      <c r="G42" s="873">
        <v>0</v>
      </c>
      <c r="H42" s="874">
        <f>+C42</f>
        <v>312361.21999999997</v>
      </c>
      <c r="I42" s="660" t="s">
        <v>308</v>
      </c>
      <c r="Q42" s="578"/>
      <c r="R42" s="578"/>
      <c r="S42" s="578"/>
      <c r="T42" s="578"/>
      <c r="U42" s="578"/>
    </row>
    <row r="43" spans="1:21" ht="39.75" customHeight="1">
      <c r="A43" s="651">
        <f t="shared" si="6"/>
        <v>24</v>
      </c>
      <c r="B43" s="563" t="s">
        <v>309</v>
      </c>
      <c r="C43" s="872">
        <v>432284.98000000004</v>
      </c>
      <c r="D43" s="873">
        <v>0</v>
      </c>
      <c r="E43" s="873">
        <v>0</v>
      </c>
      <c r="F43" s="873">
        <f>+C43</f>
        <v>432284.98000000004</v>
      </c>
      <c r="G43" s="873">
        <v>0</v>
      </c>
      <c r="H43" s="874">
        <v>0</v>
      </c>
      <c r="I43" s="660" t="s">
        <v>310</v>
      </c>
      <c r="Q43" s="578"/>
      <c r="R43" s="578"/>
      <c r="S43" s="578"/>
      <c r="T43" s="578"/>
      <c r="U43" s="578"/>
    </row>
    <row r="44" spans="1:21" ht="39.75" customHeight="1">
      <c r="A44" s="651">
        <f t="shared" si="6"/>
        <v>25</v>
      </c>
      <c r="B44" s="563" t="s">
        <v>311</v>
      </c>
      <c r="C44" s="872">
        <v>1288335.25</v>
      </c>
      <c r="D44" s="873">
        <f>+C44</f>
        <v>1288335.25</v>
      </c>
      <c r="E44" s="873">
        <v>0</v>
      </c>
      <c r="F44" s="873">
        <v>0</v>
      </c>
      <c r="G44" s="873">
        <v>0</v>
      </c>
      <c r="H44" s="874">
        <v>0</v>
      </c>
      <c r="I44" s="660" t="s">
        <v>312</v>
      </c>
      <c r="Q44" s="578"/>
      <c r="R44" s="578"/>
      <c r="S44" s="578"/>
      <c r="T44" s="578"/>
      <c r="U44" s="578"/>
    </row>
    <row r="45" spans="1:21" ht="39.75" customHeight="1">
      <c r="A45" s="651">
        <f t="shared" si="6"/>
        <v>26</v>
      </c>
      <c r="B45" s="563" t="s">
        <v>313</v>
      </c>
      <c r="C45" s="872">
        <v>-223999.3</v>
      </c>
      <c r="D45" s="873">
        <f>+C45</f>
        <v>-223999.3</v>
      </c>
      <c r="E45" s="873">
        <v>0</v>
      </c>
      <c r="F45" s="873">
        <v>0</v>
      </c>
      <c r="G45" s="873">
        <v>0</v>
      </c>
      <c r="H45" s="874">
        <v>0</v>
      </c>
      <c r="I45" s="660" t="s">
        <v>314</v>
      </c>
      <c r="Q45" s="578"/>
      <c r="R45" s="578"/>
      <c r="S45" s="578"/>
      <c r="T45" s="578"/>
      <c r="U45" s="578"/>
    </row>
    <row r="46" spans="1:21" ht="39.75" customHeight="1">
      <c r="A46" s="651">
        <f>+A45+1</f>
        <v>27</v>
      </c>
      <c r="B46" s="563" t="s">
        <v>315</v>
      </c>
      <c r="C46" s="875">
        <v>-1273519.03</v>
      </c>
      <c r="D46" s="873">
        <f>+C46</f>
        <v>-1273519.03</v>
      </c>
      <c r="E46" s="873">
        <v>0</v>
      </c>
      <c r="F46" s="873">
        <v>0</v>
      </c>
      <c r="G46" s="873">
        <v>0</v>
      </c>
      <c r="H46" s="874">
        <v>0</v>
      </c>
      <c r="I46" s="565" t="s">
        <v>316</v>
      </c>
      <c r="Q46" s="578"/>
      <c r="R46" s="578"/>
      <c r="S46" s="578"/>
      <c r="T46" s="578"/>
      <c r="U46" s="578"/>
    </row>
    <row r="47" spans="1:21" ht="25.15" customHeight="1">
      <c r="A47" s="651">
        <f t="shared" si="6"/>
        <v>28</v>
      </c>
      <c r="B47" s="564" t="s">
        <v>317</v>
      </c>
      <c r="C47" s="876">
        <f t="shared" ref="C47:H47" si="7">SUM(C35:C46)</f>
        <v>8957584.4000000004</v>
      </c>
      <c r="D47" s="876">
        <f t="shared" si="7"/>
        <v>728793</v>
      </c>
      <c r="E47" s="876">
        <f t="shared" si="7"/>
        <v>0</v>
      </c>
      <c r="F47" s="876">
        <f t="shared" si="7"/>
        <v>-578164.22</v>
      </c>
      <c r="G47" s="876">
        <f t="shared" si="7"/>
        <v>8494594.4000000004</v>
      </c>
      <c r="H47" s="876">
        <f t="shared" si="7"/>
        <v>312361.21999999997</v>
      </c>
      <c r="I47" s="234"/>
      <c r="Q47" s="578"/>
      <c r="R47" s="578"/>
      <c r="S47" s="578"/>
      <c r="T47" s="578"/>
      <c r="U47" s="578"/>
    </row>
    <row r="48" spans="1:21" ht="25.15" customHeight="1">
      <c r="A48" s="651">
        <f t="shared" si="6"/>
        <v>29</v>
      </c>
      <c r="B48" s="560" t="s">
        <v>318</v>
      </c>
      <c r="C48" s="877">
        <f>SUM(D48:G48)</f>
        <v>-1010449.2</v>
      </c>
      <c r="D48" s="877">
        <f>D38</f>
        <v>0</v>
      </c>
      <c r="E48" s="878">
        <f>E38</f>
        <v>0</v>
      </c>
      <c r="F48" s="879">
        <f>F38</f>
        <v>-1010449.2</v>
      </c>
      <c r="G48" s="879">
        <f>G38</f>
        <v>0</v>
      </c>
      <c r="H48" s="879">
        <f>H38</f>
        <v>0</v>
      </c>
      <c r="I48" s="247" t="s">
        <v>319</v>
      </c>
      <c r="Q48" s="578"/>
      <c r="R48" s="578"/>
      <c r="S48" s="578"/>
      <c r="T48" s="578"/>
      <c r="U48" s="578"/>
    </row>
    <row r="49" spans="1:21" s="218" customFormat="1" ht="35.1" customHeight="1" thickBot="1">
      <c r="A49" s="651">
        <f>+A48+1</f>
        <v>30</v>
      </c>
      <c r="B49" s="559" t="s">
        <v>75</v>
      </c>
      <c r="C49" s="880">
        <f>+C47-C48</f>
        <v>9968033.5999999996</v>
      </c>
      <c r="D49" s="880">
        <f t="shared" ref="D49:H49" si="8">+D47-D48</f>
        <v>728793</v>
      </c>
      <c r="E49" s="880">
        <f t="shared" si="8"/>
        <v>0</v>
      </c>
      <c r="F49" s="880">
        <f t="shared" si="8"/>
        <v>432284.98</v>
      </c>
      <c r="G49" s="880">
        <f t="shared" si="8"/>
        <v>8494594.4000000004</v>
      </c>
      <c r="H49" s="880">
        <f t="shared" si="8"/>
        <v>312361.21999999997</v>
      </c>
      <c r="I49" s="558"/>
      <c r="Q49" s="578"/>
      <c r="R49" s="578"/>
      <c r="S49" s="578"/>
      <c r="T49" s="578"/>
      <c r="U49" s="578"/>
    </row>
    <row r="50" spans="1:21" ht="35.1" customHeight="1">
      <c r="B50" s="58" t="s">
        <v>320</v>
      </c>
      <c r="C50" s="58"/>
      <c r="D50" s="249"/>
      <c r="E50" s="759"/>
      <c r="F50" s="73"/>
      <c r="G50" s="218"/>
      <c r="H50" s="218"/>
      <c r="I50" s="760"/>
    </row>
    <row r="51" spans="1:21" ht="19.149999999999999" customHeight="1">
      <c r="B51" s="1117" t="s">
        <v>321</v>
      </c>
      <c r="C51" s="1118"/>
      <c r="D51" s="1118"/>
      <c r="E51" s="1118"/>
      <c r="F51" s="1118"/>
      <c r="G51" s="1118"/>
      <c r="H51" s="1118"/>
      <c r="I51" s="1118"/>
    </row>
    <row r="52" spans="1:21" ht="18.600000000000001" customHeight="1">
      <c r="B52" s="254" t="s">
        <v>322</v>
      </c>
      <c r="C52" s="58"/>
      <c r="D52" s="218"/>
      <c r="E52" s="58"/>
      <c r="F52" s="58"/>
      <c r="G52" s="73"/>
      <c r="H52" s="73"/>
      <c r="I52" s="73"/>
    </row>
    <row r="53" spans="1:21" ht="19.149999999999999" customHeight="1">
      <c r="B53" s="254" t="s">
        <v>323</v>
      </c>
      <c r="C53" s="58"/>
      <c r="D53" s="218"/>
      <c r="E53" s="58"/>
      <c r="F53" s="58"/>
      <c r="G53" s="73"/>
      <c r="H53" s="73"/>
      <c r="I53" s="73"/>
    </row>
    <row r="54" spans="1:21" ht="16.899999999999999" customHeight="1">
      <c r="B54" s="254" t="s">
        <v>324</v>
      </c>
      <c r="C54" s="58"/>
      <c r="D54" s="218"/>
      <c r="E54" s="58"/>
      <c r="F54" s="58"/>
      <c r="G54" s="73"/>
      <c r="H54" s="73"/>
      <c r="I54" s="73"/>
    </row>
    <row r="55" spans="1:21" ht="15" customHeight="1">
      <c r="B55" s="1118" t="s">
        <v>325</v>
      </c>
      <c r="C55" s="1118"/>
      <c r="D55" s="1118"/>
      <c r="E55" s="1118"/>
      <c r="F55" s="1118"/>
      <c r="G55" s="1118"/>
      <c r="H55" s="1118"/>
      <c r="I55" s="1118"/>
    </row>
    <row r="56" spans="1:21">
      <c r="B56" s="237" t="s">
        <v>326</v>
      </c>
      <c r="C56" s="653"/>
      <c r="D56" s="761"/>
      <c r="E56" s="653"/>
      <c r="F56" s="653"/>
      <c r="G56" s="653"/>
      <c r="H56" s="653"/>
      <c r="I56" s="1080"/>
    </row>
    <row r="57" spans="1:21" ht="15.75">
      <c r="B57" s="237"/>
      <c r="C57" s="729"/>
      <c r="D57" s="729"/>
      <c r="E57" s="729"/>
      <c r="F57" s="729"/>
      <c r="G57" s="729"/>
      <c r="H57" s="729"/>
      <c r="I57" s="1080"/>
    </row>
    <row r="58" spans="1:21" s="215" customFormat="1" ht="18">
      <c r="B58" s="1115" t="str">
        <f>+B1</f>
        <v>Dayton Power and Light</v>
      </c>
      <c r="C58" s="1119"/>
      <c r="D58" s="1119"/>
      <c r="E58" s="1119"/>
      <c r="F58" s="1119"/>
      <c r="G58" s="1119"/>
      <c r="H58" s="1119"/>
      <c r="I58" s="1119"/>
    </row>
    <row r="59" spans="1:21" s="215" customFormat="1" ht="18">
      <c r="B59" s="1114" t="str">
        <f>+B2</f>
        <v xml:space="preserve">ATTACHMENT H-15A </v>
      </c>
      <c r="C59" s="1114"/>
      <c r="D59" s="1114"/>
      <c r="E59" s="1114"/>
      <c r="F59" s="1114"/>
      <c r="G59" s="1114"/>
      <c r="H59" s="1114"/>
      <c r="I59" s="1114"/>
    </row>
    <row r="60" spans="1:21" s="215" customFormat="1" ht="18">
      <c r="B60" s="1114" t="str">
        <f>+B3</f>
        <v>Attachment 1A - Accumulated Deferred Income Taxes (ADIT) Worksheet - Projected December 31, 2021</v>
      </c>
      <c r="C60" s="1114"/>
      <c r="D60" s="1114"/>
      <c r="E60" s="1114"/>
      <c r="F60" s="1114"/>
      <c r="G60" s="1114"/>
      <c r="H60" s="1114"/>
      <c r="I60" s="1114"/>
    </row>
    <row r="61" spans="1:21" ht="18">
      <c r="B61" s="239"/>
      <c r="C61" s="238"/>
      <c r="D61" s="238"/>
      <c r="E61" s="238"/>
      <c r="F61" s="238"/>
      <c r="G61" s="238"/>
      <c r="H61" s="238"/>
      <c r="I61" s="967"/>
    </row>
    <row r="62" spans="1:21" ht="18">
      <c r="B62" s="729" t="s">
        <v>217</v>
      </c>
      <c r="C62" s="729" t="s">
        <v>219</v>
      </c>
      <c r="D62" s="729" t="s">
        <v>222</v>
      </c>
      <c r="E62" s="729" t="s">
        <v>224</v>
      </c>
      <c r="F62" s="729" t="s">
        <v>226</v>
      </c>
      <c r="G62" s="729" t="s">
        <v>228</v>
      </c>
      <c r="H62" s="232" t="s">
        <v>230</v>
      </c>
      <c r="I62" s="968"/>
    </row>
    <row r="63" spans="1:21" ht="18">
      <c r="B63" s="218"/>
      <c r="C63" s="240" t="s">
        <v>327</v>
      </c>
      <c r="D63" s="240"/>
      <c r="E63" s="240"/>
      <c r="F63" s="240"/>
      <c r="G63" s="240"/>
      <c r="H63" s="223"/>
      <c r="I63" s="968"/>
    </row>
    <row r="64" spans="1:21" ht="15.75">
      <c r="B64" s="241" t="s">
        <v>328</v>
      </c>
      <c r="C64" s="240"/>
      <c r="D64" s="240"/>
      <c r="E64" s="240" t="s">
        <v>271</v>
      </c>
      <c r="F64" s="240" t="s">
        <v>272</v>
      </c>
      <c r="G64" s="240" t="s">
        <v>273</v>
      </c>
      <c r="H64" s="223" t="s">
        <v>274</v>
      </c>
      <c r="I64" s="729" t="s">
        <v>237</v>
      </c>
    </row>
    <row r="65" spans="1:21" ht="15.75" thickBot="1">
      <c r="B65" s="237"/>
      <c r="C65" s="240"/>
      <c r="D65" s="240" t="str">
        <f>+D34</f>
        <v>Excluded</v>
      </c>
      <c r="E65" s="240" t="s">
        <v>275</v>
      </c>
      <c r="F65" s="240" t="s">
        <v>275</v>
      </c>
      <c r="G65" s="240" t="s">
        <v>275</v>
      </c>
      <c r="H65" s="710" t="s">
        <v>275</v>
      </c>
      <c r="I65" s="240" t="s">
        <v>293</v>
      </c>
    </row>
    <row r="66" spans="1:21" ht="47.25" customHeight="1">
      <c r="A66" s="216">
        <f>+A49+1</f>
        <v>31</v>
      </c>
      <c r="B66" s="812" t="s">
        <v>329</v>
      </c>
      <c r="C66" s="881">
        <f>+E66+F66+G66</f>
        <v>0</v>
      </c>
      <c r="D66" s="882">
        <v>0</v>
      </c>
      <c r="E66" s="883">
        <v>0</v>
      </c>
      <c r="F66" s="883">
        <v>0</v>
      </c>
      <c r="G66" s="883">
        <v>0</v>
      </c>
      <c r="H66" s="884">
        <v>0</v>
      </c>
      <c r="I66" s="813" t="str">
        <f>+'1D - ADIT True-up'!I68</f>
        <v>Tax and book differences resulting from accelerated tax depreciation .  Included in prorated amount</v>
      </c>
      <c r="Q66" s="577"/>
      <c r="R66" s="577"/>
      <c r="S66" s="577"/>
      <c r="T66" s="577"/>
      <c r="U66" s="577"/>
    </row>
    <row r="67" spans="1:21" ht="46.5" customHeight="1">
      <c r="A67" s="216">
        <f>+A66+1</f>
        <v>32</v>
      </c>
      <c r="B67" s="563" t="s">
        <v>315</v>
      </c>
      <c r="C67" s="873">
        <v>0</v>
      </c>
      <c r="D67" s="885">
        <v>0</v>
      </c>
      <c r="E67" s="885">
        <v>-24844364.93904135</v>
      </c>
      <c r="F67" s="885">
        <v>0</v>
      </c>
      <c r="G67" s="885">
        <v>0</v>
      </c>
      <c r="H67" s="886">
        <v>0</v>
      </c>
      <c r="I67" s="1006" t="s">
        <v>330</v>
      </c>
      <c r="Q67" s="577"/>
      <c r="R67" s="577"/>
      <c r="S67" s="577"/>
      <c r="T67" s="577"/>
      <c r="U67" s="577"/>
    </row>
    <row r="68" spans="1:21" s="218" customFormat="1" ht="35.1" customHeight="1" thickBot="1">
      <c r="A68" s="216">
        <f>+A67+1</f>
        <v>33</v>
      </c>
      <c r="B68" s="559" t="s">
        <v>75</v>
      </c>
      <c r="C68" s="880">
        <f>+SUM(C66:C67)</f>
        <v>0</v>
      </c>
      <c r="D68" s="880">
        <f t="shared" ref="D68:H68" si="9">+SUM(D66:D67)</f>
        <v>0</v>
      </c>
      <c r="E68" s="880">
        <f t="shared" si="9"/>
        <v>-24844364.93904135</v>
      </c>
      <c r="F68" s="880">
        <f t="shared" si="9"/>
        <v>0</v>
      </c>
      <c r="G68" s="880">
        <f t="shared" si="9"/>
        <v>0</v>
      </c>
      <c r="H68" s="880">
        <f t="shared" si="9"/>
        <v>0</v>
      </c>
      <c r="I68" s="558"/>
      <c r="Q68" s="577"/>
      <c r="R68" s="577"/>
      <c r="S68" s="577"/>
      <c r="T68" s="577"/>
      <c r="U68" s="577"/>
    </row>
    <row r="69" spans="1:21" ht="25.15" customHeight="1">
      <c r="B69" s="58" t="s">
        <v>331</v>
      </c>
      <c r="C69" s="58"/>
      <c r="D69" s="58"/>
      <c r="E69" s="73"/>
      <c r="F69" s="759"/>
      <c r="G69" s="218"/>
      <c r="H69" s="218"/>
      <c r="I69" s="1080"/>
    </row>
    <row r="70" spans="1:21" ht="21" customHeight="1">
      <c r="B70" s="254" t="s">
        <v>332</v>
      </c>
      <c r="C70" s="58"/>
      <c r="D70" s="218"/>
      <c r="E70" s="58"/>
      <c r="F70" s="58"/>
      <c r="G70" s="73"/>
      <c r="H70" s="73"/>
      <c r="I70" s="73"/>
    </row>
    <row r="71" spans="1:21" ht="15" customHeight="1">
      <c r="B71" s="254" t="s">
        <v>322</v>
      </c>
      <c r="C71" s="58"/>
      <c r="D71" s="218"/>
      <c r="E71" s="58"/>
      <c r="F71" s="58"/>
      <c r="G71" s="73"/>
      <c r="H71" s="73"/>
      <c r="I71" s="73"/>
    </row>
    <row r="72" spans="1:21" ht="19.149999999999999" customHeight="1">
      <c r="B72" s="254" t="s">
        <v>333</v>
      </c>
      <c r="C72" s="58"/>
      <c r="D72" s="218"/>
      <c r="E72" s="58"/>
      <c r="F72" s="58"/>
      <c r="G72" s="73"/>
      <c r="H72" s="73"/>
      <c r="I72" s="73"/>
    </row>
    <row r="73" spans="1:21" ht="18.600000000000001" customHeight="1">
      <c r="B73" s="254" t="s">
        <v>334</v>
      </c>
      <c r="C73" s="58"/>
      <c r="D73" s="218"/>
      <c r="E73" s="58"/>
      <c r="F73" s="58"/>
      <c r="G73" s="73"/>
      <c r="H73" s="73"/>
      <c r="I73" s="73"/>
    </row>
    <row r="74" spans="1:21" ht="18.600000000000001" customHeight="1">
      <c r="B74" s="1118" t="s">
        <v>325</v>
      </c>
      <c r="C74" s="1118"/>
      <c r="D74" s="1118"/>
      <c r="E74" s="1118"/>
      <c r="F74" s="1118"/>
      <c r="G74" s="1118"/>
      <c r="H74" s="1118"/>
      <c r="I74" s="1118"/>
    </row>
    <row r="75" spans="1:21">
      <c r="B75" s="237" t="s">
        <v>326</v>
      </c>
      <c r="C75" s="653"/>
      <c r="D75" s="761"/>
      <c r="E75" s="653"/>
      <c r="F75" s="653"/>
      <c r="G75" s="653"/>
      <c r="H75" s="653"/>
      <c r="I75" s="1080"/>
    </row>
    <row r="76" spans="1:21">
      <c r="B76" s="237"/>
      <c r="C76" s="218"/>
      <c r="D76" s="58"/>
      <c r="E76" s="58"/>
      <c r="F76" s="73"/>
      <c r="G76" s="73"/>
      <c r="H76" s="73"/>
      <c r="I76" s="1080"/>
    </row>
    <row r="77" spans="1:21">
      <c r="B77" s="237"/>
      <c r="C77" s="218"/>
      <c r="D77" s="58"/>
      <c r="E77" s="58"/>
      <c r="F77" s="73"/>
      <c r="G77" s="73"/>
      <c r="H77" s="73"/>
      <c r="I77" s="1080"/>
    </row>
    <row r="78" spans="1:21" ht="15.75">
      <c r="B78" s="729"/>
      <c r="C78" s="238"/>
      <c r="D78" s="238"/>
      <c r="E78" s="238"/>
      <c r="F78" s="238"/>
      <c r="G78" s="238"/>
      <c r="H78" s="238"/>
      <c r="I78" s="238"/>
    </row>
    <row r="79" spans="1:21" s="215" customFormat="1" ht="18">
      <c r="B79" s="255" t="str">
        <f>B1</f>
        <v>Dayton Power and Light</v>
      </c>
      <c r="C79" s="256"/>
      <c r="D79" s="256"/>
      <c r="E79" s="256"/>
      <c r="F79" s="256"/>
      <c r="G79" s="256"/>
      <c r="H79" s="256"/>
      <c r="I79" s="257"/>
    </row>
    <row r="80" spans="1:21" s="215" customFormat="1" ht="18">
      <c r="B80" s="1115" t="str">
        <f>+B59</f>
        <v xml:space="preserve">ATTACHMENT H-15A </v>
      </c>
      <c r="C80" s="1115"/>
      <c r="D80" s="1115"/>
      <c r="E80" s="1115"/>
      <c r="F80" s="1115"/>
      <c r="G80" s="1115"/>
      <c r="H80" s="1115"/>
      <c r="I80" s="1115"/>
    </row>
    <row r="81" spans="1:21" s="215" customFormat="1" ht="18">
      <c r="B81" s="1115" t="str">
        <f>+B3</f>
        <v>Attachment 1A - Accumulated Deferred Income Taxes (ADIT) Worksheet - Projected December 31, 2021</v>
      </c>
      <c r="C81" s="1115"/>
      <c r="D81" s="1115"/>
      <c r="E81" s="1115"/>
      <c r="F81" s="1115"/>
      <c r="G81" s="1115"/>
      <c r="H81" s="1115"/>
      <c r="I81" s="1115"/>
    </row>
    <row r="82" spans="1:21" s="215" customFormat="1" ht="18.75">
      <c r="B82" s="242"/>
      <c r="C82" s="217"/>
      <c r="D82" s="217"/>
      <c r="E82" s="217"/>
      <c r="F82" s="217"/>
      <c r="G82" s="213"/>
      <c r="H82" s="213"/>
      <c r="I82" s="243"/>
    </row>
    <row r="83" spans="1:21" ht="15.75">
      <c r="B83" s="231" t="s">
        <v>217</v>
      </c>
      <c r="C83" s="232" t="s">
        <v>219</v>
      </c>
      <c r="D83" s="232" t="s">
        <v>222</v>
      </c>
      <c r="E83" s="232" t="s">
        <v>224</v>
      </c>
      <c r="F83" s="232" t="s">
        <v>226</v>
      </c>
      <c r="G83" s="232" t="s">
        <v>228</v>
      </c>
      <c r="H83" s="231" t="s">
        <v>230</v>
      </c>
      <c r="I83" s="232" t="s">
        <v>237</v>
      </c>
    </row>
    <row r="84" spans="1:21" ht="15.75">
      <c r="B84" s="241" t="s">
        <v>335</v>
      </c>
      <c r="C84" s="231" t="s">
        <v>75</v>
      </c>
      <c r="D84" s="244"/>
      <c r="E84" s="1079" t="s">
        <v>271</v>
      </c>
      <c r="F84" s="244" t="s">
        <v>272</v>
      </c>
      <c r="G84" s="244" t="s">
        <v>273</v>
      </c>
      <c r="H84" s="231" t="s">
        <v>274</v>
      </c>
    </row>
    <row r="85" spans="1:21" ht="16.149999999999999" customHeight="1" thickBot="1">
      <c r="C85" s="231"/>
      <c r="D85" s="231" t="str">
        <f>+D65</f>
        <v>Excluded</v>
      </c>
      <c r="E85" s="1079" t="s">
        <v>275</v>
      </c>
      <c r="F85" s="231"/>
      <c r="G85" s="231"/>
      <c r="H85" s="731" t="s">
        <v>275</v>
      </c>
      <c r="I85" s="240" t="s">
        <v>293</v>
      </c>
    </row>
    <row r="86" spans="1:21" ht="25.15" customHeight="1">
      <c r="A86" s="651">
        <f>+A66+1</f>
        <v>32</v>
      </c>
      <c r="B86" s="561" t="s">
        <v>336</v>
      </c>
      <c r="C86" s="870">
        <v>-6274880</v>
      </c>
      <c r="D86" s="870">
        <v>-5701420</v>
      </c>
      <c r="E86" s="870">
        <v>-573460</v>
      </c>
      <c r="F86" s="870">
        <v>0</v>
      </c>
      <c r="G86" s="870">
        <v>0</v>
      </c>
      <c r="H86" s="870">
        <v>0</v>
      </c>
      <c r="I86" s="1005" t="s">
        <v>337</v>
      </c>
      <c r="Q86" s="577"/>
      <c r="R86" s="577"/>
      <c r="S86" s="577"/>
      <c r="T86" s="577"/>
      <c r="U86" s="577"/>
    </row>
    <row r="87" spans="1:21" ht="33.6" customHeight="1">
      <c r="A87" s="651">
        <f>+A86+1</f>
        <v>33</v>
      </c>
      <c r="B87" s="563" t="s">
        <v>338</v>
      </c>
      <c r="C87" s="873">
        <v>-3003279</v>
      </c>
      <c r="D87" s="873">
        <f>C87</f>
        <v>-3003279</v>
      </c>
      <c r="E87" s="873">
        <v>0</v>
      </c>
      <c r="F87" s="873">
        <v>0</v>
      </c>
      <c r="G87" s="873">
        <v>0</v>
      </c>
      <c r="H87" s="873">
        <v>0</v>
      </c>
      <c r="I87" s="661" t="s">
        <v>339</v>
      </c>
      <c r="Q87" s="577"/>
      <c r="R87" s="577"/>
      <c r="S87" s="577"/>
      <c r="T87" s="577"/>
      <c r="U87" s="577"/>
    </row>
    <row r="88" spans="1:21" ht="36.75" customHeight="1">
      <c r="A88" s="651">
        <f t="shared" ref="A88:A96" si="10">+A87+1</f>
        <v>34</v>
      </c>
      <c r="B88" s="563" t="s">
        <v>340</v>
      </c>
      <c r="C88" s="873">
        <v>-26451165</v>
      </c>
      <c r="D88" s="873">
        <v>-24033798</v>
      </c>
      <c r="E88" s="873">
        <v>-2417367</v>
      </c>
      <c r="F88" s="873">
        <v>0</v>
      </c>
      <c r="G88" s="873">
        <v>0</v>
      </c>
      <c r="H88" s="873">
        <v>0</v>
      </c>
      <c r="I88" s="661" t="s">
        <v>341</v>
      </c>
      <c r="Q88" s="577"/>
      <c r="R88" s="577"/>
      <c r="S88" s="577"/>
      <c r="T88" s="577"/>
      <c r="U88" s="577"/>
    </row>
    <row r="89" spans="1:21" ht="31.5" customHeight="1">
      <c r="A89" s="651">
        <f t="shared" si="10"/>
        <v>35</v>
      </c>
      <c r="B89" s="563" t="s">
        <v>342</v>
      </c>
      <c r="C89" s="873">
        <v>-25591867</v>
      </c>
      <c r="D89" s="873">
        <f>+C89</f>
        <v>-25591867</v>
      </c>
      <c r="E89" s="873">
        <v>0</v>
      </c>
      <c r="F89" s="873">
        <v>0</v>
      </c>
      <c r="G89" s="873">
        <v>0</v>
      </c>
      <c r="H89" s="873">
        <v>0</v>
      </c>
      <c r="I89" s="661" t="s">
        <v>343</v>
      </c>
      <c r="Q89" s="577"/>
      <c r="R89" s="577"/>
      <c r="S89" s="577"/>
      <c r="T89" s="577"/>
      <c r="U89" s="577"/>
    </row>
    <row r="90" spans="1:21" ht="25.15" customHeight="1">
      <c r="A90" s="651">
        <f t="shared" si="10"/>
        <v>36</v>
      </c>
      <c r="B90" s="811" t="s">
        <v>344</v>
      </c>
      <c r="C90" s="873">
        <v>17517844</v>
      </c>
      <c r="D90" s="873">
        <v>17517844</v>
      </c>
      <c r="E90" s="873">
        <v>0</v>
      </c>
      <c r="F90" s="873">
        <v>0</v>
      </c>
      <c r="G90" s="873">
        <v>0</v>
      </c>
      <c r="H90" s="873">
        <v>0</v>
      </c>
      <c r="I90" s="657" t="s">
        <v>300</v>
      </c>
      <c r="Q90" s="577"/>
      <c r="R90" s="577"/>
      <c r="S90" s="577"/>
      <c r="T90" s="577"/>
      <c r="U90" s="577"/>
    </row>
    <row r="91" spans="1:21" ht="25.15" customHeight="1">
      <c r="A91" s="651">
        <f t="shared" si="10"/>
        <v>37</v>
      </c>
      <c r="B91" s="563" t="s">
        <v>345</v>
      </c>
      <c r="C91" s="873">
        <v>1156950</v>
      </c>
      <c r="D91" s="873">
        <v>1051217</v>
      </c>
      <c r="E91" s="873">
        <v>105733</v>
      </c>
      <c r="F91" s="873">
        <v>0</v>
      </c>
      <c r="G91" s="873">
        <v>0</v>
      </c>
      <c r="H91" s="873">
        <v>0</v>
      </c>
      <c r="I91" s="661" t="s">
        <v>346</v>
      </c>
      <c r="Q91" s="577"/>
      <c r="R91" s="577"/>
      <c r="S91" s="577"/>
      <c r="T91" s="577"/>
      <c r="U91" s="577"/>
    </row>
    <row r="92" spans="1:21" ht="35.25" customHeight="1">
      <c r="A92" s="651">
        <f>+A91+1</f>
        <v>38</v>
      </c>
      <c r="B92" s="563" t="s">
        <v>315</v>
      </c>
      <c r="C92" s="873">
        <v>18822055</v>
      </c>
      <c r="D92" s="873">
        <v>-799122</v>
      </c>
      <c r="E92" s="873">
        <v>0</v>
      </c>
      <c r="F92" s="873">
        <v>19621177</v>
      </c>
      <c r="G92" s="873">
        <v>0</v>
      </c>
      <c r="H92" s="873">
        <v>0</v>
      </c>
      <c r="I92" s="661" t="s">
        <v>347</v>
      </c>
      <c r="Q92" s="577"/>
      <c r="R92" s="577"/>
      <c r="S92" s="577"/>
      <c r="T92" s="577"/>
      <c r="U92" s="577"/>
    </row>
    <row r="93" spans="1:21" ht="25.15" customHeight="1">
      <c r="A93" s="651">
        <f t="shared" si="10"/>
        <v>39</v>
      </c>
      <c r="B93" s="258" t="s">
        <v>348</v>
      </c>
      <c r="C93" s="887">
        <f>SUM(C84:C92)</f>
        <v>-23824342</v>
      </c>
      <c r="D93" s="887">
        <f>SUM(D84:D92)</f>
        <v>-40560425</v>
      </c>
      <c r="E93" s="887">
        <f>SUM(E84:E92)</f>
        <v>-2885094</v>
      </c>
      <c r="F93" s="887">
        <f>SUM(F84:F92)</f>
        <v>19621177</v>
      </c>
      <c r="G93" s="887">
        <f t="shared" ref="G93:H93" si="11">SUM(G84:G92)</f>
        <v>0</v>
      </c>
      <c r="H93" s="887">
        <f t="shared" si="11"/>
        <v>0</v>
      </c>
      <c r="I93" s="259"/>
      <c r="Q93" s="577"/>
      <c r="R93" s="577"/>
      <c r="S93" s="577"/>
      <c r="T93" s="577"/>
      <c r="U93" s="577"/>
    </row>
    <row r="94" spans="1:21" ht="25.15" customHeight="1">
      <c r="A94" s="651">
        <f t="shared" si="10"/>
        <v>40</v>
      </c>
      <c r="B94" s="246" t="s">
        <v>349</v>
      </c>
      <c r="C94" s="877">
        <f t="shared" ref="C94:H94" si="12">+C90</f>
        <v>17517844</v>
      </c>
      <c r="D94" s="877">
        <f t="shared" si="12"/>
        <v>17517844</v>
      </c>
      <c r="E94" s="877">
        <f t="shared" si="12"/>
        <v>0</v>
      </c>
      <c r="F94" s="877">
        <f t="shared" si="12"/>
        <v>0</v>
      </c>
      <c r="G94" s="877">
        <f t="shared" si="12"/>
        <v>0</v>
      </c>
      <c r="H94" s="877">
        <f t="shared" si="12"/>
        <v>0</v>
      </c>
      <c r="I94" s="247"/>
      <c r="Q94" s="577"/>
      <c r="R94" s="577"/>
      <c r="S94" s="577"/>
      <c r="T94" s="577"/>
      <c r="U94" s="577"/>
    </row>
    <row r="95" spans="1:21" ht="25.15" customHeight="1">
      <c r="A95" s="651">
        <f t="shared" si="10"/>
        <v>41</v>
      </c>
      <c r="B95" s="640" t="s">
        <v>350</v>
      </c>
      <c r="C95" s="888">
        <f t="shared" ref="C95:H95" si="13">+C87</f>
        <v>-3003279</v>
      </c>
      <c r="D95" s="888">
        <f t="shared" si="13"/>
        <v>-3003279</v>
      </c>
      <c r="E95" s="888">
        <f t="shared" si="13"/>
        <v>0</v>
      </c>
      <c r="F95" s="888">
        <f t="shared" si="13"/>
        <v>0</v>
      </c>
      <c r="G95" s="888">
        <f t="shared" si="13"/>
        <v>0</v>
      </c>
      <c r="H95" s="888">
        <f t="shared" si="13"/>
        <v>0</v>
      </c>
      <c r="I95" s="641" t="s">
        <v>351</v>
      </c>
      <c r="Q95" s="577"/>
      <c r="R95" s="577"/>
      <c r="S95" s="577"/>
      <c r="T95" s="577"/>
      <c r="U95" s="577"/>
    </row>
    <row r="96" spans="1:21" s="218" customFormat="1" ht="35.1" customHeight="1" thickBot="1">
      <c r="A96" s="651">
        <f t="shared" si="10"/>
        <v>42</v>
      </c>
      <c r="B96" s="559" t="s">
        <v>75</v>
      </c>
      <c r="C96" s="880">
        <f>+C93-C94-C95</f>
        <v>-38338907</v>
      </c>
      <c r="D96" s="880">
        <f t="shared" ref="D96:G96" si="14">+D93-D94-D95</f>
        <v>-55074990</v>
      </c>
      <c r="E96" s="880">
        <f t="shared" si="14"/>
        <v>-2885094</v>
      </c>
      <c r="F96" s="880">
        <f t="shared" si="14"/>
        <v>19621177</v>
      </c>
      <c r="G96" s="880">
        <f t="shared" si="14"/>
        <v>0</v>
      </c>
      <c r="H96" s="880">
        <f t="shared" ref="H96" si="15">+H93-H94-H95</f>
        <v>0</v>
      </c>
      <c r="I96" s="558"/>
      <c r="Q96" s="577"/>
      <c r="R96" s="577"/>
      <c r="S96" s="577"/>
      <c r="T96" s="577"/>
      <c r="U96" s="577"/>
    </row>
    <row r="97" spans="2:21" s="218" customFormat="1">
      <c r="B97" s="237"/>
      <c r="C97" s="248"/>
      <c r="D97" s="249"/>
      <c r="E97" s="249"/>
      <c r="F97" s="249"/>
      <c r="G97" s="249"/>
      <c r="H97" s="249"/>
      <c r="I97" s="1080"/>
      <c r="Q97" s="577"/>
      <c r="R97" s="577"/>
      <c r="S97" s="577"/>
      <c r="T97" s="577"/>
      <c r="U97" s="577"/>
    </row>
    <row r="98" spans="2:21" s="218" customFormat="1" ht="20.45" customHeight="1">
      <c r="B98" s="58" t="s">
        <v>352</v>
      </c>
      <c r="C98" s="58"/>
      <c r="D98" s="58"/>
      <c r="E98" s="73"/>
      <c r="F98" s="73"/>
      <c r="I98" s="250"/>
    </row>
    <row r="99" spans="2:21" ht="21" customHeight="1">
      <c r="B99" s="254" t="str">
        <f>+B70</f>
        <v>1.  ADIT items related only to Non-Electric Operations or Production are directly assigned to Column C</v>
      </c>
      <c r="C99" s="58"/>
      <c r="D99" s="218"/>
      <c r="E99" s="58"/>
      <c r="F99" s="58"/>
      <c r="G99" s="73"/>
      <c r="H99" s="73"/>
      <c r="I99" s="73"/>
    </row>
    <row r="100" spans="2:21" ht="19.149999999999999" customHeight="1">
      <c r="B100" s="254" t="s">
        <v>322</v>
      </c>
      <c r="C100" s="58"/>
      <c r="D100" s="218"/>
      <c r="E100" s="58"/>
      <c r="F100" s="58"/>
      <c r="G100" s="73"/>
      <c r="H100" s="73"/>
      <c r="I100" s="73"/>
    </row>
    <row r="101" spans="2:21" ht="17.45" customHeight="1">
      <c r="B101" s="254" t="s">
        <v>333</v>
      </c>
      <c r="C101" s="58"/>
      <c r="D101" s="218"/>
      <c r="E101" s="58"/>
      <c r="F101" s="58"/>
      <c r="G101" s="73"/>
      <c r="H101" s="73"/>
      <c r="I101" s="73"/>
    </row>
    <row r="102" spans="2:21" ht="19.149999999999999" customHeight="1">
      <c r="B102" s="254" t="s">
        <v>334</v>
      </c>
      <c r="C102" s="58"/>
      <c r="D102" s="218"/>
      <c r="E102" s="58"/>
      <c r="F102" s="58"/>
      <c r="G102" s="73"/>
      <c r="H102" s="73"/>
      <c r="I102" s="73"/>
    </row>
    <row r="103" spans="2:21" ht="19.149999999999999" customHeight="1">
      <c r="B103" s="1118" t="s">
        <v>325</v>
      </c>
      <c r="C103" s="1118"/>
      <c r="D103" s="1118"/>
      <c r="E103" s="1118"/>
      <c r="F103" s="1118"/>
      <c r="G103" s="1118"/>
      <c r="H103" s="1118"/>
      <c r="I103" s="1118"/>
    </row>
    <row r="104" spans="2:21">
      <c r="B104" s="237" t="s">
        <v>326</v>
      </c>
      <c r="C104" s="653"/>
      <c r="D104" s="761"/>
      <c r="E104" s="653"/>
      <c r="F104" s="653"/>
      <c r="G104" s="653"/>
      <c r="H104" s="653"/>
      <c r="I104" s="1080"/>
    </row>
    <row r="105" spans="2:21" ht="15.75">
      <c r="B105" s="251"/>
      <c r="C105" s="252"/>
      <c r="D105" s="252"/>
      <c r="E105" s="252"/>
      <c r="F105" s="252"/>
      <c r="G105" s="252"/>
      <c r="H105" s="252"/>
      <c r="I105" s="252"/>
    </row>
    <row r="106" spans="2:21" ht="15.75">
      <c r="B106" s="1116"/>
      <c r="C106" s="1116"/>
      <c r="D106" s="1116"/>
      <c r="E106" s="1116"/>
      <c r="F106" s="1116"/>
      <c r="G106" s="1116"/>
      <c r="H106" s="1116"/>
      <c r="I106" s="1116"/>
    </row>
    <row r="107" spans="2:21">
      <c r="B107" s="58"/>
      <c r="C107" s="58"/>
      <c r="D107" s="58"/>
      <c r="E107" s="58"/>
      <c r="F107" s="58"/>
      <c r="G107" s="58"/>
      <c r="H107" s="58"/>
      <c r="I107" s="58"/>
    </row>
    <row r="108" spans="2:21">
      <c r="B108" s="58"/>
      <c r="C108" s="58"/>
      <c r="D108" s="58"/>
      <c r="E108" s="58"/>
      <c r="F108" s="58"/>
      <c r="G108" s="58"/>
      <c r="H108" s="58"/>
      <c r="I108" s="58"/>
    </row>
    <row r="109" spans="2:21">
      <c r="B109" s="58"/>
      <c r="C109" s="58"/>
      <c r="D109" s="58"/>
      <c r="E109" s="58"/>
      <c r="F109" s="58"/>
      <c r="G109" s="58"/>
      <c r="H109" s="58"/>
      <c r="I109" s="58"/>
    </row>
    <row r="110" spans="2:21" ht="15.75">
      <c r="B110" s="219"/>
      <c r="C110" s="58"/>
      <c r="D110" s="253"/>
      <c r="E110" s="253"/>
      <c r="F110" s="253"/>
      <c r="G110" s="253"/>
      <c r="H110" s="253"/>
      <c r="I110" s="253"/>
    </row>
    <row r="111" spans="2:21" ht="15.75">
      <c r="B111" s="219"/>
      <c r="C111" s="58"/>
      <c r="D111" s="253"/>
      <c r="E111" s="253"/>
      <c r="F111" s="253"/>
      <c r="G111" s="253"/>
      <c r="H111" s="253"/>
      <c r="I111" s="253"/>
    </row>
    <row r="112" spans="2:21">
      <c r="B112" s="254"/>
      <c r="C112" s="58"/>
      <c r="D112" s="73"/>
      <c r="E112" s="73"/>
      <c r="F112" s="58"/>
      <c r="G112" s="58"/>
      <c r="H112" s="58"/>
      <c r="I112" s="58"/>
    </row>
    <row r="113" spans="2:9">
      <c r="B113" s="254"/>
      <c r="C113" s="58"/>
      <c r="D113" s="26"/>
      <c r="E113" s="26"/>
      <c r="F113" s="58"/>
      <c r="G113" s="58"/>
      <c r="H113" s="58"/>
      <c r="I113" s="58"/>
    </row>
    <row r="114" spans="2:9">
      <c r="B114" s="254"/>
      <c r="C114" s="58"/>
      <c r="D114" s="26"/>
      <c r="E114" s="26"/>
      <c r="F114" s="58"/>
      <c r="G114" s="58"/>
      <c r="H114" s="58"/>
      <c r="I114" s="58"/>
    </row>
    <row r="115" spans="2:9">
      <c r="B115" s="254"/>
      <c r="C115" s="58"/>
      <c r="D115" s="26"/>
      <c r="E115" s="26"/>
      <c r="F115" s="58"/>
      <c r="G115" s="58"/>
      <c r="H115" s="58"/>
      <c r="I115" s="58"/>
    </row>
    <row r="116" spans="2:9">
      <c r="B116" s="254"/>
      <c r="C116" s="58"/>
      <c r="D116" s="26"/>
      <c r="E116" s="26"/>
      <c r="F116" s="58"/>
      <c r="G116" s="58"/>
      <c r="H116" s="58"/>
      <c r="I116" s="58"/>
    </row>
    <row r="117" spans="2:9">
      <c r="B117" s="254"/>
      <c r="C117" s="58"/>
      <c r="D117" s="26"/>
      <c r="E117" s="26"/>
      <c r="F117" s="58"/>
      <c r="G117" s="58"/>
      <c r="H117" s="58"/>
      <c r="I117" s="58"/>
    </row>
    <row r="118" spans="2:9">
      <c r="B118" s="254"/>
      <c r="C118" s="58"/>
      <c r="D118" s="26"/>
      <c r="E118" s="26"/>
      <c r="F118" s="58"/>
      <c r="G118" s="58"/>
      <c r="H118" s="58"/>
      <c r="I118" s="58"/>
    </row>
    <row r="119" spans="2:9">
      <c r="B119" s="254"/>
      <c r="C119" s="58"/>
      <c r="D119" s="26"/>
      <c r="E119" s="26"/>
      <c r="F119" s="58"/>
      <c r="G119" s="58"/>
      <c r="H119" s="58"/>
      <c r="I119" s="58"/>
    </row>
    <row r="120" spans="2:9">
      <c r="B120" s="254"/>
      <c r="C120" s="58"/>
      <c r="D120" s="26"/>
      <c r="E120" s="26"/>
      <c r="F120" s="58"/>
      <c r="G120" s="58"/>
      <c r="H120" s="58"/>
      <c r="I120" s="58"/>
    </row>
    <row r="121" spans="2:9">
      <c r="B121" s="254"/>
      <c r="C121" s="58"/>
      <c r="D121" s="26"/>
      <c r="E121" s="26"/>
      <c r="F121" s="58"/>
      <c r="G121" s="58"/>
      <c r="H121" s="58"/>
      <c r="I121" s="58"/>
    </row>
    <row r="122" spans="2:9">
      <c r="B122" s="254"/>
      <c r="C122" s="58"/>
      <c r="D122" s="26"/>
      <c r="E122" s="26"/>
      <c r="F122" s="58"/>
      <c r="G122" s="58"/>
      <c r="H122" s="58"/>
      <c r="I122" s="58"/>
    </row>
    <row r="123" spans="2:9">
      <c r="B123" s="58"/>
      <c r="C123" s="58"/>
      <c r="D123" s="26"/>
      <c r="E123" s="26"/>
      <c r="F123" s="58"/>
      <c r="G123" s="58"/>
      <c r="H123" s="58"/>
      <c r="I123" s="58"/>
    </row>
    <row r="124" spans="2:9">
      <c r="B124" s="254"/>
      <c r="C124" s="58"/>
      <c r="D124" s="26"/>
      <c r="E124" s="26"/>
      <c r="F124" s="58"/>
      <c r="G124" s="58"/>
      <c r="H124" s="58"/>
      <c r="I124" s="58"/>
    </row>
    <row r="125" spans="2:9">
      <c r="B125" s="58"/>
      <c r="C125" s="58"/>
      <c r="D125" s="26"/>
      <c r="E125" s="26"/>
      <c r="F125" s="58"/>
      <c r="G125" s="58"/>
      <c r="H125" s="58"/>
      <c r="I125" s="58"/>
    </row>
    <row r="126" spans="2:9">
      <c r="B126" s="254"/>
      <c r="C126" s="58"/>
      <c r="D126" s="58"/>
      <c r="E126" s="58"/>
      <c r="F126" s="58"/>
      <c r="G126" s="58"/>
      <c r="H126" s="58"/>
      <c r="I126" s="58"/>
    </row>
    <row r="127" spans="2:9">
      <c r="B127" s="254"/>
      <c r="C127" s="58"/>
      <c r="D127" s="58"/>
      <c r="E127" s="58"/>
      <c r="F127" s="58"/>
      <c r="G127" s="58"/>
      <c r="H127" s="58"/>
      <c r="I127" s="58"/>
    </row>
    <row r="128" spans="2:9">
      <c r="B128" s="254"/>
      <c r="C128" s="58"/>
      <c r="D128" s="58"/>
      <c r="E128" s="58"/>
      <c r="F128" s="58"/>
      <c r="G128" s="58"/>
      <c r="H128" s="58"/>
      <c r="I128" s="58"/>
    </row>
    <row r="129" spans="2:9">
      <c r="B129" s="254"/>
      <c r="C129" s="58"/>
      <c r="D129" s="58"/>
      <c r="E129" s="58"/>
      <c r="F129" s="58"/>
      <c r="G129" s="58"/>
      <c r="H129" s="58"/>
      <c r="I129" s="58"/>
    </row>
    <row r="130" spans="2:9">
      <c r="B130" s="254"/>
      <c r="C130" s="58"/>
      <c r="D130" s="58"/>
      <c r="E130" s="58"/>
      <c r="F130" s="58"/>
      <c r="G130" s="58"/>
      <c r="H130" s="58"/>
      <c r="I130" s="58"/>
    </row>
    <row r="131" spans="2:9">
      <c r="B131" s="254"/>
      <c r="C131" s="58"/>
      <c r="D131" s="58"/>
      <c r="E131" s="58"/>
      <c r="F131" s="58"/>
      <c r="G131" s="58"/>
      <c r="H131" s="58"/>
      <c r="I131" s="58"/>
    </row>
    <row r="132" spans="2:9">
      <c r="B132" s="254"/>
      <c r="C132" s="58"/>
      <c r="D132" s="58"/>
      <c r="E132" s="58"/>
      <c r="F132" s="58"/>
      <c r="G132" s="58"/>
      <c r="H132" s="58"/>
      <c r="I132" s="58"/>
    </row>
    <row r="133" spans="2:9">
      <c r="B133" s="254"/>
      <c r="C133" s="58"/>
      <c r="D133" s="58"/>
      <c r="E133" s="58"/>
      <c r="F133" s="58"/>
      <c r="G133" s="58"/>
      <c r="H133" s="58"/>
      <c r="I133" s="58"/>
    </row>
    <row r="134" spans="2:9">
      <c r="B134" s="254"/>
      <c r="C134" s="58"/>
      <c r="D134" s="58"/>
      <c r="E134" s="58"/>
      <c r="F134" s="58"/>
      <c r="G134" s="58"/>
      <c r="H134" s="58"/>
      <c r="I134" s="58"/>
    </row>
    <row r="135" spans="2:9">
      <c r="B135" s="254"/>
      <c r="C135" s="58"/>
      <c r="D135" s="58"/>
      <c r="E135" s="58"/>
      <c r="F135" s="58"/>
      <c r="G135" s="58"/>
      <c r="H135" s="58"/>
      <c r="I135" s="58"/>
    </row>
    <row r="136" spans="2:9">
      <c r="B136" s="254"/>
      <c r="C136" s="58"/>
      <c r="D136" s="58"/>
      <c r="E136" s="58"/>
      <c r="F136" s="58"/>
      <c r="G136" s="58"/>
      <c r="H136" s="58"/>
      <c r="I136" s="58"/>
    </row>
    <row r="137" spans="2:9">
      <c r="B137" s="254"/>
      <c r="C137" s="58"/>
      <c r="D137" s="58"/>
      <c r="E137" s="58"/>
      <c r="F137" s="58"/>
      <c r="G137" s="58"/>
      <c r="H137" s="58"/>
      <c r="I137" s="58"/>
    </row>
    <row r="138" spans="2:9">
      <c r="B138" s="254"/>
      <c r="C138" s="58"/>
      <c r="D138" s="58"/>
      <c r="E138" s="58"/>
      <c r="F138" s="58"/>
      <c r="G138" s="58"/>
      <c r="H138" s="58"/>
      <c r="I138" s="58"/>
    </row>
    <row r="139" spans="2:9">
      <c r="B139" s="254"/>
      <c r="C139" s="58"/>
      <c r="D139" s="58"/>
      <c r="E139" s="58"/>
      <c r="F139" s="58"/>
      <c r="G139" s="58"/>
      <c r="H139" s="58"/>
      <c r="I139" s="58"/>
    </row>
    <row r="140" spans="2:9">
      <c r="B140" s="254"/>
      <c r="C140" s="58"/>
      <c r="D140" s="58"/>
      <c r="E140" s="58"/>
      <c r="F140" s="58"/>
      <c r="G140" s="58"/>
      <c r="H140" s="58"/>
      <c r="I140" s="58"/>
    </row>
    <row r="141" spans="2:9">
      <c r="B141" s="254"/>
      <c r="C141" s="58"/>
      <c r="D141" s="58"/>
      <c r="E141" s="58"/>
      <c r="F141" s="58"/>
      <c r="G141" s="58"/>
      <c r="H141" s="58"/>
      <c r="I141" s="58"/>
    </row>
    <row r="142" spans="2:9">
      <c r="B142" s="254"/>
      <c r="C142" s="58"/>
      <c r="D142" s="58"/>
      <c r="E142" s="58"/>
      <c r="F142" s="58"/>
      <c r="G142" s="58"/>
      <c r="H142" s="58"/>
      <c r="I142" s="58"/>
    </row>
    <row r="143" spans="2:9">
      <c r="B143" s="254"/>
      <c r="C143" s="58"/>
      <c r="D143" s="58"/>
      <c r="E143" s="58"/>
      <c r="F143" s="58"/>
      <c r="G143" s="58"/>
      <c r="H143" s="58"/>
      <c r="I143" s="58"/>
    </row>
    <row r="144" spans="2:9">
      <c r="B144" s="254"/>
      <c r="C144" s="58"/>
      <c r="D144" s="58"/>
      <c r="E144" s="58"/>
      <c r="F144" s="58"/>
      <c r="G144" s="58"/>
      <c r="H144" s="58"/>
      <c r="I144" s="58"/>
    </row>
    <row r="145" spans="2:9">
      <c r="B145" s="254"/>
      <c r="C145" s="58"/>
      <c r="D145" s="58"/>
      <c r="E145" s="58"/>
      <c r="F145" s="58"/>
      <c r="G145" s="58"/>
      <c r="H145" s="58"/>
      <c r="I145" s="58"/>
    </row>
    <row r="146" spans="2:9">
      <c r="B146" s="254"/>
      <c r="C146" s="58"/>
      <c r="D146" s="58"/>
      <c r="E146" s="58"/>
      <c r="F146" s="58"/>
      <c r="G146" s="58"/>
      <c r="H146" s="58"/>
      <c r="I146" s="58"/>
    </row>
    <row r="147" spans="2:9">
      <c r="B147" s="254"/>
      <c r="C147" s="58"/>
      <c r="D147" s="58"/>
      <c r="E147" s="58"/>
      <c r="F147" s="58"/>
      <c r="G147" s="58"/>
      <c r="H147" s="58"/>
      <c r="I147" s="58"/>
    </row>
    <row r="148" spans="2:9">
      <c r="B148" s="254"/>
      <c r="C148" s="58"/>
      <c r="D148" s="58"/>
      <c r="E148" s="58"/>
      <c r="F148" s="58"/>
      <c r="G148" s="58"/>
      <c r="H148" s="58"/>
      <c r="I148" s="58"/>
    </row>
    <row r="149" spans="2:9">
      <c r="B149" s="254"/>
      <c r="C149" s="58"/>
      <c r="D149" s="58"/>
      <c r="E149" s="58"/>
      <c r="F149" s="58"/>
      <c r="G149" s="58"/>
      <c r="H149" s="58"/>
      <c r="I149" s="58"/>
    </row>
    <row r="150" spans="2:9">
      <c r="B150" s="254"/>
      <c r="C150" s="58"/>
      <c r="D150" s="58"/>
      <c r="E150" s="58"/>
      <c r="F150" s="58"/>
      <c r="G150" s="58"/>
      <c r="H150" s="58"/>
      <c r="I150" s="58"/>
    </row>
    <row r="151" spans="2:9">
      <c r="B151" s="254"/>
      <c r="C151" s="58"/>
      <c r="D151" s="58"/>
      <c r="E151" s="58"/>
      <c r="F151" s="58"/>
      <c r="G151" s="58"/>
      <c r="H151" s="58"/>
      <c r="I151" s="58"/>
    </row>
    <row r="152" spans="2:9">
      <c r="B152" s="254"/>
      <c r="C152" s="58"/>
      <c r="D152" s="58"/>
      <c r="E152" s="58"/>
      <c r="F152" s="58"/>
      <c r="G152" s="58"/>
      <c r="H152" s="58"/>
      <c r="I152" s="58"/>
    </row>
    <row r="153" spans="2:9">
      <c r="B153" s="254"/>
      <c r="C153" s="58"/>
      <c r="D153" s="58"/>
      <c r="E153" s="58"/>
      <c r="F153" s="58"/>
      <c r="G153" s="58"/>
      <c r="H153" s="58"/>
      <c r="I153" s="58"/>
    </row>
    <row r="154" spans="2:9">
      <c r="B154" s="254"/>
      <c r="C154" s="58"/>
      <c r="D154" s="58"/>
      <c r="E154" s="58"/>
      <c r="F154" s="58"/>
      <c r="G154" s="58"/>
      <c r="H154" s="58"/>
      <c r="I154" s="58"/>
    </row>
    <row r="155" spans="2:9">
      <c r="B155" s="254"/>
      <c r="C155" s="58"/>
      <c r="D155" s="58"/>
      <c r="E155" s="58"/>
      <c r="F155" s="58"/>
      <c r="G155" s="58"/>
      <c r="H155" s="58"/>
      <c r="I155" s="58"/>
    </row>
    <row r="156" spans="2:9">
      <c r="B156" s="254"/>
      <c r="C156" s="58"/>
      <c r="D156" s="58"/>
      <c r="E156" s="58"/>
      <c r="F156" s="58"/>
      <c r="G156" s="58"/>
      <c r="H156" s="58"/>
      <c r="I156" s="58"/>
    </row>
    <row r="157" spans="2:9">
      <c r="B157" s="254"/>
      <c r="C157" s="58"/>
      <c r="D157" s="58"/>
      <c r="E157" s="58"/>
      <c r="F157" s="58"/>
      <c r="G157" s="58"/>
      <c r="H157" s="58"/>
      <c r="I157" s="58"/>
    </row>
    <row r="158" spans="2:9">
      <c r="B158" s="254"/>
      <c r="C158" s="58"/>
      <c r="D158" s="58"/>
      <c r="E158" s="58"/>
      <c r="F158" s="58"/>
      <c r="G158" s="58"/>
      <c r="H158" s="58"/>
      <c r="I158" s="58"/>
    </row>
    <row r="159" spans="2:9">
      <c r="B159" s="254"/>
      <c r="C159" s="58"/>
      <c r="D159" s="58"/>
      <c r="E159" s="58"/>
      <c r="F159" s="58"/>
      <c r="G159" s="58"/>
      <c r="H159" s="58"/>
      <c r="I159" s="58"/>
    </row>
    <row r="160" spans="2:9">
      <c r="B160" s="254"/>
      <c r="C160" s="58"/>
      <c r="D160" s="58"/>
      <c r="E160" s="58"/>
      <c r="F160" s="58"/>
      <c r="G160" s="58"/>
      <c r="H160" s="58"/>
      <c r="I160" s="58"/>
    </row>
    <row r="161" spans="2:9">
      <c r="B161" s="254"/>
      <c r="C161" s="58"/>
      <c r="D161" s="58"/>
      <c r="E161" s="58"/>
      <c r="F161" s="58"/>
      <c r="G161" s="58"/>
      <c r="H161" s="58"/>
      <c r="I161" s="58"/>
    </row>
    <row r="162" spans="2:9">
      <c r="B162" s="254"/>
      <c r="C162" s="58"/>
      <c r="D162" s="58"/>
      <c r="E162" s="58"/>
      <c r="F162" s="58"/>
      <c r="G162" s="58"/>
      <c r="H162" s="58"/>
      <c r="I162" s="58"/>
    </row>
    <row r="163" spans="2:9">
      <c r="B163" s="254"/>
      <c r="C163" s="58"/>
      <c r="D163" s="58"/>
      <c r="E163" s="58"/>
      <c r="F163" s="58"/>
      <c r="G163" s="58"/>
      <c r="H163" s="58"/>
      <c r="I163" s="58"/>
    </row>
    <row r="164" spans="2:9">
      <c r="B164" s="254"/>
      <c r="C164" s="58"/>
      <c r="D164" s="58"/>
      <c r="E164" s="58"/>
      <c r="F164" s="58"/>
      <c r="G164" s="58"/>
      <c r="H164" s="58"/>
      <c r="I164" s="58"/>
    </row>
    <row r="165" spans="2:9">
      <c r="B165" s="254"/>
      <c r="C165" s="58"/>
      <c r="D165" s="58"/>
      <c r="E165" s="58"/>
      <c r="F165" s="58"/>
      <c r="G165" s="58"/>
      <c r="H165" s="58"/>
      <c r="I165" s="58"/>
    </row>
    <row r="166" spans="2:9">
      <c r="B166" s="254"/>
      <c r="C166" s="58"/>
      <c r="D166" s="58"/>
      <c r="E166" s="58"/>
      <c r="F166" s="58"/>
      <c r="G166" s="58"/>
      <c r="H166" s="58"/>
      <c r="I166" s="58"/>
    </row>
    <row r="167" spans="2:9">
      <c r="B167" s="254"/>
      <c r="C167" s="58"/>
      <c r="D167" s="58"/>
      <c r="E167" s="58"/>
      <c r="F167" s="58"/>
      <c r="G167" s="58"/>
      <c r="H167" s="58"/>
      <c r="I167" s="58"/>
    </row>
    <row r="168" spans="2:9">
      <c r="B168" s="254"/>
      <c r="C168" s="58"/>
      <c r="D168" s="58"/>
      <c r="E168" s="58"/>
      <c r="F168" s="58"/>
      <c r="G168" s="58"/>
      <c r="H168" s="58"/>
      <c r="I168" s="58"/>
    </row>
    <row r="169" spans="2:9">
      <c r="B169" s="254"/>
      <c r="C169" s="58"/>
      <c r="D169" s="58"/>
      <c r="E169" s="58"/>
      <c r="F169" s="58"/>
      <c r="G169" s="58"/>
      <c r="H169" s="58"/>
      <c r="I169" s="58"/>
    </row>
    <row r="170" spans="2:9">
      <c r="B170" s="254"/>
      <c r="C170" s="58"/>
      <c r="D170" s="58"/>
      <c r="E170" s="58"/>
      <c r="F170" s="58"/>
      <c r="G170" s="58"/>
      <c r="H170" s="58"/>
      <c r="I170" s="58"/>
    </row>
    <row r="171" spans="2:9">
      <c r="B171" s="254"/>
      <c r="C171" s="58"/>
      <c r="D171" s="58"/>
      <c r="E171" s="58"/>
      <c r="F171" s="58"/>
      <c r="G171" s="58"/>
      <c r="H171" s="58"/>
      <c r="I171" s="58"/>
    </row>
    <row r="172" spans="2:9">
      <c r="B172" s="254"/>
      <c r="C172" s="58"/>
      <c r="D172" s="58"/>
      <c r="E172" s="58"/>
      <c r="F172" s="58"/>
      <c r="G172" s="58"/>
      <c r="H172" s="58"/>
      <c r="I172" s="58"/>
    </row>
    <row r="173" spans="2:9">
      <c r="B173" s="254"/>
      <c r="C173" s="58"/>
      <c r="D173" s="58"/>
      <c r="E173" s="58"/>
      <c r="F173" s="58"/>
      <c r="G173" s="58"/>
      <c r="H173" s="58"/>
      <c r="I173" s="58"/>
    </row>
    <row r="174" spans="2:9">
      <c r="B174" s="254"/>
      <c r="C174" s="58"/>
      <c r="D174" s="58"/>
      <c r="E174" s="58"/>
      <c r="F174" s="58"/>
      <c r="G174" s="58"/>
      <c r="H174" s="58"/>
      <c r="I174" s="58"/>
    </row>
    <row r="175" spans="2:9">
      <c r="B175" s="254"/>
      <c r="C175" s="58"/>
      <c r="D175" s="58"/>
      <c r="E175" s="58"/>
      <c r="F175" s="58"/>
      <c r="G175" s="58"/>
      <c r="H175" s="58"/>
      <c r="I175" s="58"/>
    </row>
    <row r="176" spans="2:9">
      <c r="B176" s="254"/>
      <c r="C176" s="58"/>
      <c r="D176" s="58"/>
      <c r="E176" s="58"/>
      <c r="F176" s="58"/>
      <c r="G176" s="58"/>
      <c r="H176" s="58"/>
      <c r="I176" s="58"/>
    </row>
    <row r="177" spans="2:9">
      <c r="B177" s="254"/>
      <c r="C177" s="58"/>
      <c r="D177" s="58"/>
      <c r="E177" s="58"/>
      <c r="F177" s="58"/>
      <c r="G177" s="58"/>
      <c r="H177" s="58"/>
      <c r="I177" s="58"/>
    </row>
    <row r="178" spans="2:9">
      <c r="B178" s="254"/>
      <c r="C178" s="58"/>
      <c r="D178" s="58"/>
      <c r="E178" s="58"/>
      <c r="F178" s="58"/>
      <c r="G178" s="58"/>
      <c r="H178" s="58"/>
      <c r="I178" s="58"/>
    </row>
    <row r="179" spans="2:9">
      <c r="B179" s="254"/>
      <c r="C179" s="58"/>
      <c r="D179" s="58"/>
      <c r="E179" s="58"/>
      <c r="F179" s="58"/>
      <c r="G179" s="58"/>
      <c r="H179" s="58"/>
      <c r="I179" s="58"/>
    </row>
    <row r="180" spans="2:9">
      <c r="B180" s="254"/>
      <c r="C180" s="58"/>
      <c r="D180" s="58"/>
      <c r="E180" s="58"/>
      <c r="F180" s="58"/>
      <c r="G180" s="58"/>
      <c r="H180" s="58"/>
      <c r="I180" s="58"/>
    </row>
    <row r="181" spans="2:9">
      <c r="B181" s="254"/>
      <c r="C181" s="58"/>
      <c r="D181" s="58"/>
      <c r="E181" s="58"/>
      <c r="F181" s="58"/>
      <c r="G181" s="58"/>
      <c r="H181" s="58"/>
      <c r="I181" s="58"/>
    </row>
    <row r="182" spans="2:9">
      <c r="B182" s="254"/>
      <c r="C182" s="58"/>
      <c r="D182" s="58"/>
      <c r="E182" s="58"/>
      <c r="F182" s="58"/>
      <c r="G182" s="58"/>
      <c r="H182" s="58"/>
      <c r="I182" s="58"/>
    </row>
    <row r="183" spans="2:9">
      <c r="B183" s="254"/>
      <c r="C183" s="58"/>
      <c r="D183" s="58"/>
      <c r="E183" s="58"/>
      <c r="F183" s="58"/>
      <c r="G183" s="58"/>
      <c r="H183" s="58"/>
      <c r="I183" s="58"/>
    </row>
    <row r="184" spans="2:9">
      <c r="B184" s="254"/>
      <c r="C184" s="58"/>
      <c r="D184" s="58"/>
      <c r="E184" s="58"/>
      <c r="F184" s="58"/>
      <c r="G184" s="58"/>
      <c r="H184" s="58"/>
      <c r="I184" s="58"/>
    </row>
    <row r="185" spans="2:9">
      <c r="B185" s="254"/>
      <c r="C185" s="58"/>
      <c r="D185" s="58"/>
      <c r="E185" s="58"/>
      <c r="F185" s="58"/>
      <c r="G185" s="58"/>
      <c r="H185" s="58"/>
      <c r="I185" s="58"/>
    </row>
    <row r="186" spans="2:9">
      <c r="B186" s="254"/>
      <c r="C186" s="58"/>
      <c r="D186" s="58"/>
      <c r="E186" s="58"/>
      <c r="F186" s="58"/>
      <c r="G186" s="58"/>
      <c r="H186" s="58"/>
      <c r="I186" s="58"/>
    </row>
    <row r="187" spans="2:9">
      <c r="B187" s="254"/>
      <c r="C187" s="58"/>
      <c r="D187" s="58"/>
      <c r="E187" s="58"/>
      <c r="F187" s="58"/>
      <c r="G187" s="58"/>
      <c r="H187" s="58"/>
      <c r="I187" s="58"/>
    </row>
    <row r="188" spans="2:9">
      <c r="B188" s="254"/>
      <c r="C188" s="58"/>
      <c r="D188" s="58"/>
      <c r="E188" s="58"/>
      <c r="F188" s="58"/>
      <c r="G188" s="58"/>
      <c r="H188" s="58"/>
      <c r="I188" s="58"/>
    </row>
    <row r="189" spans="2:9">
      <c r="B189" s="254"/>
      <c r="C189" s="58"/>
      <c r="D189" s="58"/>
      <c r="E189" s="58"/>
      <c r="F189" s="58"/>
      <c r="G189" s="58"/>
      <c r="H189" s="58"/>
      <c r="I189" s="58"/>
    </row>
    <row r="190" spans="2:9">
      <c r="B190" s="254"/>
      <c r="C190" s="58"/>
      <c r="D190" s="58"/>
      <c r="E190" s="58"/>
      <c r="F190" s="58"/>
      <c r="G190" s="58"/>
      <c r="H190" s="58"/>
      <c r="I190" s="58"/>
    </row>
    <row r="191" spans="2:9">
      <c r="B191" s="254"/>
      <c r="C191" s="58"/>
      <c r="D191" s="58"/>
      <c r="E191" s="58"/>
      <c r="F191" s="58"/>
      <c r="G191" s="58"/>
      <c r="H191" s="58"/>
      <c r="I191" s="58"/>
    </row>
    <row r="192" spans="2:9">
      <c r="B192" s="254"/>
      <c r="C192" s="58"/>
      <c r="D192" s="58"/>
      <c r="E192" s="58"/>
      <c r="F192" s="58"/>
      <c r="G192" s="58"/>
      <c r="H192" s="58"/>
      <c r="I192" s="58"/>
    </row>
    <row r="193" spans="2:9">
      <c r="B193" s="254"/>
      <c r="C193" s="58"/>
      <c r="D193" s="58"/>
      <c r="E193" s="58"/>
      <c r="F193" s="58"/>
      <c r="G193" s="58"/>
      <c r="H193" s="58"/>
      <c r="I193" s="58"/>
    </row>
    <row r="194" spans="2:9">
      <c r="B194" s="254"/>
      <c r="C194" s="58"/>
      <c r="D194" s="58"/>
      <c r="E194" s="58"/>
      <c r="F194" s="58"/>
      <c r="G194" s="58"/>
      <c r="H194" s="58"/>
      <c r="I194" s="58"/>
    </row>
    <row r="195" spans="2:9">
      <c r="B195" s="254"/>
      <c r="C195" s="58"/>
      <c r="D195" s="58"/>
      <c r="E195" s="58"/>
      <c r="F195" s="58"/>
      <c r="G195" s="58"/>
      <c r="H195" s="58"/>
      <c r="I195" s="58"/>
    </row>
    <row r="196" spans="2:9">
      <c r="B196" s="254"/>
      <c r="C196" s="58"/>
      <c r="D196" s="58"/>
      <c r="E196" s="58"/>
      <c r="F196" s="58"/>
      <c r="G196" s="58"/>
      <c r="H196" s="58"/>
      <c r="I196" s="58"/>
    </row>
    <row r="197" spans="2:9">
      <c r="B197" s="254"/>
      <c r="C197" s="58"/>
      <c r="D197" s="58"/>
      <c r="E197" s="58"/>
      <c r="F197" s="58"/>
      <c r="G197" s="58"/>
      <c r="H197" s="58"/>
      <c r="I197" s="58"/>
    </row>
    <row r="198" spans="2:9">
      <c r="B198" s="254"/>
      <c r="C198" s="58"/>
      <c r="D198" s="58"/>
      <c r="E198" s="58"/>
      <c r="F198" s="58"/>
      <c r="G198" s="58"/>
      <c r="H198" s="58"/>
      <c r="I198" s="58"/>
    </row>
    <row r="199" spans="2:9">
      <c r="B199" s="254"/>
      <c r="C199" s="58"/>
      <c r="D199" s="58"/>
      <c r="E199" s="58"/>
      <c r="F199" s="58"/>
      <c r="G199" s="58"/>
      <c r="H199" s="58"/>
      <c r="I199" s="58"/>
    </row>
    <row r="200" spans="2:9">
      <c r="B200" s="254"/>
      <c r="C200" s="58"/>
      <c r="D200" s="58"/>
      <c r="E200" s="58"/>
      <c r="F200" s="58"/>
      <c r="G200" s="58"/>
      <c r="H200" s="58"/>
      <c r="I200" s="58"/>
    </row>
    <row r="201" spans="2:9">
      <c r="B201" s="254"/>
      <c r="C201" s="58"/>
      <c r="D201" s="58"/>
      <c r="E201" s="58"/>
      <c r="F201" s="58"/>
      <c r="G201" s="58"/>
      <c r="H201" s="58"/>
      <c r="I201" s="58"/>
    </row>
    <row r="202" spans="2:9">
      <c r="B202" s="254"/>
      <c r="C202" s="58"/>
      <c r="D202" s="58"/>
      <c r="E202" s="58"/>
      <c r="F202" s="58"/>
      <c r="G202" s="58"/>
      <c r="H202" s="58"/>
      <c r="I202" s="58"/>
    </row>
    <row r="203" spans="2:9">
      <c r="B203" s="254"/>
      <c r="C203" s="58"/>
      <c r="D203" s="58"/>
      <c r="E203" s="58"/>
      <c r="F203" s="58"/>
      <c r="G203" s="58"/>
      <c r="H203" s="58"/>
      <c r="I203" s="58"/>
    </row>
    <row r="204" spans="2:9">
      <c r="B204" s="254"/>
      <c r="C204" s="58"/>
      <c r="D204" s="58"/>
      <c r="E204" s="58"/>
      <c r="F204" s="58"/>
      <c r="G204" s="58"/>
      <c r="H204" s="58"/>
      <c r="I204" s="58"/>
    </row>
    <row r="205" spans="2:9">
      <c r="B205" s="254"/>
      <c r="C205" s="58"/>
      <c r="D205" s="58"/>
      <c r="E205" s="58"/>
      <c r="F205" s="58"/>
      <c r="G205" s="58"/>
      <c r="H205" s="58"/>
      <c r="I205" s="58"/>
    </row>
    <row r="206" spans="2:9">
      <c r="B206" s="254"/>
      <c r="C206" s="58"/>
      <c r="D206" s="58"/>
      <c r="E206" s="58"/>
      <c r="F206" s="58"/>
      <c r="G206" s="58"/>
      <c r="H206" s="58"/>
      <c r="I206" s="58"/>
    </row>
    <row r="207" spans="2:9">
      <c r="B207" s="254"/>
      <c r="C207" s="58"/>
      <c r="D207" s="58"/>
      <c r="E207" s="58"/>
      <c r="F207" s="58"/>
      <c r="G207" s="58"/>
      <c r="H207" s="58"/>
      <c r="I207" s="58"/>
    </row>
    <row r="208" spans="2:9">
      <c r="B208" s="254"/>
      <c r="C208" s="58"/>
      <c r="D208" s="58"/>
      <c r="E208" s="58"/>
      <c r="F208" s="58"/>
      <c r="G208" s="58"/>
      <c r="H208" s="58"/>
      <c r="I208" s="58"/>
    </row>
    <row r="209" spans="2:9">
      <c r="B209" s="254"/>
      <c r="C209" s="58"/>
      <c r="D209" s="58"/>
      <c r="E209" s="58"/>
      <c r="F209" s="58"/>
      <c r="G209" s="58"/>
      <c r="H209" s="58"/>
      <c r="I209" s="58"/>
    </row>
    <row r="210" spans="2:9">
      <c r="B210" s="254"/>
      <c r="C210" s="58"/>
      <c r="D210" s="58"/>
      <c r="E210" s="58"/>
      <c r="F210" s="58"/>
      <c r="G210" s="58"/>
      <c r="H210" s="58"/>
      <c r="I210" s="58"/>
    </row>
    <row r="211" spans="2:9">
      <c r="B211" s="254"/>
      <c r="C211" s="58"/>
      <c r="D211" s="58"/>
      <c r="E211" s="58"/>
      <c r="F211" s="58"/>
      <c r="G211" s="58"/>
      <c r="H211" s="58"/>
      <c r="I211" s="58"/>
    </row>
    <row r="212" spans="2:9">
      <c r="B212" s="254"/>
      <c r="C212" s="58"/>
      <c r="D212" s="58"/>
      <c r="E212" s="58"/>
      <c r="F212" s="58"/>
      <c r="G212" s="58"/>
      <c r="H212" s="58"/>
      <c r="I212" s="58"/>
    </row>
    <row r="213" spans="2:9">
      <c r="B213" s="254"/>
      <c r="C213" s="58"/>
      <c r="D213" s="58"/>
      <c r="E213" s="58"/>
      <c r="F213" s="58"/>
      <c r="G213" s="58"/>
      <c r="H213" s="58"/>
      <c r="I213" s="58"/>
    </row>
    <row r="214" spans="2:9">
      <c r="B214" s="254"/>
      <c r="C214" s="58"/>
      <c r="D214" s="58"/>
      <c r="E214" s="58"/>
      <c r="F214" s="58"/>
      <c r="G214" s="58"/>
      <c r="H214" s="58"/>
      <c r="I214" s="58"/>
    </row>
    <row r="215" spans="2:9">
      <c r="B215" s="254"/>
      <c r="C215" s="58"/>
      <c r="D215" s="58"/>
      <c r="E215" s="58"/>
      <c r="F215" s="58"/>
      <c r="G215" s="58"/>
      <c r="H215" s="58"/>
      <c r="I215" s="58"/>
    </row>
    <row r="216" spans="2:9">
      <c r="B216" s="254"/>
      <c r="C216" s="58"/>
      <c r="D216" s="58"/>
      <c r="E216" s="58"/>
      <c r="F216" s="58"/>
      <c r="G216" s="58"/>
      <c r="H216" s="58"/>
      <c r="I216" s="58"/>
    </row>
    <row r="217" spans="2:9">
      <c r="B217" s="254"/>
      <c r="C217" s="58"/>
      <c r="D217" s="58"/>
      <c r="E217" s="58"/>
      <c r="F217" s="58"/>
      <c r="G217" s="58"/>
      <c r="H217" s="58"/>
      <c r="I217" s="58"/>
    </row>
    <row r="218" spans="2:9">
      <c r="B218" s="254"/>
      <c r="C218" s="58"/>
      <c r="D218" s="58"/>
      <c r="E218" s="58"/>
      <c r="F218" s="58"/>
      <c r="G218" s="58"/>
      <c r="H218" s="58"/>
      <c r="I218" s="58"/>
    </row>
    <row r="219" spans="2:9">
      <c r="B219" s="254"/>
      <c r="C219" s="58"/>
      <c r="D219" s="58"/>
      <c r="E219" s="58"/>
      <c r="F219" s="58"/>
      <c r="G219" s="58"/>
      <c r="H219" s="58"/>
      <c r="I219" s="58"/>
    </row>
    <row r="220" spans="2:9">
      <c r="B220" s="254"/>
      <c r="C220" s="58"/>
      <c r="D220" s="58"/>
      <c r="E220" s="58"/>
      <c r="F220" s="58"/>
      <c r="G220" s="58"/>
      <c r="H220" s="58"/>
      <c r="I220" s="58"/>
    </row>
    <row r="221" spans="2:9">
      <c r="B221" s="254"/>
      <c r="C221" s="58"/>
      <c r="D221" s="58"/>
      <c r="E221" s="58"/>
      <c r="F221" s="58"/>
      <c r="G221" s="58"/>
      <c r="H221" s="58"/>
      <c r="I221" s="58"/>
    </row>
    <row r="222" spans="2:9">
      <c r="B222" s="254"/>
      <c r="C222" s="58"/>
      <c r="D222" s="58"/>
      <c r="E222" s="58"/>
      <c r="F222" s="58"/>
      <c r="G222" s="58"/>
      <c r="H222" s="58"/>
      <c r="I222" s="58"/>
    </row>
    <row r="223" spans="2:9">
      <c r="B223" s="254"/>
      <c r="C223" s="58"/>
      <c r="D223" s="58"/>
      <c r="E223" s="58"/>
      <c r="F223" s="58"/>
      <c r="G223" s="58"/>
      <c r="H223" s="58"/>
      <c r="I223" s="58"/>
    </row>
    <row r="224" spans="2:9">
      <c r="B224" s="254"/>
      <c r="C224" s="58"/>
      <c r="D224" s="58"/>
      <c r="E224" s="58"/>
      <c r="F224" s="58"/>
      <c r="G224" s="58"/>
      <c r="H224" s="58"/>
      <c r="I224" s="58"/>
    </row>
    <row r="225" spans="2:9">
      <c r="B225" s="254"/>
      <c r="C225" s="58"/>
      <c r="D225" s="58"/>
      <c r="E225" s="58"/>
      <c r="F225" s="58"/>
      <c r="G225" s="58"/>
      <c r="H225" s="58"/>
      <c r="I225" s="58"/>
    </row>
    <row r="226" spans="2:9">
      <c r="B226" s="254"/>
      <c r="C226" s="58"/>
      <c r="D226" s="58"/>
      <c r="E226" s="58"/>
      <c r="F226" s="58"/>
      <c r="G226" s="58"/>
      <c r="H226" s="58"/>
      <c r="I226" s="58"/>
    </row>
    <row r="227" spans="2:9">
      <c r="B227" s="254"/>
      <c r="C227" s="58"/>
      <c r="D227" s="58"/>
      <c r="E227" s="58"/>
      <c r="F227" s="58"/>
      <c r="G227" s="58"/>
      <c r="H227" s="58"/>
      <c r="I227" s="58"/>
    </row>
    <row r="228" spans="2:9">
      <c r="B228" s="254"/>
      <c r="C228" s="58"/>
      <c r="D228" s="58"/>
      <c r="E228" s="58"/>
      <c r="F228" s="58"/>
      <c r="G228" s="58"/>
      <c r="H228" s="58"/>
      <c r="I228" s="58"/>
    </row>
    <row r="229" spans="2:9">
      <c r="B229" s="254"/>
      <c r="C229" s="58"/>
      <c r="D229" s="58"/>
      <c r="E229" s="58"/>
      <c r="F229" s="58"/>
      <c r="G229" s="58"/>
      <c r="H229" s="58"/>
      <c r="I229" s="58"/>
    </row>
    <row r="230" spans="2:9">
      <c r="B230" s="254"/>
      <c r="C230" s="58"/>
      <c r="D230" s="58"/>
      <c r="E230" s="58"/>
      <c r="F230" s="58"/>
      <c r="G230" s="58"/>
      <c r="H230" s="58"/>
      <c r="I230" s="58"/>
    </row>
    <row r="231" spans="2:9">
      <c r="B231" s="254"/>
      <c r="C231" s="58"/>
      <c r="D231" s="58"/>
      <c r="E231" s="58"/>
      <c r="F231" s="58"/>
      <c r="G231" s="58"/>
      <c r="H231" s="58"/>
      <c r="I231" s="58"/>
    </row>
    <row r="232" spans="2:9">
      <c r="B232" s="254"/>
      <c r="C232" s="58"/>
      <c r="D232" s="58"/>
      <c r="E232" s="58"/>
      <c r="F232" s="58"/>
      <c r="G232" s="58"/>
      <c r="H232" s="58"/>
      <c r="I232" s="58"/>
    </row>
    <row r="233" spans="2:9">
      <c r="B233" s="254"/>
      <c r="C233" s="58"/>
      <c r="D233" s="58"/>
      <c r="E233" s="58"/>
      <c r="F233" s="58"/>
      <c r="G233" s="58"/>
      <c r="H233" s="58"/>
      <c r="I233" s="58"/>
    </row>
    <row r="234" spans="2:9">
      <c r="B234" s="254"/>
      <c r="C234" s="58"/>
      <c r="D234" s="58"/>
      <c r="E234" s="58"/>
      <c r="F234" s="58"/>
      <c r="G234" s="58"/>
      <c r="H234" s="58"/>
      <c r="I234" s="58"/>
    </row>
    <row r="235" spans="2:9">
      <c r="B235" s="254"/>
      <c r="C235" s="58"/>
      <c r="D235" s="58"/>
      <c r="E235" s="58"/>
      <c r="F235" s="58"/>
      <c r="G235" s="58"/>
      <c r="H235" s="58"/>
      <c r="I235" s="58"/>
    </row>
    <row r="236" spans="2:9">
      <c r="B236" s="254"/>
      <c r="C236" s="58"/>
      <c r="D236" s="58"/>
      <c r="E236" s="58"/>
      <c r="F236" s="58"/>
      <c r="G236" s="58"/>
      <c r="H236" s="58"/>
      <c r="I236" s="58"/>
    </row>
    <row r="237" spans="2:9">
      <c r="B237" s="254"/>
      <c r="C237" s="58"/>
      <c r="D237" s="58"/>
      <c r="E237" s="58"/>
      <c r="F237" s="58"/>
      <c r="G237" s="58"/>
      <c r="H237" s="58"/>
      <c r="I237" s="58"/>
    </row>
    <row r="238" spans="2:9">
      <c r="B238" s="254"/>
      <c r="C238" s="58"/>
      <c r="D238" s="58"/>
      <c r="E238" s="58"/>
      <c r="F238" s="58"/>
      <c r="G238" s="58"/>
      <c r="H238" s="58"/>
      <c r="I238" s="58"/>
    </row>
    <row r="239" spans="2:9">
      <c r="B239" s="254"/>
      <c r="C239" s="58"/>
      <c r="D239" s="58"/>
      <c r="E239" s="58"/>
      <c r="F239" s="58"/>
      <c r="G239" s="58"/>
      <c r="H239" s="58"/>
      <c r="I239" s="58"/>
    </row>
    <row r="240" spans="2:9">
      <c r="B240" s="254"/>
      <c r="C240" s="58"/>
      <c r="D240" s="58"/>
      <c r="E240" s="58"/>
      <c r="F240" s="58"/>
      <c r="G240" s="58"/>
      <c r="H240" s="58"/>
      <c r="I240" s="58"/>
    </row>
    <row r="241" spans="2:9">
      <c r="B241" s="254"/>
      <c r="C241" s="58"/>
      <c r="D241" s="58"/>
      <c r="E241" s="58"/>
      <c r="F241" s="58"/>
      <c r="G241" s="58"/>
      <c r="H241" s="58"/>
      <c r="I241" s="58"/>
    </row>
    <row r="242" spans="2:9">
      <c r="B242" s="254"/>
      <c r="C242" s="58"/>
      <c r="D242" s="58"/>
      <c r="E242" s="58"/>
      <c r="F242" s="58"/>
      <c r="G242" s="58"/>
      <c r="H242" s="58"/>
      <c r="I242" s="58"/>
    </row>
    <row r="243" spans="2:9">
      <c r="B243" s="254"/>
      <c r="C243" s="58"/>
      <c r="D243" s="58"/>
      <c r="E243" s="58"/>
      <c r="F243" s="58"/>
      <c r="G243" s="58"/>
      <c r="H243" s="58"/>
      <c r="I243" s="58"/>
    </row>
    <row r="244" spans="2:9">
      <c r="B244" s="254"/>
      <c r="C244" s="58"/>
      <c r="D244" s="58"/>
      <c r="E244" s="58"/>
      <c r="F244" s="58"/>
      <c r="G244" s="58"/>
      <c r="H244" s="58"/>
      <c r="I244" s="58"/>
    </row>
    <row r="245" spans="2:9">
      <c r="B245" s="254"/>
      <c r="C245" s="58"/>
      <c r="D245" s="58"/>
      <c r="E245" s="58"/>
      <c r="F245" s="58"/>
      <c r="G245" s="58"/>
      <c r="H245" s="58"/>
      <c r="I245" s="58"/>
    </row>
    <row r="246" spans="2:9">
      <c r="B246" s="254"/>
      <c r="C246" s="58"/>
      <c r="D246" s="58"/>
      <c r="E246" s="58"/>
      <c r="F246" s="58"/>
      <c r="G246" s="58"/>
      <c r="H246" s="58"/>
      <c r="I246" s="58"/>
    </row>
    <row r="247" spans="2:9">
      <c r="B247" s="254"/>
      <c r="C247" s="58"/>
      <c r="D247" s="58"/>
      <c r="E247" s="58"/>
      <c r="F247" s="58"/>
      <c r="G247" s="58"/>
      <c r="H247" s="58"/>
      <c r="I247" s="58"/>
    </row>
    <row r="248" spans="2:9">
      <c r="B248" s="254"/>
      <c r="C248" s="58"/>
      <c r="D248" s="58"/>
      <c r="E248" s="58"/>
      <c r="F248" s="58"/>
      <c r="G248" s="58"/>
      <c r="H248" s="58"/>
      <c r="I248" s="58"/>
    </row>
    <row r="249" spans="2:9">
      <c r="B249" s="254"/>
      <c r="C249" s="58"/>
      <c r="D249" s="58"/>
      <c r="E249" s="58"/>
      <c r="F249" s="58"/>
      <c r="G249" s="58"/>
      <c r="H249" s="58"/>
      <c r="I249" s="58"/>
    </row>
    <row r="250" spans="2:9">
      <c r="B250" s="254"/>
      <c r="C250" s="58"/>
      <c r="D250" s="58"/>
      <c r="E250" s="58"/>
      <c r="F250" s="58"/>
      <c r="G250" s="58"/>
      <c r="H250" s="58"/>
      <c r="I250" s="58"/>
    </row>
    <row r="251" spans="2:9">
      <c r="B251" s="254"/>
      <c r="C251" s="58"/>
      <c r="D251" s="58"/>
      <c r="E251" s="58"/>
      <c r="F251" s="58"/>
      <c r="G251" s="58"/>
      <c r="H251" s="58"/>
      <c r="I251" s="58"/>
    </row>
    <row r="252" spans="2:9">
      <c r="B252" s="254"/>
      <c r="C252" s="58"/>
      <c r="D252" s="58"/>
      <c r="E252" s="58"/>
      <c r="F252" s="58"/>
      <c r="G252" s="58"/>
      <c r="H252" s="58"/>
      <c r="I252" s="58"/>
    </row>
    <row r="253" spans="2:9">
      <c r="B253" s="254"/>
      <c r="C253" s="58"/>
      <c r="D253" s="58"/>
      <c r="E253" s="58"/>
      <c r="F253" s="58"/>
      <c r="G253" s="58"/>
      <c r="H253" s="58"/>
      <c r="I253" s="58"/>
    </row>
    <row r="254" spans="2:9">
      <c r="B254" s="254"/>
      <c r="C254" s="58"/>
      <c r="D254" s="58"/>
      <c r="E254" s="58"/>
      <c r="F254" s="58"/>
      <c r="G254" s="58"/>
      <c r="H254" s="58"/>
      <c r="I254" s="58"/>
    </row>
    <row r="255" spans="2:9">
      <c r="B255" s="254"/>
      <c r="C255" s="58"/>
      <c r="D255" s="58"/>
      <c r="E255" s="58"/>
      <c r="F255" s="58"/>
      <c r="G255" s="58"/>
      <c r="H255" s="58"/>
      <c r="I255" s="58"/>
    </row>
    <row r="256" spans="2:9">
      <c r="B256" s="254"/>
      <c r="C256" s="58"/>
      <c r="D256" s="58"/>
      <c r="E256" s="58"/>
      <c r="F256" s="58"/>
      <c r="G256" s="58"/>
      <c r="H256" s="58"/>
      <c r="I256" s="58"/>
    </row>
    <row r="257" spans="2:9">
      <c r="B257" s="254"/>
      <c r="C257" s="58"/>
      <c r="D257" s="58"/>
      <c r="E257" s="58"/>
      <c r="F257" s="58"/>
      <c r="G257" s="58"/>
      <c r="H257" s="58"/>
      <c r="I257" s="58"/>
    </row>
    <row r="258" spans="2:9">
      <c r="B258" s="254"/>
      <c r="C258" s="58"/>
      <c r="D258" s="58"/>
      <c r="E258" s="58"/>
      <c r="F258" s="58"/>
      <c r="G258" s="58"/>
      <c r="H258" s="58"/>
      <c r="I258" s="58"/>
    </row>
    <row r="259" spans="2:9">
      <c r="B259" s="254"/>
      <c r="C259" s="58"/>
      <c r="D259" s="58"/>
      <c r="E259" s="58"/>
      <c r="F259" s="58"/>
      <c r="G259" s="58"/>
      <c r="H259" s="58"/>
      <c r="I259" s="58"/>
    </row>
    <row r="260" spans="2:9">
      <c r="B260" s="254"/>
      <c r="C260" s="58"/>
      <c r="D260" s="58"/>
      <c r="E260" s="58"/>
      <c r="F260" s="58"/>
      <c r="G260" s="58"/>
      <c r="H260" s="58"/>
      <c r="I260" s="58"/>
    </row>
    <row r="261" spans="2:9">
      <c r="B261" s="254"/>
      <c r="C261" s="58"/>
      <c r="D261" s="58"/>
      <c r="E261" s="58"/>
      <c r="F261" s="58"/>
      <c r="G261" s="58"/>
      <c r="H261" s="58"/>
      <c r="I261" s="58"/>
    </row>
    <row r="262" spans="2:9">
      <c r="B262" s="254"/>
      <c r="C262" s="58"/>
      <c r="D262" s="58"/>
      <c r="E262" s="58"/>
      <c r="F262" s="58"/>
      <c r="G262" s="58"/>
      <c r="H262" s="58"/>
      <c r="I262" s="58"/>
    </row>
    <row r="263" spans="2:9">
      <c r="B263" s="254"/>
      <c r="C263" s="58"/>
      <c r="D263" s="58"/>
      <c r="E263" s="58"/>
      <c r="F263" s="58"/>
      <c r="G263" s="58"/>
      <c r="H263" s="58"/>
      <c r="I263" s="58"/>
    </row>
    <row r="264" spans="2:9">
      <c r="B264" s="254"/>
      <c r="C264" s="58"/>
      <c r="D264" s="58"/>
      <c r="E264" s="58"/>
      <c r="F264" s="58"/>
      <c r="G264" s="58"/>
      <c r="H264" s="58"/>
      <c r="I264" s="58"/>
    </row>
    <row r="265" spans="2:9">
      <c r="B265" s="254"/>
      <c r="C265" s="58"/>
      <c r="D265" s="58"/>
      <c r="E265" s="58"/>
      <c r="F265" s="58"/>
      <c r="G265" s="58"/>
      <c r="H265" s="58"/>
      <c r="I265" s="58"/>
    </row>
    <row r="266" spans="2:9">
      <c r="B266" s="254"/>
      <c r="C266" s="58"/>
      <c r="D266" s="58"/>
      <c r="E266" s="58"/>
      <c r="F266" s="58"/>
      <c r="G266" s="58"/>
      <c r="H266" s="58"/>
      <c r="I266" s="58"/>
    </row>
    <row r="267" spans="2:9">
      <c r="B267" s="254"/>
      <c r="C267" s="58"/>
      <c r="D267" s="58"/>
      <c r="E267" s="58"/>
      <c r="F267" s="58"/>
      <c r="G267" s="58"/>
      <c r="H267" s="58"/>
      <c r="I267" s="58"/>
    </row>
    <row r="268" spans="2:9">
      <c r="B268" s="254"/>
      <c r="C268" s="58"/>
      <c r="D268" s="58"/>
      <c r="E268" s="58"/>
      <c r="F268" s="58"/>
      <c r="G268" s="58"/>
      <c r="H268" s="58"/>
      <c r="I268" s="58"/>
    </row>
    <row r="269" spans="2:9">
      <c r="B269" s="254"/>
      <c r="C269" s="58"/>
      <c r="D269" s="58"/>
      <c r="E269" s="58"/>
      <c r="F269" s="58"/>
      <c r="G269" s="58"/>
      <c r="H269" s="58"/>
      <c r="I269" s="58"/>
    </row>
    <row r="270" spans="2:9">
      <c r="B270" s="254"/>
      <c r="C270" s="58"/>
      <c r="D270" s="58"/>
      <c r="E270" s="58"/>
      <c r="F270" s="58"/>
      <c r="G270" s="58"/>
      <c r="H270" s="58"/>
      <c r="I270" s="58"/>
    </row>
    <row r="271" spans="2:9">
      <c r="B271" s="254"/>
      <c r="C271" s="58"/>
      <c r="D271" s="58"/>
      <c r="E271" s="58"/>
      <c r="F271" s="58"/>
      <c r="G271" s="58"/>
      <c r="H271" s="58"/>
      <c r="I271" s="58"/>
    </row>
    <row r="272" spans="2:9">
      <c r="B272" s="254"/>
      <c r="C272" s="58"/>
      <c r="D272" s="58"/>
      <c r="E272" s="58"/>
      <c r="F272" s="58"/>
      <c r="G272" s="58"/>
      <c r="H272" s="58"/>
      <c r="I272" s="58"/>
    </row>
    <row r="273" spans="2:9">
      <c r="B273" s="254"/>
      <c r="C273" s="58"/>
      <c r="D273" s="58"/>
      <c r="E273" s="58"/>
      <c r="F273" s="58"/>
      <c r="G273" s="58"/>
      <c r="H273" s="58"/>
      <c r="I273" s="58"/>
    </row>
    <row r="274" spans="2:9">
      <c r="B274" s="254"/>
      <c r="C274" s="58"/>
      <c r="D274" s="58"/>
      <c r="E274" s="58"/>
      <c r="F274" s="58"/>
      <c r="G274" s="58"/>
      <c r="H274" s="58"/>
      <c r="I274" s="58"/>
    </row>
    <row r="275" spans="2:9">
      <c r="B275" s="254"/>
      <c r="C275" s="58"/>
      <c r="D275" s="58"/>
      <c r="E275" s="58"/>
      <c r="F275" s="58"/>
      <c r="G275" s="58"/>
      <c r="H275" s="58"/>
      <c r="I275" s="58"/>
    </row>
    <row r="276" spans="2:9">
      <c r="B276" s="254"/>
      <c r="C276" s="58"/>
      <c r="D276" s="58"/>
      <c r="E276" s="58"/>
      <c r="F276" s="58"/>
      <c r="G276" s="58"/>
      <c r="H276" s="58"/>
      <c r="I276" s="58"/>
    </row>
    <row r="277" spans="2:9">
      <c r="B277" s="254"/>
      <c r="C277" s="58"/>
      <c r="D277" s="58"/>
      <c r="E277" s="58"/>
      <c r="F277" s="58"/>
      <c r="G277" s="58"/>
      <c r="H277" s="58"/>
      <c r="I277" s="58"/>
    </row>
    <row r="278" spans="2:9">
      <c r="B278" s="254"/>
      <c r="C278" s="58"/>
      <c r="D278" s="58"/>
      <c r="E278" s="58"/>
      <c r="F278" s="58"/>
      <c r="G278" s="58"/>
      <c r="H278" s="58"/>
      <c r="I278" s="58"/>
    </row>
    <row r="279" spans="2:9">
      <c r="B279" s="254"/>
      <c r="C279" s="58"/>
      <c r="D279" s="58"/>
      <c r="E279" s="58"/>
      <c r="F279" s="58"/>
      <c r="G279" s="58"/>
      <c r="H279" s="58"/>
      <c r="I279" s="58"/>
    </row>
    <row r="280" spans="2:9">
      <c r="B280" s="254"/>
      <c r="C280" s="58"/>
      <c r="D280" s="58"/>
      <c r="E280" s="58"/>
      <c r="F280" s="58"/>
      <c r="G280" s="58"/>
      <c r="H280" s="58"/>
      <c r="I280" s="58"/>
    </row>
    <row r="281" spans="2:9">
      <c r="B281" s="254"/>
      <c r="C281" s="58"/>
      <c r="D281" s="58"/>
      <c r="E281" s="58"/>
      <c r="F281" s="58"/>
      <c r="G281" s="58"/>
      <c r="H281" s="58"/>
      <c r="I281" s="58"/>
    </row>
    <row r="282" spans="2:9">
      <c r="B282" s="254"/>
      <c r="C282" s="58"/>
      <c r="D282" s="58"/>
      <c r="E282" s="58"/>
      <c r="F282" s="58"/>
      <c r="G282" s="58"/>
      <c r="H282" s="58"/>
      <c r="I282" s="58"/>
    </row>
    <row r="283" spans="2:9">
      <c r="B283" s="254"/>
      <c r="C283" s="58"/>
      <c r="D283" s="58"/>
      <c r="E283" s="58"/>
      <c r="F283" s="58"/>
      <c r="G283" s="58"/>
      <c r="H283" s="58"/>
      <c r="I283" s="58"/>
    </row>
    <row r="284" spans="2:9">
      <c r="B284" s="254"/>
      <c r="C284" s="58"/>
      <c r="D284" s="58"/>
      <c r="E284" s="58"/>
      <c r="F284" s="58"/>
      <c r="G284" s="58"/>
      <c r="H284" s="58"/>
      <c r="I284" s="58"/>
    </row>
    <row r="285" spans="2:9">
      <c r="B285" s="254"/>
      <c r="C285" s="58"/>
      <c r="D285" s="58"/>
      <c r="E285" s="58"/>
      <c r="F285" s="58"/>
      <c r="G285" s="58"/>
      <c r="H285" s="58"/>
      <c r="I285" s="58"/>
    </row>
    <row r="286" spans="2:9">
      <c r="B286" s="254"/>
      <c r="C286" s="58"/>
      <c r="D286" s="58"/>
      <c r="E286" s="58"/>
      <c r="F286" s="58"/>
      <c r="G286" s="58"/>
      <c r="H286" s="58"/>
      <c r="I286" s="58"/>
    </row>
    <row r="287" spans="2:9">
      <c r="B287" s="254"/>
      <c r="C287" s="58"/>
      <c r="D287" s="58"/>
      <c r="E287" s="58"/>
      <c r="F287" s="58"/>
      <c r="G287" s="58"/>
      <c r="H287" s="58"/>
      <c r="I287" s="58"/>
    </row>
    <row r="288" spans="2:9">
      <c r="B288" s="254"/>
      <c r="C288" s="58"/>
      <c r="D288" s="58"/>
      <c r="E288" s="58"/>
      <c r="F288" s="58"/>
      <c r="G288" s="58"/>
      <c r="H288" s="58"/>
      <c r="I288" s="58"/>
    </row>
    <row r="289" spans="2:9">
      <c r="B289" s="254"/>
      <c r="C289" s="58"/>
      <c r="D289" s="58"/>
      <c r="E289" s="58"/>
      <c r="F289" s="58"/>
      <c r="G289" s="58"/>
      <c r="H289" s="58"/>
      <c r="I289" s="58"/>
    </row>
    <row r="290" spans="2:9">
      <c r="B290" s="254"/>
      <c r="C290" s="58"/>
      <c r="D290" s="58"/>
      <c r="E290" s="58"/>
      <c r="F290" s="58"/>
      <c r="G290" s="58"/>
      <c r="H290" s="58"/>
      <c r="I290" s="58"/>
    </row>
    <row r="291" spans="2:9">
      <c r="B291" s="254"/>
      <c r="C291" s="58"/>
      <c r="D291" s="58"/>
      <c r="E291" s="58"/>
      <c r="F291" s="58"/>
      <c r="G291" s="58"/>
      <c r="H291" s="58"/>
      <c r="I291" s="58"/>
    </row>
    <row r="292" spans="2:9">
      <c r="B292" s="254"/>
      <c r="C292" s="58"/>
      <c r="D292" s="58"/>
      <c r="E292" s="58"/>
      <c r="F292" s="58"/>
      <c r="G292" s="58"/>
      <c r="H292" s="58"/>
      <c r="I292" s="58"/>
    </row>
    <row r="293" spans="2:9">
      <c r="B293" s="254"/>
      <c r="C293" s="58"/>
      <c r="D293" s="58"/>
      <c r="E293" s="58"/>
      <c r="F293" s="58"/>
      <c r="G293" s="58"/>
      <c r="H293" s="58"/>
      <c r="I293" s="58"/>
    </row>
    <row r="294" spans="2:9">
      <c r="B294" s="254"/>
      <c r="C294" s="58"/>
      <c r="D294" s="58"/>
      <c r="E294" s="58"/>
      <c r="F294" s="58"/>
      <c r="G294" s="58"/>
      <c r="H294" s="58"/>
      <c r="I294" s="58"/>
    </row>
    <row r="295" spans="2:9">
      <c r="B295" s="254"/>
      <c r="C295" s="58"/>
      <c r="D295" s="58"/>
      <c r="E295" s="58"/>
      <c r="F295" s="58"/>
      <c r="G295" s="58"/>
      <c r="H295" s="58"/>
      <c r="I295" s="58"/>
    </row>
    <row r="296" spans="2:9">
      <c r="B296" s="254"/>
      <c r="C296" s="58"/>
      <c r="D296" s="58"/>
      <c r="E296" s="58"/>
      <c r="F296" s="58"/>
      <c r="G296" s="58"/>
      <c r="H296" s="58"/>
      <c r="I296" s="58"/>
    </row>
    <row r="297" spans="2:9">
      <c r="B297" s="254"/>
      <c r="C297" s="58"/>
      <c r="D297" s="58"/>
      <c r="E297" s="58"/>
      <c r="F297" s="58"/>
      <c r="G297" s="58"/>
      <c r="H297" s="58"/>
      <c r="I297" s="58"/>
    </row>
    <row r="298" spans="2:9">
      <c r="B298" s="254"/>
      <c r="C298" s="58"/>
      <c r="D298" s="58"/>
      <c r="E298" s="58"/>
      <c r="F298" s="58"/>
      <c r="G298" s="58"/>
      <c r="H298" s="58"/>
      <c r="I298" s="58"/>
    </row>
    <row r="299" spans="2:9">
      <c r="B299" s="254"/>
      <c r="C299" s="58"/>
      <c r="D299" s="58"/>
      <c r="E299" s="58"/>
      <c r="F299" s="58"/>
      <c r="G299" s="58"/>
      <c r="H299" s="58"/>
      <c r="I299" s="58"/>
    </row>
    <row r="300" spans="2:9">
      <c r="B300" s="254"/>
      <c r="C300" s="58"/>
      <c r="D300" s="58"/>
      <c r="E300" s="58"/>
      <c r="F300" s="58"/>
      <c r="G300" s="58"/>
      <c r="H300" s="58"/>
      <c r="I300" s="58"/>
    </row>
    <row r="301" spans="2:9">
      <c r="B301" s="254"/>
      <c r="C301" s="58"/>
      <c r="D301" s="58"/>
      <c r="E301" s="58"/>
      <c r="F301" s="58"/>
      <c r="G301" s="58"/>
      <c r="H301" s="58"/>
      <c r="I301" s="58"/>
    </row>
    <row r="302" spans="2:9">
      <c r="B302" s="254"/>
      <c r="C302" s="58"/>
      <c r="D302" s="58"/>
      <c r="E302" s="58"/>
      <c r="F302" s="58"/>
      <c r="G302" s="58"/>
      <c r="H302" s="58"/>
      <c r="I302" s="58"/>
    </row>
    <row r="303" spans="2:9">
      <c r="B303" s="254"/>
      <c r="C303" s="58"/>
      <c r="D303" s="58"/>
      <c r="E303" s="58"/>
      <c r="F303" s="58"/>
      <c r="G303" s="58"/>
      <c r="H303" s="58"/>
      <c r="I303" s="58"/>
    </row>
    <row r="304" spans="2:9">
      <c r="B304" s="254"/>
      <c r="C304" s="58"/>
      <c r="D304" s="58"/>
      <c r="E304" s="58"/>
      <c r="F304" s="58"/>
      <c r="G304" s="58"/>
      <c r="H304" s="58"/>
      <c r="I304" s="58"/>
    </row>
    <row r="305" spans="2:9">
      <c r="B305" s="254"/>
      <c r="C305" s="58"/>
      <c r="D305" s="58"/>
      <c r="E305" s="58"/>
      <c r="F305" s="58"/>
      <c r="G305" s="58"/>
      <c r="H305" s="58"/>
      <c r="I305" s="58"/>
    </row>
    <row r="306" spans="2:9">
      <c r="B306" s="254"/>
      <c r="C306" s="58"/>
      <c r="D306" s="58"/>
      <c r="E306" s="58"/>
      <c r="F306" s="58"/>
      <c r="G306" s="58"/>
      <c r="H306" s="58"/>
      <c r="I306" s="58"/>
    </row>
    <row r="307" spans="2:9">
      <c r="B307" s="254"/>
      <c r="C307" s="58"/>
      <c r="D307" s="58"/>
      <c r="E307" s="58"/>
      <c r="F307" s="58"/>
      <c r="G307" s="58"/>
      <c r="H307" s="58"/>
      <c r="I307" s="58"/>
    </row>
    <row r="308" spans="2:9">
      <c r="B308" s="254"/>
      <c r="C308" s="58"/>
      <c r="D308" s="58"/>
      <c r="E308" s="58"/>
      <c r="F308" s="58"/>
      <c r="G308" s="58"/>
      <c r="H308" s="58"/>
      <c r="I308" s="58"/>
    </row>
    <row r="309" spans="2:9">
      <c r="B309" s="254"/>
      <c r="C309" s="58"/>
      <c r="D309" s="58"/>
      <c r="E309" s="58"/>
      <c r="F309" s="58"/>
      <c r="G309" s="58"/>
      <c r="H309" s="58"/>
      <c r="I309" s="58"/>
    </row>
    <row r="310" spans="2:9">
      <c r="B310" s="254"/>
      <c r="C310" s="58"/>
      <c r="D310" s="58"/>
      <c r="E310" s="58"/>
      <c r="F310" s="58"/>
      <c r="G310" s="58"/>
      <c r="H310" s="58"/>
      <c r="I310" s="58"/>
    </row>
    <row r="311" spans="2:9">
      <c r="B311" s="254"/>
      <c r="C311" s="58"/>
      <c r="D311" s="58"/>
      <c r="E311" s="58"/>
      <c r="F311" s="58"/>
      <c r="G311" s="58"/>
      <c r="H311" s="58"/>
      <c r="I311" s="58"/>
    </row>
    <row r="312" spans="2:9">
      <c r="B312" s="254"/>
      <c r="C312" s="58"/>
      <c r="D312" s="58"/>
      <c r="E312" s="58"/>
      <c r="F312" s="58"/>
      <c r="G312" s="58"/>
      <c r="H312" s="58"/>
      <c r="I312" s="58"/>
    </row>
    <row r="313" spans="2:9">
      <c r="B313" s="254"/>
      <c r="C313" s="58"/>
      <c r="D313" s="58"/>
      <c r="E313" s="58"/>
      <c r="F313" s="58"/>
      <c r="G313" s="58"/>
      <c r="H313" s="58"/>
      <c r="I313" s="58"/>
    </row>
    <row r="314" spans="2:9">
      <c r="B314" s="254"/>
      <c r="C314" s="58"/>
      <c r="D314" s="58"/>
      <c r="E314" s="58"/>
      <c r="F314" s="58"/>
      <c r="G314" s="58"/>
      <c r="H314" s="58"/>
      <c r="I314" s="58"/>
    </row>
    <row r="315" spans="2:9">
      <c r="B315" s="254"/>
      <c r="C315" s="58"/>
      <c r="D315" s="58"/>
      <c r="E315" s="58"/>
      <c r="F315" s="58"/>
      <c r="G315" s="58"/>
      <c r="H315" s="58"/>
      <c r="I315" s="58"/>
    </row>
    <row r="316" spans="2:9">
      <c r="B316" s="254"/>
      <c r="C316" s="58"/>
      <c r="D316" s="58"/>
      <c r="E316" s="58"/>
      <c r="F316" s="58"/>
      <c r="G316" s="58"/>
      <c r="H316" s="58"/>
      <c r="I316" s="58"/>
    </row>
    <row r="317" spans="2:9">
      <c r="B317" s="254"/>
      <c r="C317" s="58"/>
      <c r="D317" s="58"/>
      <c r="E317" s="58"/>
      <c r="F317" s="58"/>
      <c r="G317" s="58"/>
      <c r="H317" s="58"/>
      <c r="I317" s="58"/>
    </row>
    <row r="318" spans="2:9">
      <c r="B318" s="254"/>
      <c r="C318" s="58"/>
      <c r="D318" s="58"/>
      <c r="E318" s="58"/>
      <c r="F318" s="58"/>
      <c r="G318" s="58"/>
      <c r="H318" s="58"/>
      <c r="I318" s="58"/>
    </row>
    <row r="319" spans="2:9">
      <c r="B319" s="254"/>
      <c r="C319" s="58"/>
      <c r="D319" s="58"/>
      <c r="E319" s="58"/>
      <c r="F319" s="58"/>
      <c r="G319" s="58"/>
      <c r="H319" s="58"/>
      <c r="I319" s="58"/>
    </row>
    <row r="320" spans="2:9">
      <c r="B320" s="254"/>
      <c r="C320" s="58"/>
      <c r="D320" s="58"/>
      <c r="E320" s="58"/>
      <c r="F320" s="58"/>
      <c r="G320" s="58"/>
      <c r="H320" s="58"/>
      <c r="I320" s="58"/>
    </row>
    <row r="321" spans="2:9">
      <c r="B321" s="254"/>
      <c r="C321" s="58"/>
      <c r="D321" s="58"/>
      <c r="E321" s="58"/>
      <c r="F321" s="58"/>
      <c r="G321" s="58"/>
      <c r="H321" s="58"/>
      <c r="I321" s="58"/>
    </row>
    <row r="322" spans="2:9">
      <c r="B322" s="254"/>
      <c r="C322" s="58"/>
      <c r="D322" s="58"/>
      <c r="E322" s="58"/>
      <c r="F322" s="58"/>
      <c r="G322" s="58"/>
      <c r="H322" s="58"/>
      <c r="I322" s="58"/>
    </row>
    <row r="323" spans="2:9">
      <c r="B323" s="254"/>
      <c r="C323" s="58"/>
      <c r="D323" s="58"/>
      <c r="E323" s="58"/>
      <c r="F323" s="58"/>
      <c r="G323" s="58"/>
      <c r="H323" s="58"/>
      <c r="I323" s="58"/>
    </row>
    <row r="324" spans="2:9">
      <c r="B324" s="254"/>
      <c r="C324" s="58"/>
      <c r="D324" s="58"/>
      <c r="E324" s="58"/>
      <c r="F324" s="58"/>
      <c r="G324" s="58"/>
      <c r="H324" s="58"/>
      <c r="I324" s="58"/>
    </row>
    <row r="325" spans="2:9">
      <c r="B325" s="254"/>
      <c r="C325" s="58"/>
      <c r="D325" s="58"/>
      <c r="E325" s="58"/>
      <c r="F325" s="58"/>
      <c r="G325" s="58"/>
      <c r="H325" s="58"/>
      <c r="I325" s="58"/>
    </row>
    <row r="326" spans="2:9">
      <c r="B326" s="254"/>
      <c r="C326" s="58"/>
      <c r="D326" s="58"/>
      <c r="E326" s="58"/>
      <c r="F326" s="58"/>
      <c r="G326" s="58"/>
      <c r="H326" s="58"/>
      <c r="I326" s="58"/>
    </row>
    <row r="327" spans="2:9">
      <c r="B327" s="254"/>
      <c r="C327" s="58"/>
      <c r="D327" s="58"/>
      <c r="E327" s="58"/>
      <c r="F327" s="58"/>
      <c r="G327" s="58"/>
      <c r="H327" s="58"/>
      <c r="I327" s="58"/>
    </row>
    <row r="328" spans="2:9">
      <c r="B328" s="254"/>
      <c r="C328" s="58"/>
      <c r="D328" s="58"/>
      <c r="E328" s="58"/>
      <c r="F328" s="58"/>
      <c r="G328" s="58"/>
      <c r="H328" s="58"/>
      <c r="I328" s="58"/>
    </row>
    <row r="329" spans="2:9">
      <c r="B329" s="254"/>
      <c r="C329" s="58"/>
      <c r="D329" s="58"/>
      <c r="E329" s="58"/>
      <c r="F329" s="58"/>
      <c r="G329" s="58"/>
      <c r="H329" s="58"/>
      <c r="I329" s="58"/>
    </row>
    <row r="330" spans="2:9">
      <c r="B330" s="254"/>
      <c r="C330" s="58"/>
      <c r="D330" s="58"/>
      <c r="E330" s="58"/>
      <c r="F330" s="58"/>
      <c r="G330" s="58"/>
      <c r="H330" s="58"/>
      <c r="I330" s="58"/>
    </row>
    <row r="331" spans="2:9">
      <c r="B331" s="254"/>
      <c r="C331" s="58"/>
      <c r="D331" s="58"/>
      <c r="E331" s="58"/>
      <c r="F331" s="58"/>
      <c r="G331" s="58"/>
      <c r="H331" s="58"/>
      <c r="I331" s="58"/>
    </row>
    <row r="332" spans="2:9">
      <c r="B332" s="254"/>
      <c r="C332" s="58"/>
      <c r="D332" s="58"/>
      <c r="E332" s="58"/>
      <c r="F332" s="58"/>
      <c r="G332" s="58"/>
      <c r="H332" s="58"/>
      <c r="I332" s="58"/>
    </row>
    <row r="333" spans="2:9">
      <c r="B333" s="254"/>
      <c r="C333" s="58"/>
      <c r="D333" s="58"/>
      <c r="E333" s="58"/>
      <c r="F333" s="58"/>
      <c r="G333" s="58"/>
      <c r="H333" s="58"/>
      <c r="I333" s="58"/>
    </row>
    <row r="334" spans="2:9">
      <c r="B334" s="254"/>
      <c r="C334" s="58"/>
      <c r="D334" s="58"/>
      <c r="E334" s="58"/>
      <c r="F334" s="58"/>
      <c r="G334" s="58"/>
      <c r="H334" s="58"/>
      <c r="I334" s="58"/>
    </row>
    <row r="335" spans="2:9">
      <c r="B335" s="254"/>
      <c r="C335" s="58"/>
      <c r="D335" s="58"/>
      <c r="E335" s="58"/>
      <c r="F335" s="58"/>
      <c r="G335" s="58"/>
      <c r="H335" s="58"/>
      <c r="I335" s="58"/>
    </row>
    <row r="336" spans="2:9">
      <c r="B336" s="254"/>
      <c r="C336" s="58"/>
      <c r="D336" s="58"/>
      <c r="E336" s="58"/>
      <c r="F336" s="58"/>
      <c r="G336" s="58"/>
      <c r="H336" s="58"/>
      <c r="I336" s="58"/>
    </row>
    <row r="337" spans="2:9">
      <c r="B337" s="254"/>
      <c r="C337" s="58"/>
      <c r="D337" s="58"/>
      <c r="E337" s="58"/>
      <c r="F337" s="58"/>
      <c r="G337" s="58"/>
      <c r="H337" s="58"/>
      <c r="I337" s="58"/>
    </row>
    <row r="338" spans="2:9">
      <c r="B338" s="254"/>
      <c r="C338" s="58"/>
      <c r="D338" s="58"/>
      <c r="E338" s="58"/>
      <c r="F338" s="58"/>
      <c r="G338" s="58"/>
      <c r="H338" s="58"/>
      <c r="I338" s="58"/>
    </row>
    <row r="339" spans="2:9">
      <c r="B339" s="254"/>
      <c r="C339" s="58"/>
      <c r="D339" s="58"/>
      <c r="E339" s="58"/>
      <c r="F339" s="58"/>
      <c r="G339" s="58"/>
      <c r="H339" s="58"/>
      <c r="I339" s="58"/>
    </row>
    <row r="340" spans="2:9">
      <c r="B340" s="254"/>
      <c r="C340" s="58"/>
      <c r="D340" s="58"/>
      <c r="E340" s="58"/>
      <c r="F340" s="58"/>
      <c r="G340" s="58"/>
      <c r="H340" s="58"/>
      <c r="I340" s="58"/>
    </row>
    <row r="341" spans="2:9">
      <c r="B341" s="254"/>
      <c r="C341" s="58"/>
      <c r="D341" s="58"/>
      <c r="E341" s="58"/>
      <c r="F341" s="58"/>
      <c r="G341" s="58"/>
      <c r="H341" s="58"/>
      <c r="I341" s="58"/>
    </row>
    <row r="342" spans="2:9">
      <c r="B342" s="254"/>
      <c r="C342" s="58"/>
      <c r="D342" s="58"/>
      <c r="E342" s="58"/>
      <c r="F342" s="58"/>
      <c r="G342" s="58"/>
      <c r="H342" s="58"/>
      <c r="I342" s="58"/>
    </row>
    <row r="343" spans="2:9">
      <c r="B343" s="254"/>
      <c r="C343" s="58"/>
      <c r="D343" s="58"/>
      <c r="E343" s="58"/>
      <c r="F343" s="58"/>
      <c r="G343" s="58"/>
      <c r="H343" s="58"/>
      <c r="I343" s="58"/>
    </row>
    <row r="344" spans="2:9">
      <c r="B344" s="254"/>
      <c r="C344" s="58"/>
      <c r="D344" s="58"/>
      <c r="E344" s="58"/>
      <c r="F344" s="58"/>
      <c r="G344" s="58"/>
      <c r="H344" s="58"/>
      <c r="I344" s="58"/>
    </row>
    <row r="345" spans="2:9">
      <c r="B345" s="254"/>
      <c r="C345" s="58"/>
      <c r="D345" s="58"/>
      <c r="E345" s="58"/>
      <c r="F345" s="58"/>
      <c r="G345" s="58"/>
      <c r="H345" s="58"/>
      <c r="I345" s="58"/>
    </row>
    <row r="346" spans="2:9">
      <c r="B346" s="254"/>
      <c r="C346" s="58"/>
      <c r="D346" s="58"/>
      <c r="E346" s="58"/>
      <c r="F346" s="58"/>
      <c r="G346" s="58"/>
      <c r="H346" s="58"/>
      <c r="I346" s="58"/>
    </row>
    <row r="347" spans="2:9">
      <c r="B347" s="254"/>
      <c r="C347" s="58"/>
      <c r="D347" s="58"/>
      <c r="E347" s="58"/>
      <c r="F347" s="58"/>
      <c r="G347" s="58"/>
      <c r="H347" s="58"/>
      <c r="I347" s="58"/>
    </row>
    <row r="348" spans="2:9">
      <c r="B348" s="254"/>
      <c r="C348" s="58"/>
      <c r="D348" s="58"/>
      <c r="E348" s="58"/>
      <c r="F348" s="58"/>
      <c r="G348" s="58"/>
      <c r="H348" s="58"/>
      <c r="I348" s="58"/>
    </row>
    <row r="349" spans="2:9">
      <c r="B349" s="254"/>
      <c r="C349" s="58"/>
      <c r="D349" s="58"/>
      <c r="E349" s="58"/>
      <c r="F349" s="58"/>
      <c r="G349" s="58"/>
      <c r="H349" s="58"/>
      <c r="I349" s="58"/>
    </row>
    <row r="350" spans="2:9">
      <c r="B350" s="254"/>
      <c r="C350" s="58"/>
      <c r="D350" s="58"/>
      <c r="E350" s="58"/>
      <c r="F350" s="58"/>
      <c r="G350" s="58"/>
      <c r="H350" s="58"/>
      <c r="I350" s="58"/>
    </row>
    <row r="351" spans="2:9">
      <c r="B351" s="254"/>
      <c r="C351" s="58"/>
      <c r="D351" s="58"/>
      <c r="E351" s="58"/>
      <c r="F351" s="58"/>
      <c r="G351" s="58"/>
      <c r="H351" s="58"/>
      <c r="I351" s="58"/>
    </row>
    <row r="352" spans="2:9">
      <c r="B352" s="254"/>
      <c r="C352" s="58"/>
      <c r="D352" s="58"/>
      <c r="E352" s="58"/>
      <c r="F352" s="58"/>
      <c r="G352" s="58"/>
      <c r="H352" s="58"/>
      <c r="I352" s="58"/>
    </row>
    <row r="353" spans="2:9">
      <c r="B353" s="254"/>
      <c r="C353" s="58"/>
      <c r="D353" s="58"/>
      <c r="E353" s="58"/>
      <c r="F353" s="58"/>
      <c r="G353" s="58"/>
      <c r="H353" s="58"/>
      <c r="I353" s="58"/>
    </row>
    <row r="354" spans="2:9">
      <c r="B354" s="254"/>
      <c r="C354" s="58"/>
      <c r="D354" s="58"/>
      <c r="E354" s="58"/>
      <c r="F354" s="58"/>
      <c r="G354" s="58"/>
      <c r="H354" s="58"/>
      <c r="I354" s="58"/>
    </row>
    <row r="355" spans="2:9">
      <c r="B355" s="254"/>
      <c r="C355" s="58"/>
      <c r="D355" s="58"/>
      <c r="E355" s="58"/>
      <c r="F355" s="58"/>
      <c r="G355" s="58"/>
      <c r="H355" s="58"/>
      <c r="I355" s="58"/>
    </row>
    <row r="356" spans="2:9">
      <c r="B356" s="254"/>
      <c r="C356" s="58"/>
      <c r="D356" s="58"/>
      <c r="E356" s="58"/>
      <c r="F356" s="58"/>
      <c r="G356" s="58"/>
      <c r="H356" s="58"/>
      <c r="I356" s="58"/>
    </row>
    <row r="357" spans="2:9">
      <c r="B357" s="254"/>
      <c r="C357" s="58"/>
      <c r="D357" s="58"/>
      <c r="E357" s="58"/>
      <c r="F357" s="58"/>
      <c r="G357" s="58"/>
      <c r="H357" s="58"/>
      <c r="I357" s="58"/>
    </row>
    <row r="358" spans="2:9">
      <c r="B358" s="254"/>
      <c r="C358" s="58"/>
      <c r="D358" s="58"/>
      <c r="E358" s="58"/>
      <c r="F358" s="58"/>
      <c r="G358" s="58"/>
      <c r="H358" s="58"/>
      <c r="I358" s="58"/>
    </row>
    <row r="359" spans="2:9">
      <c r="B359" s="254"/>
      <c r="C359" s="58"/>
      <c r="D359" s="58"/>
      <c r="E359" s="58"/>
      <c r="F359" s="58"/>
      <c r="G359" s="58"/>
      <c r="H359" s="58"/>
      <c r="I359" s="58"/>
    </row>
    <row r="360" spans="2:9">
      <c r="B360" s="254"/>
      <c r="C360" s="58"/>
      <c r="D360" s="58"/>
      <c r="E360" s="58"/>
      <c r="F360" s="58"/>
      <c r="G360" s="58"/>
      <c r="H360" s="58"/>
      <c r="I360" s="58"/>
    </row>
    <row r="361" spans="2:9">
      <c r="B361" s="254"/>
      <c r="C361" s="58"/>
      <c r="D361" s="58"/>
      <c r="E361" s="58"/>
      <c r="F361" s="58"/>
      <c r="G361" s="58"/>
      <c r="H361" s="58"/>
      <c r="I361" s="58"/>
    </row>
    <row r="362" spans="2:9">
      <c r="B362" s="254"/>
      <c r="C362" s="58"/>
      <c r="D362" s="58"/>
      <c r="E362" s="58"/>
      <c r="F362" s="58"/>
      <c r="G362" s="58"/>
      <c r="H362" s="58"/>
      <c r="I362" s="58"/>
    </row>
    <row r="363" spans="2:9">
      <c r="B363" s="254"/>
      <c r="C363" s="58"/>
      <c r="D363" s="58"/>
      <c r="E363" s="58"/>
      <c r="F363" s="58"/>
      <c r="G363" s="58"/>
      <c r="H363" s="58"/>
      <c r="I363" s="58"/>
    </row>
    <row r="364" spans="2:9">
      <c r="B364" s="254"/>
      <c r="C364" s="58"/>
      <c r="D364" s="58"/>
      <c r="E364" s="58"/>
      <c r="F364" s="58"/>
      <c r="G364" s="58"/>
      <c r="H364" s="58"/>
      <c r="I364" s="58"/>
    </row>
    <row r="365" spans="2:9">
      <c r="B365" s="254"/>
      <c r="C365" s="58"/>
      <c r="D365" s="58"/>
      <c r="E365" s="58"/>
      <c r="F365" s="58"/>
      <c r="G365" s="58"/>
      <c r="H365" s="58"/>
      <c r="I365" s="58"/>
    </row>
    <row r="366" spans="2:9">
      <c r="B366" s="254"/>
      <c r="C366" s="58"/>
      <c r="D366" s="58"/>
      <c r="E366" s="58"/>
      <c r="F366" s="58"/>
      <c r="G366" s="58"/>
      <c r="H366" s="58"/>
      <c r="I366" s="58"/>
    </row>
    <row r="367" spans="2:9">
      <c r="B367" s="254"/>
      <c r="C367" s="58"/>
      <c r="D367" s="58"/>
      <c r="E367" s="58"/>
      <c r="F367" s="58"/>
      <c r="G367" s="58"/>
      <c r="H367" s="58"/>
      <c r="I367" s="58"/>
    </row>
    <row r="368" spans="2:9">
      <c r="B368" s="254"/>
      <c r="C368" s="58"/>
      <c r="D368" s="58"/>
      <c r="E368" s="58"/>
      <c r="F368" s="58"/>
      <c r="G368" s="58"/>
      <c r="H368" s="58"/>
      <c r="I368" s="58"/>
    </row>
    <row r="369" spans="2:9">
      <c r="B369" s="254"/>
      <c r="C369" s="58"/>
      <c r="D369" s="58"/>
      <c r="E369" s="58"/>
      <c r="F369" s="58"/>
      <c r="G369" s="58"/>
      <c r="H369" s="58"/>
      <c r="I369" s="58"/>
    </row>
    <row r="370" spans="2:9">
      <c r="B370" s="254"/>
      <c r="C370" s="58"/>
      <c r="D370" s="58"/>
      <c r="E370" s="58"/>
      <c r="F370" s="58"/>
      <c r="G370" s="58"/>
      <c r="H370" s="58"/>
      <c r="I370" s="58"/>
    </row>
    <row r="371" spans="2:9">
      <c r="B371" s="254"/>
      <c r="C371" s="58"/>
      <c r="D371" s="58"/>
      <c r="E371" s="58"/>
      <c r="F371" s="58"/>
      <c r="G371" s="58"/>
      <c r="H371" s="58"/>
      <c r="I371" s="58"/>
    </row>
    <row r="372" spans="2:9">
      <c r="B372" s="254"/>
      <c r="C372" s="58"/>
      <c r="D372" s="58"/>
      <c r="E372" s="58"/>
      <c r="F372" s="58"/>
      <c r="G372" s="58"/>
      <c r="H372" s="58"/>
      <c r="I372" s="58"/>
    </row>
    <row r="373" spans="2:9">
      <c r="B373" s="254"/>
      <c r="C373" s="58"/>
      <c r="D373" s="58"/>
      <c r="E373" s="58"/>
      <c r="F373" s="58"/>
      <c r="G373" s="58"/>
      <c r="H373" s="58"/>
      <c r="I373" s="58"/>
    </row>
    <row r="374" spans="2:9">
      <c r="B374" s="254"/>
      <c r="C374" s="58"/>
      <c r="D374" s="58"/>
      <c r="E374" s="58"/>
      <c r="F374" s="58"/>
      <c r="G374" s="58"/>
      <c r="H374" s="58"/>
      <c r="I374" s="58"/>
    </row>
    <row r="375" spans="2:9">
      <c r="B375" s="254"/>
      <c r="C375" s="58"/>
      <c r="D375" s="58"/>
      <c r="E375" s="58"/>
      <c r="F375" s="58"/>
      <c r="G375" s="58"/>
      <c r="H375" s="58"/>
      <c r="I375" s="58"/>
    </row>
    <row r="376" spans="2:9">
      <c r="B376" s="254"/>
      <c r="C376" s="58"/>
      <c r="D376" s="58"/>
      <c r="E376" s="58"/>
      <c r="F376" s="58"/>
      <c r="G376" s="58"/>
      <c r="H376" s="58"/>
      <c r="I376" s="58"/>
    </row>
    <row r="377" spans="2:9">
      <c r="B377" s="254"/>
      <c r="C377" s="58"/>
      <c r="D377" s="58"/>
      <c r="E377" s="58"/>
      <c r="F377" s="58"/>
      <c r="G377" s="58"/>
      <c r="H377" s="58"/>
      <c r="I377" s="58"/>
    </row>
    <row r="378" spans="2:9">
      <c r="B378" s="254"/>
      <c r="C378" s="58"/>
      <c r="D378" s="58"/>
      <c r="E378" s="58"/>
      <c r="F378" s="58"/>
      <c r="G378" s="58"/>
      <c r="H378" s="58"/>
      <c r="I378" s="58"/>
    </row>
    <row r="379" spans="2:9">
      <c r="B379" s="254"/>
      <c r="C379" s="58"/>
      <c r="D379" s="58"/>
      <c r="E379" s="58"/>
      <c r="F379" s="58"/>
      <c r="G379" s="58"/>
      <c r="H379" s="58"/>
      <c r="I379" s="58"/>
    </row>
    <row r="380" spans="2:9">
      <c r="B380" s="254"/>
      <c r="C380" s="58"/>
      <c r="D380" s="58"/>
      <c r="E380" s="58"/>
      <c r="F380" s="58"/>
      <c r="G380" s="58"/>
      <c r="H380" s="58"/>
      <c r="I380" s="58"/>
    </row>
    <row r="381" spans="2:9">
      <c r="B381" s="254"/>
      <c r="C381" s="58"/>
      <c r="D381" s="58"/>
      <c r="E381" s="58"/>
      <c r="F381" s="58"/>
      <c r="G381" s="58"/>
      <c r="H381" s="58"/>
      <c r="I381" s="58"/>
    </row>
    <row r="382" spans="2:9">
      <c r="B382" s="254"/>
      <c r="C382" s="58"/>
      <c r="D382" s="58"/>
      <c r="E382" s="58"/>
      <c r="F382" s="58"/>
      <c r="G382" s="58"/>
      <c r="H382" s="58"/>
      <c r="I382" s="58"/>
    </row>
    <row r="383" spans="2:9">
      <c r="B383" s="254"/>
      <c r="C383" s="58"/>
      <c r="D383" s="58"/>
      <c r="E383" s="58"/>
      <c r="F383" s="58"/>
      <c r="G383" s="58"/>
      <c r="H383" s="58"/>
      <c r="I383" s="58"/>
    </row>
    <row r="384" spans="2:9">
      <c r="B384" s="254"/>
      <c r="C384" s="58"/>
      <c r="D384" s="58"/>
      <c r="E384" s="58"/>
      <c r="F384" s="58"/>
      <c r="G384" s="58"/>
      <c r="H384" s="58"/>
      <c r="I384" s="58"/>
    </row>
    <row r="385" spans="2:9">
      <c r="B385" s="254"/>
      <c r="C385" s="58"/>
      <c r="D385" s="58"/>
      <c r="E385" s="58"/>
      <c r="F385" s="58"/>
      <c r="G385" s="58"/>
      <c r="H385" s="58"/>
      <c r="I385" s="58"/>
    </row>
    <row r="386" spans="2:9">
      <c r="B386" s="254"/>
      <c r="C386" s="58"/>
      <c r="D386" s="58"/>
      <c r="E386" s="58"/>
      <c r="F386" s="58"/>
      <c r="G386" s="58"/>
      <c r="H386" s="58"/>
      <c r="I386" s="58"/>
    </row>
    <row r="387" spans="2:9">
      <c r="B387" s="254"/>
      <c r="C387" s="58"/>
      <c r="D387" s="58"/>
      <c r="E387" s="58"/>
      <c r="F387" s="58"/>
      <c r="G387" s="58"/>
      <c r="H387" s="58"/>
      <c r="I387" s="58"/>
    </row>
    <row r="388" spans="2:9">
      <c r="B388" s="254"/>
      <c r="C388" s="58"/>
      <c r="D388" s="58"/>
      <c r="E388" s="58"/>
      <c r="F388" s="58"/>
      <c r="G388" s="58"/>
      <c r="H388" s="58"/>
      <c r="I388" s="58"/>
    </row>
    <row r="389" spans="2:9">
      <c r="B389" s="254"/>
      <c r="C389" s="58"/>
      <c r="D389" s="58"/>
      <c r="E389" s="58"/>
      <c r="F389" s="58"/>
      <c r="G389" s="58"/>
      <c r="H389" s="58"/>
      <c r="I389" s="58"/>
    </row>
    <row r="390" spans="2:9">
      <c r="B390" s="254"/>
      <c r="C390" s="58"/>
      <c r="D390" s="58"/>
      <c r="E390" s="58"/>
      <c r="F390" s="58"/>
      <c r="G390" s="58"/>
      <c r="H390" s="58"/>
      <c r="I390" s="58"/>
    </row>
    <row r="391" spans="2:9">
      <c r="B391" s="254"/>
      <c r="C391" s="58"/>
      <c r="D391" s="58"/>
      <c r="E391" s="58"/>
      <c r="F391" s="58"/>
      <c r="G391" s="58"/>
      <c r="H391" s="58"/>
      <c r="I391" s="58"/>
    </row>
    <row r="392" spans="2:9">
      <c r="B392" s="254"/>
      <c r="C392" s="58"/>
      <c r="D392" s="58"/>
      <c r="E392" s="58"/>
      <c r="F392" s="58"/>
      <c r="G392" s="58"/>
      <c r="H392" s="58"/>
      <c r="I392" s="58"/>
    </row>
    <row r="393" spans="2:9">
      <c r="B393" s="254"/>
      <c r="C393" s="58"/>
      <c r="D393" s="58"/>
      <c r="E393" s="58"/>
      <c r="F393" s="58"/>
      <c r="G393" s="58"/>
      <c r="H393" s="58"/>
      <c r="I393" s="58"/>
    </row>
    <row r="394" spans="2:9">
      <c r="B394" s="254"/>
      <c r="C394" s="58"/>
      <c r="D394" s="58"/>
      <c r="E394" s="58"/>
      <c r="F394" s="58"/>
      <c r="G394" s="58"/>
      <c r="H394" s="58"/>
      <c r="I394" s="58"/>
    </row>
    <row r="395" spans="2:9">
      <c r="B395" s="254"/>
      <c r="C395" s="58"/>
      <c r="D395" s="58"/>
      <c r="E395" s="58"/>
      <c r="F395" s="58"/>
      <c r="G395" s="58"/>
      <c r="H395" s="58"/>
      <c r="I395" s="58"/>
    </row>
    <row r="396" spans="2:9">
      <c r="B396" s="254"/>
      <c r="C396" s="58"/>
      <c r="D396" s="58"/>
      <c r="E396" s="58"/>
      <c r="F396" s="58"/>
      <c r="G396" s="58"/>
      <c r="H396" s="58"/>
      <c r="I396" s="58"/>
    </row>
    <row r="397" spans="2:9">
      <c r="B397" s="254"/>
      <c r="C397" s="58"/>
      <c r="D397" s="58"/>
      <c r="E397" s="58"/>
      <c r="F397" s="58"/>
      <c r="G397" s="58"/>
      <c r="H397" s="58"/>
      <c r="I397" s="58"/>
    </row>
    <row r="398" spans="2:9">
      <c r="B398" s="254"/>
      <c r="C398" s="58"/>
      <c r="D398" s="58"/>
      <c r="E398" s="58"/>
      <c r="F398" s="58"/>
      <c r="G398" s="58"/>
      <c r="H398" s="58"/>
      <c r="I398" s="58"/>
    </row>
    <row r="399" spans="2:9">
      <c r="B399" s="254"/>
      <c r="C399" s="58"/>
      <c r="D399" s="58"/>
      <c r="E399" s="58"/>
      <c r="F399" s="58"/>
      <c r="G399" s="58"/>
      <c r="H399" s="58"/>
      <c r="I399" s="58"/>
    </row>
    <row r="400" spans="2:9">
      <c r="B400" s="254"/>
      <c r="C400" s="58"/>
      <c r="D400" s="58"/>
      <c r="E400" s="58"/>
      <c r="F400" s="58"/>
      <c r="G400" s="58"/>
      <c r="H400" s="58"/>
      <c r="I400" s="58"/>
    </row>
    <row r="401" spans="2:9">
      <c r="B401" s="254"/>
      <c r="C401" s="58"/>
      <c r="D401" s="58"/>
      <c r="E401" s="58"/>
      <c r="F401" s="58"/>
      <c r="G401" s="58"/>
      <c r="H401" s="58"/>
      <c r="I401" s="58"/>
    </row>
    <row r="402" spans="2:9">
      <c r="B402" s="254"/>
      <c r="C402" s="58"/>
      <c r="D402" s="58"/>
      <c r="E402" s="58"/>
      <c r="F402" s="58"/>
      <c r="G402" s="58"/>
      <c r="H402" s="58"/>
      <c r="I402" s="58"/>
    </row>
    <row r="403" spans="2:9">
      <c r="B403" s="254"/>
      <c r="C403" s="58"/>
      <c r="D403" s="58"/>
      <c r="E403" s="58"/>
      <c r="F403" s="58"/>
      <c r="G403" s="58"/>
      <c r="H403" s="58"/>
      <c r="I403" s="58"/>
    </row>
    <row r="404" spans="2:9">
      <c r="B404" s="254"/>
      <c r="C404" s="58"/>
      <c r="D404" s="58"/>
      <c r="E404" s="58"/>
      <c r="F404" s="58"/>
      <c r="G404" s="58"/>
      <c r="H404" s="58"/>
      <c r="I404" s="58"/>
    </row>
    <row r="405" spans="2:9">
      <c r="B405" s="254"/>
      <c r="C405" s="58"/>
      <c r="D405" s="58"/>
      <c r="E405" s="58"/>
      <c r="F405" s="58"/>
      <c r="G405" s="58"/>
      <c r="H405" s="58"/>
      <c r="I405" s="58"/>
    </row>
    <row r="406" spans="2:9">
      <c r="B406" s="254"/>
      <c r="C406" s="58"/>
      <c r="D406" s="58"/>
      <c r="E406" s="58"/>
      <c r="F406" s="58"/>
      <c r="G406" s="58"/>
      <c r="H406" s="58"/>
      <c r="I406" s="58"/>
    </row>
    <row r="407" spans="2:9">
      <c r="B407" s="254"/>
      <c r="C407" s="58"/>
      <c r="D407" s="58"/>
      <c r="E407" s="58"/>
      <c r="F407" s="58"/>
      <c r="G407" s="58"/>
      <c r="H407" s="58"/>
      <c r="I407" s="58"/>
    </row>
    <row r="408" spans="2:9">
      <c r="B408" s="254"/>
      <c r="C408" s="58"/>
      <c r="D408" s="58"/>
      <c r="E408" s="58"/>
      <c r="F408" s="58"/>
      <c r="G408" s="58"/>
      <c r="H408" s="58"/>
      <c r="I408" s="58"/>
    </row>
    <row r="409" spans="2:9">
      <c r="B409" s="254"/>
      <c r="C409" s="58"/>
      <c r="D409" s="58"/>
      <c r="E409" s="58"/>
      <c r="F409" s="58"/>
      <c r="G409" s="58"/>
      <c r="H409" s="58"/>
      <c r="I409" s="58"/>
    </row>
    <row r="410" spans="2:9">
      <c r="B410" s="254"/>
      <c r="C410" s="58"/>
      <c r="D410" s="58"/>
      <c r="E410" s="58"/>
      <c r="F410" s="58"/>
      <c r="G410" s="58"/>
      <c r="H410" s="58"/>
      <c r="I410" s="58"/>
    </row>
    <row r="411" spans="2:9">
      <c r="B411" s="254"/>
      <c r="C411" s="58"/>
      <c r="D411" s="58"/>
      <c r="E411" s="58"/>
      <c r="F411" s="58"/>
      <c r="G411" s="58"/>
      <c r="H411" s="58"/>
      <c r="I411" s="58"/>
    </row>
    <row r="412" spans="2:9">
      <c r="B412" s="254"/>
      <c r="C412" s="58"/>
      <c r="D412" s="58"/>
      <c r="E412" s="58"/>
      <c r="F412" s="58"/>
      <c r="G412" s="58"/>
      <c r="H412" s="58"/>
      <c r="I412" s="58"/>
    </row>
    <row r="413" spans="2:9">
      <c r="B413" s="254"/>
      <c r="C413" s="58"/>
      <c r="D413" s="58"/>
      <c r="E413" s="58"/>
      <c r="F413" s="58"/>
      <c r="G413" s="58"/>
      <c r="H413" s="58"/>
      <c r="I413" s="58"/>
    </row>
    <row r="414" spans="2:9">
      <c r="B414" s="254"/>
      <c r="C414" s="58"/>
      <c r="D414" s="58"/>
      <c r="E414" s="58"/>
      <c r="F414" s="58"/>
      <c r="G414" s="58"/>
      <c r="H414" s="58"/>
      <c r="I414" s="58"/>
    </row>
    <row r="415" spans="2:9">
      <c r="B415" s="254"/>
      <c r="C415" s="58"/>
      <c r="D415" s="58"/>
      <c r="E415" s="58"/>
      <c r="F415" s="58"/>
      <c r="G415" s="58"/>
      <c r="H415" s="58"/>
      <c r="I415" s="58"/>
    </row>
    <row r="416" spans="2:9">
      <c r="B416" s="254"/>
      <c r="C416" s="58"/>
      <c r="D416" s="58"/>
      <c r="E416" s="58"/>
      <c r="F416" s="58"/>
      <c r="G416" s="58"/>
      <c r="H416" s="58"/>
      <c r="I416" s="58"/>
    </row>
    <row r="417" spans="2:9">
      <c r="B417" s="254"/>
      <c r="C417" s="58"/>
      <c r="D417" s="58"/>
      <c r="E417" s="58"/>
      <c r="F417" s="58"/>
      <c r="G417" s="58"/>
      <c r="H417" s="58"/>
      <c r="I417" s="58"/>
    </row>
    <row r="418" spans="2:9">
      <c r="B418" s="254"/>
      <c r="C418" s="58"/>
      <c r="D418" s="58"/>
      <c r="E418" s="58"/>
      <c r="F418" s="58"/>
      <c r="G418" s="58"/>
      <c r="H418" s="58"/>
      <c r="I418" s="58"/>
    </row>
    <row r="419" spans="2:9">
      <c r="B419" s="254"/>
      <c r="C419" s="58"/>
      <c r="D419" s="58"/>
      <c r="E419" s="58"/>
      <c r="F419" s="58"/>
      <c r="G419" s="58"/>
      <c r="H419" s="58"/>
      <c r="I419" s="58"/>
    </row>
    <row r="420" spans="2:9">
      <c r="B420" s="254"/>
      <c r="C420" s="58"/>
      <c r="D420" s="58"/>
      <c r="E420" s="58"/>
      <c r="F420" s="58"/>
      <c r="G420" s="58"/>
      <c r="H420" s="58"/>
      <c r="I420" s="58"/>
    </row>
    <row r="421" spans="2:9">
      <c r="B421" s="254"/>
      <c r="C421" s="58"/>
      <c r="D421" s="58"/>
      <c r="E421" s="58"/>
      <c r="F421" s="58"/>
      <c r="G421" s="58"/>
      <c r="H421" s="58"/>
      <c r="I421" s="58"/>
    </row>
    <row r="422" spans="2:9">
      <c r="B422" s="254"/>
      <c r="C422" s="58"/>
      <c r="D422" s="58"/>
      <c r="E422" s="58"/>
      <c r="F422" s="58"/>
      <c r="G422" s="58"/>
      <c r="H422" s="58"/>
      <c r="I422" s="58"/>
    </row>
    <row r="423" spans="2:9">
      <c r="B423" s="254"/>
      <c r="C423" s="58"/>
      <c r="D423" s="58"/>
      <c r="E423" s="58"/>
      <c r="F423" s="58"/>
      <c r="G423" s="58"/>
      <c r="H423" s="58"/>
      <c r="I423" s="58"/>
    </row>
    <row r="424" spans="2:9">
      <c r="B424" s="254"/>
      <c r="C424" s="58"/>
      <c r="D424" s="58"/>
      <c r="E424" s="58"/>
      <c r="F424" s="58"/>
      <c r="G424" s="58"/>
      <c r="H424" s="58"/>
      <c r="I424" s="58"/>
    </row>
    <row r="425" spans="2:9">
      <c r="B425" s="254"/>
      <c r="C425" s="58"/>
      <c r="D425" s="58"/>
      <c r="E425" s="58"/>
      <c r="F425" s="58"/>
      <c r="G425" s="58"/>
      <c r="H425" s="58"/>
      <c r="I425" s="58"/>
    </row>
    <row r="426" spans="2:9">
      <c r="B426" s="254"/>
      <c r="C426" s="58"/>
      <c r="D426" s="58"/>
      <c r="E426" s="58"/>
      <c r="F426" s="58"/>
      <c r="G426" s="58"/>
      <c r="H426" s="58"/>
      <c r="I426" s="58"/>
    </row>
    <row r="427" spans="2:9">
      <c r="B427" s="254"/>
      <c r="C427" s="58"/>
      <c r="D427" s="58"/>
      <c r="E427" s="58"/>
      <c r="F427" s="58"/>
      <c r="G427" s="58"/>
      <c r="H427" s="58"/>
      <c r="I427" s="58"/>
    </row>
    <row r="428" spans="2:9">
      <c r="B428" s="254"/>
      <c r="C428" s="58"/>
      <c r="D428" s="58"/>
      <c r="E428" s="58"/>
      <c r="F428" s="58"/>
      <c r="G428" s="58"/>
      <c r="H428" s="58"/>
      <c r="I428" s="58"/>
    </row>
    <row r="429" spans="2:9">
      <c r="B429" s="254"/>
      <c r="C429" s="58"/>
      <c r="D429" s="58"/>
      <c r="E429" s="58"/>
      <c r="F429" s="58"/>
      <c r="G429" s="58"/>
      <c r="H429" s="58"/>
      <c r="I429" s="58"/>
    </row>
    <row r="430" spans="2:9">
      <c r="B430" s="254"/>
      <c r="C430" s="58"/>
      <c r="D430" s="58"/>
      <c r="E430" s="58"/>
      <c r="F430" s="58"/>
      <c r="G430" s="58"/>
      <c r="H430" s="58"/>
      <c r="I430" s="58"/>
    </row>
    <row r="431" spans="2:9">
      <c r="B431" s="254"/>
      <c r="C431" s="58"/>
      <c r="D431" s="58"/>
      <c r="E431" s="58"/>
      <c r="F431" s="58"/>
      <c r="G431" s="58"/>
      <c r="H431" s="58"/>
      <c r="I431" s="58"/>
    </row>
    <row r="432" spans="2:9">
      <c r="B432" s="254"/>
      <c r="C432" s="58"/>
      <c r="D432" s="58"/>
      <c r="E432" s="58"/>
      <c r="F432" s="58"/>
      <c r="G432" s="58"/>
      <c r="H432" s="58"/>
      <c r="I432" s="58"/>
    </row>
    <row r="433" spans="2:9">
      <c r="B433" s="254"/>
      <c r="C433" s="58"/>
      <c r="D433" s="58"/>
      <c r="E433" s="58"/>
      <c r="F433" s="58"/>
      <c r="G433" s="58"/>
      <c r="H433" s="58"/>
      <c r="I433" s="58"/>
    </row>
    <row r="434" spans="2:9">
      <c r="B434" s="254"/>
      <c r="C434" s="58"/>
      <c r="D434" s="58"/>
      <c r="E434" s="58"/>
      <c r="F434" s="58"/>
      <c r="G434" s="58"/>
      <c r="H434" s="58"/>
      <c r="I434" s="58"/>
    </row>
    <row r="435" spans="2:9">
      <c r="B435" s="254"/>
      <c r="C435" s="58"/>
      <c r="D435" s="58"/>
      <c r="E435" s="58"/>
      <c r="F435" s="58"/>
      <c r="G435" s="58"/>
      <c r="H435" s="58"/>
      <c r="I435" s="58"/>
    </row>
    <row r="436" spans="2:9">
      <c r="B436" s="254"/>
      <c r="C436" s="58"/>
      <c r="D436" s="58"/>
      <c r="E436" s="58"/>
      <c r="F436" s="58"/>
      <c r="G436" s="58"/>
      <c r="H436" s="58"/>
      <c r="I436" s="58"/>
    </row>
    <row r="437" spans="2:9">
      <c r="B437" s="254"/>
      <c r="C437" s="58"/>
      <c r="D437" s="58"/>
      <c r="E437" s="58"/>
      <c r="F437" s="58"/>
      <c r="G437" s="58"/>
      <c r="H437" s="58"/>
      <c r="I437" s="58"/>
    </row>
    <row r="438" spans="2:9">
      <c r="B438" s="254"/>
      <c r="C438" s="58"/>
      <c r="D438" s="58"/>
      <c r="E438" s="58"/>
      <c r="F438" s="58"/>
      <c r="G438" s="58"/>
      <c r="H438" s="58"/>
      <c r="I438" s="58"/>
    </row>
    <row r="439" spans="2:9">
      <c r="B439" s="254"/>
      <c r="C439" s="58"/>
      <c r="D439" s="58"/>
      <c r="E439" s="58"/>
      <c r="F439" s="58"/>
      <c r="G439" s="58"/>
      <c r="H439" s="58"/>
      <c r="I439" s="58"/>
    </row>
    <row r="440" spans="2:9">
      <c r="B440" s="254"/>
      <c r="C440" s="58"/>
      <c r="D440" s="58"/>
      <c r="E440" s="58"/>
      <c r="F440" s="58"/>
      <c r="G440" s="58"/>
      <c r="H440" s="58"/>
      <c r="I440" s="58"/>
    </row>
    <row r="441" spans="2:9">
      <c r="B441" s="254"/>
      <c r="C441" s="58"/>
      <c r="D441" s="58"/>
      <c r="E441" s="58"/>
      <c r="F441" s="58"/>
      <c r="G441" s="58"/>
      <c r="H441" s="58"/>
      <c r="I441" s="58"/>
    </row>
    <row r="442" spans="2:9">
      <c r="B442" s="254"/>
      <c r="C442" s="58"/>
      <c r="D442" s="58"/>
      <c r="E442" s="58"/>
      <c r="F442" s="58"/>
      <c r="G442" s="58"/>
      <c r="H442" s="58"/>
      <c r="I442" s="58"/>
    </row>
    <row r="443" spans="2:9">
      <c r="B443" s="254"/>
      <c r="C443" s="58"/>
      <c r="D443" s="58"/>
      <c r="E443" s="58"/>
      <c r="F443" s="58"/>
      <c r="G443" s="58"/>
      <c r="H443" s="58"/>
      <c r="I443" s="58"/>
    </row>
    <row r="444" spans="2:9">
      <c r="B444" s="254"/>
      <c r="C444" s="58"/>
      <c r="D444" s="58"/>
      <c r="E444" s="58"/>
      <c r="F444" s="58"/>
      <c r="G444" s="58"/>
      <c r="H444" s="58"/>
      <c r="I444" s="58"/>
    </row>
    <row r="445" spans="2:9">
      <c r="B445" s="254"/>
      <c r="C445" s="58"/>
      <c r="D445" s="58"/>
      <c r="E445" s="58"/>
      <c r="F445" s="58"/>
      <c r="G445" s="58"/>
      <c r="H445" s="58"/>
      <c r="I445" s="58"/>
    </row>
    <row r="446" spans="2:9">
      <c r="B446" s="254"/>
      <c r="C446" s="58"/>
      <c r="D446" s="58"/>
      <c r="E446" s="58"/>
      <c r="F446" s="58"/>
      <c r="G446" s="58"/>
      <c r="H446" s="58"/>
      <c r="I446" s="58"/>
    </row>
    <row r="447" spans="2:9">
      <c r="B447" s="254"/>
      <c r="C447" s="58"/>
      <c r="D447" s="58"/>
      <c r="E447" s="58"/>
      <c r="F447" s="58"/>
      <c r="G447" s="58"/>
      <c r="H447" s="58"/>
      <c r="I447" s="58"/>
    </row>
    <row r="448" spans="2:9">
      <c r="B448" s="254"/>
      <c r="C448" s="58"/>
      <c r="D448" s="58"/>
      <c r="E448" s="58"/>
      <c r="F448" s="58"/>
      <c r="G448" s="58"/>
      <c r="H448" s="58"/>
      <c r="I448" s="58"/>
    </row>
    <row r="449" spans="2:9">
      <c r="B449" s="254"/>
      <c r="C449" s="58"/>
      <c r="D449" s="58"/>
      <c r="E449" s="58"/>
      <c r="F449" s="58"/>
      <c r="G449" s="58"/>
      <c r="H449" s="58"/>
      <c r="I449" s="58"/>
    </row>
    <row r="450" spans="2:9">
      <c r="B450" s="254"/>
      <c r="C450" s="58"/>
      <c r="D450" s="58"/>
      <c r="E450" s="58"/>
      <c r="F450" s="58"/>
      <c r="G450" s="58"/>
      <c r="H450" s="58"/>
      <c r="I450" s="58"/>
    </row>
    <row r="451" spans="2:9">
      <c r="B451" s="254"/>
      <c r="C451" s="58"/>
      <c r="D451" s="58"/>
      <c r="E451" s="58"/>
      <c r="F451" s="58"/>
      <c r="G451" s="58"/>
      <c r="H451" s="58"/>
      <c r="I451" s="58"/>
    </row>
    <row r="452" spans="2:9">
      <c r="B452" s="254"/>
      <c r="C452" s="58"/>
      <c r="D452" s="58"/>
      <c r="E452" s="58"/>
      <c r="F452" s="58"/>
      <c r="G452" s="58"/>
      <c r="H452" s="58"/>
      <c r="I452" s="58"/>
    </row>
    <row r="453" spans="2:9">
      <c r="B453" s="254"/>
      <c r="C453" s="58"/>
      <c r="D453" s="58"/>
      <c r="E453" s="58"/>
      <c r="F453" s="58"/>
      <c r="G453" s="58"/>
      <c r="H453" s="58"/>
      <c r="I453" s="58"/>
    </row>
    <row r="454" spans="2:9">
      <c r="B454" s="254"/>
      <c r="C454" s="58"/>
      <c r="D454" s="58"/>
      <c r="E454" s="58"/>
      <c r="F454" s="58"/>
      <c r="G454" s="58"/>
      <c r="H454" s="58"/>
      <c r="I454" s="58"/>
    </row>
    <row r="455" spans="2:9">
      <c r="B455" s="254"/>
      <c r="C455" s="58"/>
      <c r="D455" s="58"/>
      <c r="E455" s="58"/>
      <c r="F455" s="58"/>
      <c r="G455" s="58"/>
      <c r="H455" s="58"/>
      <c r="I455" s="58"/>
    </row>
    <row r="456" spans="2:9">
      <c r="B456" s="254"/>
      <c r="C456" s="58"/>
      <c r="D456" s="58"/>
      <c r="E456" s="58"/>
      <c r="F456" s="58"/>
      <c r="G456" s="58"/>
      <c r="H456" s="58"/>
      <c r="I456" s="58"/>
    </row>
    <row r="457" spans="2:9">
      <c r="B457" s="254"/>
      <c r="C457" s="58"/>
      <c r="D457" s="58"/>
      <c r="E457" s="58"/>
      <c r="F457" s="58"/>
      <c r="G457" s="58"/>
      <c r="H457" s="58"/>
      <c r="I457" s="58"/>
    </row>
    <row r="458" spans="2:9">
      <c r="B458" s="254"/>
      <c r="C458" s="58"/>
      <c r="D458" s="58"/>
      <c r="E458" s="58"/>
      <c r="F458" s="58"/>
      <c r="G458" s="58"/>
      <c r="H458" s="58"/>
      <c r="I458" s="58"/>
    </row>
    <row r="459" spans="2:9">
      <c r="B459" s="254"/>
      <c r="C459" s="58"/>
      <c r="D459" s="58"/>
      <c r="E459" s="58"/>
      <c r="F459" s="58"/>
      <c r="G459" s="58"/>
      <c r="H459" s="58"/>
      <c r="I459" s="58"/>
    </row>
    <row r="460" spans="2:9">
      <c r="B460" s="254"/>
      <c r="C460" s="58"/>
      <c r="D460" s="58"/>
      <c r="E460" s="58"/>
      <c r="F460" s="58"/>
      <c r="G460" s="58"/>
      <c r="H460" s="58"/>
      <c r="I460" s="58"/>
    </row>
    <row r="461" spans="2:9">
      <c r="B461" s="254"/>
      <c r="C461" s="58"/>
      <c r="D461" s="58"/>
      <c r="E461" s="58"/>
      <c r="F461" s="58"/>
      <c r="G461" s="58"/>
      <c r="H461" s="58"/>
      <c r="I461" s="58"/>
    </row>
    <row r="462" spans="2:9">
      <c r="B462" s="254"/>
      <c r="C462" s="58"/>
      <c r="D462" s="58"/>
      <c r="E462" s="58"/>
      <c r="F462" s="58"/>
      <c r="G462" s="58"/>
      <c r="H462" s="58"/>
      <c r="I462" s="58"/>
    </row>
    <row r="463" spans="2:9">
      <c r="B463" s="254"/>
      <c r="C463" s="58"/>
      <c r="D463" s="58"/>
      <c r="E463" s="58"/>
      <c r="F463" s="58"/>
      <c r="G463" s="58"/>
      <c r="H463" s="58"/>
      <c r="I463" s="58"/>
    </row>
    <row r="464" spans="2:9">
      <c r="B464" s="254"/>
      <c r="C464" s="58"/>
      <c r="D464" s="58"/>
      <c r="E464" s="58"/>
      <c r="F464" s="58"/>
      <c r="G464" s="58"/>
      <c r="H464" s="58"/>
      <c r="I464" s="58"/>
    </row>
    <row r="465" spans="2:9">
      <c r="B465" s="254"/>
      <c r="C465" s="58"/>
      <c r="D465" s="58"/>
      <c r="E465" s="58"/>
      <c r="F465" s="58"/>
      <c r="G465" s="58"/>
      <c r="H465" s="58"/>
      <c r="I465" s="58"/>
    </row>
    <row r="466" spans="2:9">
      <c r="B466" s="254"/>
      <c r="C466" s="58"/>
      <c r="D466" s="58"/>
      <c r="E466" s="58"/>
      <c r="F466" s="58"/>
      <c r="G466" s="58"/>
      <c r="H466" s="58"/>
      <c r="I466" s="58"/>
    </row>
    <row r="467" spans="2:9">
      <c r="B467" s="254"/>
      <c r="C467" s="58"/>
      <c r="D467" s="58"/>
      <c r="E467" s="58"/>
      <c r="F467" s="58"/>
      <c r="G467" s="58"/>
      <c r="H467" s="58"/>
      <c r="I467" s="58"/>
    </row>
    <row r="468" spans="2:9">
      <c r="B468" s="254"/>
      <c r="C468" s="58"/>
      <c r="D468" s="58"/>
      <c r="E468" s="58"/>
      <c r="F468" s="58"/>
      <c r="G468" s="58"/>
      <c r="H468" s="58"/>
      <c r="I468" s="58"/>
    </row>
    <row r="469" spans="2:9">
      <c r="B469" s="254"/>
      <c r="C469" s="58"/>
      <c r="D469" s="58"/>
      <c r="E469" s="58"/>
      <c r="F469" s="58"/>
      <c r="G469" s="58"/>
      <c r="H469" s="58"/>
      <c r="I469" s="58"/>
    </row>
    <row r="470" spans="2:9">
      <c r="B470" s="254"/>
      <c r="C470" s="58"/>
      <c r="D470" s="58"/>
      <c r="E470" s="58"/>
      <c r="F470" s="58"/>
      <c r="G470" s="58"/>
      <c r="H470" s="58"/>
      <c r="I470" s="58"/>
    </row>
    <row r="471" spans="2:9">
      <c r="B471" s="254"/>
      <c r="C471" s="58"/>
      <c r="D471" s="58"/>
      <c r="E471" s="58"/>
      <c r="F471" s="58"/>
      <c r="G471" s="58"/>
      <c r="H471" s="58"/>
      <c r="I471" s="58"/>
    </row>
    <row r="472" spans="2:9">
      <c r="B472" s="254"/>
      <c r="C472" s="58"/>
      <c r="D472" s="58"/>
      <c r="E472" s="58"/>
      <c r="F472" s="58"/>
      <c r="G472" s="58"/>
      <c r="H472" s="58"/>
      <c r="I472" s="58"/>
    </row>
    <row r="473" spans="2:9">
      <c r="B473" s="254"/>
      <c r="C473" s="58"/>
      <c r="D473" s="58"/>
      <c r="E473" s="58"/>
      <c r="F473" s="58"/>
      <c r="G473" s="58"/>
      <c r="H473" s="58"/>
      <c r="I473" s="58"/>
    </row>
    <row r="474" spans="2:9">
      <c r="B474" s="254"/>
      <c r="C474" s="58"/>
      <c r="D474" s="58"/>
      <c r="E474" s="58"/>
      <c r="F474" s="58"/>
      <c r="G474" s="58"/>
      <c r="H474" s="58"/>
      <c r="I474" s="58"/>
    </row>
    <row r="475" spans="2:9">
      <c r="B475" s="254"/>
      <c r="C475" s="58"/>
      <c r="D475" s="58"/>
      <c r="E475" s="58"/>
      <c r="F475" s="58"/>
      <c r="G475" s="58"/>
      <c r="H475" s="58"/>
      <c r="I475" s="58"/>
    </row>
    <row r="476" spans="2:9">
      <c r="B476" s="254"/>
      <c r="C476" s="58"/>
      <c r="D476" s="58"/>
      <c r="E476" s="58"/>
      <c r="F476" s="58"/>
      <c r="G476" s="58"/>
      <c r="H476" s="58"/>
      <c r="I476" s="58"/>
    </row>
    <row r="477" spans="2:9">
      <c r="B477" s="254"/>
      <c r="C477" s="58"/>
      <c r="D477" s="58"/>
      <c r="E477" s="58"/>
      <c r="F477" s="58"/>
      <c r="G477" s="58"/>
      <c r="H477" s="58"/>
      <c r="I477" s="58"/>
    </row>
    <row r="478" spans="2:9">
      <c r="B478" s="254"/>
      <c r="C478" s="58"/>
      <c r="D478" s="58"/>
      <c r="E478" s="58"/>
      <c r="F478" s="58"/>
      <c r="G478" s="58"/>
      <c r="H478" s="58"/>
      <c r="I478" s="58"/>
    </row>
    <row r="479" spans="2:9">
      <c r="B479" s="254"/>
      <c r="C479" s="58"/>
      <c r="D479" s="58"/>
      <c r="E479" s="58"/>
      <c r="F479" s="58"/>
      <c r="G479" s="58"/>
      <c r="H479" s="58"/>
      <c r="I479" s="58"/>
    </row>
    <row r="480" spans="2:9">
      <c r="B480" s="254"/>
      <c r="C480" s="58"/>
      <c r="D480" s="58"/>
      <c r="E480" s="58"/>
      <c r="F480" s="58"/>
      <c r="G480" s="58"/>
      <c r="H480" s="58"/>
      <c r="I480" s="58"/>
    </row>
    <row r="481" spans="2:9">
      <c r="B481" s="254"/>
      <c r="C481" s="58"/>
      <c r="D481" s="58"/>
      <c r="E481" s="58"/>
      <c r="F481" s="58"/>
      <c r="G481" s="58"/>
      <c r="H481" s="58"/>
      <c r="I481" s="58"/>
    </row>
    <row r="482" spans="2:9">
      <c r="B482" s="254"/>
      <c r="C482" s="58"/>
      <c r="D482" s="58"/>
      <c r="E482" s="58"/>
      <c r="F482" s="58"/>
      <c r="G482" s="58"/>
      <c r="H482" s="58"/>
      <c r="I482" s="58"/>
    </row>
    <row r="483" spans="2:9">
      <c r="B483" s="254"/>
      <c r="C483" s="58"/>
      <c r="D483" s="58"/>
      <c r="E483" s="58"/>
      <c r="F483" s="58"/>
      <c r="G483" s="58"/>
      <c r="H483" s="58"/>
      <c r="I483" s="58"/>
    </row>
    <row r="484" spans="2:9">
      <c r="B484" s="254"/>
      <c r="C484" s="58"/>
      <c r="D484" s="58"/>
      <c r="E484" s="58"/>
      <c r="F484" s="58"/>
      <c r="G484" s="58"/>
      <c r="H484" s="58"/>
      <c r="I484" s="58"/>
    </row>
    <row r="485" spans="2:9">
      <c r="B485" s="254"/>
      <c r="C485" s="58"/>
      <c r="D485" s="58"/>
      <c r="E485" s="58"/>
      <c r="F485" s="58"/>
      <c r="G485" s="58"/>
      <c r="H485" s="58"/>
      <c r="I485" s="58"/>
    </row>
    <row r="486" spans="2:9">
      <c r="B486" s="254"/>
      <c r="C486" s="58"/>
      <c r="D486" s="58"/>
      <c r="E486" s="58"/>
      <c r="F486" s="58"/>
      <c r="G486" s="58"/>
      <c r="H486" s="58"/>
      <c r="I486" s="58"/>
    </row>
    <row r="487" spans="2:9">
      <c r="B487" s="254"/>
      <c r="C487" s="58"/>
      <c r="D487" s="58"/>
      <c r="E487" s="58"/>
      <c r="F487" s="58"/>
      <c r="G487" s="58"/>
      <c r="H487" s="58"/>
      <c r="I487" s="58"/>
    </row>
    <row r="488" spans="2:9">
      <c r="B488" s="254"/>
      <c r="C488" s="58"/>
      <c r="D488" s="58"/>
      <c r="E488" s="58"/>
      <c r="F488" s="58"/>
      <c r="G488" s="58"/>
      <c r="H488" s="58"/>
      <c r="I488" s="58"/>
    </row>
    <row r="489" spans="2:9">
      <c r="B489" s="254"/>
      <c r="C489" s="58"/>
      <c r="D489" s="58"/>
      <c r="E489" s="58"/>
      <c r="F489" s="58"/>
      <c r="G489" s="58"/>
      <c r="H489" s="58"/>
      <c r="I489" s="58"/>
    </row>
    <row r="490" spans="2:9">
      <c r="B490" s="254"/>
      <c r="C490" s="58"/>
      <c r="D490" s="58"/>
      <c r="E490" s="58"/>
      <c r="F490" s="58"/>
      <c r="G490" s="58"/>
      <c r="H490" s="58"/>
      <c r="I490" s="58"/>
    </row>
    <row r="491" spans="2:9">
      <c r="B491" s="254"/>
      <c r="C491" s="58"/>
      <c r="D491" s="58"/>
      <c r="E491" s="58"/>
      <c r="F491" s="58"/>
      <c r="G491" s="58"/>
      <c r="H491" s="58"/>
      <c r="I491" s="58"/>
    </row>
    <row r="492" spans="2:9">
      <c r="B492" s="254"/>
      <c r="C492" s="58"/>
      <c r="D492" s="58"/>
      <c r="E492" s="58"/>
      <c r="F492" s="58"/>
      <c r="G492" s="58"/>
      <c r="H492" s="58"/>
      <c r="I492" s="58"/>
    </row>
    <row r="493" spans="2:9">
      <c r="B493" s="254"/>
      <c r="C493" s="58"/>
      <c r="D493" s="58"/>
      <c r="E493" s="58"/>
      <c r="F493" s="58"/>
      <c r="G493" s="58"/>
      <c r="H493" s="58"/>
      <c r="I493" s="58"/>
    </row>
    <row r="494" spans="2:9">
      <c r="B494" s="254"/>
      <c r="C494" s="58"/>
      <c r="D494" s="58"/>
      <c r="E494" s="58"/>
      <c r="F494" s="58"/>
      <c r="G494" s="58"/>
      <c r="H494" s="58"/>
      <c r="I494" s="58"/>
    </row>
    <row r="495" spans="2:9">
      <c r="B495" s="254"/>
      <c r="C495" s="58"/>
      <c r="D495" s="58"/>
      <c r="E495" s="58"/>
      <c r="F495" s="58"/>
      <c r="G495" s="58"/>
      <c r="H495" s="58"/>
      <c r="I495" s="58"/>
    </row>
    <row r="496" spans="2:9">
      <c r="B496" s="254"/>
      <c r="C496" s="58"/>
      <c r="D496" s="58"/>
      <c r="E496" s="58"/>
      <c r="F496" s="58"/>
      <c r="G496" s="58"/>
      <c r="H496" s="58"/>
      <c r="I496" s="58"/>
    </row>
    <row r="497" spans="2:9">
      <c r="B497" s="254"/>
      <c r="C497" s="58"/>
      <c r="D497" s="58"/>
      <c r="E497" s="58"/>
      <c r="F497" s="58"/>
      <c r="G497" s="58"/>
      <c r="H497" s="58"/>
      <c r="I497" s="58"/>
    </row>
    <row r="498" spans="2:9">
      <c r="B498" s="254"/>
      <c r="C498" s="58"/>
      <c r="D498" s="58"/>
      <c r="E498" s="58"/>
      <c r="F498" s="58"/>
      <c r="G498" s="58"/>
      <c r="H498" s="58"/>
      <c r="I498" s="58"/>
    </row>
    <row r="499" spans="2:9">
      <c r="B499" s="254"/>
      <c r="C499" s="58"/>
      <c r="D499" s="58"/>
      <c r="E499" s="58"/>
      <c r="F499" s="58"/>
      <c r="G499" s="58"/>
      <c r="H499" s="58"/>
      <c r="I499" s="58"/>
    </row>
    <row r="500" spans="2:9">
      <c r="B500" s="254"/>
      <c r="C500" s="58"/>
      <c r="D500" s="58"/>
      <c r="E500" s="58"/>
      <c r="F500" s="58"/>
      <c r="G500" s="58"/>
      <c r="H500" s="58"/>
      <c r="I500" s="58"/>
    </row>
    <row r="501" spans="2:9">
      <c r="B501" s="254"/>
      <c r="C501" s="58"/>
      <c r="D501" s="58"/>
      <c r="E501" s="58"/>
      <c r="F501" s="58"/>
      <c r="G501" s="58"/>
      <c r="H501" s="58"/>
      <c r="I501" s="58"/>
    </row>
    <row r="502" spans="2:9">
      <c r="B502" s="254"/>
      <c r="C502" s="58"/>
      <c r="D502" s="58"/>
      <c r="E502" s="58"/>
      <c r="F502" s="58"/>
      <c r="G502" s="58"/>
      <c r="H502" s="58"/>
      <c r="I502" s="58"/>
    </row>
    <row r="503" spans="2:9">
      <c r="B503" s="254"/>
      <c r="C503" s="58"/>
      <c r="D503" s="58"/>
      <c r="E503" s="58"/>
      <c r="F503" s="58"/>
      <c r="G503" s="58"/>
      <c r="H503" s="58"/>
      <c r="I503" s="58"/>
    </row>
    <row r="504" spans="2:9">
      <c r="B504" s="254"/>
      <c r="C504" s="58"/>
      <c r="D504" s="58"/>
      <c r="E504" s="58"/>
      <c r="F504" s="58"/>
      <c r="G504" s="58"/>
      <c r="H504" s="58"/>
      <c r="I504" s="58"/>
    </row>
    <row r="505" spans="2:9">
      <c r="B505" s="254"/>
      <c r="C505" s="58"/>
      <c r="D505" s="58"/>
      <c r="E505" s="58"/>
      <c r="F505" s="58"/>
      <c r="G505" s="58"/>
      <c r="H505" s="58"/>
      <c r="I505" s="58"/>
    </row>
    <row r="506" spans="2:9">
      <c r="B506" s="254"/>
      <c r="C506" s="58"/>
      <c r="D506" s="58"/>
      <c r="E506" s="58"/>
      <c r="F506" s="58"/>
      <c r="G506" s="58"/>
      <c r="H506" s="58"/>
      <c r="I506" s="58"/>
    </row>
    <row r="507" spans="2:9">
      <c r="B507" s="254"/>
      <c r="C507" s="58"/>
      <c r="D507" s="58"/>
      <c r="E507" s="58"/>
      <c r="F507" s="58"/>
      <c r="G507" s="58"/>
      <c r="H507" s="58"/>
      <c r="I507" s="58"/>
    </row>
    <row r="508" spans="2:9">
      <c r="B508" s="254"/>
      <c r="C508" s="58"/>
      <c r="D508" s="58"/>
      <c r="E508" s="58"/>
      <c r="F508" s="58"/>
      <c r="G508" s="58"/>
      <c r="H508" s="58"/>
      <c r="I508" s="58"/>
    </row>
    <row r="509" spans="2:9">
      <c r="B509" s="254"/>
      <c r="C509" s="58"/>
      <c r="D509" s="58"/>
      <c r="E509" s="58"/>
      <c r="F509" s="58"/>
      <c r="G509" s="58"/>
      <c r="H509" s="58"/>
      <c r="I509" s="58"/>
    </row>
    <row r="510" spans="2:9">
      <c r="B510" s="254"/>
      <c r="C510" s="58"/>
      <c r="D510" s="58"/>
      <c r="E510" s="58"/>
      <c r="F510" s="58"/>
      <c r="G510" s="58"/>
      <c r="H510" s="58"/>
      <c r="I510" s="58"/>
    </row>
    <row r="511" spans="2:9">
      <c r="B511" s="254"/>
      <c r="C511" s="58"/>
      <c r="D511" s="58"/>
      <c r="E511" s="58"/>
      <c r="F511" s="58"/>
      <c r="G511" s="58"/>
      <c r="H511" s="58"/>
      <c r="I511" s="58"/>
    </row>
    <row r="512" spans="2:9">
      <c r="B512" s="254"/>
      <c r="C512" s="58"/>
      <c r="D512" s="58"/>
      <c r="E512" s="58"/>
      <c r="F512" s="58"/>
      <c r="G512" s="58"/>
      <c r="H512" s="58"/>
      <c r="I512" s="58"/>
    </row>
    <row r="513" spans="2:9">
      <c r="B513" s="254"/>
      <c r="C513" s="58"/>
      <c r="D513" s="58"/>
      <c r="E513" s="58"/>
      <c r="F513" s="58"/>
      <c r="G513" s="58"/>
      <c r="H513" s="58"/>
      <c r="I513" s="58"/>
    </row>
    <row r="514" spans="2:9">
      <c r="B514" s="254"/>
      <c r="C514" s="58"/>
      <c r="D514" s="58"/>
      <c r="E514" s="58"/>
      <c r="F514" s="58"/>
      <c r="G514" s="58"/>
      <c r="H514" s="58"/>
      <c r="I514" s="58"/>
    </row>
    <row r="515" spans="2:9">
      <c r="B515" s="254"/>
      <c r="C515" s="58"/>
      <c r="D515" s="58"/>
      <c r="E515" s="58"/>
      <c r="F515" s="58"/>
      <c r="G515" s="58"/>
      <c r="H515" s="58"/>
      <c r="I515" s="58"/>
    </row>
    <row r="516" spans="2:9">
      <c r="B516" s="254"/>
      <c r="C516" s="58"/>
      <c r="D516" s="58"/>
      <c r="E516" s="58"/>
      <c r="F516" s="58"/>
      <c r="G516" s="58"/>
      <c r="H516" s="58"/>
      <c r="I516" s="58"/>
    </row>
    <row r="517" spans="2:9">
      <c r="B517" s="254"/>
      <c r="C517" s="58"/>
      <c r="D517" s="58"/>
      <c r="E517" s="58"/>
      <c r="F517" s="58"/>
      <c r="G517" s="58"/>
      <c r="H517" s="58"/>
      <c r="I517" s="58"/>
    </row>
    <row r="518" spans="2:9">
      <c r="B518" s="254"/>
      <c r="C518" s="58"/>
      <c r="D518" s="58"/>
      <c r="E518" s="58"/>
      <c r="F518" s="58"/>
      <c r="G518" s="58"/>
      <c r="H518" s="58"/>
      <c r="I518" s="58"/>
    </row>
    <row r="519" spans="2:9">
      <c r="B519" s="254"/>
      <c r="C519" s="58"/>
      <c r="D519" s="58"/>
      <c r="E519" s="58"/>
      <c r="F519" s="58"/>
      <c r="G519" s="58"/>
      <c r="H519" s="58"/>
      <c r="I519" s="58"/>
    </row>
    <row r="520" spans="2:9">
      <c r="B520" s="254"/>
      <c r="C520" s="58"/>
      <c r="D520" s="58"/>
      <c r="E520" s="58"/>
      <c r="F520" s="58"/>
      <c r="G520" s="58"/>
      <c r="H520" s="58"/>
      <c r="I520" s="58"/>
    </row>
    <row r="521" spans="2:9">
      <c r="B521" s="254"/>
      <c r="C521" s="58"/>
      <c r="D521" s="58"/>
      <c r="E521" s="58"/>
      <c r="F521" s="58"/>
      <c r="G521" s="58"/>
      <c r="H521" s="58"/>
      <c r="I521" s="58"/>
    </row>
    <row r="522" spans="2:9">
      <c r="B522" s="254"/>
      <c r="C522" s="58"/>
      <c r="D522" s="58"/>
      <c r="E522" s="58"/>
      <c r="F522" s="58"/>
      <c r="G522" s="58"/>
      <c r="H522" s="58"/>
      <c r="I522" s="58"/>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6:I106"/>
    <mergeCell ref="B51:I51"/>
    <mergeCell ref="B55:I55"/>
    <mergeCell ref="B81:I81"/>
    <mergeCell ref="B58:I58"/>
    <mergeCell ref="B59:I59"/>
    <mergeCell ref="B74:I74"/>
    <mergeCell ref="B103:I103"/>
    <mergeCell ref="B1:I1"/>
    <mergeCell ref="B3:I3"/>
    <mergeCell ref="B2:I2"/>
    <mergeCell ref="B60:I60"/>
    <mergeCell ref="B80:I80"/>
  </mergeCells>
  <phoneticPr fontId="0" type="noConversion"/>
  <conditionalFormatting sqref="I22">
    <cfRule type="cellIs" dxfId="0" priority="1" stopIfTrue="1" operator="notEqual">
      <formula>0</formula>
    </cfRule>
  </conditionalFormatting>
  <printOptions horizontalCentered="1"/>
  <pageMargins left="0.75" right="0.75" top="1" bottom="1" header="0.5" footer="0.5"/>
  <pageSetup scale="32" fitToHeight="2" orientation="landscape" r:id="rId2"/>
  <headerFooter alignWithMargins="0"/>
  <rowBreaks count="1" manualBreakCount="1">
    <brk id="57" max="8" man="1"/>
  </rowBreaks>
  <customProperties>
    <customPr name="_pios_id" r:id="rId3"/>
    <customPr name="EpmWorksheetKeyString_GUID" r:id="rId4"/>
  </customProperties>
  <ignoredErrors>
    <ignoredError sqref="C9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W77"/>
  <sheetViews>
    <sheetView zoomScale="70" zoomScaleNormal="70" workbookViewId="0"/>
  </sheetViews>
  <sheetFormatPr defaultRowHeight="12.75"/>
  <cols>
    <col min="1" max="1" width="4.5703125" style="649" customWidth="1"/>
    <col min="2" max="2" width="33.7109375" customWidth="1"/>
    <col min="3" max="3" width="12.140625" bestFit="1" customWidth="1"/>
    <col min="4" max="4" width="12.140625" style="649" customWidth="1"/>
    <col min="5" max="5" width="17.42578125" style="649" customWidth="1"/>
    <col min="6" max="6" width="12.140625" style="649" customWidth="1"/>
    <col min="7" max="7" width="13.140625" bestFit="1" customWidth="1"/>
    <col min="8" max="8" width="18.28515625" customWidth="1"/>
    <col min="9" max="9" width="16.140625" customWidth="1"/>
    <col min="10" max="10" width="16.42578125" customWidth="1"/>
    <col min="11" max="11" width="14.7109375" customWidth="1"/>
    <col min="12" max="13" width="14.7109375" style="969" customWidth="1"/>
    <col min="14" max="14" width="19.42578125" customWidth="1"/>
    <col min="15" max="15" width="11.28515625" bestFit="1" customWidth="1"/>
    <col min="16" max="17" width="11.28515625" style="969" customWidth="1"/>
    <col min="18" max="18" width="14.7109375" customWidth="1"/>
    <col min="19" max="19" width="14.7109375" style="841" customWidth="1"/>
    <col min="20" max="21" width="14.7109375" style="969" customWidth="1"/>
    <col min="22" max="22" width="19.28515625" style="841" customWidth="1"/>
    <col min="23" max="23" width="21.7109375" customWidth="1"/>
  </cols>
  <sheetData>
    <row r="1" spans="1:23" s="649" customFormat="1" ht="18">
      <c r="A1" s="1025"/>
      <c r="B1" s="1025"/>
      <c r="C1" s="1025"/>
      <c r="D1" s="1025"/>
      <c r="E1" s="1025"/>
      <c r="F1" s="1025"/>
      <c r="G1" s="1025"/>
      <c r="H1" s="656" t="s">
        <v>0</v>
      </c>
      <c r="I1" s="1025"/>
      <c r="J1" s="1025"/>
      <c r="K1" s="1025"/>
      <c r="L1" s="1025"/>
      <c r="M1" s="1025"/>
      <c r="N1" s="1025"/>
      <c r="O1" s="1025"/>
      <c r="P1" s="1025"/>
      <c r="Q1" s="1025"/>
      <c r="R1" s="1025"/>
      <c r="S1" s="1025"/>
      <c r="T1" s="1025"/>
      <c r="U1" s="1025"/>
      <c r="V1" s="1025"/>
      <c r="W1" s="967"/>
    </row>
    <row r="2" spans="1:23" s="649" customFormat="1" ht="18">
      <c r="A2" s="1025"/>
      <c r="B2" s="1025"/>
      <c r="C2" s="1025"/>
      <c r="D2" s="1025"/>
      <c r="E2" s="1025"/>
      <c r="F2" s="1025"/>
      <c r="G2" s="1025"/>
      <c r="H2" s="656" t="s">
        <v>353</v>
      </c>
      <c r="I2" s="1025"/>
      <c r="J2" s="1025"/>
      <c r="K2" s="1025"/>
      <c r="L2" s="1025"/>
      <c r="M2" s="1025"/>
      <c r="N2" s="1025"/>
      <c r="O2" s="1025"/>
      <c r="P2" s="1025"/>
      <c r="Q2" s="1025"/>
      <c r="R2" s="1025"/>
      <c r="S2" s="1025"/>
      <c r="T2" s="1025"/>
      <c r="U2" s="1025"/>
      <c r="V2" s="1025"/>
      <c r="W2" s="1025"/>
    </row>
    <row r="3" spans="1:23" ht="18">
      <c r="A3" s="1025"/>
      <c r="B3" s="637"/>
      <c r="C3" s="648"/>
      <c r="D3" s="648"/>
      <c r="E3" s="648"/>
      <c r="F3" s="648"/>
      <c r="G3" s="648"/>
      <c r="H3" s="686" t="s">
        <v>354</v>
      </c>
      <c r="I3" s="646"/>
      <c r="J3" s="648"/>
      <c r="K3" s="648"/>
      <c r="L3" s="648"/>
      <c r="M3" s="648"/>
      <c r="N3" s="648"/>
      <c r="O3" s="648"/>
      <c r="P3" s="648"/>
      <c r="Q3" s="648"/>
      <c r="R3" s="648"/>
      <c r="S3" s="648"/>
      <c r="T3" s="648"/>
      <c r="U3" s="648"/>
      <c r="V3" s="648"/>
      <c r="W3" s="1025"/>
    </row>
    <row r="4" spans="1:23" s="736" customFormat="1" ht="18">
      <c r="A4" s="1025"/>
      <c r="B4" s="637"/>
      <c r="C4" s="648"/>
      <c r="D4" s="648"/>
      <c r="E4" s="648"/>
      <c r="F4" s="648"/>
      <c r="G4" s="648"/>
      <c r="H4" s="686"/>
      <c r="I4" s="646"/>
      <c r="J4" s="648"/>
      <c r="K4" s="648"/>
      <c r="L4" s="648"/>
      <c r="M4" s="648"/>
      <c r="N4" s="648"/>
      <c r="O4" s="648"/>
      <c r="P4" s="648"/>
      <c r="Q4" s="648"/>
      <c r="R4" s="648"/>
      <c r="S4" s="648"/>
      <c r="T4" s="648"/>
      <c r="U4" s="648"/>
      <c r="V4" s="648"/>
      <c r="W4" s="1025"/>
    </row>
    <row r="5" spans="1:23" s="736" customFormat="1" ht="18">
      <c r="A5" s="1025"/>
      <c r="B5" s="220" t="s">
        <v>355</v>
      </c>
      <c r="C5" s="648"/>
      <c r="D5" s="648"/>
      <c r="E5" s="648"/>
      <c r="F5" s="648"/>
      <c r="G5" s="648"/>
      <c r="H5" s="686"/>
      <c r="I5" s="646"/>
      <c r="J5" s="648"/>
      <c r="K5" s="648"/>
      <c r="L5" s="648"/>
      <c r="M5" s="648"/>
      <c r="N5" s="648"/>
      <c r="O5" s="648"/>
      <c r="P5" s="648"/>
      <c r="Q5" s="648"/>
      <c r="R5" s="648"/>
      <c r="S5" s="648"/>
      <c r="T5" s="648"/>
      <c r="U5" s="648"/>
      <c r="V5" s="648"/>
      <c r="W5" s="1025"/>
    </row>
    <row r="6" spans="1:23" ht="15">
      <c r="A6" s="216"/>
      <c r="B6" s="856" t="s">
        <v>356</v>
      </c>
      <c r="C6" s="636"/>
      <c r="D6" s="636"/>
      <c r="E6" s="636"/>
      <c r="F6" s="636"/>
      <c r="G6" s="636"/>
      <c r="H6" s="216"/>
      <c r="I6" s="216"/>
      <c r="J6" s="636"/>
      <c r="K6" s="636"/>
      <c r="L6" s="636"/>
      <c r="M6" s="636"/>
      <c r="N6" s="636"/>
      <c r="O6" s="636"/>
      <c r="P6" s="636"/>
      <c r="Q6" s="636"/>
      <c r="R6" s="636"/>
      <c r="S6" s="636"/>
      <c r="T6" s="636"/>
      <c r="U6" s="636"/>
      <c r="V6" s="636"/>
      <c r="W6" s="1025"/>
    </row>
    <row r="7" spans="1:23" ht="15">
      <c r="A7" s="216"/>
      <c r="B7" s="642" t="s">
        <v>357</v>
      </c>
      <c r="C7" s="636"/>
      <c r="D7" s="636"/>
      <c r="E7" s="636"/>
      <c r="F7" s="636"/>
      <c r="G7" s="636"/>
      <c r="H7" s="636"/>
      <c r="I7" s="636"/>
      <c r="J7" s="636"/>
      <c r="K7" s="636"/>
      <c r="L7" s="636"/>
      <c r="M7" s="636"/>
      <c r="N7" s="636"/>
      <c r="O7" s="636"/>
      <c r="P7" s="636"/>
      <c r="Q7" s="636"/>
      <c r="R7" s="636"/>
      <c r="S7" s="636"/>
      <c r="T7" s="636"/>
      <c r="U7" s="636"/>
      <c r="V7" s="636"/>
      <c r="W7" s="1025"/>
    </row>
    <row r="8" spans="1:23" ht="15">
      <c r="A8" s="216"/>
      <c r="B8" s="637" t="s">
        <v>358</v>
      </c>
      <c r="C8" s="637" t="s">
        <v>359</v>
      </c>
      <c r="D8" s="637" t="s">
        <v>360</v>
      </c>
      <c r="E8" s="637" t="s">
        <v>361</v>
      </c>
      <c r="F8" s="637" t="s">
        <v>362</v>
      </c>
      <c r="G8" s="637" t="s">
        <v>363</v>
      </c>
      <c r="H8" s="637" t="s">
        <v>364</v>
      </c>
      <c r="I8" s="637" t="s">
        <v>365</v>
      </c>
      <c r="J8" s="637" t="s">
        <v>366</v>
      </c>
      <c r="K8" s="637" t="s">
        <v>367</v>
      </c>
      <c r="L8" s="637" t="s">
        <v>368</v>
      </c>
      <c r="M8" s="637" t="s">
        <v>369</v>
      </c>
      <c r="N8" s="637" t="s">
        <v>370</v>
      </c>
      <c r="O8" s="637" t="s">
        <v>371</v>
      </c>
      <c r="P8" s="637" t="s">
        <v>372</v>
      </c>
      <c r="Q8" s="637" t="s">
        <v>373</v>
      </c>
      <c r="R8" s="637" t="s">
        <v>374</v>
      </c>
      <c r="S8" s="637" t="s">
        <v>375</v>
      </c>
      <c r="T8" s="637" t="s">
        <v>376</v>
      </c>
      <c r="U8" s="637" t="s">
        <v>377</v>
      </c>
      <c r="V8" s="637" t="s">
        <v>378</v>
      </c>
      <c r="W8" s="637" t="s">
        <v>379</v>
      </c>
    </row>
    <row r="9" spans="1:23" ht="75">
      <c r="A9" s="216"/>
      <c r="B9" s="643" t="s">
        <v>380</v>
      </c>
      <c r="C9" s="643" t="s">
        <v>381</v>
      </c>
      <c r="D9" s="643" t="s">
        <v>382</v>
      </c>
      <c r="E9" s="643" t="s">
        <v>383</v>
      </c>
      <c r="F9" s="643" t="s">
        <v>384</v>
      </c>
      <c r="G9" s="643" t="s">
        <v>385</v>
      </c>
      <c r="H9" s="643" t="s">
        <v>386</v>
      </c>
      <c r="I9" s="643" t="s">
        <v>271</v>
      </c>
      <c r="J9" s="643" t="s">
        <v>387</v>
      </c>
      <c r="K9" s="643" t="s">
        <v>388</v>
      </c>
      <c r="L9" s="643" t="s">
        <v>22</v>
      </c>
      <c r="M9" s="643" t="s">
        <v>389</v>
      </c>
      <c r="N9" s="643" t="s">
        <v>390</v>
      </c>
      <c r="O9" s="643" t="s">
        <v>391</v>
      </c>
      <c r="P9" s="643" t="s">
        <v>76</v>
      </c>
      <c r="Q9" s="643" t="s">
        <v>392</v>
      </c>
      <c r="R9" s="643" t="s">
        <v>393</v>
      </c>
      <c r="S9" s="643" t="s">
        <v>394</v>
      </c>
      <c r="T9" s="643" t="s">
        <v>23</v>
      </c>
      <c r="U9" s="643" t="s">
        <v>395</v>
      </c>
      <c r="V9" s="643" t="s">
        <v>396</v>
      </c>
      <c r="W9" s="643" t="s">
        <v>397</v>
      </c>
    </row>
    <row r="10" spans="1:23" ht="15">
      <c r="A10" s="216"/>
      <c r="B10" s="642"/>
      <c r="C10" s="637"/>
      <c r="D10" s="637"/>
      <c r="E10" s="637"/>
      <c r="F10" s="637"/>
      <c r="G10" s="637"/>
      <c r="H10" s="637"/>
      <c r="I10" s="637"/>
      <c r="J10" s="636"/>
      <c r="K10" s="636"/>
      <c r="L10" s="636"/>
      <c r="M10" s="636"/>
      <c r="N10" s="636"/>
      <c r="O10" s="636"/>
      <c r="P10" s="636"/>
      <c r="Q10" s="636"/>
      <c r="R10" s="265"/>
      <c r="S10" s="636"/>
      <c r="T10" s="636"/>
      <c r="U10" s="636"/>
      <c r="V10" s="265"/>
      <c r="W10" s="265"/>
    </row>
    <row r="11" spans="1:23" ht="45">
      <c r="A11" s="651">
        <v>1</v>
      </c>
      <c r="B11" s="734" t="s">
        <v>398</v>
      </c>
      <c r="C11" s="644">
        <v>2020</v>
      </c>
      <c r="D11" s="733"/>
      <c r="E11" s="733"/>
      <c r="F11" s="733"/>
      <c r="G11" s="56">
        <f>365/365</f>
        <v>1</v>
      </c>
      <c r="H11" s="889">
        <f t="shared" ref="H11:H23" si="0">+J11+N11+R11+V11</f>
        <v>0</v>
      </c>
      <c r="I11" s="890">
        <v>0</v>
      </c>
      <c r="J11" s="891">
        <f t="shared" ref="J11:J23" si="1">G11*I11</f>
        <v>0</v>
      </c>
      <c r="K11" s="890">
        <v>0</v>
      </c>
      <c r="L11" s="746">
        <f>+'Appendix A'!$H$27</f>
        <v>0.20363964961424239</v>
      </c>
      <c r="M11" s="970">
        <f>+K11*L11</f>
        <v>0</v>
      </c>
      <c r="N11" s="891">
        <f>+G11*M11</f>
        <v>0</v>
      </c>
      <c r="O11" s="890">
        <v>0</v>
      </c>
      <c r="P11" s="746">
        <f>+'Appendix A'!$H$16</f>
        <v>0.12146075795343095</v>
      </c>
      <c r="Q11" s="970">
        <f>+O11*P11</f>
        <v>0</v>
      </c>
      <c r="R11" s="891">
        <f>+G11*Q11</f>
        <v>0</v>
      </c>
      <c r="S11" s="890">
        <v>0</v>
      </c>
      <c r="T11" s="746">
        <f>+'Appendix A'!$H$33</f>
        <v>0.18298233367566416</v>
      </c>
      <c r="U11" s="971">
        <f>+S11*T11</f>
        <v>0</v>
      </c>
      <c r="V11" s="891">
        <f>+G11*U11</f>
        <v>0</v>
      </c>
      <c r="W11" s="972">
        <f>+J11+N11+R11+V11</f>
        <v>0</v>
      </c>
    </row>
    <row r="12" spans="1:23" ht="15">
      <c r="A12" s="651">
        <f>+A11+1</f>
        <v>2</v>
      </c>
      <c r="B12" s="636" t="s">
        <v>399</v>
      </c>
      <c r="C12" s="644">
        <v>2021</v>
      </c>
      <c r="D12" s="662">
        <v>31</v>
      </c>
      <c r="E12" s="663">
        <f>E13+D13</f>
        <v>335</v>
      </c>
      <c r="F12" s="663">
        <f>SUM(D12:D23)</f>
        <v>365</v>
      </c>
      <c r="G12" s="56">
        <f>335/365</f>
        <v>0.9178082191780822</v>
      </c>
      <c r="H12" s="889">
        <f t="shared" si="0"/>
        <v>0</v>
      </c>
      <c r="I12" s="890">
        <v>0</v>
      </c>
      <c r="J12" s="891">
        <f t="shared" si="1"/>
        <v>0</v>
      </c>
      <c r="K12" s="890">
        <v>0</v>
      </c>
      <c r="L12" s="746">
        <f>+'Appendix A'!$H$27</f>
        <v>0.20363964961424239</v>
      </c>
      <c r="M12" s="970">
        <f t="shared" ref="M12:M23" si="2">+K12*L12</f>
        <v>0</v>
      </c>
      <c r="N12" s="891">
        <f t="shared" ref="N12:N23" si="3">+G12*M12</f>
        <v>0</v>
      </c>
      <c r="O12" s="890">
        <v>0</v>
      </c>
      <c r="P12" s="746">
        <f>+'Appendix A'!$H$16</f>
        <v>0.12146075795343095</v>
      </c>
      <c r="Q12" s="970">
        <f t="shared" ref="Q12:Q23" si="4">+O12*P12</f>
        <v>0</v>
      </c>
      <c r="R12" s="891">
        <f t="shared" ref="R12:R23" si="5">+G12*Q12</f>
        <v>0</v>
      </c>
      <c r="S12" s="890">
        <v>0</v>
      </c>
      <c r="T12" s="746">
        <f>+'Appendix A'!$H$33</f>
        <v>0.18298233367566416</v>
      </c>
      <c r="U12" s="971">
        <f t="shared" ref="U12:U23" si="6">+S12*T12</f>
        <v>0</v>
      </c>
      <c r="V12" s="891">
        <f t="shared" ref="V12:V23" si="7">+G12*U12</f>
        <v>0</v>
      </c>
      <c r="W12" s="972">
        <f t="shared" ref="W12:W23" si="8">+J12+N12+R12+V12</f>
        <v>0</v>
      </c>
    </row>
    <row r="13" spans="1:23" ht="15">
      <c r="A13" s="651">
        <f t="shared" ref="A13:A24" si="9">+A12+1</f>
        <v>3</v>
      </c>
      <c r="B13" s="636" t="s">
        <v>400</v>
      </c>
      <c r="C13" s="733">
        <f>+C$12</f>
        <v>2021</v>
      </c>
      <c r="D13" s="664">
        <v>28</v>
      </c>
      <c r="E13" s="663">
        <f t="shared" ref="E13:E20" si="10">E14+D14</f>
        <v>307</v>
      </c>
      <c r="F13" s="663">
        <f>F12</f>
        <v>365</v>
      </c>
      <c r="G13" s="56">
        <f>307/365</f>
        <v>0.84109589041095889</v>
      </c>
      <c r="H13" s="889">
        <f t="shared" si="0"/>
        <v>0</v>
      </c>
      <c r="I13" s="890">
        <v>0</v>
      </c>
      <c r="J13" s="891">
        <f t="shared" si="1"/>
        <v>0</v>
      </c>
      <c r="K13" s="890">
        <v>0</v>
      </c>
      <c r="L13" s="746">
        <f>+'Appendix A'!$H$27</f>
        <v>0.20363964961424239</v>
      </c>
      <c r="M13" s="970">
        <f t="shared" si="2"/>
        <v>0</v>
      </c>
      <c r="N13" s="891">
        <f t="shared" si="3"/>
        <v>0</v>
      </c>
      <c r="O13" s="890">
        <v>0</v>
      </c>
      <c r="P13" s="746">
        <f>+'Appendix A'!$H$16</f>
        <v>0.12146075795343095</v>
      </c>
      <c r="Q13" s="970">
        <f t="shared" si="4"/>
        <v>0</v>
      </c>
      <c r="R13" s="891">
        <f t="shared" si="5"/>
        <v>0</v>
      </c>
      <c r="S13" s="890">
        <v>0</v>
      </c>
      <c r="T13" s="746">
        <f>+'Appendix A'!$H$33</f>
        <v>0.18298233367566416</v>
      </c>
      <c r="U13" s="971">
        <f t="shared" si="6"/>
        <v>0</v>
      </c>
      <c r="V13" s="891">
        <f t="shared" si="7"/>
        <v>0</v>
      </c>
      <c r="W13" s="972">
        <f t="shared" si="8"/>
        <v>0</v>
      </c>
    </row>
    <row r="14" spans="1:23" ht="15">
      <c r="A14" s="651">
        <f t="shared" si="9"/>
        <v>4</v>
      </c>
      <c r="B14" s="636" t="s">
        <v>401</v>
      </c>
      <c r="C14" s="733">
        <f t="shared" ref="C14:C23" si="11">+C$12</f>
        <v>2021</v>
      </c>
      <c r="D14" s="662">
        <v>31</v>
      </c>
      <c r="E14" s="663">
        <f t="shared" si="10"/>
        <v>276</v>
      </c>
      <c r="F14" s="663">
        <f t="shared" ref="F14:F23" si="12">F13</f>
        <v>365</v>
      </c>
      <c r="G14" s="56">
        <f>276/365</f>
        <v>0.75616438356164384</v>
      </c>
      <c r="H14" s="889">
        <f t="shared" si="0"/>
        <v>0</v>
      </c>
      <c r="I14" s="890">
        <v>0</v>
      </c>
      <c r="J14" s="891">
        <f t="shared" si="1"/>
        <v>0</v>
      </c>
      <c r="K14" s="890">
        <v>0</v>
      </c>
      <c r="L14" s="746">
        <f>+'Appendix A'!$H$27</f>
        <v>0.20363964961424239</v>
      </c>
      <c r="M14" s="970">
        <f t="shared" si="2"/>
        <v>0</v>
      </c>
      <c r="N14" s="891">
        <f t="shared" si="3"/>
        <v>0</v>
      </c>
      <c r="O14" s="890">
        <v>0</v>
      </c>
      <c r="P14" s="746">
        <f>+'Appendix A'!$H$16</f>
        <v>0.12146075795343095</v>
      </c>
      <c r="Q14" s="970">
        <f t="shared" si="4"/>
        <v>0</v>
      </c>
      <c r="R14" s="891">
        <f t="shared" si="5"/>
        <v>0</v>
      </c>
      <c r="S14" s="890">
        <v>0</v>
      </c>
      <c r="T14" s="746">
        <f>+'Appendix A'!$H$33</f>
        <v>0.18298233367566416</v>
      </c>
      <c r="U14" s="971">
        <f t="shared" si="6"/>
        <v>0</v>
      </c>
      <c r="V14" s="891">
        <f t="shared" si="7"/>
        <v>0</v>
      </c>
      <c r="W14" s="972">
        <f t="shared" si="8"/>
        <v>0</v>
      </c>
    </row>
    <row r="15" spans="1:23" ht="15">
      <c r="A15" s="651">
        <f t="shared" si="9"/>
        <v>5</v>
      </c>
      <c r="B15" s="636" t="s">
        <v>402</v>
      </c>
      <c r="C15" s="733">
        <f t="shared" si="11"/>
        <v>2021</v>
      </c>
      <c r="D15" s="662">
        <v>30</v>
      </c>
      <c r="E15" s="663">
        <f t="shared" si="10"/>
        <v>246</v>
      </c>
      <c r="F15" s="663">
        <f t="shared" si="12"/>
        <v>365</v>
      </c>
      <c r="G15" s="56">
        <f>246/365</f>
        <v>0.67397260273972603</v>
      </c>
      <c r="H15" s="889">
        <f t="shared" si="0"/>
        <v>0</v>
      </c>
      <c r="I15" s="890">
        <v>0</v>
      </c>
      <c r="J15" s="891">
        <f t="shared" si="1"/>
        <v>0</v>
      </c>
      <c r="K15" s="890">
        <v>0</v>
      </c>
      <c r="L15" s="746">
        <f>+'Appendix A'!$H$27</f>
        <v>0.20363964961424239</v>
      </c>
      <c r="M15" s="970">
        <f t="shared" si="2"/>
        <v>0</v>
      </c>
      <c r="N15" s="891">
        <f t="shared" si="3"/>
        <v>0</v>
      </c>
      <c r="O15" s="890">
        <v>0</v>
      </c>
      <c r="P15" s="746">
        <f>+'Appendix A'!$H$16</f>
        <v>0.12146075795343095</v>
      </c>
      <c r="Q15" s="970">
        <f t="shared" si="4"/>
        <v>0</v>
      </c>
      <c r="R15" s="891">
        <f t="shared" si="5"/>
        <v>0</v>
      </c>
      <c r="S15" s="890">
        <v>0</v>
      </c>
      <c r="T15" s="746">
        <f>+'Appendix A'!$H$33</f>
        <v>0.18298233367566416</v>
      </c>
      <c r="U15" s="971">
        <f t="shared" si="6"/>
        <v>0</v>
      </c>
      <c r="V15" s="891">
        <f t="shared" si="7"/>
        <v>0</v>
      </c>
      <c r="W15" s="972">
        <f t="shared" si="8"/>
        <v>0</v>
      </c>
    </row>
    <row r="16" spans="1:23" ht="15">
      <c r="A16" s="651">
        <f t="shared" si="9"/>
        <v>6</v>
      </c>
      <c r="B16" s="636" t="s">
        <v>403</v>
      </c>
      <c r="C16" s="733">
        <f t="shared" si="11"/>
        <v>2021</v>
      </c>
      <c r="D16" s="662">
        <v>31</v>
      </c>
      <c r="E16" s="663">
        <f t="shared" si="10"/>
        <v>215</v>
      </c>
      <c r="F16" s="663">
        <f t="shared" si="12"/>
        <v>365</v>
      </c>
      <c r="G16" s="56">
        <f>215/365</f>
        <v>0.58904109589041098</v>
      </c>
      <c r="H16" s="889">
        <f t="shared" si="0"/>
        <v>0</v>
      </c>
      <c r="I16" s="890">
        <v>0</v>
      </c>
      <c r="J16" s="891">
        <f t="shared" si="1"/>
        <v>0</v>
      </c>
      <c r="K16" s="890">
        <v>0</v>
      </c>
      <c r="L16" s="746">
        <f>+'Appendix A'!$H$27</f>
        <v>0.20363964961424239</v>
      </c>
      <c r="M16" s="970">
        <f t="shared" si="2"/>
        <v>0</v>
      </c>
      <c r="N16" s="891">
        <f t="shared" si="3"/>
        <v>0</v>
      </c>
      <c r="O16" s="890">
        <v>0</v>
      </c>
      <c r="P16" s="746">
        <f>+'Appendix A'!$H$16</f>
        <v>0.12146075795343095</v>
      </c>
      <c r="Q16" s="970">
        <f t="shared" si="4"/>
        <v>0</v>
      </c>
      <c r="R16" s="891">
        <f t="shared" si="5"/>
        <v>0</v>
      </c>
      <c r="S16" s="890">
        <v>0</v>
      </c>
      <c r="T16" s="746">
        <f>+'Appendix A'!$H$33</f>
        <v>0.18298233367566416</v>
      </c>
      <c r="U16" s="971">
        <f t="shared" si="6"/>
        <v>0</v>
      </c>
      <c r="V16" s="891">
        <f t="shared" si="7"/>
        <v>0</v>
      </c>
      <c r="W16" s="972">
        <f t="shared" si="8"/>
        <v>0</v>
      </c>
    </row>
    <row r="17" spans="1:23" ht="15">
      <c r="A17" s="651">
        <f t="shared" si="9"/>
        <v>7</v>
      </c>
      <c r="B17" s="636" t="s">
        <v>404</v>
      </c>
      <c r="C17" s="733">
        <f t="shared" si="11"/>
        <v>2021</v>
      </c>
      <c r="D17" s="662">
        <v>30</v>
      </c>
      <c r="E17" s="663">
        <f t="shared" si="10"/>
        <v>185</v>
      </c>
      <c r="F17" s="663">
        <f t="shared" si="12"/>
        <v>365</v>
      </c>
      <c r="G17" s="56">
        <f>185/365</f>
        <v>0.50684931506849318</v>
      </c>
      <c r="H17" s="889">
        <f t="shared" si="0"/>
        <v>0</v>
      </c>
      <c r="I17" s="890">
        <v>0</v>
      </c>
      <c r="J17" s="891">
        <f t="shared" si="1"/>
        <v>0</v>
      </c>
      <c r="K17" s="890">
        <v>0</v>
      </c>
      <c r="L17" s="746">
        <f>+'Appendix A'!$H$27</f>
        <v>0.20363964961424239</v>
      </c>
      <c r="M17" s="970">
        <f t="shared" si="2"/>
        <v>0</v>
      </c>
      <c r="N17" s="891">
        <f t="shared" si="3"/>
        <v>0</v>
      </c>
      <c r="O17" s="890">
        <v>0</v>
      </c>
      <c r="P17" s="746">
        <f>+'Appendix A'!$H$16</f>
        <v>0.12146075795343095</v>
      </c>
      <c r="Q17" s="970">
        <f t="shared" si="4"/>
        <v>0</v>
      </c>
      <c r="R17" s="891">
        <f t="shared" si="5"/>
        <v>0</v>
      </c>
      <c r="S17" s="890">
        <v>0</v>
      </c>
      <c r="T17" s="746">
        <f>+'Appendix A'!$H$33</f>
        <v>0.18298233367566416</v>
      </c>
      <c r="U17" s="971">
        <f t="shared" si="6"/>
        <v>0</v>
      </c>
      <c r="V17" s="891">
        <f t="shared" si="7"/>
        <v>0</v>
      </c>
      <c r="W17" s="972">
        <f t="shared" si="8"/>
        <v>0</v>
      </c>
    </row>
    <row r="18" spans="1:23" ht="15">
      <c r="A18" s="651">
        <f t="shared" si="9"/>
        <v>8</v>
      </c>
      <c r="B18" s="636" t="s">
        <v>405</v>
      </c>
      <c r="C18" s="733">
        <f t="shared" si="11"/>
        <v>2021</v>
      </c>
      <c r="D18" s="662">
        <v>31</v>
      </c>
      <c r="E18" s="663">
        <f t="shared" si="10"/>
        <v>154</v>
      </c>
      <c r="F18" s="663">
        <f t="shared" si="12"/>
        <v>365</v>
      </c>
      <c r="G18" s="56">
        <f>154/365</f>
        <v>0.42191780821917807</v>
      </c>
      <c r="H18" s="889">
        <f t="shared" si="0"/>
        <v>0</v>
      </c>
      <c r="I18" s="890">
        <v>0</v>
      </c>
      <c r="J18" s="891">
        <f t="shared" si="1"/>
        <v>0</v>
      </c>
      <c r="K18" s="890">
        <v>0</v>
      </c>
      <c r="L18" s="746">
        <f>+'Appendix A'!$H$27</f>
        <v>0.20363964961424239</v>
      </c>
      <c r="M18" s="970">
        <f t="shared" si="2"/>
        <v>0</v>
      </c>
      <c r="N18" s="891">
        <f t="shared" si="3"/>
        <v>0</v>
      </c>
      <c r="O18" s="890">
        <v>0</v>
      </c>
      <c r="P18" s="746">
        <f>+'Appendix A'!$H$16</f>
        <v>0.12146075795343095</v>
      </c>
      <c r="Q18" s="970">
        <f t="shared" si="4"/>
        <v>0</v>
      </c>
      <c r="R18" s="891">
        <f t="shared" si="5"/>
        <v>0</v>
      </c>
      <c r="S18" s="890">
        <v>0</v>
      </c>
      <c r="T18" s="746">
        <f>+'Appendix A'!$H$33</f>
        <v>0.18298233367566416</v>
      </c>
      <c r="U18" s="971">
        <f t="shared" si="6"/>
        <v>0</v>
      </c>
      <c r="V18" s="891">
        <f t="shared" si="7"/>
        <v>0</v>
      </c>
      <c r="W18" s="972">
        <f t="shared" si="8"/>
        <v>0</v>
      </c>
    </row>
    <row r="19" spans="1:23" ht="15">
      <c r="A19" s="651">
        <f t="shared" si="9"/>
        <v>9</v>
      </c>
      <c r="B19" s="636" t="s">
        <v>406</v>
      </c>
      <c r="C19" s="733">
        <f t="shared" si="11"/>
        <v>2021</v>
      </c>
      <c r="D19" s="662">
        <v>31</v>
      </c>
      <c r="E19" s="663">
        <f t="shared" si="10"/>
        <v>123</v>
      </c>
      <c r="F19" s="663">
        <f t="shared" si="12"/>
        <v>365</v>
      </c>
      <c r="G19" s="56">
        <f>123/365</f>
        <v>0.33698630136986302</v>
      </c>
      <c r="H19" s="889">
        <f t="shared" si="0"/>
        <v>0</v>
      </c>
      <c r="I19" s="890">
        <v>0</v>
      </c>
      <c r="J19" s="891">
        <f t="shared" si="1"/>
        <v>0</v>
      </c>
      <c r="K19" s="890">
        <v>0</v>
      </c>
      <c r="L19" s="746">
        <f>+'Appendix A'!$H$27</f>
        <v>0.20363964961424239</v>
      </c>
      <c r="M19" s="970">
        <f t="shared" si="2"/>
        <v>0</v>
      </c>
      <c r="N19" s="891">
        <f t="shared" si="3"/>
        <v>0</v>
      </c>
      <c r="O19" s="890">
        <v>0</v>
      </c>
      <c r="P19" s="746">
        <f>+'Appendix A'!$H$16</f>
        <v>0.12146075795343095</v>
      </c>
      <c r="Q19" s="970">
        <f t="shared" si="4"/>
        <v>0</v>
      </c>
      <c r="R19" s="891">
        <f t="shared" si="5"/>
        <v>0</v>
      </c>
      <c r="S19" s="890">
        <v>0</v>
      </c>
      <c r="T19" s="746">
        <f>+'Appendix A'!$H$33</f>
        <v>0.18298233367566416</v>
      </c>
      <c r="U19" s="971">
        <f t="shared" si="6"/>
        <v>0</v>
      </c>
      <c r="V19" s="891">
        <f t="shared" si="7"/>
        <v>0</v>
      </c>
      <c r="W19" s="972">
        <f t="shared" si="8"/>
        <v>0</v>
      </c>
    </row>
    <row r="20" spans="1:23" ht="15">
      <c r="A20" s="651">
        <f t="shared" si="9"/>
        <v>10</v>
      </c>
      <c r="B20" s="636" t="s">
        <v>407</v>
      </c>
      <c r="C20" s="733">
        <f t="shared" si="11"/>
        <v>2021</v>
      </c>
      <c r="D20" s="662">
        <v>30</v>
      </c>
      <c r="E20" s="663">
        <f t="shared" si="10"/>
        <v>93</v>
      </c>
      <c r="F20" s="663">
        <f t="shared" si="12"/>
        <v>365</v>
      </c>
      <c r="G20" s="56">
        <f>93/365</f>
        <v>0.25479452054794521</v>
      </c>
      <c r="H20" s="889">
        <f t="shared" si="0"/>
        <v>0</v>
      </c>
      <c r="I20" s="890">
        <v>0</v>
      </c>
      <c r="J20" s="891">
        <f t="shared" si="1"/>
        <v>0</v>
      </c>
      <c r="K20" s="890">
        <v>0</v>
      </c>
      <c r="L20" s="746">
        <f>+'Appendix A'!$H$27</f>
        <v>0.20363964961424239</v>
      </c>
      <c r="M20" s="970">
        <f t="shared" si="2"/>
        <v>0</v>
      </c>
      <c r="N20" s="891">
        <f t="shared" si="3"/>
        <v>0</v>
      </c>
      <c r="O20" s="890">
        <v>0</v>
      </c>
      <c r="P20" s="746">
        <f>+'Appendix A'!$H$16</f>
        <v>0.12146075795343095</v>
      </c>
      <c r="Q20" s="970">
        <f t="shared" si="4"/>
        <v>0</v>
      </c>
      <c r="R20" s="891">
        <f t="shared" si="5"/>
        <v>0</v>
      </c>
      <c r="S20" s="890">
        <v>0</v>
      </c>
      <c r="T20" s="746">
        <f>+'Appendix A'!$H$33</f>
        <v>0.18298233367566416</v>
      </c>
      <c r="U20" s="971">
        <f t="shared" si="6"/>
        <v>0</v>
      </c>
      <c r="V20" s="891">
        <f t="shared" si="7"/>
        <v>0</v>
      </c>
      <c r="W20" s="972">
        <f t="shared" si="8"/>
        <v>0</v>
      </c>
    </row>
    <row r="21" spans="1:23" ht="15">
      <c r="A21" s="651">
        <f t="shared" si="9"/>
        <v>11</v>
      </c>
      <c r="B21" s="636" t="s">
        <v>408</v>
      </c>
      <c r="C21" s="733">
        <f t="shared" si="11"/>
        <v>2021</v>
      </c>
      <c r="D21" s="662">
        <v>31</v>
      </c>
      <c r="E21" s="663">
        <f>E22+D22</f>
        <v>62</v>
      </c>
      <c r="F21" s="663">
        <f t="shared" si="12"/>
        <v>365</v>
      </c>
      <c r="G21" s="56">
        <f>62/365</f>
        <v>0.16986301369863013</v>
      </c>
      <c r="H21" s="889">
        <f t="shared" si="0"/>
        <v>0</v>
      </c>
      <c r="I21" s="890">
        <v>0</v>
      </c>
      <c r="J21" s="891">
        <f t="shared" si="1"/>
        <v>0</v>
      </c>
      <c r="K21" s="890">
        <v>0</v>
      </c>
      <c r="L21" s="746">
        <f>+'Appendix A'!$H$27</f>
        <v>0.20363964961424239</v>
      </c>
      <c r="M21" s="970">
        <f t="shared" si="2"/>
        <v>0</v>
      </c>
      <c r="N21" s="891">
        <f t="shared" si="3"/>
        <v>0</v>
      </c>
      <c r="O21" s="890">
        <v>0</v>
      </c>
      <c r="P21" s="746">
        <f>+'Appendix A'!$H$16</f>
        <v>0.12146075795343095</v>
      </c>
      <c r="Q21" s="970">
        <f t="shared" si="4"/>
        <v>0</v>
      </c>
      <c r="R21" s="891">
        <f t="shared" si="5"/>
        <v>0</v>
      </c>
      <c r="S21" s="890">
        <v>0</v>
      </c>
      <c r="T21" s="746">
        <f>+'Appendix A'!$H$33</f>
        <v>0.18298233367566416</v>
      </c>
      <c r="U21" s="971">
        <f t="shared" si="6"/>
        <v>0</v>
      </c>
      <c r="V21" s="891">
        <f t="shared" si="7"/>
        <v>0</v>
      </c>
      <c r="W21" s="972">
        <f t="shared" si="8"/>
        <v>0</v>
      </c>
    </row>
    <row r="22" spans="1:23" ht="15">
      <c r="A22" s="651">
        <f t="shared" si="9"/>
        <v>12</v>
      </c>
      <c r="B22" s="636" t="s">
        <v>409</v>
      </c>
      <c r="C22" s="733">
        <f t="shared" si="11"/>
        <v>2021</v>
      </c>
      <c r="D22" s="662">
        <v>30</v>
      </c>
      <c r="E22" s="663">
        <f>E23+D23</f>
        <v>32</v>
      </c>
      <c r="F22" s="663">
        <f t="shared" si="12"/>
        <v>365</v>
      </c>
      <c r="G22" s="56">
        <f>32/365</f>
        <v>8.7671232876712329E-2</v>
      </c>
      <c r="H22" s="889">
        <f t="shared" si="0"/>
        <v>0</v>
      </c>
      <c r="I22" s="890">
        <v>0</v>
      </c>
      <c r="J22" s="891">
        <f t="shared" si="1"/>
        <v>0</v>
      </c>
      <c r="K22" s="890">
        <v>0</v>
      </c>
      <c r="L22" s="746">
        <f>+'Appendix A'!$H$27</f>
        <v>0.20363964961424239</v>
      </c>
      <c r="M22" s="970">
        <f t="shared" si="2"/>
        <v>0</v>
      </c>
      <c r="N22" s="891">
        <f t="shared" si="3"/>
        <v>0</v>
      </c>
      <c r="O22" s="890">
        <v>0</v>
      </c>
      <c r="P22" s="746">
        <f>+'Appendix A'!$H$16</f>
        <v>0.12146075795343095</v>
      </c>
      <c r="Q22" s="970">
        <f t="shared" si="4"/>
        <v>0</v>
      </c>
      <c r="R22" s="891">
        <f t="shared" si="5"/>
        <v>0</v>
      </c>
      <c r="S22" s="890">
        <v>0</v>
      </c>
      <c r="T22" s="746">
        <f>+'Appendix A'!$H$33</f>
        <v>0.18298233367566416</v>
      </c>
      <c r="U22" s="971">
        <f t="shared" si="6"/>
        <v>0</v>
      </c>
      <c r="V22" s="891">
        <f t="shared" si="7"/>
        <v>0</v>
      </c>
      <c r="W22" s="972">
        <f t="shared" si="8"/>
        <v>0</v>
      </c>
    </row>
    <row r="23" spans="1:23" ht="15">
      <c r="A23" s="651">
        <f t="shared" si="9"/>
        <v>13</v>
      </c>
      <c r="B23" s="636" t="s">
        <v>410</v>
      </c>
      <c r="C23" s="733">
        <f t="shared" si="11"/>
        <v>2021</v>
      </c>
      <c r="D23" s="662">
        <v>31</v>
      </c>
      <c r="E23" s="663">
        <v>1</v>
      </c>
      <c r="F23" s="663">
        <f t="shared" si="12"/>
        <v>365</v>
      </c>
      <c r="G23" s="56">
        <f>1/365</f>
        <v>2.7397260273972603E-3</v>
      </c>
      <c r="H23" s="889">
        <f t="shared" si="0"/>
        <v>0</v>
      </c>
      <c r="I23" s="890">
        <v>0</v>
      </c>
      <c r="J23" s="891">
        <f t="shared" si="1"/>
        <v>0</v>
      </c>
      <c r="K23" s="890">
        <v>0</v>
      </c>
      <c r="L23" s="746">
        <f>+'Appendix A'!$H$27</f>
        <v>0.20363964961424239</v>
      </c>
      <c r="M23" s="970">
        <f t="shared" si="2"/>
        <v>0</v>
      </c>
      <c r="N23" s="891">
        <f t="shared" si="3"/>
        <v>0</v>
      </c>
      <c r="O23" s="890">
        <v>0</v>
      </c>
      <c r="P23" s="746">
        <f>+'Appendix A'!$H$16</f>
        <v>0.12146075795343095</v>
      </c>
      <c r="Q23" s="970">
        <f t="shared" si="4"/>
        <v>0</v>
      </c>
      <c r="R23" s="891">
        <f t="shared" si="5"/>
        <v>0</v>
      </c>
      <c r="S23" s="890">
        <v>0</v>
      </c>
      <c r="T23" s="746">
        <f>+'Appendix A'!$H$33</f>
        <v>0.18298233367566416</v>
      </c>
      <c r="U23" s="971">
        <f t="shared" si="6"/>
        <v>0</v>
      </c>
      <c r="V23" s="891">
        <f t="shared" si="7"/>
        <v>0</v>
      </c>
      <c r="W23" s="972">
        <f t="shared" si="8"/>
        <v>0</v>
      </c>
    </row>
    <row r="24" spans="1:23" ht="15">
      <c r="A24" s="651">
        <f t="shared" si="9"/>
        <v>14</v>
      </c>
      <c r="B24" s="652" t="s">
        <v>411</v>
      </c>
      <c r="C24" s="636"/>
      <c r="D24" s="638">
        <f>+SUM(D12:D23)</f>
        <v>365</v>
      </c>
      <c r="E24" s="636"/>
      <c r="F24" s="636"/>
      <c r="G24" s="636"/>
      <c r="H24" s="891">
        <f t="shared" ref="H24:W24" si="13">SUM(H11:H23)</f>
        <v>0</v>
      </c>
      <c r="I24" s="891">
        <f t="shared" si="13"/>
        <v>0</v>
      </c>
      <c r="J24" s="891">
        <f t="shared" si="13"/>
        <v>0</v>
      </c>
      <c r="K24" s="891">
        <f t="shared" si="13"/>
        <v>0</v>
      </c>
      <c r="L24" s="891"/>
      <c r="M24" s="891"/>
      <c r="N24" s="891">
        <f t="shared" si="13"/>
        <v>0</v>
      </c>
      <c r="O24" s="891">
        <f t="shared" si="13"/>
        <v>0</v>
      </c>
      <c r="P24" s="891"/>
      <c r="Q24" s="891"/>
      <c r="R24" s="891">
        <f t="shared" si="13"/>
        <v>0</v>
      </c>
      <c r="S24" s="891">
        <f t="shared" ref="S24" si="14">SUM(S11:S23)</f>
        <v>0</v>
      </c>
      <c r="T24" s="891"/>
      <c r="U24" s="891"/>
      <c r="V24" s="891">
        <f t="shared" si="13"/>
        <v>0</v>
      </c>
      <c r="W24" s="972">
        <f t="shared" si="13"/>
        <v>0</v>
      </c>
    </row>
    <row r="25" spans="1:23" ht="15">
      <c r="A25" s="651"/>
      <c r="B25" s="216"/>
      <c r="C25" s="216"/>
      <c r="D25" s="216"/>
      <c r="E25" s="216"/>
      <c r="F25" s="216"/>
      <c r="G25" s="216"/>
      <c r="H25" s="216"/>
      <c r="I25" s="216"/>
      <c r="J25" s="216"/>
      <c r="K25" s="216"/>
      <c r="L25" s="216"/>
      <c r="M25" s="216"/>
      <c r="N25" s="216"/>
      <c r="O25" s="216"/>
      <c r="P25" s="216"/>
      <c r="Q25" s="216"/>
      <c r="R25" s="216"/>
      <c r="S25" s="216"/>
      <c r="T25" s="216"/>
      <c r="U25" s="216"/>
      <c r="V25" s="216"/>
      <c r="W25" s="1025"/>
    </row>
    <row r="26" spans="1:23" ht="15">
      <c r="A26" s="216"/>
      <c r="B26" s="216"/>
      <c r="C26" s="216"/>
      <c r="D26" s="216"/>
      <c r="E26" s="216"/>
      <c r="F26" s="216"/>
      <c r="G26" s="216"/>
      <c r="H26" s="216"/>
      <c r="I26" s="216"/>
      <c r="J26" s="216"/>
      <c r="K26" s="216"/>
      <c r="L26" s="216"/>
      <c r="M26" s="216"/>
      <c r="N26" s="216"/>
      <c r="O26" s="216"/>
      <c r="P26" s="216"/>
      <c r="Q26" s="216"/>
      <c r="R26" s="216"/>
      <c r="S26" s="216"/>
      <c r="T26" s="216"/>
      <c r="U26" s="216"/>
      <c r="V26" s="216"/>
      <c r="W26" s="1025"/>
    </row>
    <row r="27" spans="1:23" ht="15">
      <c r="A27" s="216"/>
      <c r="B27" s="642" t="s">
        <v>412</v>
      </c>
      <c r="C27" s="636"/>
      <c r="D27" s="636"/>
      <c r="E27" s="636"/>
      <c r="F27" s="636"/>
      <c r="G27" s="636"/>
      <c r="H27" s="636"/>
      <c r="I27" s="636"/>
      <c r="J27" s="636"/>
      <c r="K27" s="636"/>
      <c r="L27" s="636"/>
      <c r="M27" s="636"/>
      <c r="N27" s="636"/>
      <c r="O27" s="636"/>
      <c r="P27" s="636"/>
      <c r="Q27" s="636"/>
      <c r="R27" s="636"/>
      <c r="S27" s="636"/>
      <c r="T27" s="636"/>
      <c r="U27" s="636"/>
      <c r="V27" s="636"/>
      <c r="W27" s="1025"/>
    </row>
    <row r="28" spans="1:23" ht="15">
      <c r="A28" s="216"/>
      <c r="B28" s="637" t="str">
        <f>+B8</f>
        <v>(a)</v>
      </c>
      <c r="C28" s="637" t="str">
        <f t="shared" ref="C28:S28" si="15">+C8</f>
        <v>(b)</v>
      </c>
      <c r="D28" s="637" t="str">
        <f t="shared" si="15"/>
        <v>(c)</v>
      </c>
      <c r="E28" s="637" t="str">
        <f t="shared" si="15"/>
        <v>(d)</v>
      </c>
      <c r="F28" s="637" t="str">
        <f t="shared" si="15"/>
        <v>(e)</v>
      </c>
      <c r="G28" s="637" t="str">
        <f t="shared" si="15"/>
        <v>(f)</v>
      </c>
      <c r="H28" s="637" t="str">
        <f t="shared" si="15"/>
        <v>(g)</v>
      </c>
      <c r="I28" s="637" t="str">
        <f t="shared" si="15"/>
        <v>(h)</v>
      </c>
      <c r="J28" s="637" t="str">
        <f t="shared" si="15"/>
        <v>(i)</v>
      </c>
      <c r="K28" s="637" t="str">
        <f t="shared" si="15"/>
        <v>(j)</v>
      </c>
      <c r="L28" s="637" t="s">
        <v>368</v>
      </c>
      <c r="M28" s="637" t="s">
        <v>369</v>
      </c>
      <c r="N28" s="637" t="s">
        <v>370</v>
      </c>
      <c r="O28" s="637" t="str">
        <f t="shared" si="15"/>
        <v>(n)</v>
      </c>
      <c r="P28" s="637" t="s">
        <v>372</v>
      </c>
      <c r="Q28" s="637" t="s">
        <v>373</v>
      </c>
      <c r="R28" s="637" t="s">
        <v>374</v>
      </c>
      <c r="S28" s="637" t="str">
        <f t="shared" si="15"/>
        <v>(r)</v>
      </c>
      <c r="T28" s="637" t="s">
        <v>376</v>
      </c>
      <c r="U28" s="637" t="s">
        <v>377</v>
      </c>
      <c r="V28" s="637" t="s">
        <v>378</v>
      </c>
      <c r="W28" s="637" t="s">
        <v>379</v>
      </c>
    </row>
    <row r="29" spans="1:23" ht="75">
      <c r="A29" s="216"/>
      <c r="B29" s="643" t="s">
        <v>380</v>
      </c>
      <c r="C29" s="643" t="s">
        <v>381</v>
      </c>
      <c r="D29" s="643" t="s">
        <v>382</v>
      </c>
      <c r="E29" s="643" t="s">
        <v>383</v>
      </c>
      <c r="F29" s="643" t="s">
        <v>384</v>
      </c>
      <c r="G29" s="643" t="s">
        <v>385</v>
      </c>
      <c r="H29" s="643" t="s">
        <v>386</v>
      </c>
      <c r="I29" s="643" t="s">
        <v>271</v>
      </c>
      <c r="J29" s="643" t="s">
        <v>413</v>
      </c>
      <c r="K29" s="643" t="s">
        <v>388</v>
      </c>
      <c r="L29" s="643" t="s">
        <v>22</v>
      </c>
      <c r="M29" s="643" t="s">
        <v>389</v>
      </c>
      <c r="N29" s="643" t="s">
        <v>390</v>
      </c>
      <c r="O29" s="643" t="s">
        <v>391</v>
      </c>
      <c r="P29" s="643" t="s">
        <v>76</v>
      </c>
      <c r="Q29" s="643" t="s">
        <v>392</v>
      </c>
      <c r="R29" s="643" t="s">
        <v>393</v>
      </c>
      <c r="S29" s="643" t="s">
        <v>394</v>
      </c>
      <c r="T29" s="643" t="s">
        <v>23</v>
      </c>
      <c r="U29" s="643" t="s">
        <v>395</v>
      </c>
      <c r="V29" s="643" t="s">
        <v>396</v>
      </c>
      <c r="W29" s="643" t="s">
        <v>397</v>
      </c>
    </row>
    <row r="30" spans="1:23" ht="15">
      <c r="A30" s="216"/>
      <c r="B30" s="642"/>
      <c r="C30" s="637"/>
      <c r="D30" s="637"/>
      <c r="E30" s="637"/>
      <c r="F30" s="637"/>
      <c r="G30" s="637"/>
      <c r="H30" s="637"/>
      <c r="I30" s="637"/>
      <c r="J30" s="636"/>
      <c r="K30" s="636"/>
      <c r="L30" s="636"/>
      <c r="M30" s="636"/>
      <c r="N30" s="636"/>
      <c r="O30" s="636"/>
      <c r="P30" s="636"/>
      <c r="Q30" s="636"/>
      <c r="R30" s="265"/>
      <c r="S30" s="636"/>
      <c r="T30" s="636"/>
      <c r="U30" s="636"/>
      <c r="V30" s="265"/>
      <c r="W30" s="265"/>
    </row>
    <row r="31" spans="1:23" ht="45">
      <c r="A31" s="651">
        <f>+A24+1</f>
        <v>15</v>
      </c>
      <c r="B31" s="734" t="s">
        <v>414</v>
      </c>
      <c r="C31" s="733">
        <f t="shared" ref="C31:C43" si="16">+C11</f>
        <v>2020</v>
      </c>
      <c r="D31" s="733"/>
      <c r="E31" s="733"/>
      <c r="F31" s="733"/>
      <c r="G31" s="56">
        <f>365/365</f>
        <v>1</v>
      </c>
      <c r="H31" s="889">
        <f t="shared" ref="H31:H43" si="17">+J31+N31+R31+V31</f>
        <v>-12331820.182426732</v>
      </c>
      <c r="I31" s="890">
        <v>-12331820.182426732</v>
      </c>
      <c r="J31" s="891">
        <f>G31*I31</f>
        <v>-12331820.182426732</v>
      </c>
      <c r="K31" s="890">
        <v>0</v>
      </c>
      <c r="L31" s="746">
        <f>+'Appendix A'!$H$27</f>
        <v>0.20363964961424239</v>
      </c>
      <c r="M31" s="970">
        <f>+K31*L31</f>
        <v>0</v>
      </c>
      <c r="N31" s="891">
        <f>+G31*M31</f>
        <v>0</v>
      </c>
      <c r="O31" s="890">
        <v>0</v>
      </c>
      <c r="P31" s="746">
        <f>+'Appendix A'!$H$16</f>
        <v>0.12146075795343095</v>
      </c>
      <c r="Q31" s="970">
        <f>+O31*P31</f>
        <v>0</v>
      </c>
      <c r="R31" s="891">
        <f>+G31*Q31</f>
        <v>0</v>
      </c>
      <c r="S31" s="890">
        <v>0</v>
      </c>
      <c r="T31" s="746">
        <f>+'Appendix A'!$H$33</f>
        <v>0.18298233367566416</v>
      </c>
      <c r="U31" s="971">
        <f>+S31*T31</f>
        <v>0</v>
      </c>
      <c r="V31" s="891">
        <f>+G31*U31</f>
        <v>0</v>
      </c>
      <c r="W31" s="972">
        <f>+J31+N31+R31+V31</f>
        <v>-12331820.182426732</v>
      </c>
    </row>
    <row r="32" spans="1:23" ht="15">
      <c r="A32" s="651">
        <f>+A31+1</f>
        <v>16</v>
      </c>
      <c r="B32" s="636" t="s">
        <v>399</v>
      </c>
      <c r="C32" s="733">
        <f t="shared" si="16"/>
        <v>2021</v>
      </c>
      <c r="D32" s="662">
        <v>31</v>
      </c>
      <c r="E32" s="663">
        <f>E33+D33</f>
        <v>335</v>
      </c>
      <c r="F32" s="663">
        <f>SUM(D32:D43)</f>
        <v>365</v>
      </c>
      <c r="G32" s="56">
        <f>335/365</f>
        <v>0.9178082191780822</v>
      </c>
      <c r="H32" s="889">
        <f t="shared" si="17"/>
        <v>-225051.90435685124</v>
      </c>
      <c r="I32" s="890">
        <v>-245205.80623955434</v>
      </c>
      <c r="J32" s="891">
        <f t="shared" ref="J32:J43" si="18">G32*I32</f>
        <v>-225051.90435685124</v>
      </c>
      <c r="K32" s="890">
        <v>0</v>
      </c>
      <c r="L32" s="746">
        <f>+'Appendix A'!$H$27</f>
        <v>0.20363964961424239</v>
      </c>
      <c r="M32" s="970">
        <f t="shared" ref="M32:M43" si="19">+K32*L32</f>
        <v>0</v>
      </c>
      <c r="N32" s="891">
        <f t="shared" ref="N32:N43" si="20">+G32*M32</f>
        <v>0</v>
      </c>
      <c r="O32" s="890">
        <v>0</v>
      </c>
      <c r="P32" s="746">
        <f>+'Appendix A'!$H$16</f>
        <v>0.12146075795343095</v>
      </c>
      <c r="Q32" s="970">
        <f t="shared" ref="Q32:Q43" si="21">+O32*P32</f>
        <v>0</v>
      </c>
      <c r="R32" s="891">
        <f t="shared" ref="R32:R43" si="22">+G32*Q32</f>
        <v>0</v>
      </c>
      <c r="S32" s="890">
        <v>0</v>
      </c>
      <c r="T32" s="746">
        <f>+'Appendix A'!$H$33</f>
        <v>0.18298233367566416</v>
      </c>
      <c r="U32" s="971">
        <f t="shared" ref="U32:U43" si="23">+S32*T32</f>
        <v>0</v>
      </c>
      <c r="V32" s="891">
        <f t="shared" ref="V32:V43" si="24">+G32*U32</f>
        <v>0</v>
      </c>
      <c r="W32" s="972">
        <f t="shared" ref="W32:W43" si="25">+J32+N32+R32+V32</f>
        <v>-225051.90435685124</v>
      </c>
    </row>
    <row r="33" spans="1:23" ht="15">
      <c r="A33" s="651">
        <f t="shared" ref="A33:A44" si="26">+A32+1</f>
        <v>17</v>
      </c>
      <c r="B33" s="636" t="s">
        <v>400</v>
      </c>
      <c r="C33" s="733">
        <f t="shared" si="16"/>
        <v>2021</v>
      </c>
      <c r="D33" s="748">
        <f>+D13</f>
        <v>28</v>
      </c>
      <c r="E33" s="663">
        <f t="shared" ref="E33:E40" si="27">E34+D34</f>
        <v>307</v>
      </c>
      <c r="F33" s="663">
        <f>F32</f>
        <v>365</v>
      </c>
      <c r="G33" s="56">
        <f>307/365</f>
        <v>0.84109589041095889</v>
      </c>
      <c r="H33" s="889">
        <f t="shared" si="17"/>
        <v>-206241.59593299503</v>
      </c>
      <c r="I33" s="890">
        <v>-245205.80623955434</v>
      </c>
      <c r="J33" s="891">
        <f t="shared" si="18"/>
        <v>-206241.59593299503</v>
      </c>
      <c r="K33" s="890">
        <v>0</v>
      </c>
      <c r="L33" s="746">
        <f>+'Appendix A'!$H$27</f>
        <v>0.20363964961424239</v>
      </c>
      <c r="M33" s="970">
        <f t="shared" si="19"/>
        <v>0</v>
      </c>
      <c r="N33" s="891">
        <f t="shared" si="20"/>
        <v>0</v>
      </c>
      <c r="O33" s="890">
        <v>0</v>
      </c>
      <c r="P33" s="746">
        <f>+'Appendix A'!$H$16</f>
        <v>0.12146075795343095</v>
      </c>
      <c r="Q33" s="970">
        <f t="shared" si="21"/>
        <v>0</v>
      </c>
      <c r="R33" s="891">
        <f t="shared" si="22"/>
        <v>0</v>
      </c>
      <c r="S33" s="890">
        <v>0</v>
      </c>
      <c r="T33" s="746">
        <f>+'Appendix A'!$H$33</f>
        <v>0.18298233367566416</v>
      </c>
      <c r="U33" s="971">
        <f t="shared" si="23"/>
        <v>0</v>
      </c>
      <c r="V33" s="891">
        <f t="shared" si="24"/>
        <v>0</v>
      </c>
      <c r="W33" s="972">
        <f t="shared" si="25"/>
        <v>-206241.59593299503</v>
      </c>
    </row>
    <row r="34" spans="1:23" ht="15">
      <c r="A34" s="651">
        <f t="shared" si="26"/>
        <v>18</v>
      </c>
      <c r="B34" s="636" t="s">
        <v>401</v>
      </c>
      <c r="C34" s="733">
        <f t="shared" si="16"/>
        <v>2021</v>
      </c>
      <c r="D34" s="662">
        <v>31</v>
      </c>
      <c r="E34" s="663">
        <f t="shared" si="27"/>
        <v>276</v>
      </c>
      <c r="F34" s="663">
        <f t="shared" ref="F34:F43" si="28">F33</f>
        <v>365</v>
      </c>
      <c r="G34" s="56">
        <f>276/365</f>
        <v>0.75616438356164384</v>
      </c>
      <c r="H34" s="889">
        <f t="shared" si="17"/>
        <v>-185415.89732086848</v>
      </c>
      <c r="I34" s="890">
        <v>-245205.80623955434</v>
      </c>
      <c r="J34" s="891">
        <f t="shared" si="18"/>
        <v>-185415.89732086848</v>
      </c>
      <c r="K34" s="890">
        <v>0</v>
      </c>
      <c r="L34" s="746">
        <f>+'Appendix A'!$H$27</f>
        <v>0.20363964961424239</v>
      </c>
      <c r="M34" s="970">
        <f t="shared" si="19"/>
        <v>0</v>
      </c>
      <c r="N34" s="891">
        <f t="shared" si="20"/>
        <v>0</v>
      </c>
      <c r="O34" s="890">
        <v>0</v>
      </c>
      <c r="P34" s="746">
        <f>+'Appendix A'!$H$16</f>
        <v>0.12146075795343095</v>
      </c>
      <c r="Q34" s="970">
        <f t="shared" si="21"/>
        <v>0</v>
      </c>
      <c r="R34" s="891">
        <f t="shared" si="22"/>
        <v>0</v>
      </c>
      <c r="S34" s="890">
        <v>0</v>
      </c>
      <c r="T34" s="746">
        <f>+'Appendix A'!$H$33</f>
        <v>0.18298233367566416</v>
      </c>
      <c r="U34" s="971">
        <f t="shared" si="23"/>
        <v>0</v>
      </c>
      <c r="V34" s="891">
        <f t="shared" si="24"/>
        <v>0</v>
      </c>
      <c r="W34" s="972">
        <f t="shared" si="25"/>
        <v>-185415.89732086848</v>
      </c>
    </row>
    <row r="35" spans="1:23" ht="15">
      <c r="A35" s="651">
        <f t="shared" si="26"/>
        <v>19</v>
      </c>
      <c r="B35" s="636" t="s">
        <v>402</v>
      </c>
      <c r="C35" s="733">
        <f t="shared" si="16"/>
        <v>2021</v>
      </c>
      <c r="D35" s="662">
        <v>30</v>
      </c>
      <c r="E35" s="663">
        <f t="shared" si="27"/>
        <v>246</v>
      </c>
      <c r="F35" s="663">
        <f t="shared" si="28"/>
        <v>365</v>
      </c>
      <c r="G35" s="56">
        <f>246/365</f>
        <v>0.67397260273972603</v>
      </c>
      <c r="H35" s="889">
        <f t="shared" si="17"/>
        <v>-165261.99543816538</v>
      </c>
      <c r="I35" s="890">
        <v>-245205.80623955434</v>
      </c>
      <c r="J35" s="891">
        <f t="shared" si="18"/>
        <v>-165261.99543816538</v>
      </c>
      <c r="K35" s="890">
        <v>0</v>
      </c>
      <c r="L35" s="746">
        <f>+'Appendix A'!$H$27</f>
        <v>0.20363964961424239</v>
      </c>
      <c r="M35" s="970">
        <f t="shared" si="19"/>
        <v>0</v>
      </c>
      <c r="N35" s="891">
        <f t="shared" si="20"/>
        <v>0</v>
      </c>
      <c r="O35" s="890">
        <v>0</v>
      </c>
      <c r="P35" s="746">
        <f>+'Appendix A'!$H$16</f>
        <v>0.12146075795343095</v>
      </c>
      <c r="Q35" s="970">
        <f t="shared" si="21"/>
        <v>0</v>
      </c>
      <c r="R35" s="891">
        <f t="shared" si="22"/>
        <v>0</v>
      </c>
      <c r="S35" s="890">
        <v>0</v>
      </c>
      <c r="T35" s="746">
        <f>+'Appendix A'!$H$33</f>
        <v>0.18298233367566416</v>
      </c>
      <c r="U35" s="971">
        <f t="shared" si="23"/>
        <v>0</v>
      </c>
      <c r="V35" s="891">
        <f t="shared" si="24"/>
        <v>0</v>
      </c>
      <c r="W35" s="972">
        <f t="shared" si="25"/>
        <v>-165261.99543816538</v>
      </c>
    </row>
    <row r="36" spans="1:23" ht="15">
      <c r="A36" s="651">
        <f t="shared" si="26"/>
        <v>20</v>
      </c>
      <c r="B36" s="636" t="s">
        <v>403</v>
      </c>
      <c r="C36" s="733">
        <f t="shared" si="16"/>
        <v>2021</v>
      </c>
      <c r="D36" s="662">
        <v>31</v>
      </c>
      <c r="E36" s="663">
        <f t="shared" si="27"/>
        <v>215</v>
      </c>
      <c r="F36" s="663">
        <f t="shared" si="28"/>
        <v>365</v>
      </c>
      <c r="G36" s="56">
        <f>215/365</f>
        <v>0.58904109589041098</v>
      </c>
      <c r="H36" s="889">
        <f t="shared" si="17"/>
        <v>-144436.29682603886</v>
      </c>
      <c r="I36" s="890">
        <v>-245205.80623955434</v>
      </c>
      <c r="J36" s="891">
        <f t="shared" si="18"/>
        <v>-144436.29682603886</v>
      </c>
      <c r="K36" s="890">
        <v>0</v>
      </c>
      <c r="L36" s="746">
        <f>+'Appendix A'!$H$27</f>
        <v>0.20363964961424239</v>
      </c>
      <c r="M36" s="970">
        <f t="shared" si="19"/>
        <v>0</v>
      </c>
      <c r="N36" s="891">
        <f t="shared" si="20"/>
        <v>0</v>
      </c>
      <c r="O36" s="890">
        <v>0</v>
      </c>
      <c r="P36" s="746">
        <f>+'Appendix A'!$H$16</f>
        <v>0.12146075795343095</v>
      </c>
      <c r="Q36" s="970">
        <f t="shared" si="21"/>
        <v>0</v>
      </c>
      <c r="R36" s="891">
        <f t="shared" si="22"/>
        <v>0</v>
      </c>
      <c r="S36" s="890">
        <v>0</v>
      </c>
      <c r="T36" s="746">
        <f>+'Appendix A'!$H$33</f>
        <v>0.18298233367566416</v>
      </c>
      <c r="U36" s="971">
        <f t="shared" si="23"/>
        <v>0</v>
      </c>
      <c r="V36" s="891">
        <f t="shared" si="24"/>
        <v>0</v>
      </c>
      <c r="W36" s="972">
        <f t="shared" si="25"/>
        <v>-144436.29682603886</v>
      </c>
    </row>
    <row r="37" spans="1:23" ht="15">
      <c r="A37" s="651">
        <f t="shared" si="26"/>
        <v>21</v>
      </c>
      <c r="B37" s="636" t="s">
        <v>404</v>
      </c>
      <c r="C37" s="733">
        <f t="shared" si="16"/>
        <v>2021</v>
      </c>
      <c r="D37" s="662">
        <v>30</v>
      </c>
      <c r="E37" s="663">
        <f t="shared" si="27"/>
        <v>185</v>
      </c>
      <c r="F37" s="663">
        <f t="shared" si="28"/>
        <v>365</v>
      </c>
      <c r="G37" s="56">
        <f>185/365</f>
        <v>0.50684931506849318</v>
      </c>
      <c r="H37" s="889">
        <f t="shared" si="17"/>
        <v>-124282.39494333576</v>
      </c>
      <c r="I37" s="890">
        <v>-245205.80623955434</v>
      </c>
      <c r="J37" s="891">
        <f t="shared" si="18"/>
        <v>-124282.39494333576</v>
      </c>
      <c r="K37" s="890">
        <v>0</v>
      </c>
      <c r="L37" s="746">
        <f>+'Appendix A'!$H$27</f>
        <v>0.20363964961424239</v>
      </c>
      <c r="M37" s="970">
        <f t="shared" si="19"/>
        <v>0</v>
      </c>
      <c r="N37" s="891">
        <f t="shared" si="20"/>
        <v>0</v>
      </c>
      <c r="O37" s="890">
        <v>0</v>
      </c>
      <c r="P37" s="746">
        <f>+'Appendix A'!$H$16</f>
        <v>0.12146075795343095</v>
      </c>
      <c r="Q37" s="970">
        <f t="shared" si="21"/>
        <v>0</v>
      </c>
      <c r="R37" s="891">
        <f t="shared" si="22"/>
        <v>0</v>
      </c>
      <c r="S37" s="890">
        <v>0</v>
      </c>
      <c r="T37" s="746">
        <f>+'Appendix A'!$H$33</f>
        <v>0.18298233367566416</v>
      </c>
      <c r="U37" s="971">
        <f t="shared" si="23"/>
        <v>0</v>
      </c>
      <c r="V37" s="891">
        <f t="shared" si="24"/>
        <v>0</v>
      </c>
      <c r="W37" s="972">
        <f t="shared" si="25"/>
        <v>-124282.39494333576</v>
      </c>
    </row>
    <row r="38" spans="1:23" ht="15">
      <c r="A38" s="651">
        <f t="shared" si="26"/>
        <v>22</v>
      </c>
      <c r="B38" s="636" t="s">
        <v>405</v>
      </c>
      <c r="C38" s="733">
        <f t="shared" si="16"/>
        <v>2021</v>
      </c>
      <c r="D38" s="662">
        <v>31</v>
      </c>
      <c r="E38" s="663">
        <f t="shared" si="27"/>
        <v>154</v>
      </c>
      <c r="F38" s="663">
        <f t="shared" si="28"/>
        <v>365</v>
      </c>
      <c r="G38" s="56">
        <f>154/365</f>
        <v>0.42191780821917807</v>
      </c>
      <c r="H38" s="889">
        <f t="shared" si="17"/>
        <v>-103456.69633120923</v>
      </c>
      <c r="I38" s="890">
        <v>-245205.80623955434</v>
      </c>
      <c r="J38" s="891">
        <f t="shared" si="18"/>
        <v>-103456.69633120923</v>
      </c>
      <c r="K38" s="890">
        <v>0</v>
      </c>
      <c r="L38" s="746">
        <f>+'Appendix A'!$H$27</f>
        <v>0.20363964961424239</v>
      </c>
      <c r="M38" s="970">
        <f t="shared" si="19"/>
        <v>0</v>
      </c>
      <c r="N38" s="891">
        <f t="shared" si="20"/>
        <v>0</v>
      </c>
      <c r="O38" s="890">
        <v>0</v>
      </c>
      <c r="P38" s="746">
        <f>+'Appendix A'!$H$16</f>
        <v>0.12146075795343095</v>
      </c>
      <c r="Q38" s="970">
        <f t="shared" si="21"/>
        <v>0</v>
      </c>
      <c r="R38" s="891">
        <f t="shared" si="22"/>
        <v>0</v>
      </c>
      <c r="S38" s="890">
        <v>0</v>
      </c>
      <c r="T38" s="746">
        <f>+'Appendix A'!$H$33</f>
        <v>0.18298233367566416</v>
      </c>
      <c r="U38" s="971">
        <f t="shared" si="23"/>
        <v>0</v>
      </c>
      <c r="V38" s="891">
        <f t="shared" si="24"/>
        <v>0</v>
      </c>
      <c r="W38" s="972">
        <f t="shared" si="25"/>
        <v>-103456.69633120923</v>
      </c>
    </row>
    <row r="39" spans="1:23" ht="15">
      <c r="A39" s="651">
        <f t="shared" si="26"/>
        <v>23</v>
      </c>
      <c r="B39" s="636" t="s">
        <v>406</v>
      </c>
      <c r="C39" s="733">
        <f t="shared" si="16"/>
        <v>2021</v>
      </c>
      <c r="D39" s="662">
        <v>31</v>
      </c>
      <c r="E39" s="663">
        <f t="shared" si="27"/>
        <v>123</v>
      </c>
      <c r="F39" s="663">
        <f t="shared" si="28"/>
        <v>365</v>
      </c>
      <c r="G39" s="56">
        <f>123/365</f>
        <v>0.33698630136986302</v>
      </c>
      <c r="H39" s="889">
        <f t="shared" si="17"/>
        <v>-82630.99771908269</v>
      </c>
      <c r="I39" s="890">
        <v>-245205.80623955434</v>
      </c>
      <c r="J39" s="891">
        <f t="shared" si="18"/>
        <v>-82630.99771908269</v>
      </c>
      <c r="K39" s="890">
        <v>0</v>
      </c>
      <c r="L39" s="746">
        <f>+'Appendix A'!$H$27</f>
        <v>0.20363964961424239</v>
      </c>
      <c r="M39" s="970">
        <f t="shared" si="19"/>
        <v>0</v>
      </c>
      <c r="N39" s="891">
        <f t="shared" si="20"/>
        <v>0</v>
      </c>
      <c r="O39" s="890">
        <v>0</v>
      </c>
      <c r="P39" s="746">
        <f>+'Appendix A'!$H$16</f>
        <v>0.12146075795343095</v>
      </c>
      <c r="Q39" s="970">
        <f t="shared" si="21"/>
        <v>0</v>
      </c>
      <c r="R39" s="891">
        <f t="shared" si="22"/>
        <v>0</v>
      </c>
      <c r="S39" s="890">
        <v>0</v>
      </c>
      <c r="T39" s="746">
        <f>+'Appendix A'!$H$33</f>
        <v>0.18298233367566416</v>
      </c>
      <c r="U39" s="971">
        <f t="shared" si="23"/>
        <v>0</v>
      </c>
      <c r="V39" s="891">
        <f t="shared" si="24"/>
        <v>0</v>
      </c>
      <c r="W39" s="972">
        <f t="shared" si="25"/>
        <v>-82630.99771908269</v>
      </c>
    </row>
    <row r="40" spans="1:23" ht="15">
      <c r="A40" s="651">
        <f t="shared" si="26"/>
        <v>24</v>
      </c>
      <c r="B40" s="636" t="s">
        <v>407</v>
      </c>
      <c r="C40" s="733">
        <f t="shared" si="16"/>
        <v>2021</v>
      </c>
      <c r="D40" s="662">
        <v>30</v>
      </c>
      <c r="E40" s="663">
        <f t="shared" si="27"/>
        <v>93</v>
      </c>
      <c r="F40" s="663">
        <f t="shared" si="28"/>
        <v>365</v>
      </c>
      <c r="G40" s="56">
        <f>93/365</f>
        <v>0.25479452054794521</v>
      </c>
      <c r="H40" s="889">
        <f t="shared" si="17"/>
        <v>-62477.095836379602</v>
      </c>
      <c r="I40" s="890">
        <v>-245205.80623955434</v>
      </c>
      <c r="J40" s="891">
        <f t="shared" si="18"/>
        <v>-62477.095836379602</v>
      </c>
      <c r="K40" s="890">
        <v>0</v>
      </c>
      <c r="L40" s="746">
        <f>+'Appendix A'!$H$27</f>
        <v>0.20363964961424239</v>
      </c>
      <c r="M40" s="970">
        <f t="shared" si="19"/>
        <v>0</v>
      </c>
      <c r="N40" s="891">
        <f t="shared" si="20"/>
        <v>0</v>
      </c>
      <c r="O40" s="890">
        <v>0</v>
      </c>
      <c r="P40" s="746">
        <f>+'Appendix A'!$H$16</f>
        <v>0.12146075795343095</v>
      </c>
      <c r="Q40" s="970">
        <f t="shared" si="21"/>
        <v>0</v>
      </c>
      <c r="R40" s="891">
        <f t="shared" si="22"/>
        <v>0</v>
      </c>
      <c r="S40" s="890">
        <v>0</v>
      </c>
      <c r="T40" s="746">
        <f>+'Appendix A'!$H$33</f>
        <v>0.18298233367566416</v>
      </c>
      <c r="U40" s="971">
        <f t="shared" si="23"/>
        <v>0</v>
      </c>
      <c r="V40" s="891">
        <f t="shared" si="24"/>
        <v>0</v>
      </c>
      <c r="W40" s="972">
        <f t="shared" si="25"/>
        <v>-62477.095836379602</v>
      </c>
    </row>
    <row r="41" spans="1:23" ht="15">
      <c r="A41" s="651">
        <f t="shared" si="26"/>
        <v>25</v>
      </c>
      <c r="B41" s="636" t="s">
        <v>408</v>
      </c>
      <c r="C41" s="733">
        <f t="shared" si="16"/>
        <v>2021</v>
      </c>
      <c r="D41" s="662">
        <v>31</v>
      </c>
      <c r="E41" s="663">
        <f>E42+D42</f>
        <v>62</v>
      </c>
      <c r="F41" s="663">
        <f t="shared" si="28"/>
        <v>365</v>
      </c>
      <c r="G41" s="56">
        <f>62/365</f>
        <v>0.16986301369863013</v>
      </c>
      <c r="H41" s="889">
        <f t="shared" si="17"/>
        <v>-41651.397224253065</v>
      </c>
      <c r="I41" s="890">
        <v>-245205.80623955434</v>
      </c>
      <c r="J41" s="891">
        <f t="shared" si="18"/>
        <v>-41651.397224253065</v>
      </c>
      <c r="K41" s="890">
        <v>0</v>
      </c>
      <c r="L41" s="746">
        <f>+'Appendix A'!$H$27</f>
        <v>0.20363964961424239</v>
      </c>
      <c r="M41" s="970">
        <f t="shared" si="19"/>
        <v>0</v>
      </c>
      <c r="N41" s="891">
        <f t="shared" si="20"/>
        <v>0</v>
      </c>
      <c r="O41" s="890">
        <v>0</v>
      </c>
      <c r="P41" s="746">
        <f>+'Appendix A'!$H$16</f>
        <v>0.12146075795343095</v>
      </c>
      <c r="Q41" s="970">
        <f t="shared" si="21"/>
        <v>0</v>
      </c>
      <c r="R41" s="891">
        <f t="shared" si="22"/>
        <v>0</v>
      </c>
      <c r="S41" s="890">
        <v>0</v>
      </c>
      <c r="T41" s="746">
        <f>+'Appendix A'!$H$33</f>
        <v>0.18298233367566416</v>
      </c>
      <c r="U41" s="971">
        <f t="shared" si="23"/>
        <v>0</v>
      </c>
      <c r="V41" s="891">
        <f t="shared" si="24"/>
        <v>0</v>
      </c>
      <c r="W41" s="972">
        <f t="shared" si="25"/>
        <v>-41651.397224253065</v>
      </c>
    </row>
    <row r="42" spans="1:23" ht="15">
      <c r="A42" s="651">
        <f t="shared" si="26"/>
        <v>26</v>
      </c>
      <c r="B42" s="636" t="s">
        <v>409</v>
      </c>
      <c r="C42" s="733">
        <f t="shared" si="16"/>
        <v>2021</v>
      </c>
      <c r="D42" s="662">
        <v>30</v>
      </c>
      <c r="E42" s="663">
        <f>E43+D43</f>
        <v>32</v>
      </c>
      <c r="F42" s="663">
        <f t="shared" si="28"/>
        <v>365</v>
      </c>
      <c r="G42" s="56">
        <f>32/365</f>
        <v>8.7671232876712329E-2</v>
      </c>
      <c r="H42" s="889">
        <f t="shared" si="17"/>
        <v>-21497.495341549969</v>
      </c>
      <c r="I42" s="890">
        <v>-245205.80623955434</v>
      </c>
      <c r="J42" s="891">
        <f t="shared" si="18"/>
        <v>-21497.495341549969</v>
      </c>
      <c r="K42" s="890">
        <v>0</v>
      </c>
      <c r="L42" s="746">
        <f>+'Appendix A'!$H$27</f>
        <v>0.20363964961424239</v>
      </c>
      <c r="M42" s="970">
        <f t="shared" si="19"/>
        <v>0</v>
      </c>
      <c r="N42" s="891">
        <f t="shared" si="20"/>
        <v>0</v>
      </c>
      <c r="O42" s="890">
        <v>0</v>
      </c>
      <c r="P42" s="746">
        <f>+'Appendix A'!$H$16</f>
        <v>0.12146075795343095</v>
      </c>
      <c r="Q42" s="970">
        <f t="shared" si="21"/>
        <v>0</v>
      </c>
      <c r="R42" s="891">
        <f t="shared" si="22"/>
        <v>0</v>
      </c>
      <c r="S42" s="890">
        <v>0</v>
      </c>
      <c r="T42" s="746">
        <f>+'Appendix A'!$H$33</f>
        <v>0.18298233367566416</v>
      </c>
      <c r="U42" s="971">
        <f t="shared" si="23"/>
        <v>0</v>
      </c>
      <c r="V42" s="891">
        <f t="shared" si="24"/>
        <v>0</v>
      </c>
      <c r="W42" s="972">
        <f t="shared" si="25"/>
        <v>-21497.495341549969</v>
      </c>
    </row>
    <row r="43" spans="1:23" ht="15">
      <c r="A43" s="651">
        <f t="shared" si="26"/>
        <v>27</v>
      </c>
      <c r="B43" s="636" t="s">
        <v>410</v>
      </c>
      <c r="C43" s="733">
        <f t="shared" si="16"/>
        <v>2021</v>
      </c>
      <c r="D43" s="662">
        <v>31</v>
      </c>
      <c r="E43" s="663">
        <v>1</v>
      </c>
      <c r="F43" s="663">
        <f t="shared" si="28"/>
        <v>365</v>
      </c>
      <c r="G43" s="56">
        <f>1/365</f>
        <v>2.7397260273972603E-3</v>
      </c>
      <c r="H43" s="889">
        <f t="shared" si="17"/>
        <v>-671.79672942343655</v>
      </c>
      <c r="I43" s="890">
        <v>-245205.80623955434</v>
      </c>
      <c r="J43" s="891">
        <f t="shared" si="18"/>
        <v>-671.79672942343655</v>
      </c>
      <c r="K43" s="890">
        <v>0</v>
      </c>
      <c r="L43" s="746">
        <f>+'Appendix A'!$H$27</f>
        <v>0.20363964961424239</v>
      </c>
      <c r="M43" s="970">
        <f t="shared" si="19"/>
        <v>0</v>
      </c>
      <c r="N43" s="891">
        <f t="shared" si="20"/>
        <v>0</v>
      </c>
      <c r="O43" s="890">
        <v>0</v>
      </c>
      <c r="P43" s="746">
        <f>+'Appendix A'!$H$16</f>
        <v>0.12146075795343095</v>
      </c>
      <c r="Q43" s="970">
        <f t="shared" si="21"/>
        <v>0</v>
      </c>
      <c r="R43" s="891">
        <f t="shared" si="22"/>
        <v>0</v>
      </c>
      <c r="S43" s="890">
        <v>0</v>
      </c>
      <c r="T43" s="746">
        <f>+'Appendix A'!$H$33</f>
        <v>0.18298233367566416</v>
      </c>
      <c r="U43" s="971">
        <f t="shared" si="23"/>
        <v>0</v>
      </c>
      <c r="V43" s="891">
        <f t="shared" si="24"/>
        <v>0</v>
      </c>
      <c r="W43" s="972">
        <f t="shared" si="25"/>
        <v>-671.79672942343655</v>
      </c>
    </row>
    <row r="44" spans="1:23" ht="15">
      <c r="A44" s="651">
        <f t="shared" si="26"/>
        <v>28</v>
      </c>
      <c r="B44" s="652" t="s">
        <v>411</v>
      </c>
      <c r="C44" s="636"/>
      <c r="D44" s="638">
        <f>+SUM(D32:D43)</f>
        <v>365</v>
      </c>
      <c r="E44" s="636"/>
      <c r="F44" s="636"/>
      <c r="G44" s="636"/>
      <c r="H44" s="891">
        <f t="shared" ref="H44:S44" si="29">SUM(H31:H43)</f>
        <v>-13694895.746426888</v>
      </c>
      <c r="I44" s="891">
        <f>SUM(I31:I43)</f>
        <v>-15274289.857301388</v>
      </c>
      <c r="J44" s="891">
        <f t="shared" si="29"/>
        <v>-13694895.746426888</v>
      </c>
      <c r="K44" s="891">
        <f t="shared" si="29"/>
        <v>0</v>
      </c>
      <c r="L44" s="891"/>
      <c r="M44" s="891"/>
      <c r="N44" s="891">
        <f t="shared" ref="N44" si="30">SUM(N31:N43)</f>
        <v>0</v>
      </c>
      <c r="O44" s="891">
        <f t="shared" si="29"/>
        <v>0</v>
      </c>
      <c r="P44" s="891"/>
      <c r="Q44" s="891"/>
      <c r="R44" s="891">
        <f t="shared" ref="R44" si="31">SUM(R31:R43)</f>
        <v>0</v>
      </c>
      <c r="S44" s="891">
        <f t="shared" si="29"/>
        <v>0</v>
      </c>
      <c r="T44" s="891"/>
      <c r="U44" s="891"/>
      <c r="V44" s="891">
        <f t="shared" ref="V44:W44" si="32">SUM(V31:V43)</f>
        <v>0</v>
      </c>
      <c r="W44" s="972">
        <f t="shared" si="32"/>
        <v>-13694895.746426888</v>
      </c>
    </row>
    <row r="45" spans="1:23" s="726" customFormat="1" ht="15">
      <c r="A45" s="651"/>
      <c r="B45" s="652"/>
      <c r="C45" s="636"/>
      <c r="D45" s="638"/>
      <c r="E45" s="636"/>
      <c r="F45" s="636"/>
      <c r="G45" s="636"/>
      <c r="H45" s="638"/>
      <c r="I45" s="638"/>
      <c r="J45" s="638"/>
      <c r="K45" s="638"/>
      <c r="L45" s="638"/>
      <c r="M45" s="638"/>
      <c r="N45" s="638"/>
      <c r="O45" s="638"/>
      <c r="P45" s="638"/>
      <c r="Q45" s="638"/>
      <c r="R45" s="638"/>
      <c r="S45" s="638"/>
      <c r="T45" s="638"/>
      <c r="U45" s="638"/>
      <c r="V45" s="638"/>
      <c r="W45" s="1025"/>
    </row>
    <row r="46" spans="1:23" s="726" customFormat="1" ht="15">
      <c r="A46" s="651"/>
      <c r="B46" s="652"/>
      <c r="C46" s="636"/>
      <c r="D46" s="638"/>
      <c r="E46" s="636"/>
      <c r="F46" s="636"/>
      <c r="G46" s="636"/>
      <c r="H46" s="638"/>
      <c r="I46" s="638"/>
      <c r="J46" s="638"/>
      <c r="K46" s="638"/>
      <c r="L46" s="638"/>
      <c r="M46" s="638"/>
      <c r="N46" s="638"/>
      <c r="O46" s="638"/>
      <c r="P46" s="638"/>
      <c r="Q46" s="638"/>
      <c r="R46" s="638"/>
      <c r="S46" s="638"/>
      <c r="T46" s="638"/>
      <c r="U46" s="638"/>
      <c r="V46" s="638"/>
      <c r="W46" s="1025"/>
    </row>
    <row r="47" spans="1:23" ht="15">
      <c r="A47" s="216"/>
      <c r="B47" s="642" t="s">
        <v>415</v>
      </c>
      <c r="C47" s="636"/>
      <c r="D47" s="636"/>
      <c r="E47" s="636"/>
      <c r="F47" s="636"/>
      <c r="G47" s="636"/>
      <c r="H47" s="636"/>
      <c r="I47" s="636"/>
      <c r="J47" s="636"/>
      <c r="K47" s="636"/>
      <c r="L47" s="636"/>
      <c r="M47" s="636"/>
      <c r="N47" s="636"/>
      <c r="O47" s="636"/>
      <c r="P47" s="636"/>
      <c r="Q47" s="636"/>
      <c r="R47" s="636"/>
      <c r="S47" s="636"/>
      <c r="T47" s="636"/>
      <c r="U47" s="636"/>
      <c r="V47" s="636"/>
      <c r="W47" s="1025"/>
    </row>
    <row r="48" spans="1:23" ht="15">
      <c r="A48" s="216"/>
      <c r="B48" s="637" t="str">
        <f>+B8</f>
        <v>(a)</v>
      </c>
      <c r="C48" s="637" t="str">
        <f t="shared" ref="C48:K48" si="33">+C8</f>
        <v>(b)</v>
      </c>
      <c r="D48" s="637" t="str">
        <f t="shared" si="33"/>
        <v>(c)</v>
      </c>
      <c r="E48" s="637" t="str">
        <f t="shared" si="33"/>
        <v>(d)</v>
      </c>
      <c r="F48" s="637" t="str">
        <f t="shared" si="33"/>
        <v>(e)</v>
      </c>
      <c r="G48" s="637" t="str">
        <f t="shared" si="33"/>
        <v>(f)</v>
      </c>
      <c r="H48" s="637" t="str">
        <f t="shared" si="33"/>
        <v>(g)</v>
      </c>
      <c r="I48" s="637" t="str">
        <f t="shared" si="33"/>
        <v>(h)</v>
      </c>
      <c r="J48" s="637" t="str">
        <f t="shared" si="33"/>
        <v>(i)</v>
      </c>
      <c r="K48" s="637" t="str">
        <f t="shared" si="33"/>
        <v>(j)</v>
      </c>
      <c r="L48" s="637" t="s">
        <v>368</v>
      </c>
      <c r="M48" s="637" t="s">
        <v>369</v>
      </c>
      <c r="N48" s="637" t="s">
        <v>370</v>
      </c>
      <c r="O48" s="637" t="str">
        <f t="shared" ref="O48" si="34">+O28</f>
        <v>(n)</v>
      </c>
      <c r="P48" s="637" t="s">
        <v>372</v>
      </c>
      <c r="Q48" s="637" t="s">
        <v>373</v>
      </c>
      <c r="R48" s="637" t="s">
        <v>374</v>
      </c>
      <c r="S48" s="637" t="str">
        <f t="shared" ref="S48" si="35">+S28</f>
        <v>(r)</v>
      </c>
      <c r="T48" s="637" t="s">
        <v>376</v>
      </c>
      <c r="U48" s="637" t="s">
        <v>377</v>
      </c>
      <c r="V48" s="637" t="s">
        <v>378</v>
      </c>
      <c r="W48" s="637" t="s">
        <v>379</v>
      </c>
    </row>
    <row r="49" spans="1:23" ht="75">
      <c r="A49" s="216"/>
      <c r="B49" s="643" t="s">
        <v>380</v>
      </c>
      <c r="C49" s="643" t="s">
        <v>381</v>
      </c>
      <c r="D49" s="643" t="s">
        <v>382</v>
      </c>
      <c r="E49" s="643" t="s">
        <v>383</v>
      </c>
      <c r="F49" s="643" t="s">
        <v>384</v>
      </c>
      <c r="G49" s="643" t="s">
        <v>385</v>
      </c>
      <c r="H49" s="643" t="s">
        <v>386</v>
      </c>
      <c r="I49" s="643" t="s">
        <v>271</v>
      </c>
      <c r="J49" s="643" t="s">
        <v>413</v>
      </c>
      <c r="K49" s="643" t="s">
        <v>388</v>
      </c>
      <c r="L49" s="643" t="s">
        <v>22</v>
      </c>
      <c r="M49" s="643" t="s">
        <v>389</v>
      </c>
      <c r="N49" s="643" t="s">
        <v>390</v>
      </c>
      <c r="O49" s="643" t="s">
        <v>391</v>
      </c>
      <c r="P49" s="643" t="s">
        <v>76</v>
      </c>
      <c r="Q49" s="643" t="s">
        <v>392</v>
      </c>
      <c r="R49" s="643" t="s">
        <v>393</v>
      </c>
      <c r="S49" s="643" t="s">
        <v>394</v>
      </c>
      <c r="T49" s="643" t="s">
        <v>23</v>
      </c>
      <c r="U49" s="643" t="s">
        <v>395</v>
      </c>
      <c r="V49" s="643" t="s">
        <v>396</v>
      </c>
      <c r="W49" s="643" t="s">
        <v>397</v>
      </c>
    </row>
    <row r="50" spans="1:23" ht="15">
      <c r="A50" s="216"/>
      <c r="B50" s="642"/>
      <c r="C50" s="637"/>
      <c r="D50" s="637"/>
      <c r="E50" s="637"/>
      <c r="F50" s="637"/>
      <c r="G50" s="637"/>
      <c r="H50" s="637"/>
      <c r="I50" s="637"/>
      <c r="J50" s="636"/>
      <c r="K50" s="636"/>
      <c r="L50" s="636"/>
      <c r="M50" s="636"/>
      <c r="N50" s="636"/>
      <c r="O50" s="636"/>
      <c r="P50" s="636"/>
      <c r="Q50" s="636"/>
      <c r="R50" s="265"/>
      <c r="S50" s="636"/>
      <c r="T50" s="636"/>
      <c r="U50" s="636"/>
      <c r="V50" s="265"/>
      <c r="W50" s="265"/>
    </row>
    <row r="51" spans="1:23" ht="45">
      <c r="A51" s="651">
        <f>+A44+1</f>
        <v>29</v>
      </c>
      <c r="B51" s="734" t="s">
        <v>416</v>
      </c>
      <c r="C51" s="733">
        <f>+C31</f>
        <v>2020</v>
      </c>
      <c r="D51" s="733"/>
      <c r="E51" s="733"/>
      <c r="F51" s="733"/>
      <c r="G51" s="56">
        <f>365/365</f>
        <v>1</v>
      </c>
      <c r="H51" s="889">
        <f t="shared" ref="H51:H63" si="36">+J51+N51+R51+V51</f>
        <v>0</v>
      </c>
      <c r="I51" s="890">
        <v>0</v>
      </c>
      <c r="J51" s="891">
        <f t="shared" ref="J51:J63" si="37">G51*I51</f>
        <v>0</v>
      </c>
      <c r="K51" s="890">
        <v>0</v>
      </c>
      <c r="L51" s="746">
        <f>+'Appendix A'!$H$27</f>
        <v>0.20363964961424239</v>
      </c>
      <c r="M51" s="970">
        <f>+K51*L51</f>
        <v>0</v>
      </c>
      <c r="N51" s="891">
        <f>+G51*M51</f>
        <v>0</v>
      </c>
      <c r="O51" s="890">
        <v>0</v>
      </c>
      <c r="P51" s="746">
        <f>+'Appendix A'!$H$16</f>
        <v>0.12146075795343095</v>
      </c>
      <c r="Q51" s="970">
        <f>+O51*P51</f>
        <v>0</v>
      </c>
      <c r="R51" s="891">
        <f>+G51*Q51</f>
        <v>0</v>
      </c>
      <c r="S51" s="890">
        <v>0</v>
      </c>
      <c r="T51" s="746">
        <f>+'Appendix A'!$H$33</f>
        <v>0.18298233367566416</v>
      </c>
      <c r="U51" s="971">
        <f>+S51*T51</f>
        <v>0</v>
      </c>
      <c r="V51" s="891">
        <f>+G51*U51</f>
        <v>0</v>
      </c>
      <c r="W51" s="972">
        <f>+J51+N51+R51+V51</f>
        <v>0</v>
      </c>
    </row>
    <row r="52" spans="1:23" ht="15">
      <c r="A52" s="651">
        <f>+A51+1</f>
        <v>30</v>
      </c>
      <c r="B52" s="636" t="s">
        <v>399</v>
      </c>
      <c r="C52" s="733">
        <f t="shared" ref="C52:C63" si="38">+C32</f>
        <v>2021</v>
      </c>
      <c r="D52" s="662">
        <v>31</v>
      </c>
      <c r="E52" s="663">
        <f>E53+D53</f>
        <v>335</v>
      </c>
      <c r="F52" s="663">
        <f>SUM(D52:D63)</f>
        <v>365</v>
      </c>
      <c r="G52" s="56">
        <f>335/365</f>
        <v>0.9178082191780822</v>
      </c>
      <c r="H52" s="889">
        <f t="shared" si="36"/>
        <v>0</v>
      </c>
      <c r="I52" s="890">
        <v>0</v>
      </c>
      <c r="J52" s="891">
        <f t="shared" si="37"/>
        <v>0</v>
      </c>
      <c r="K52" s="890">
        <v>0</v>
      </c>
      <c r="L52" s="746">
        <f>+'Appendix A'!$H$27</f>
        <v>0.20363964961424239</v>
      </c>
      <c r="M52" s="970">
        <f t="shared" ref="M52:M63" si="39">+K52*L52</f>
        <v>0</v>
      </c>
      <c r="N52" s="891">
        <f t="shared" ref="N52:N63" si="40">+G52*M52</f>
        <v>0</v>
      </c>
      <c r="O52" s="890">
        <v>0</v>
      </c>
      <c r="P52" s="746">
        <f>+'Appendix A'!$H$16</f>
        <v>0.12146075795343095</v>
      </c>
      <c r="Q52" s="970">
        <f t="shared" ref="Q52:Q63" si="41">+O52*P52</f>
        <v>0</v>
      </c>
      <c r="R52" s="891">
        <f t="shared" ref="R52:R63" si="42">+G52*Q52</f>
        <v>0</v>
      </c>
      <c r="S52" s="890">
        <v>0</v>
      </c>
      <c r="T52" s="746">
        <f>+'Appendix A'!$H$33</f>
        <v>0.18298233367566416</v>
      </c>
      <c r="U52" s="971">
        <f t="shared" ref="U52:U63" si="43">+S52*T52</f>
        <v>0</v>
      </c>
      <c r="V52" s="891">
        <f t="shared" ref="V52:V63" si="44">+G52*U52</f>
        <v>0</v>
      </c>
      <c r="W52" s="972">
        <f t="shared" ref="W52:W63" si="45">+J52+N52+R52+V52</f>
        <v>0</v>
      </c>
    </row>
    <row r="53" spans="1:23" ht="15">
      <c r="A53" s="651">
        <f t="shared" ref="A53:A64" si="46">+A52+1</f>
        <v>31</v>
      </c>
      <c r="B53" s="636" t="s">
        <v>400</v>
      </c>
      <c r="C53" s="733">
        <f t="shared" si="38"/>
        <v>2021</v>
      </c>
      <c r="D53" s="748">
        <f>+D13</f>
        <v>28</v>
      </c>
      <c r="E53" s="663">
        <f t="shared" ref="E53:E60" si="47">E54+D54</f>
        <v>307</v>
      </c>
      <c r="F53" s="663">
        <f>F52</f>
        <v>365</v>
      </c>
      <c r="G53" s="56">
        <f>307/365</f>
        <v>0.84109589041095889</v>
      </c>
      <c r="H53" s="889">
        <f t="shared" si="36"/>
        <v>0</v>
      </c>
      <c r="I53" s="890">
        <v>0</v>
      </c>
      <c r="J53" s="891">
        <f t="shared" si="37"/>
        <v>0</v>
      </c>
      <c r="K53" s="890">
        <v>0</v>
      </c>
      <c r="L53" s="746">
        <f>+'Appendix A'!$H$27</f>
        <v>0.20363964961424239</v>
      </c>
      <c r="M53" s="970">
        <f t="shared" si="39"/>
        <v>0</v>
      </c>
      <c r="N53" s="891">
        <f t="shared" si="40"/>
        <v>0</v>
      </c>
      <c r="O53" s="890">
        <v>0</v>
      </c>
      <c r="P53" s="746">
        <f>+'Appendix A'!$H$16</f>
        <v>0.12146075795343095</v>
      </c>
      <c r="Q53" s="970">
        <f t="shared" si="41"/>
        <v>0</v>
      </c>
      <c r="R53" s="891">
        <f t="shared" si="42"/>
        <v>0</v>
      </c>
      <c r="S53" s="890">
        <v>0</v>
      </c>
      <c r="T53" s="746">
        <f>+'Appendix A'!$H$33</f>
        <v>0.18298233367566416</v>
      </c>
      <c r="U53" s="971">
        <f t="shared" si="43"/>
        <v>0</v>
      </c>
      <c r="V53" s="891">
        <f t="shared" si="44"/>
        <v>0</v>
      </c>
      <c r="W53" s="972">
        <f t="shared" si="45"/>
        <v>0</v>
      </c>
    </row>
    <row r="54" spans="1:23" ht="15">
      <c r="A54" s="651">
        <f t="shared" si="46"/>
        <v>32</v>
      </c>
      <c r="B54" s="636" t="s">
        <v>401</v>
      </c>
      <c r="C54" s="733">
        <f t="shared" si="38"/>
        <v>2021</v>
      </c>
      <c r="D54" s="662">
        <v>31</v>
      </c>
      <c r="E54" s="663">
        <f t="shared" si="47"/>
        <v>276</v>
      </c>
      <c r="F54" s="663">
        <f t="shared" ref="F54:F63" si="48">F53</f>
        <v>365</v>
      </c>
      <c r="G54" s="56">
        <f>276/365</f>
        <v>0.75616438356164384</v>
      </c>
      <c r="H54" s="889">
        <f t="shared" si="36"/>
        <v>0</v>
      </c>
      <c r="I54" s="890">
        <v>0</v>
      </c>
      <c r="J54" s="891">
        <f t="shared" si="37"/>
        <v>0</v>
      </c>
      <c r="K54" s="890">
        <v>0</v>
      </c>
      <c r="L54" s="746">
        <f>+'Appendix A'!$H$27</f>
        <v>0.20363964961424239</v>
      </c>
      <c r="M54" s="970">
        <f t="shared" si="39"/>
        <v>0</v>
      </c>
      <c r="N54" s="891">
        <f t="shared" si="40"/>
        <v>0</v>
      </c>
      <c r="O54" s="890">
        <v>0</v>
      </c>
      <c r="P54" s="746">
        <f>+'Appendix A'!$H$16</f>
        <v>0.12146075795343095</v>
      </c>
      <c r="Q54" s="970">
        <f t="shared" si="41"/>
        <v>0</v>
      </c>
      <c r="R54" s="891">
        <f t="shared" si="42"/>
        <v>0</v>
      </c>
      <c r="S54" s="890">
        <v>0</v>
      </c>
      <c r="T54" s="746">
        <f>+'Appendix A'!$H$33</f>
        <v>0.18298233367566416</v>
      </c>
      <c r="U54" s="971">
        <f t="shared" si="43"/>
        <v>0</v>
      </c>
      <c r="V54" s="891">
        <f t="shared" si="44"/>
        <v>0</v>
      </c>
      <c r="W54" s="972">
        <f t="shared" si="45"/>
        <v>0</v>
      </c>
    </row>
    <row r="55" spans="1:23" ht="15">
      <c r="A55" s="651">
        <f t="shared" si="46"/>
        <v>33</v>
      </c>
      <c r="B55" s="636" t="s">
        <v>402</v>
      </c>
      <c r="C55" s="733">
        <f t="shared" si="38"/>
        <v>2021</v>
      </c>
      <c r="D55" s="662">
        <v>30</v>
      </c>
      <c r="E55" s="663">
        <f t="shared" si="47"/>
        <v>246</v>
      </c>
      <c r="F55" s="663">
        <f t="shared" si="48"/>
        <v>365</v>
      </c>
      <c r="G55" s="56">
        <f>246/365</f>
        <v>0.67397260273972603</v>
      </c>
      <c r="H55" s="889">
        <f t="shared" si="36"/>
        <v>0</v>
      </c>
      <c r="I55" s="890">
        <v>0</v>
      </c>
      <c r="J55" s="891">
        <f t="shared" si="37"/>
        <v>0</v>
      </c>
      <c r="K55" s="890">
        <v>0</v>
      </c>
      <c r="L55" s="746">
        <f>+'Appendix A'!$H$27</f>
        <v>0.20363964961424239</v>
      </c>
      <c r="M55" s="970">
        <f t="shared" si="39"/>
        <v>0</v>
      </c>
      <c r="N55" s="891">
        <f t="shared" si="40"/>
        <v>0</v>
      </c>
      <c r="O55" s="890">
        <v>0</v>
      </c>
      <c r="P55" s="746">
        <f>+'Appendix A'!$H$16</f>
        <v>0.12146075795343095</v>
      </c>
      <c r="Q55" s="970">
        <f t="shared" si="41"/>
        <v>0</v>
      </c>
      <c r="R55" s="891">
        <f t="shared" si="42"/>
        <v>0</v>
      </c>
      <c r="S55" s="890">
        <v>0</v>
      </c>
      <c r="T55" s="746">
        <f>+'Appendix A'!$H$33</f>
        <v>0.18298233367566416</v>
      </c>
      <c r="U55" s="971">
        <f t="shared" si="43"/>
        <v>0</v>
      </c>
      <c r="V55" s="891">
        <f t="shared" si="44"/>
        <v>0</v>
      </c>
      <c r="W55" s="972">
        <f t="shared" si="45"/>
        <v>0</v>
      </c>
    </row>
    <row r="56" spans="1:23" ht="15">
      <c r="A56" s="651">
        <f t="shared" si="46"/>
        <v>34</v>
      </c>
      <c r="B56" s="636" t="s">
        <v>403</v>
      </c>
      <c r="C56" s="733">
        <f t="shared" si="38"/>
        <v>2021</v>
      </c>
      <c r="D56" s="662">
        <v>31</v>
      </c>
      <c r="E56" s="663">
        <f t="shared" si="47"/>
        <v>215</v>
      </c>
      <c r="F56" s="663">
        <f t="shared" si="48"/>
        <v>365</v>
      </c>
      <c r="G56" s="56">
        <f>215/365</f>
        <v>0.58904109589041098</v>
      </c>
      <c r="H56" s="889">
        <f t="shared" si="36"/>
        <v>0</v>
      </c>
      <c r="I56" s="890">
        <v>0</v>
      </c>
      <c r="J56" s="891">
        <f t="shared" si="37"/>
        <v>0</v>
      </c>
      <c r="K56" s="890">
        <v>0</v>
      </c>
      <c r="L56" s="746">
        <f>+'Appendix A'!$H$27</f>
        <v>0.20363964961424239</v>
      </c>
      <c r="M56" s="970">
        <f t="shared" si="39"/>
        <v>0</v>
      </c>
      <c r="N56" s="891">
        <f t="shared" si="40"/>
        <v>0</v>
      </c>
      <c r="O56" s="890">
        <v>0</v>
      </c>
      <c r="P56" s="746">
        <f>+'Appendix A'!$H$16</f>
        <v>0.12146075795343095</v>
      </c>
      <c r="Q56" s="970">
        <f t="shared" si="41"/>
        <v>0</v>
      </c>
      <c r="R56" s="891">
        <f t="shared" si="42"/>
        <v>0</v>
      </c>
      <c r="S56" s="890">
        <v>0</v>
      </c>
      <c r="T56" s="746">
        <f>+'Appendix A'!$H$33</f>
        <v>0.18298233367566416</v>
      </c>
      <c r="U56" s="971">
        <f t="shared" si="43"/>
        <v>0</v>
      </c>
      <c r="V56" s="891">
        <f t="shared" si="44"/>
        <v>0</v>
      </c>
      <c r="W56" s="972">
        <f t="shared" si="45"/>
        <v>0</v>
      </c>
    </row>
    <row r="57" spans="1:23" ht="15">
      <c r="A57" s="651">
        <f t="shared" si="46"/>
        <v>35</v>
      </c>
      <c r="B57" s="636" t="s">
        <v>404</v>
      </c>
      <c r="C57" s="733">
        <f t="shared" si="38"/>
        <v>2021</v>
      </c>
      <c r="D57" s="662">
        <v>30</v>
      </c>
      <c r="E57" s="663">
        <f t="shared" si="47"/>
        <v>185</v>
      </c>
      <c r="F57" s="663">
        <f t="shared" si="48"/>
        <v>365</v>
      </c>
      <c r="G57" s="56">
        <f>185/365</f>
        <v>0.50684931506849318</v>
      </c>
      <c r="H57" s="889">
        <f t="shared" si="36"/>
        <v>0</v>
      </c>
      <c r="I57" s="890">
        <v>0</v>
      </c>
      <c r="J57" s="891">
        <f t="shared" si="37"/>
        <v>0</v>
      </c>
      <c r="K57" s="890">
        <v>0</v>
      </c>
      <c r="L57" s="746">
        <f>+'Appendix A'!$H$27</f>
        <v>0.20363964961424239</v>
      </c>
      <c r="M57" s="970">
        <f t="shared" si="39"/>
        <v>0</v>
      </c>
      <c r="N57" s="891">
        <f t="shared" si="40"/>
        <v>0</v>
      </c>
      <c r="O57" s="890">
        <v>0</v>
      </c>
      <c r="P57" s="746">
        <f>+'Appendix A'!$H$16</f>
        <v>0.12146075795343095</v>
      </c>
      <c r="Q57" s="970">
        <f t="shared" si="41"/>
        <v>0</v>
      </c>
      <c r="R57" s="891">
        <f t="shared" si="42"/>
        <v>0</v>
      </c>
      <c r="S57" s="890">
        <v>0</v>
      </c>
      <c r="T57" s="746">
        <f>+'Appendix A'!$H$33</f>
        <v>0.18298233367566416</v>
      </c>
      <c r="U57" s="971">
        <f t="shared" si="43"/>
        <v>0</v>
      </c>
      <c r="V57" s="891">
        <f t="shared" si="44"/>
        <v>0</v>
      </c>
      <c r="W57" s="972">
        <f t="shared" si="45"/>
        <v>0</v>
      </c>
    </row>
    <row r="58" spans="1:23" ht="15">
      <c r="A58" s="651">
        <f t="shared" si="46"/>
        <v>36</v>
      </c>
      <c r="B58" s="636" t="s">
        <v>405</v>
      </c>
      <c r="C58" s="733">
        <f t="shared" si="38"/>
        <v>2021</v>
      </c>
      <c r="D58" s="662">
        <v>31</v>
      </c>
      <c r="E58" s="663">
        <f t="shared" si="47"/>
        <v>154</v>
      </c>
      <c r="F58" s="663">
        <f t="shared" si="48"/>
        <v>365</v>
      </c>
      <c r="G58" s="56">
        <f>154/365</f>
        <v>0.42191780821917807</v>
      </c>
      <c r="H58" s="889">
        <f t="shared" si="36"/>
        <v>0</v>
      </c>
      <c r="I58" s="890">
        <v>0</v>
      </c>
      <c r="J58" s="891">
        <f t="shared" si="37"/>
        <v>0</v>
      </c>
      <c r="K58" s="890">
        <v>0</v>
      </c>
      <c r="L58" s="746">
        <f>+'Appendix A'!$H$27</f>
        <v>0.20363964961424239</v>
      </c>
      <c r="M58" s="970">
        <f t="shared" si="39"/>
        <v>0</v>
      </c>
      <c r="N58" s="891">
        <f t="shared" si="40"/>
        <v>0</v>
      </c>
      <c r="O58" s="890">
        <v>0</v>
      </c>
      <c r="P58" s="746">
        <f>+'Appendix A'!$H$16</f>
        <v>0.12146075795343095</v>
      </c>
      <c r="Q58" s="970">
        <f t="shared" si="41"/>
        <v>0</v>
      </c>
      <c r="R58" s="891">
        <f t="shared" si="42"/>
        <v>0</v>
      </c>
      <c r="S58" s="890">
        <v>0</v>
      </c>
      <c r="T58" s="746">
        <f>+'Appendix A'!$H$33</f>
        <v>0.18298233367566416</v>
      </c>
      <c r="U58" s="971">
        <f t="shared" si="43"/>
        <v>0</v>
      </c>
      <c r="V58" s="891">
        <f t="shared" si="44"/>
        <v>0</v>
      </c>
      <c r="W58" s="972">
        <f t="shared" si="45"/>
        <v>0</v>
      </c>
    </row>
    <row r="59" spans="1:23" ht="15">
      <c r="A59" s="651">
        <f t="shared" si="46"/>
        <v>37</v>
      </c>
      <c r="B59" s="636" t="s">
        <v>406</v>
      </c>
      <c r="C59" s="733">
        <f t="shared" si="38"/>
        <v>2021</v>
      </c>
      <c r="D59" s="662">
        <v>31</v>
      </c>
      <c r="E59" s="663">
        <f t="shared" si="47"/>
        <v>123</v>
      </c>
      <c r="F59" s="663">
        <f t="shared" si="48"/>
        <v>365</v>
      </c>
      <c r="G59" s="56">
        <f>123/365</f>
        <v>0.33698630136986302</v>
      </c>
      <c r="H59" s="889">
        <f t="shared" si="36"/>
        <v>0</v>
      </c>
      <c r="I59" s="890">
        <v>0</v>
      </c>
      <c r="J59" s="891">
        <f t="shared" si="37"/>
        <v>0</v>
      </c>
      <c r="K59" s="890">
        <v>0</v>
      </c>
      <c r="L59" s="746">
        <f>+'Appendix A'!$H$27</f>
        <v>0.20363964961424239</v>
      </c>
      <c r="M59" s="970">
        <f t="shared" si="39"/>
        <v>0</v>
      </c>
      <c r="N59" s="891">
        <f t="shared" si="40"/>
        <v>0</v>
      </c>
      <c r="O59" s="890">
        <v>0</v>
      </c>
      <c r="P59" s="746">
        <f>+'Appendix A'!$H$16</f>
        <v>0.12146075795343095</v>
      </c>
      <c r="Q59" s="970">
        <f t="shared" si="41"/>
        <v>0</v>
      </c>
      <c r="R59" s="891">
        <f t="shared" si="42"/>
        <v>0</v>
      </c>
      <c r="S59" s="890">
        <v>0</v>
      </c>
      <c r="T59" s="746">
        <f>+'Appendix A'!$H$33</f>
        <v>0.18298233367566416</v>
      </c>
      <c r="U59" s="971">
        <f t="shared" si="43"/>
        <v>0</v>
      </c>
      <c r="V59" s="891">
        <f t="shared" si="44"/>
        <v>0</v>
      </c>
      <c r="W59" s="972">
        <f t="shared" si="45"/>
        <v>0</v>
      </c>
    </row>
    <row r="60" spans="1:23" ht="15">
      <c r="A60" s="651">
        <f t="shared" si="46"/>
        <v>38</v>
      </c>
      <c r="B60" s="636" t="s">
        <v>407</v>
      </c>
      <c r="C60" s="733">
        <f t="shared" si="38"/>
        <v>2021</v>
      </c>
      <c r="D60" s="662">
        <v>30</v>
      </c>
      <c r="E60" s="663">
        <f t="shared" si="47"/>
        <v>93</v>
      </c>
      <c r="F60" s="663">
        <f t="shared" si="48"/>
        <v>365</v>
      </c>
      <c r="G60" s="56">
        <f>93/365</f>
        <v>0.25479452054794521</v>
      </c>
      <c r="H60" s="889">
        <f t="shared" si="36"/>
        <v>0</v>
      </c>
      <c r="I60" s="890">
        <v>0</v>
      </c>
      <c r="J60" s="891">
        <f t="shared" si="37"/>
        <v>0</v>
      </c>
      <c r="K60" s="890">
        <v>0</v>
      </c>
      <c r="L60" s="746">
        <f>+'Appendix A'!$H$27</f>
        <v>0.20363964961424239</v>
      </c>
      <c r="M60" s="970">
        <f t="shared" si="39"/>
        <v>0</v>
      </c>
      <c r="N60" s="891">
        <f t="shared" si="40"/>
        <v>0</v>
      </c>
      <c r="O60" s="890">
        <v>0</v>
      </c>
      <c r="P60" s="746">
        <f>+'Appendix A'!$H$16</f>
        <v>0.12146075795343095</v>
      </c>
      <c r="Q60" s="970">
        <f t="shared" si="41"/>
        <v>0</v>
      </c>
      <c r="R60" s="891">
        <f t="shared" si="42"/>
        <v>0</v>
      </c>
      <c r="S60" s="890">
        <v>0</v>
      </c>
      <c r="T60" s="746">
        <f>+'Appendix A'!$H$33</f>
        <v>0.18298233367566416</v>
      </c>
      <c r="U60" s="971">
        <f t="shared" si="43"/>
        <v>0</v>
      </c>
      <c r="V60" s="891">
        <f t="shared" si="44"/>
        <v>0</v>
      </c>
      <c r="W60" s="972">
        <f t="shared" si="45"/>
        <v>0</v>
      </c>
    </row>
    <row r="61" spans="1:23" ht="15">
      <c r="A61" s="651">
        <f t="shared" si="46"/>
        <v>39</v>
      </c>
      <c r="B61" s="636" t="s">
        <v>408</v>
      </c>
      <c r="C61" s="733">
        <f t="shared" si="38"/>
        <v>2021</v>
      </c>
      <c r="D61" s="662">
        <v>31</v>
      </c>
      <c r="E61" s="663">
        <f>E62+D62</f>
        <v>62</v>
      </c>
      <c r="F61" s="663">
        <f t="shared" si="48"/>
        <v>365</v>
      </c>
      <c r="G61" s="56">
        <f>62/365</f>
        <v>0.16986301369863013</v>
      </c>
      <c r="H61" s="889">
        <f t="shared" si="36"/>
        <v>0</v>
      </c>
      <c r="I61" s="890">
        <v>0</v>
      </c>
      <c r="J61" s="891">
        <f t="shared" si="37"/>
        <v>0</v>
      </c>
      <c r="K61" s="890">
        <v>0</v>
      </c>
      <c r="L61" s="746">
        <f>+'Appendix A'!$H$27</f>
        <v>0.20363964961424239</v>
      </c>
      <c r="M61" s="970">
        <f t="shared" si="39"/>
        <v>0</v>
      </c>
      <c r="N61" s="891">
        <f t="shared" si="40"/>
        <v>0</v>
      </c>
      <c r="O61" s="890">
        <v>0</v>
      </c>
      <c r="P61" s="746">
        <f>+'Appendix A'!$H$16</f>
        <v>0.12146075795343095</v>
      </c>
      <c r="Q61" s="970">
        <f t="shared" si="41"/>
        <v>0</v>
      </c>
      <c r="R61" s="891">
        <f t="shared" si="42"/>
        <v>0</v>
      </c>
      <c r="S61" s="890">
        <v>0</v>
      </c>
      <c r="T61" s="746">
        <f>+'Appendix A'!$H$33</f>
        <v>0.18298233367566416</v>
      </c>
      <c r="U61" s="971">
        <f t="shared" si="43"/>
        <v>0</v>
      </c>
      <c r="V61" s="891">
        <f t="shared" si="44"/>
        <v>0</v>
      </c>
      <c r="W61" s="972">
        <f t="shared" si="45"/>
        <v>0</v>
      </c>
    </row>
    <row r="62" spans="1:23" ht="15">
      <c r="A62" s="651">
        <f t="shared" si="46"/>
        <v>40</v>
      </c>
      <c r="B62" s="636" t="s">
        <v>409</v>
      </c>
      <c r="C62" s="733">
        <f t="shared" si="38"/>
        <v>2021</v>
      </c>
      <c r="D62" s="662">
        <v>30</v>
      </c>
      <c r="E62" s="663">
        <f>E63+D63</f>
        <v>32</v>
      </c>
      <c r="F62" s="663">
        <f t="shared" si="48"/>
        <v>365</v>
      </c>
      <c r="G62" s="56">
        <f>32/365</f>
        <v>8.7671232876712329E-2</v>
      </c>
      <c r="H62" s="889">
        <f t="shared" si="36"/>
        <v>0</v>
      </c>
      <c r="I62" s="890">
        <v>0</v>
      </c>
      <c r="J62" s="891">
        <f t="shared" si="37"/>
        <v>0</v>
      </c>
      <c r="K62" s="890">
        <v>0</v>
      </c>
      <c r="L62" s="746">
        <f>+'Appendix A'!$H$27</f>
        <v>0.20363964961424239</v>
      </c>
      <c r="M62" s="970">
        <f t="shared" si="39"/>
        <v>0</v>
      </c>
      <c r="N62" s="891">
        <f t="shared" si="40"/>
        <v>0</v>
      </c>
      <c r="O62" s="890">
        <v>0</v>
      </c>
      <c r="P62" s="746">
        <f>+'Appendix A'!$H$16</f>
        <v>0.12146075795343095</v>
      </c>
      <c r="Q62" s="970">
        <f t="shared" si="41"/>
        <v>0</v>
      </c>
      <c r="R62" s="891">
        <f t="shared" si="42"/>
        <v>0</v>
      </c>
      <c r="S62" s="890">
        <v>0</v>
      </c>
      <c r="T62" s="746">
        <f>+'Appendix A'!$H$33</f>
        <v>0.18298233367566416</v>
      </c>
      <c r="U62" s="971">
        <f t="shared" si="43"/>
        <v>0</v>
      </c>
      <c r="V62" s="891">
        <f t="shared" si="44"/>
        <v>0</v>
      </c>
      <c r="W62" s="972">
        <f t="shared" si="45"/>
        <v>0</v>
      </c>
    </row>
    <row r="63" spans="1:23" ht="15">
      <c r="A63" s="651">
        <f t="shared" si="46"/>
        <v>41</v>
      </c>
      <c r="B63" s="636" t="s">
        <v>410</v>
      </c>
      <c r="C63" s="733">
        <f t="shared" si="38"/>
        <v>2021</v>
      </c>
      <c r="D63" s="662">
        <v>31</v>
      </c>
      <c r="E63" s="663">
        <v>1</v>
      </c>
      <c r="F63" s="663">
        <f t="shared" si="48"/>
        <v>365</v>
      </c>
      <c r="G63" s="56">
        <f>1/365</f>
        <v>2.7397260273972603E-3</v>
      </c>
      <c r="H63" s="889">
        <f t="shared" si="36"/>
        <v>0</v>
      </c>
      <c r="I63" s="890">
        <v>0</v>
      </c>
      <c r="J63" s="891">
        <f t="shared" si="37"/>
        <v>0</v>
      </c>
      <c r="K63" s="890">
        <v>0</v>
      </c>
      <c r="L63" s="746">
        <f>+'Appendix A'!$H$27</f>
        <v>0.20363964961424239</v>
      </c>
      <c r="M63" s="970">
        <f t="shared" si="39"/>
        <v>0</v>
      </c>
      <c r="N63" s="891">
        <f t="shared" si="40"/>
        <v>0</v>
      </c>
      <c r="O63" s="890">
        <v>0</v>
      </c>
      <c r="P63" s="746">
        <f>+'Appendix A'!$H$16</f>
        <v>0.12146075795343095</v>
      </c>
      <c r="Q63" s="970">
        <f t="shared" si="41"/>
        <v>0</v>
      </c>
      <c r="R63" s="891">
        <f t="shared" si="42"/>
        <v>0</v>
      </c>
      <c r="S63" s="890">
        <v>0</v>
      </c>
      <c r="T63" s="746">
        <f>+'Appendix A'!$H$33</f>
        <v>0.18298233367566416</v>
      </c>
      <c r="U63" s="971">
        <f t="shared" si="43"/>
        <v>0</v>
      </c>
      <c r="V63" s="891">
        <f t="shared" si="44"/>
        <v>0</v>
      </c>
      <c r="W63" s="972">
        <f t="shared" si="45"/>
        <v>0</v>
      </c>
    </row>
    <row r="64" spans="1:23" ht="15">
      <c r="A64" s="651">
        <f t="shared" si="46"/>
        <v>42</v>
      </c>
      <c r="B64" s="652" t="s">
        <v>411</v>
      </c>
      <c r="C64" s="636"/>
      <c r="D64" s="638">
        <f>+SUM(D52:D63)</f>
        <v>365</v>
      </c>
      <c r="E64" s="636"/>
      <c r="F64" s="636"/>
      <c r="G64" s="636"/>
      <c r="H64" s="891">
        <f t="shared" ref="H64:K64" si="49">SUM(H51:H63)</f>
        <v>0</v>
      </c>
      <c r="I64" s="891">
        <f t="shared" si="49"/>
        <v>0</v>
      </c>
      <c r="J64" s="891">
        <f t="shared" si="49"/>
        <v>0</v>
      </c>
      <c r="K64" s="891">
        <f t="shared" si="49"/>
        <v>0</v>
      </c>
      <c r="L64" s="891"/>
      <c r="M64" s="891"/>
      <c r="N64" s="891">
        <f t="shared" ref="N64:O64" si="50">SUM(N51:N63)</f>
        <v>0</v>
      </c>
      <c r="O64" s="891">
        <f t="shared" si="50"/>
        <v>0</v>
      </c>
      <c r="P64" s="891"/>
      <c r="Q64" s="891"/>
      <c r="R64" s="891">
        <f t="shared" ref="R64:S64" si="51">SUM(R51:R63)</f>
        <v>0</v>
      </c>
      <c r="S64" s="891">
        <f t="shared" si="51"/>
        <v>0</v>
      </c>
      <c r="T64" s="891"/>
      <c r="U64" s="891"/>
      <c r="V64" s="891">
        <f t="shared" ref="V64:W64" si="52">SUM(V51:V63)</f>
        <v>0</v>
      </c>
      <c r="W64" s="972">
        <f t="shared" si="52"/>
        <v>0</v>
      </c>
    </row>
    <row r="65" spans="1:22" ht="15">
      <c r="A65" s="651"/>
      <c r="B65" s="216"/>
      <c r="C65" s="216"/>
      <c r="D65" s="216"/>
      <c r="E65" s="216"/>
      <c r="F65" s="216"/>
      <c r="G65" s="216"/>
      <c r="H65" s="216"/>
      <c r="I65" s="216"/>
      <c r="J65" s="216"/>
      <c r="K65" s="216"/>
      <c r="L65" s="216"/>
      <c r="M65" s="216"/>
      <c r="N65" s="216"/>
      <c r="O65" s="216"/>
      <c r="P65" s="216"/>
      <c r="Q65" s="216"/>
      <c r="R65" s="216"/>
      <c r="S65" s="216"/>
      <c r="T65" s="216"/>
      <c r="U65" s="216"/>
      <c r="V65" s="216"/>
    </row>
    <row r="66" spans="1:22" ht="15">
      <c r="A66" s="216"/>
      <c r="B66" s="216" t="s">
        <v>417</v>
      </c>
      <c r="C66" s="216"/>
      <c r="D66" s="216"/>
      <c r="E66" s="216"/>
      <c r="F66" s="216"/>
      <c r="G66" s="216"/>
      <c r="H66" s="216"/>
      <c r="I66" s="216"/>
      <c r="J66" s="216"/>
      <c r="K66" s="216"/>
      <c r="L66" s="216"/>
      <c r="M66" s="216"/>
      <c r="N66" s="216"/>
      <c r="O66" s="216"/>
      <c r="P66" s="216"/>
      <c r="Q66" s="216"/>
      <c r="R66" s="216"/>
      <c r="S66" s="216"/>
      <c r="T66" s="216"/>
      <c r="U66" s="216"/>
      <c r="V66" s="216"/>
    </row>
    <row r="67" spans="1:22" ht="15">
      <c r="A67" s="216"/>
      <c r="B67" s="216"/>
      <c r="C67" s="216"/>
      <c r="D67" s="216"/>
      <c r="E67" s="216"/>
      <c r="F67" s="216"/>
      <c r="G67" s="216"/>
      <c r="H67" s="216"/>
      <c r="I67" s="216"/>
      <c r="J67" s="216"/>
      <c r="K67" s="216"/>
      <c r="L67" s="216"/>
      <c r="M67" s="216"/>
      <c r="N67" s="216"/>
      <c r="O67" s="216"/>
      <c r="P67" s="216"/>
      <c r="Q67" s="216"/>
      <c r="R67" s="216"/>
      <c r="S67" s="216"/>
      <c r="T67" s="216"/>
      <c r="U67" s="216"/>
      <c r="V67" s="216"/>
    </row>
    <row r="68" spans="1:22" ht="15">
      <c r="A68" s="216"/>
      <c r="B68" s="216"/>
      <c r="C68" s="216"/>
      <c r="D68" s="216"/>
      <c r="E68" s="216"/>
      <c r="F68" s="216"/>
      <c r="G68" s="216"/>
      <c r="H68" s="216"/>
      <c r="I68" s="216"/>
      <c r="J68" s="216"/>
      <c r="K68" s="216"/>
      <c r="L68" s="216"/>
      <c r="M68" s="216"/>
      <c r="N68" s="216"/>
      <c r="O68" s="216"/>
      <c r="P68" s="216"/>
      <c r="Q68" s="216"/>
      <c r="R68" s="216"/>
      <c r="S68" s="216"/>
      <c r="T68" s="216"/>
      <c r="U68" s="216"/>
      <c r="V68" s="216"/>
    </row>
    <row r="69" spans="1:22" ht="15">
      <c r="A69" s="216"/>
      <c r="B69" s="58"/>
      <c r="C69" s="216"/>
      <c r="D69" s="216"/>
      <c r="E69" s="216"/>
      <c r="F69" s="216"/>
      <c r="G69" s="216"/>
      <c r="H69" s="216"/>
      <c r="I69" s="216"/>
      <c r="J69" s="216"/>
      <c r="K69" s="216"/>
      <c r="L69" s="216"/>
      <c r="M69" s="216"/>
      <c r="N69" s="216"/>
      <c r="O69" s="216"/>
      <c r="P69" s="216"/>
      <c r="Q69" s="216"/>
      <c r="R69" s="216"/>
      <c r="S69" s="216"/>
      <c r="T69" s="216"/>
      <c r="U69" s="216"/>
      <c r="V69" s="216"/>
    </row>
    <row r="70" spans="1:22" ht="15">
      <c r="A70" s="216"/>
      <c r="B70" s="216"/>
      <c r="C70" s="216"/>
      <c r="D70" s="216"/>
      <c r="E70" s="216"/>
      <c r="F70" s="216"/>
      <c r="G70" s="216"/>
      <c r="H70" s="216"/>
      <c r="I70" s="216"/>
      <c r="J70" s="216"/>
      <c r="K70" s="216"/>
      <c r="L70" s="216"/>
      <c r="M70" s="216"/>
      <c r="N70" s="216"/>
      <c r="O70" s="216"/>
      <c r="P70" s="216"/>
      <c r="Q70" s="216"/>
      <c r="R70" s="216"/>
      <c r="S70" s="216"/>
      <c r="T70" s="216"/>
      <c r="U70" s="216"/>
      <c r="V70" s="216"/>
    </row>
    <row r="71" spans="1:22" ht="15">
      <c r="A71" s="216"/>
      <c r="B71" s="216"/>
      <c r="C71" s="216"/>
      <c r="D71" s="216"/>
      <c r="E71" s="216"/>
      <c r="F71" s="216"/>
      <c r="G71" s="216"/>
      <c r="H71" s="216"/>
      <c r="I71" s="216"/>
      <c r="J71" s="216"/>
      <c r="K71" s="216"/>
      <c r="L71" s="216"/>
      <c r="M71" s="216"/>
      <c r="N71" s="216"/>
      <c r="O71" s="216"/>
      <c r="P71" s="216"/>
      <c r="Q71" s="216"/>
      <c r="R71" s="216"/>
      <c r="S71" s="216"/>
      <c r="T71" s="216"/>
      <c r="U71" s="216"/>
      <c r="V71" s="216"/>
    </row>
    <row r="72" spans="1:22" ht="15">
      <c r="A72" s="216"/>
      <c r="B72" s="216"/>
      <c r="C72" s="216"/>
      <c r="D72" s="216"/>
      <c r="E72" s="216"/>
      <c r="F72" s="216"/>
      <c r="G72" s="216"/>
      <c r="H72" s="216"/>
      <c r="I72" s="216"/>
      <c r="J72" s="216"/>
      <c r="K72" s="216"/>
      <c r="L72" s="216"/>
      <c r="M72" s="216"/>
      <c r="N72" s="216"/>
      <c r="O72" s="216"/>
      <c r="P72" s="216"/>
      <c r="Q72" s="216"/>
      <c r="R72" s="216"/>
      <c r="S72" s="216"/>
      <c r="T72" s="216"/>
      <c r="U72" s="216"/>
      <c r="V72" s="216"/>
    </row>
    <row r="73" spans="1:22" ht="15">
      <c r="A73" s="216"/>
      <c r="B73" s="216"/>
      <c r="C73" s="216"/>
      <c r="D73" s="216"/>
      <c r="E73" s="216"/>
      <c r="F73" s="216"/>
      <c r="G73" s="216"/>
      <c r="H73" s="216"/>
      <c r="I73" s="216"/>
      <c r="J73" s="216"/>
      <c r="K73" s="216"/>
      <c r="L73" s="216"/>
      <c r="M73" s="216"/>
      <c r="N73" s="216"/>
      <c r="O73" s="216"/>
      <c r="P73" s="216"/>
      <c r="Q73" s="216"/>
      <c r="R73" s="216"/>
      <c r="S73" s="216"/>
      <c r="T73" s="216"/>
      <c r="U73" s="216"/>
      <c r="V73" s="216"/>
    </row>
    <row r="74" spans="1:22" ht="15">
      <c r="A74" s="216"/>
      <c r="B74" s="216"/>
      <c r="C74" s="216"/>
      <c r="D74" s="216"/>
      <c r="E74" s="216"/>
      <c r="F74" s="216"/>
      <c r="G74" s="216"/>
      <c r="H74" s="216"/>
      <c r="I74" s="216"/>
      <c r="J74" s="216"/>
      <c r="K74" s="216"/>
      <c r="L74" s="216"/>
      <c r="M74" s="216"/>
      <c r="N74" s="216"/>
      <c r="O74" s="216"/>
      <c r="P74" s="216"/>
      <c r="Q74" s="216"/>
      <c r="R74" s="216"/>
      <c r="S74" s="216"/>
      <c r="T74" s="216"/>
      <c r="U74" s="216"/>
      <c r="V74" s="216"/>
    </row>
    <row r="75" spans="1:22" ht="15">
      <c r="A75" s="216"/>
      <c r="B75" s="216"/>
      <c r="C75" s="216"/>
      <c r="D75" s="216"/>
      <c r="E75" s="216"/>
      <c r="F75" s="216"/>
      <c r="G75" s="216"/>
      <c r="H75" s="216"/>
      <c r="I75" s="216"/>
      <c r="J75" s="216"/>
      <c r="K75" s="216"/>
      <c r="L75" s="216"/>
      <c r="M75" s="216"/>
      <c r="N75" s="216"/>
      <c r="O75" s="216"/>
      <c r="P75" s="216"/>
      <c r="Q75" s="216"/>
      <c r="R75" s="216"/>
      <c r="S75" s="216"/>
      <c r="T75" s="216"/>
      <c r="U75" s="216"/>
      <c r="V75" s="216"/>
    </row>
    <row r="76" spans="1:22" ht="15">
      <c r="A76" s="216"/>
      <c r="B76" s="216"/>
      <c r="C76" s="216"/>
      <c r="D76" s="216"/>
      <c r="E76" s="216"/>
      <c r="F76" s="216"/>
      <c r="G76" s="216"/>
      <c r="H76" s="216"/>
      <c r="I76" s="216"/>
      <c r="J76" s="216"/>
      <c r="K76" s="216"/>
      <c r="L76" s="216"/>
      <c r="M76" s="216"/>
      <c r="N76" s="216"/>
      <c r="O76" s="216"/>
      <c r="P76" s="216"/>
      <c r="Q76" s="216"/>
      <c r="R76" s="216"/>
      <c r="S76" s="216"/>
      <c r="T76" s="216"/>
      <c r="U76" s="216"/>
      <c r="V76" s="216"/>
    </row>
    <row r="77" spans="1:22" ht="15">
      <c r="A77" s="216"/>
      <c r="B77" s="1025"/>
      <c r="C77" s="216"/>
      <c r="D77" s="216"/>
      <c r="E77" s="216"/>
      <c r="F77" s="216"/>
      <c r="G77" s="216"/>
      <c r="H77" s="216"/>
      <c r="I77" s="216"/>
      <c r="J77" s="216"/>
      <c r="K77" s="216"/>
      <c r="L77" s="216"/>
      <c r="M77" s="216"/>
      <c r="N77" s="216"/>
      <c r="O77" s="216"/>
      <c r="P77" s="216"/>
      <c r="Q77" s="216"/>
      <c r="R77" s="216"/>
      <c r="S77" s="216"/>
      <c r="T77" s="216"/>
      <c r="U77" s="216"/>
      <c r="V77" s="216"/>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9"/>
  <sheetViews>
    <sheetView showGridLines="0" zoomScale="70" zoomScaleNormal="70" workbookViewId="0"/>
  </sheetViews>
  <sheetFormatPr defaultColWidth="18.7109375" defaultRowHeight="15"/>
  <cols>
    <col min="1" max="1" width="5.85546875" style="216" customWidth="1"/>
    <col min="2" max="2" width="65.7109375" style="245" customWidth="1"/>
    <col min="3" max="3" width="38.7109375" style="216" bestFit="1" customWidth="1"/>
    <col min="4" max="4" width="22.7109375" style="216" customWidth="1"/>
    <col min="5" max="5" width="23.7109375" style="216" customWidth="1"/>
    <col min="6" max="6" width="24.7109375" style="216" customWidth="1"/>
    <col min="7" max="7" width="24" style="216" bestFit="1" customWidth="1"/>
    <col min="8" max="8" width="24" style="216" customWidth="1"/>
    <col min="9" max="9" width="135.28515625" style="216" customWidth="1"/>
    <col min="10" max="10" width="19.28515625" style="216" customWidth="1"/>
    <col min="11" max="16384" width="18.7109375" style="216"/>
  </cols>
  <sheetData>
    <row r="1" spans="1:10" ht="18">
      <c r="B1" s="1112" t="str">
        <f>+'Appendix A'!A3</f>
        <v>Dayton Power and Light</v>
      </c>
      <c r="C1" s="1120"/>
      <c r="D1" s="1120"/>
      <c r="E1" s="1120"/>
      <c r="F1" s="1120"/>
      <c r="G1" s="1120"/>
      <c r="H1" s="1120"/>
      <c r="I1" s="1120"/>
      <c r="J1" s="215"/>
    </row>
    <row r="2" spans="1:10" ht="18">
      <c r="B2" s="1113" t="str">
        <f>+'1A - ADIT'!B2:I2</f>
        <v xml:space="preserve">ATTACHMENT H-15A </v>
      </c>
      <c r="C2" s="1113"/>
      <c r="D2" s="1113"/>
      <c r="E2" s="1113"/>
      <c r="F2" s="1113"/>
      <c r="G2" s="1113"/>
      <c r="H2" s="1113"/>
      <c r="I2" s="1113"/>
      <c r="J2" s="215"/>
    </row>
    <row r="3" spans="1:10" s="215" customFormat="1" ht="18">
      <c r="B3" s="1113" t="s">
        <v>418</v>
      </c>
      <c r="C3" s="1113"/>
      <c r="D3" s="1113"/>
      <c r="E3" s="1113"/>
      <c r="F3" s="1113"/>
      <c r="G3" s="1113"/>
      <c r="H3" s="1113"/>
      <c r="I3" s="1113"/>
      <c r="J3" s="217"/>
    </row>
    <row r="4" spans="1:10">
      <c r="B4" s="223"/>
      <c r="C4" s="222"/>
      <c r="D4" s="222"/>
      <c r="E4" s="222"/>
      <c r="F4" s="222"/>
      <c r="G4" s="222"/>
      <c r="H4" s="222"/>
      <c r="I4" s="222"/>
    </row>
    <row r="5" spans="1:10" ht="18">
      <c r="B5" s="45"/>
      <c r="C5" s="4"/>
      <c r="D5" s="223" t="s">
        <v>270</v>
      </c>
      <c r="E5" s="223"/>
      <c r="F5" s="220"/>
      <c r="G5" s="223"/>
      <c r="H5" s="223"/>
      <c r="I5" s="220"/>
    </row>
    <row r="6" spans="1:10" ht="18">
      <c r="B6" s="224"/>
      <c r="C6" s="220"/>
      <c r="D6" s="223" t="s">
        <v>271</v>
      </c>
      <c r="E6" s="223" t="s">
        <v>272</v>
      </c>
      <c r="F6" s="223" t="s">
        <v>273</v>
      </c>
      <c r="G6" s="711" t="s">
        <v>274</v>
      </c>
      <c r="H6" s="223" t="s">
        <v>75</v>
      </c>
      <c r="I6" s="967"/>
    </row>
    <row r="7" spans="1:10" ht="18">
      <c r="B7" s="224"/>
      <c r="C7" s="220"/>
      <c r="D7" s="223" t="s">
        <v>275</v>
      </c>
      <c r="E7" s="223" t="s">
        <v>275</v>
      </c>
      <c r="F7" s="223" t="s">
        <v>275</v>
      </c>
      <c r="G7" s="711" t="s">
        <v>275</v>
      </c>
      <c r="H7" s="223" t="s">
        <v>276</v>
      </c>
      <c r="I7" s="968"/>
    </row>
    <row r="8" spans="1:10" ht="25.5">
      <c r="B8" s="579"/>
      <c r="C8" s="576"/>
      <c r="D8" s="576"/>
      <c r="E8" s="576"/>
      <c r="F8" s="576"/>
      <c r="H8" s="576"/>
      <c r="I8" s="968"/>
      <c r="J8" s="580"/>
    </row>
    <row r="9" spans="1:10">
      <c r="A9" s="651">
        <v>1</v>
      </c>
      <c r="B9" s="224"/>
      <c r="C9" s="225" t="s">
        <v>291</v>
      </c>
      <c r="D9" s="226">
        <f>+E41</f>
        <v>0</v>
      </c>
      <c r="E9" s="226">
        <f>+F41</f>
        <v>431994</v>
      </c>
      <c r="F9" s="226">
        <f>+G41</f>
        <v>7444582</v>
      </c>
      <c r="G9" s="581">
        <f>+H41</f>
        <v>334734</v>
      </c>
      <c r="H9" s="226"/>
      <c r="I9" s="650" t="str">
        <f>"(Line "&amp;A41&amp;")"</f>
        <v>(Line 23)</v>
      </c>
    </row>
    <row r="10" spans="1:10">
      <c r="A10" s="651">
        <f>+A9+1</f>
        <v>2</v>
      </c>
      <c r="B10" s="224"/>
      <c r="C10" s="225" t="s">
        <v>328</v>
      </c>
      <c r="D10" s="226">
        <f>+E62</f>
        <v>-25126574.956941638</v>
      </c>
      <c r="E10" s="226">
        <f>+F62</f>
        <v>0</v>
      </c>
      <c r="F10" s="226">
        <f>+G62</f>
        <v>0</v>
      </c>
      <c r="G10" s="226">
        <f>+H62</f>
        <v>0</v>
      </c>
      <c r="H10" s="226"/>
      <c r="I10" s="650" t="str">
        <f>"(Line "&amp;A62&amp;")"</f>
        <v>(Line 26)</v>
      </c>
    </row>
    <row r="11" spans="1:10">
      <c r="A11" s="651">
        <f>+A10+1</f>
        <v>3</v>
      </c>
      <c r="B11" s="224"/>
      <c r="C11" s="749" t="s">
        <v>335</v>
      </c>
      <c r="D11" s="732">
        <f>+E88</f>
        <v>0</v>
      </c>
      <c r="E11" s="732">
        <f>+F88</f>
        <v>0</v>
      </c>
      <c r="F11" s="732">
        <f>+G88</f>
        <v>-32833887</v>
      </c>
      <c r="G11" s="732">
        <f>+H88</f>
        <v>0</v>
      </c>
      <c r="H11" s="226"/>
      <c r="I11" s="650" t="str">
        <f>"(Line "&amp;A88&amp;")"</f>
        <v>(Line 37)</v>
      </c>
    </row>
    <row r="12" spans="1:10">
      <c r="A12" s="651">
        <f>+A11+1</f>
        <v>4</v>
      </c>
      <c r="B12" s="224"/>
      <c r="C12" s="225" t="s">
        <v>101</v>
      </c>
      <c r="D12" s="226">
        <f>+SUM(D9:D11)</f>
        <v>-25126574.956941638</v>
      </c>
      <c r="E12" s="226">
        <f t="shared" ref="E12:G12" si="0">+SUM(E9:E11)</f>
        <v>431994</v>
      </c>
      <c r="F12" s="226">
        <f t="shared" si="0"/>
        <v>-25389305</v>
      </c>
      <c r="G12" s="226">
        <f t="shared" si="0"/>
        <v>334734</v>
      </c>
      <c r="H12" s="226"/>
      <c r="I12" s="650" t="str">
        <f>"(Line "&amp;A9&amp;" + Line "&amp;A10&amp;" + "&amp;A11&amp;")"</f>
        <v>(Line 1 + Line 2 + 3)</v>
      </c>
    </row>
    <row r="13" spans="1:10">
      <c r="A13" s="651">
        <f t="shared" ref="A13:A14" si="1">+A12+1</f>
        <v>5</v>
      </c>
      <c r="B13" s="224"/>
      <c r="C13" s="225" t="s">
        <v>14</v>
      </c>
      <c r="D13" s="220"/>
      <c r="E13" s="220"/>
      <c r="F13" s="746">
        <f>'Appendix A'!H16</f>
        <v>0.12146075795343095</v>
      </c>
      <c r="H13" s="220"/>
      <c r="I13" s="28" t="str">
        <f>"(Appendix A, Line "&amp;'Appendix A'!A16&amp;")"</f>
        <v>(Appendix A, Line 5)</v>
      </c>
    </row>
    <row r="14" spans="1:10">
      <c r="A14" s="651">
        <f t="shared" si="1"/>
        <v>6</v>
      </c>
      <c r="B14" s="224"/>
      <c r="C14" s="225" t="s">
        <v>22</v>
      </c>
      <c r="D14" s="220"/>
      <c r="E14" s="746">
        <f>'Appendix A'!H27</f>
        <v>0.20363964961424239</v>
      </c>
      <c r="F14" s="220"/>
      <c r="H14" s="220"/>
      <c r="I14" s="28" t="str">
        <f>"(Appendix A, Line "&amp;'Appendix A'!A27&amp;")"</f>
        <v>(Appendix A, Line 12)</v>
      </c>
    </row>
    <row r="15" spans="1:10">
      <c r="A15" s="651">
        <f>+A14+1</f>
        <v>7</v>
      </c>
      <c r="B15" s="224"/>
      <c r="C15" s="749" t="s">
        <v>23</v>
      </c>
      <c r="D15" s="750"/>
      <c r="E15" s="751"/>
      <c r="F15" s="750"/>
      <c r="G15" s="752">
        <f>+'Appendix A'!H33</f>
        <v>0.18298233367566416</v>
      </c>
      <c r="H15" s="220"/>
      <c r="I15" s="28" t="str">
        <f>"(Appendix A, Line "&amp;'Appendix A'!A33&amp;")"</f>
        <v>(Appendix A, Line 17)</v>
      </c>
    </row>
    <row r="16" spans="1:10" ht="15.75">
      <c r="A16" s="651">
        <f>+A15+1</f>
        <v>8</v>
      </c>
      <c r="B16" s="224"/>
      <c r="C16" s="225" t="s">
        <v>280</v>
      </c>
      <c r="D16" s="226">
        <f>+D12</f>
        <v>-25126574.956941638</v>
      </c>
      <c r="E16" s="226">
        <f>+E14*E12</f>
        <v>87971.106795455024</v>
      </c>
      <c r="F16" s="226">
        <f>+F13*F12</f>
        <v>-3083804.229210834</v>
      </c>
      <c r="G16" s="226">
        <f>+G15*G12</f>
        <v>61250.408480589766</v>
      </c>
      <c r="H16" s="228">
        <f>SUM(D16:G16)</f>
        <v>-28061157.670876428</v>
      </c>
      <c r="I16" s="650" t="str">
        <f>"(Line "&amp;A12&amp;" * Line "&amp;A13&amp;" or Line "&amp;A14&amp;" or "&amp;A15&amp;")"</f>
        <v>(Line 4 * Line 5 or Line 6 or 7)</v>
      </c>
    </row>
    <row r="17" spans="1:28" ht="29.25" customHeight="1">
      <c r="A17" s="651"/>
      <c r="B17" s="224"/>
      <c r="C17" s="225"/>
      <c r="D17" s="226"/>
      <c r="E17" s="226"/>
      <c r="F17" s="226"/>
      <c r="G17" s="228"/>
      <c r="H17" s="228"/>
      <c r="I17" s="650"/>
    </row>
    <row r="18" spans="1:28" ht="15.75">
      <c r="A18" s="651"/>
      <c r="B18" s="224" t="s">
        <v>419</v>
      </c>
      <c r="C18" s="225"/>
      <c r="D18" s="226"/>
      <c r="E18" s="226"/>
      <c r="F18" s="226"/>
      <c r="G18" s="228"/>
      <c r="H18" s="228"/>
      <c r="I18" s="650"/>
      <c r="J18" s="575"/>
    </row>
    <row r="19" spans="1:28">
      <c r="A19" s="651"/>
      <c r="B19" s="220"/>
      <c r="C19" s="220"/>
      <c r="D19" s="220"/>
      <c r="E19" s="220"/>
      <c r="F19" s="220"/>
      <c r="G19" s="220"/>
      <c r="H19" s="220"/>
      <c r="I19" s="650"/>
    </row>
    <row r="20" spans="1:28">
      <c r="A20" s="651"/>
      <c r="B20" s="224" t="s">
        <v>289</v>
      </c>
      <c r="C20" s="220"/>
      <c r="D20" s="220"/>
      <c r="E20" s="220"/>
      <c r="F20" s="220"/>
      <c r="G20" s="220"/>
      <c r="H20" s="220"/>
      <c r="I20" s="650"/>
    </row>
    <row r="21" spans="1:28">
      <c r="A21" s="651"/>
      <c r="B21" s="224" t="s">
        <v>290</v>
      </c>
      <c r="C21" s="220"/>
      <c r="D21" s="220"/>
      <c r="E21" s="220"/>
      <c r="F21" s="220"/>
      <c r="G21" s="220"/>
      <c r="H21" s="220"/>
      <c r="I21" s="220"/>
    </row>
    <row r="22" spans="1:28">
      <c r="A22" s="651"/>
      <c r="B22" s="224"/>
      <c r="C22" s="220"/>
      <c r="D22" s="220"/>
      <c r="E22" s="220"/>
      <c r="F22" s="220"/>
      <c r="G22" s="225"/>
      <c r="H22" s="225"/>
      <c r="I22" s="220"/>
    </row>
    <row r="23" spans="1:28" ht="15.75">
      <c r="A23" s="651"/>
      <c r="B23" s="231" t="s">
        <v>217</v>
      </c>
      <c r="C23" s="232" t="s">
        <v>219</v>
      </c>
      <c r="D23" s="232" t="s">
        <v>222</v>
      </c>
      <c r="E23" s="232" t="s">
        <v>224</v>
      </c>
      <c r="F23" s="232" t="s">
        <v>226</v>
      </c>
      <c r="G23" s="232" t="s">
        <v>228</v>
      </c>
      <c r="H23" s="232" t="s">
        <v>230</v>
      </c>
      <c r="I23" s="232" t="s">
        <v>237</v>
      </c>
    </row>
    <row r="24" spans="1:28" ht="25.15" customHeight="1">
      <c r="A24" s="651"/>
      <c r="B24" s="224"/>
      <c r="C24" s="223" t="s">
        <v>75</v>
      </c>
      <c r="D24" s="223"/>
      <c r="E24" s="223" t="s">
        <v>270</v>
      </c>
      <c r="F24" s="223"/>
      <c r="G24" s="223"/>
      <c r="H24" s="223"/>
    </row>
    <row r="25" spans="1:28" ht="41.25" customHeight="1">
      <c r="A25" s="651"/>
      <c r="B25" s="233" t="s">
        <v>291</v>
      </c>
      <c r="C25" s="223"/>
      <c r="D25" s="223"/>
      <c r="E25" s="223" t="s">
        <v>271</v>
      </c>
      <c r="F25" s="223" t="s">
        <v>272</v>
      </c>
      <c r="G25" s="223" t="s">
        <v>273</v>
      </c>
      <c r="H25" s="223" t="s">
        <v>274</v>
      </c>
      <c r="X25" s="539"/>
      <c r="Y25" s="539"/>
      <c r="Z25" s="539"/>
      <c r="AA25" s="539"/>
      <c r="AB25" s="539"/>
    </row>
    <row r="26" spans="1:28" ht="25.15" customHeight="1" thickBot="1">
      <c r="A26" s="651"/>
      <c r="B26" s="224"/>
      <c r="C26" s="223"/>
      <c r="D26" s="223" t="s">
        <v>292</v>
      </c>
      <c r="E26" s="223" t="s">
        <v>275</v>
      </c>
      <c r="F26" s="223" t="s">
        <v>275</v>
      </c>
      <c r="G26" s="223" t="s">
        <v>275</v>
      </c>
      <c r="H26" s="710" t="s">
        <v>275</v>
      </c>
      <c r="I26" s="223" t="s">
        <v>293</v>
      </c>
    </row>
    <row r="27" spans="1:28" ht="42.75" customHeight="1" thickBot="1">
      <c r="A27" s="651">
        <f>+A16+1</f>
        <v>9</v>
      </c>
      <c r="B27" s="561" t="s">
        <v>294</v>
      </c>
      <c r="C27" s="869">
        <v>764210</v>
      </c>
      <c r="D27" s="870">
        <v>0</v>
      </c>
      <c r="E27" s="870">
        <v>0</v>
      </c>
      <c r="F27" s="870">
        <v>0</v>
      </c>
      <c r="G27" s="870">
        <f>+C27</f>
        <v>764210</v>
      </c>
      <c r="H27" s="871">
        <v>0</v>
      </c>
      <c r="I27" s="660" t="s">
        <v>295</v>
      </c>
    </row>
    <row r="28" spans="1:28" ht="38.25" customHeight="1" thickBot="1">
      <c r="A28" s="651">
        <f>+A27+1</f>
        <v>10</v>
      </c>
      <c r="B28" s="563" t="s">
        <v>296</v>
      </c>
      <c r="C28" s="872">
        <v>3969450</v>
      </c>
      <c r="D28" s="873">
        <v>0</v>
      </c>
      <c r="E28" s="873">
        <v>0</v>
      </c>
      <c r="F28" s="873">
        <v>0</v>
      </c>
      <c r="G28" s="870">
        <f>C28</f>
        <v>3969450</v>
      </c>
      <c r="H28" s="874">
        <v>0</v>
      </c>
      <c r="I28" s="660" t="s">
        <v>297</v>
      </c>
    </row>
    <row r="29" spans="1:28" ht="35.25" customHeight="1">
      <c r="A29" s="651">
        <f t="shared" ref="A29:A40" si="2">+A28+1</f>
        <v>11</v>
      </c>
      <c r="B29" s="563" t="s">
        <v>298</v>
      </c>
      <c r="C29" s="872">
        <v>197441</v>
      </c>
      <c r="D29" s="873">
        <v>0</v>
      </c>
      <c r="E29" s="873">
        <v>0</v>
      </c>
      <c r="F29" s="873">
        <v>0</v>
      </c>
      <c r="G29" s="870">
        <f t="shared" ref="G29" si="3">+C29</f>
        <v>197441</v>
      </c>
      <c r="H29" s="874">
        <v>0</v>
      </c>
      <c r="I29" s="660" t="s">
        <v>295</v>
      </c>
    </row>
    <row r="30" spans="1:28" ht="25.15" customHeight="1">
      <c r="A30" s="651">
        <f t="shared" si="2"/>
        <v>12</v>
      </c>
      <c r="B30" s="811" t="s">
        <v>299</v>
      </c>
      <c r="C30" s="872">
        <v>-1010449</v>
      </c>
      <c r="D30" s="873">
        <v>0</v>
      </c>
      <c r="E30" s="873">
        <v>0</v>
      </c>
      <c r="F30" s="873">
        <f>+C30</f>
        <v>-1010449</v>
      </c>
      <c r="G30" s="873">
        <v>0</v>
      </c>
      <c r="H30" s="874">
        <v>0</v>
      </c>
      <c r="I30" s="658" t="s">
        <v>300</v>
      </c>
    </row>
    <row r="31" spans="1:28" ht="25.15" customHeight="1">
      <c r="A31" s="651">
        <f t="shared" si="2"/>
        <v>13</v>
      </c>
      <c r="B31" s="563" t="s">
        <v>301</v>
      </c>
      <c r="C31" s="872">
        <v>1346930</v>
      </c>
      <c r="D31" s="873">
        <v>0</v>
      </c>
      <c r="E31" s="873">
        <v>0</v>
      </c>
      <c r="F31" s="873">
        <v>0</v>
      </c>
      <c r="G31" s="873">
        <f>+C31</f>
        <v>1346930</v>
      </c>
      <c r="H31" s="874">
        <v>0</v>
      </c>
      <c r="I31" s="660" t="s">
        <v>302</v>
      </c>
    </row>
    <row r="32" spans="1:28" ht="25.15" customHeight="1">
      <c r="A32" s="651">
        <f t="shared" si="2"/>
        <v>14</v>
      </c>
      <c r="B32" s="563" t="s">
        <v>303</v>
      </c>
      <c r="C32" s="872">
        <v>937979</v>
      </c>
      <c r="D32" s="873">
        <f>+C32</f>
        <v>937979</v>
      </c>
      <c r="E32" s="873">
        <v>0</v>
      </c>
      <c r="F32" s="873"/>
      <c r="G32" s="873">
        <v>0</v>
      </c>
      <c r="H32" s="874">
        <v>0</v>
      </c>
      <c r="I32" s="660" t="s">
        <v>420</v>
      </c>
    </row>
    <row r="33" spans="1:10" ht="25.15" customHeight="1">
      <c r="A33" s="651">
        <f t="shared" si="2"/>
        <v>15</v>
      </c>
      <c r="B33" s="563" t="s">
        <v>305</v>
      </c>
      <c r="C33" s="872">
        <v>1166551</v>
      </c>
      <c r="D33" s="873">
        <v>0</v>
      </c>
      <c r="E33" s="873">
        <v>0</v>
      </c>
      <c r="F33" s="873">
        <v>0</v>
      </c>
      <c r="G33" s="873">
        <f>+C33</f>
        <v>1166551</v>
      </c>
      <c r="H33" s="874">
        <v>0</v>
      </c>
      <c r="I33" s="660" t="s">
        <v>306</v>
      </c>
    </row>
    <row r="34" spans="1:10" s="218" customFormat="1" ht="35.1" customHeight="1">
      <c r="A34" s="651">
        <f t="shared" si="2"/>
        <v>16</v>
      </c>
      <c r="B34" s="563" t="s">
        <v>307</v>
      </c>
      <c r="C34" s="872">
        <v>334734</v>
      </c>
      <c r="D34" s="873">
        <v>0</v>
      </c>
      <c r="E34" s="873">
        <v>0</v>
      </c>
      <c r="F34" s="873">
        <v>0</v>
      </c>
      <c r="G34" s="873">
        <v>0</v>
      </c>
      <c r="H34" s="874">
        <f>+C34</f>
        <v>334734</v>
      </c>
      <c r="I34" s="660" t="s">
        <v>308</v>
      </c>
      <c r="J34" s="216"/>
    </row>
    <row r="35" spans="1:10" ht="35.1" customHeight="1">
      <c r="A35" s="651">
        <f t="shared" si="2"/>
        <v>17</v>
      </c>
      <c r="B35" s="563" t="s">
        <v>309</v>
      </c>
      <c r="C35" s="872">
        <v>431994</v>
      </c>
      <c r="D35" s="873">
        <v>0</v>
      </c>
      <c r="E35" s="873">
        <v>0</v>
      </c>
      <c r="F35" s="873">
        <f>+C35</f>
        <v>431994</v>
      </c>
      <c r="G35" s="873">
        <v>0</v>
      </c>
      <c r="H35" s="874">
        <v>0</v>
      </c>
      <c r="I35" s="660" t="s">
        <v>421</v>
      </c>
    </row>
    <row r="36" spans="1:10" ht="35.1" customHeight="1">
      <c r="A36" s="651">
        <f t="shared" si="2"/>
        <v>18</v>
      </c>
      <c r="B36" s="563" t="s">
        <v>311</v>
      </c>
      <c r="C36" s="872">
        <v>1288335</v>
      </c>
      <c r="D36" s="873">
        <f>+C36</f>
        <v>1288335</v>
      </c>
      <c r="E36" s="873">
        <v>0</v>
      </c>
      <c r="F36" s="873">
        <v>0</v>
      </c>
      <c r="G36" s="873">
        <v>0</v>
      </c>
      <c r="H36" s="874">
        <v>0</v>
      </c>
      <c r="I36" s="660" t="s">
        <v>422</v>
      </c>
    </row>
    <row r="37" spans="1:10" ht="35.1" customHeight="1">
      <c r="A37" s="651">
        <f t="shared" si="2"/>
        <v>19</v>
      </c>
      <c r="B37" s="563" t="s">
        <v>313</v>
      </c>
      <c r="C37" s="872">
        <v>-224000</v>
      </c>
      <c r="D37" s="873">
        <f>+C37</f>
        <v>-224000</v>
      </c>
      <c r="E37" s="873">
        <v>0</v>
      </c>
      <c r="F37" s="873">
        <v>0</v>
      </c>
      <c r="G37" s="873">
        <v>0</v>
      </c>
      <c r="H37" s="874">
        <v>0</v>
      </c>
      <c r="I37" s="660" t="s">
        <v>423</v>
      </c>
    </row>
    <row r="38" spans="1:10" ht="35.1" customHeight="1">
      <c r="A38" s="651">
        <f>+A37+1</f>
        <v>20</v>
      </c>
      <c r="B38" s="563" t="s">
        <v>315</v>
      </c>
      <c r="C38" s="875">
        <v>33187</v>
      </c>
      <c r="D38" s="873">
        <f>+C38</f>
        <v>33187</v>
      </c>
      <c r="E38" s="873">
        <v>0</v>
      </c>
      <c r="F38" s="873">
        <v>0</v>
      </c>
      <c r="G38" s="873">
        <v>0</v>
      </c>
      <c r="H38" s="874">
        <v>0</v>
      </c>
      <c r="I38" s="660" t="s">
        <v>424</v>
      </c>
    </row>
    <row r="39" spans="1:10" ht="35.1" customHeight="1">
      <c r="A39" s="651">
        <f t="shared" si="2"/>
        <v>21</v>
      </c>
      <c r="B39" s="564" t="s">
        <v>317</v>
      </c>
      <c r="C39" s="876">
        <f t="shared" ref="C39:H39" si="4">SUM(C27:C38)</f>
        <v>9236362</v>
      </c>
      <c r="D39" s="876">
        <f t="shared" si="4"/>
        <v>2035501</v>
      </c>
      <c r="E39" s="876">
        <f t="shared" si="4"/>
        <v>0</v>
      </c>
      <c r="F39" s="876">
        <f t="shared" si="4"/>
        <v>-578455</v>
      </c>
      <c r="G39" s="876">
        <f t="shared" si="4"/>
        <v>7444582</v>
      </c>
      <c r="H39" s="876">
        <f t="shared" si="4"/>
        <v>334734</v>
      </c>
      <c r="I39" s="234"/>
    </row>
    <row r="40" spans="1:10" ht="35.1" customHeight="1">
      <c r="A40" s="651">
        <f t="shared" si="2"/>
        <v>22</v>
      </c>
      <c r="B40" s="560" t="s">
        <v>318</v>
      </c>
      <c r="C40" s="877">
        <f>SUM(D40:G40)</f>
        <v>-1010449</v>
      </c>
      <c r="D40" s="877">
        <f>D30</f>
        <v>0</v>
      </c>
      <c r="E40" s="878">
        <f>E30</f>
        <v>0</v>
      </c>
      <c r="F40" s="879">
        <f>F30</f>
        <v>-1010449</v>
      </c>
      <c r="G40" s="879">
        <f>G30</f>
        <v>0</v>
      </c>
      <c r="H40" s="879">
        <f>H30</f>
        <v>0</v>
      </c>
      <c r="I40" s="247" t="str">
        <f>+'1A - ADIT'!I48</f>
        <v>All FAS 109 items excluded from formula rate</v>
      </c>
    </row>
    <row r="41" spans="1:10" ht="38.25" customHeight="1" thickBot="1">
      <c r="A41" s="651">
        <f>+A40+1</f>
        <v>23</v>
      </c>
      <c r="B41" s="559" t="s">
        <v>75</v>
      </c>
      <c r="C41" s="880">
        <f>+C39-C40</f>
        <v>10246811</v>
      </c>
      <c r="D41" s="880">
        <f t="shared" ref="D41:H41" si="5">+D39-D40</f>
        <v>2035501</v>
      </c>
      <c r="E41" s="880">
        <f t="shared" si="5"/>
        <v>0</v>
      </c>
      <c r="F41" s="880">
        <f t="shared" si="5"/>
        <v>431994</v>
      </c>
      <c r="G41" s="880">
        <f t="shared" si="5"/>
        <v>7444582</v>
      </c>
      <c r="H41" s="880">
        <f t="shared" si="5"/>
        <v>334734</v>
      </c>
      <c r="I41" s="558"/>
      <c r="J41" s="218"/>
    </row>
    <row r="42" spans="1:10" ht="30" customHeight="1">
      <c r="A42" s="651"/>
      <c r="B42" s="219"/>
      <c r="C42" s="654"/>
      <c r="D42" s="655"/>
      <c r="E42" s="655"/>
      <c r="F42" s="655"/>
      <c r="G42" s="655"/>
      <c r="H42" s="655"/>
      <c r="I42" s="647"/>
      <c r="J42" s="218"/>
    </row>
    <row r="43" spans="1:10" ht="15.75" customHeight="1">
      <c r="A43" s="651"/>
      <c r="B43" s="58" t="s">
        <v>320</v>
      </c>
      <c r="C43" s="58"/>
      <c r="D43" s="249"/>
      <c r="E43" s="759"/>
      <c r="F43" s="73"/>
      <c r="G43" s="218"/>
      <c r="H43" s="218"/>
      <c r="I43" s="760"/>
    </row>
    <row r="44" spans="1:10" s="215" customFormat="1" ht="18">
      <c r="A44" s="605"/>
      <c r="B44" s="1117" t="s">
        <v>425</v>
      </c>
      <c r="C44" s="1118"/>
      <c r="D44" s="1118"/>
      <c r="E44" s="1118"/>
      <c r="F44" s="1118"/>
      <c r="G44" s="1118"/>
      <c r="H44" s="1118"/>
      <c r="I44" s="1118"/>
      <c r="J44" s="216"/>
    </row>
    <row r="45" spans="1:10" s="215" customFormat="1" ht="18">
      <c r="A45" s="605"/>
      <c r="B45" s="254" t="s">
        <v>322</v>
      </c>
      <c r="C45" s="58"/>
      <c r="D45" s="218"/>
      <c r="E45" s="58"/>
      <c r="F45" s="58"/>
      <c r="G45" s="73"/>
      <c r="H45" s="73"/>
      <c r="I45" s="73"/>
      <c r="J45" s="216"/>
    </row>
    <row r="46" spans="1:10" s="215" customFormat="1" ht="18">
      <c r="A46" s="605"/>
      <c r="B46" s="254" t="s">
        <v>333</v>
      </c>
      <c r="C46" s="58"/>
      <c r="D46" s="218"/>
      <c r="E46" s="58"/>
      <c r="F46" s="58"/>
      <c r="G46" s="73"/>
      <c r="H46" s="73"/>
      <c r="I46" s="73"/>
      <c r="J46" s="216"/>
    </row>
    <row r="47" spans="1:10">
      <c r="A47" s="651"/>
      <c r="B47" s="254" t="s">
        <v>426</v>
      </c>
      <c r="C47" s="58"/>
      <c r="D47" s="218"/>
      <c r="E47" s="58"/>
      <c r="F47" s="58"/>
      <c r="G47" s="73"/>
      <c r="H47" s="73"/>
      <c r="I47" s="73"/>
    </row>
    <row r="48" spans="1:10" ht="15" customHeight="1">
      <c r="A48" s="651"/>
      <c r="B48" s="1118" t="s">
        <v>427</v>
      </c>
      <c r="C48" s="1118"/>
      <c r="D48" s="1118"/>
      <c r="E48" s="1118"/>
      <c r="F48" s="1118"/>
      <c r="G48" s="1118"/>
      <c r="H48" s="1118"/>
      <c r="I48" s="1118"/>
    </row>
    <row r="49" spans="1:10">
      <c r="A49" s="651"/>
      <c r="B49" s="237" t="s">
        <v>326</v>
      </c>
      <c r="C49" s="653"/>
      <c r="D49" s="761"/>
      <c r="E49" s="653"/>
      <c r="F49" s="653"/>
      <c r="G49" s="653"/>
      <c r="H49" s="653"/>
      <c r="I49" s="1080"/>
    </row>
    <row r="50" spans="1:10">
      <c r="A50" s="651"/>
      <c r="B50" s="237"/>
      <c r="C50" s="218"/>
      <c r="D50" s="218"/>
      <c r="E50" s="218"/>
      <c r="F50" s="218"/>
      <c r="G50" s="218"/>
      <c r="H50" s="218"/>
      <c r="I50" s="218"/>
    </row>
    <row r="51" spans="1:10" ht="15.75">
      <c r="A51" s="651"/>
      <c r="B51" s="237"/>
      <c r="C51" s="729"/>
      <c r="D51" s="729"/>
      <c r="E51" s="729"/>
      <c r="F51" s="729"/>
      <c r="G51" s="729"/>
      <c r="H51" s="729"/>
      <c r="I51" s="1080"/>
    </row>
    <row r="52" spans="1:10" ht="18">
      <c r="A52" s="651"/>
      <c r="B52" s="1115" t="str">
        <f>+B1</f>
        <v>Dayton Power and Light</v>
      </c>
      <c r="C52" s="1119"/>
      <c r="D52" s="1119"/>
      <c r="E52" s="1119"/>
      <c r="F52" s="1119"/>
      <c r="G52" s="1119"/>
      <c r="H52" s="1119"/>
      <c r="I52" s="1119"/>
      <c r="J52" s="215"/>
    </row>
    <row r="53" spans="1:10" ht="18">
      <c r="A53" s="651"/>
      <c r="B53" s="1114" t="str">
        <f>+B2</f>
        <v xml:space="preserve">ATTACHMENT H-15A </v>
      </c>
      <c r="C53" s="1114"/>
      <c r="D53" s="1114"/>
      <c r="E53" s="1114"/>
      <c r="F53" s="1114"/>
      <c r="G53" s="1114"/>
      <c r="H53" s="1114"/>
      <c r="I53" s="1114"/>
      <c r="J53" s="215"/>
    </row>
    <row r="54" spans="1:10" ht="18">
      <c r="A54" s="651"/>
      <c r="B54" s="1114" t="str">
        <f>+B3</f>
        <v>Attachment 1C - Accumulated Deferred Income Taxes (ADIT) Worksheet - December 31 of Prior Year</v>
      </c>
      <c r="C54" s="1114"/>
      <c r="D54" s="1114"/>
      <c r="E54" s="1114"/>
      <c r="F54" s="1114"/>
      <c r="G54" s="1114"/>
      <c r="H54" s="1114"/>
      <c r="I54" s="1114"/>
      <c r="J54" s="215"/>
    </row>
    <row r="55" spans="1:10" ht="15.75">
      <c r="A55" s="651"/>
      <c r="B55" s="1121"/>
      <c r="C55" s="1121"/>
      <c r="D55" s="1121"/>
      <c r="E55" s="1121"/>
      <c r="F55" s="1121"/>
      <c r="G55" s="1121"/>
      <c r="H55" s="1121"/>
      <c r="I55" s="1121"/>
    </row>
    <row r="56" spans="1:10" ht="25.15" customHeight="1">
      <c r="A56" s="651"/>
      <c r="B56" s="729" t="s">
        <v>217</v>
      </c>
      <c r="C56" s="729" t="s">
        <v>219</v>
      </c>
      <c r="D56" s="729" t="s">
        <v>222</v>
      </c>
      <c r="E56" s="729" t="s">
        <v>224</v>
      </c>
      <c r="F56" s="729" t="s">
        <v>226</v>
      </c>
      <c r="G56" s="729" t="s">
        <v>228</v>
      </c>
      <c r="H56" s="729" t="str">
        <f>+H23</f>
        <v>G</v>
      </c>
      <c r="I56" s="967"/>
    </row>
    <row r="57" spans="1:10" ht="25.15" customHeight="1">
      <c r="A57" s="651"/>
      <c r="B57" s="218"/>
      <c r="C57" s="240" t="s">
        <v>75</v>
      </c>
      <c r="D57" s="240"/>
      <c r="E57" s="240" t="s">
        <v>270</v>
      </c>
      <c r="F57" s="240"/>
      <c r="G57" s="240"/>
      <c r="H57" s="240"/>
      <c r="I57" s="968"/>
    </row>
    <row r="58" spans="1:10" s="218" customFormat="1" ht="26.45" customHeight="1">
      <c r="A58" s="653"/>
      <c r="B58" s="241" t="s">
        <v>328</v>
      </c>
      <c r="C58" s="240"/>
      <c r="D58" s="240"/>
      <c r="E58" s="240" t="s">
        <v>271</v>
      </c>
      <c r="F58" s="240" t="s">
        <v>272</v>
      </c>
      <c r="G58" s="240" t="s">
        <v>273</v>
      </c>
      <c r="H58" s="240" t="str">
        <f>+H25</f>
        <v>Revenue</v>
      </c>
      <c r="I58" s="968"/>
      <c r="J58" s="216"/>
    </row>
    <row r="59" spans="1:10" ht="22.15" customHeight="1" thickBot="1">
      <c r="A59" s="651"/>
      <c r="B59" s="237"/>
      <c r="C59" s="240"/>
      <c r="D59" s="240" t="str">
        <f>+D26</f>
        <v>Excluded</v>
      </c>
      <c r="E59" s="240" t="s">
        <v>275</v>
      </c>
      <c r="F59" s="240" t="s">
        <v>275</v>
      </c>
      <c r="G59" s="240" t="s">
        <v>275</v>
      </c>
      <c r="H59" s="240" t="str">
        <f>+H26</f>
        <v>Related</v>
      </c>
      <c r="I59" s="232" t="s">
        <v>428</v>
      </c>
    </row>
    <row r="60" spans="1:10" ht="27.6" customHeight="1">
      <c r="A60" s="651">
        <f>+A41+1</f>
        <v>24</v>
      </c>
      <c r="B60" s="812" t="s">
        <v>329</v>
      </c>
      <c r="C60" s="881">
        <v>0</v>
      </c>
      <c r="D60" s="881">
        <v>0</v>
      </c>
      <c r="E60" s="870">
        <v>0</v>
      </c>
      <c r="F60" s="870">
        <v>0</v>
      </c>
      <c r="G60" s="870">
        <v>0</v>
      </c>
      <c r="H60" s="892">
        <v>0</v>
      </c>
      <c r="I60" s="659" t="s">
        <v>429</v>
      </c>
    </row>
    <row r="61" spans="1:10" ht="35.1" customHeight="1">
      <c r="A61" s="651">
        <f>+A60+1</f>
        <v>25</v>
      </c>
      <c r="B61" s="563" t="s">
        <v>315</v>
      </c>
      <c r="C61" s="873">
        <v>0</v>
      </c>
      <c r="D61" s="873">
        <f>+C61</f>
        <v>0</v>
      </c>
      <c r="E61" s="873">
        <v>-25126574.956941638</v>
      </c>
      <c r="F61" s="873">
        <v>0</v>
      </c>
      <c r="G61" s="873">
        <v>0</v>
      </c>
      <c r="H61" s="874">
        <v>0</v>
      </c>
      <c r="I61" s="1006" t="s">
        <v>330</v>
      </c>
    </row>
    <row r="62" spans="1:10" ht="35.1" customHeight="1" thickBot="1">
      <c r="A62" s="651">
        <f>+A61+1</f>
        <v>26</v>
      </c>
      <c r="B62" s="559" t="s">
        <v>75</v>
      </c>
      <c r="C62" s="880">
        <f>+SUM(C60:C61)</f>
        <v>0</v>
      </c>
      <c r="D62" s="880">
        <f t="shared" ref="D62:H62" si="6">+SUM(D60:D61)</f>
        <v>0</v>
      </c>
      <c r="E62" s="880">
        <f t="shared" si="6"/>
        <v>-25126574.956941638</v>
      </c>
      <c r="F62" s="880">
        <f t="shared" si="6"/>
        <v>0</v>
      </c>
      <c r="G62" s="880">
        <f t="shared" si="6"/>
        <v>0</v>
      </c>
      <c r="H62" s="880">
        <f t="shared" si="6"/>
        <v>0</v>
      </c>
      <c r="I62" s="558"/>
      <c r="J62" s="218"/>
    </row>
    <row r="63" spans="1:10" ht="23.45" customHeight="1">
      <c r="A63" s="651"/>
      <c r="B63" s="58" t="s">
        <v>331</v>
      </c>
      <c r="C63" s="219"/>
      <c r="D63" s="219"/>
      <c r="E63" s="1079"/>
      <c r="F63" s="235"/>
      <c r="G63" s="236"/>
      <c r="H63" s="236"/>
      <c r="I63" s="647"/>
    </row>
    <row r="64" spans="1:10" ht="23.45" customHeight="1">
      <c r="A64" s="651"/>
      <c r="B64" s="254" t="s">
        <v>332</v>
      </c>
      <c r="C64" s="219"/>
      <c r="D64" s="236"/>
      <c r="E64" s="219"/>
      <c r="F64" s="219"/>
      <c r="G64" s="1079"/>
      <c r="H64" s="1079"/>
      <c r="I64" s="1079"/>
    </row>
    <row r="65" spans="1:10" ht="15.75">
      <c r="A65" s="651"/>
      <c r="B65" s="254" t="s">
        <v>322</v>
      </c>
      <c r="C65" s="219"/>
      <c r="D65" s="236"/>
      <c r="E65" s="219"/>
      <c r="F65" s="219"/>
      <c r="G65" s="1079"/>
      <c r="H65" s="1079"/>
      <c r="I65" s="1079"/>
    </row>
    <row r="66" spans="1:10" ht="18" customHeight="1">
      <c r="A66" s="651"/>
      <c r="B66" s="254" t="s">
        <v>333</v>
      </c>
      <c r="C66" s="219"/>
      <c r="D66" s="236"/>
      <c r="E66" s="219"/>
      <c r="F66" s="219"/>
      <c r="G66" s="1079"/>
      <c r="H66" s="1079"/>
      <c r="I66" s="1079"/>
    </row>
    <row r="67" spans="1:10" s="215" customFormat="1" ht="18" customHeight="1">
      <c r="A67" s="605"/>
      <c r="B67" s="254" t="s">
        <v>334</v>
      </c>
      <c r="C67" s="219"/>
      <c r="D67" s="236"/>
      <c r="E67" s="219"/>
      <c r="F67" s="219"/>
      <c r="G67" s="1079"/>
      <c r="H67" s="1079"/>
      <c r="I67" s="1079"/>
      <c r="J67" s="216"/>
    </row>
    <row r="68" spans="1:10" s="215" customFormat="1" ht="18">
      <c r="A68" s="605"/>
      <c r="B68" s="1118" t="s">
        <v>427</v>
      </c>
      <c r="C68" s="1118"/>
      <c r="D68" s="1118"/>
      <c r="E68" s="1118"/>
      <c r="F68" s="1118"/>
      <c r="G68" s="1118"/>
      <c r="H68" s="1118"/>
      <c r="I68" s="1118"/>
      <c r="J68" s="216"/>
    </row>
    <row r="69" spans="1:10" s="215" customFormat="1" ht="18">
      <c r="A69" s="605"/>
      <c r="B69" s="237" t="s">
        <v>326</v>
      </c>
      <c r="C69" s="653"/>
      <c r="D69" s="761"/>
      <c r="E69" s="653"/>
      <c r="F69" s="653"/>
      <c r="G69" s="653"/>
      <c r="H69" s="653"/>
      <c r="I69" s="1080"/>
      <c r="J69" s="216"/>
    </row>
    <row r="70" spans="1:10" s="215" customFormat="1" ht="18">
      <c r="A70" s="605"/>
      <c r="B70" s="729"/>
      <c r="C70" s="238"/>
      <c r="D70" s="238"/>
      <c r="E70" s="238"/>
      <c r="F70" s="238"/>
      <c r="G70" s="238"/>
      <c r="H70" s="238"/>
      <c r="I70" s="238"/>
      <c r="J70" s="216"/>
    </row>
    <row r="71" spans="1:10" ht="18">
      <c r="A71" s="651"/>
      <c r="B71" s="255" t="str">
        <f>B1</f>
        <v>Dayton Power and Light</v>
      </c>
      <c r="C71" s="256"/>
      <c r="D71" s="256"/>
      <c r="E71" s="256"/>
      <c r="F71" s="256"/>
      <c r="G71" s="256"/>
      <c r="H71" s="256"/>
      <c r="I71" s="257"/>
      <c r="J71" s="215"/>
    </row>
    <row r="72" spans="1:10" ht="18">
      <c r="A72" s="651"/>
      <c r="B72" s="1115" t="str">
        <f>+B53</f>
        <v xml:space="preserve">ATTACHMENT H-15A </v>
      </c>
      <c r="C72" s="1115"/>
      <c r="D72" s="1115"/>
      <c r="E72" s="1115"/>
      <c r="F72" s="1115"/>
      <c r="G72" s="1115"/>
      <c r="H72" s="1115"/>
      <c r="I72" s="1115"/>
      <c r="J72" s="215"/>
    </row>
    <row r="73" spans="1:10" ht="18">
      <c r="A73" s="651"/>
      <c r="B73" s="1115" t="str">
        <f>+B3</f>
        <v>Attachment 1C - Accumulated Deferred Income Taxes (ADIT) Worksheet - December 31 of Prior Year</v>
      </c>
      <c r="C73" s="1115"/>
      <c r="D73" s="1115"/>
      <c r="E73" s="1115"/>
      <c r="F73" s="1115"/>
      <c r="G73" s="1115"/>
      <c r="H73" s="1115"/>
      <c r="I73" s="1115"/>
      <c r="J73" s="215"/>
    </row>
    <row r="74" spans="1:10" ht="20.100000000000001" customHeight="1">
      <c r="A74" s="651"/>
      <c r="B74" s="242"/>
      <c r="C74" s="217"/>
      <c r="D74" s="217"/>
      <c r="E74" s="217"/>
      <c r="F74" s="217"/>
      <c r="G74" s="213"/>
      <c r="H74" s="213"/>
      <c r="I74" s="271"/>
      <c r="J74" s="215"/>
    </row>
    <row r="75" spans="1:10" ht="36.75" customHeight="1">
      <c r="A75" s="651"/>
      <c r="B75" s="231" t="s">
        <v>217</v>
      </c>
      <c r="C75" s="232" t="s">
        <v>219</v>
      </c>
      <c r="D75" s="232" t="s">
        <v>222</v>
      </c>
      <c r="E75" s="232" t="s">
        <v>224</v>
      </c>
      <c r="F75" s="232" t="s">
        <v>226</v>
      </c>
      <c r="G75" s="232" t="s">
        <v>228</v>
      </c>
      <c r="H75" s="232" t="str">
        <f>+H56</f>
        <v>G</v>
      </c>
      <c r="I75" s="232" t="s">
        <v>237</v>
      </c>
    </row>
    <row r="76" spans="1:10" ht="33.75" customHeight="1">
      <c r="A76" s="651"/>
      <c r="B76" s="241" t="s">
        <v>335</v>
      </c>
      <c r="C76" s="223" t="s">
        <v>75</v>
      </c>
      <c r="D76" s="244"/>
      <c r="E76" s="244" t="s">
        <v>430</v>
      </c>
      <c r="F76" s="244" t="s">
        <v>272</v>
      </c>
      <c r="G76" s="244" t="s">
        <v>273</v>
      </c>
      <c r="H76" s="232" t="str">
        <f>+H58</f>
        <v>Revenue</v>
      </c>
    </row>
    <row r="77" spans="1:10" ht="36" customHeight="1" thickBot="1">
      <c r="A77" s="651"/>
      <c r="C77" s="223"/>
      <c r="D77" s="223" t="str">
        <f>+D59</f>
        <v>Excluded</v>
      </c>
      <c r="E77" s="223" t="str">
        <f>+E59</f>
        <v>Related</v>
      </c>
      <c r="F77" s="223" t="str">
        <f>+F59</f>
        <v>Related</v>
      </c>
      <c r="G77" s="223" t="str">
        <f>+G59</f>
        <v>Related</v>
      </c>
      <c r="H77" s="232" t="str">
        <f>+H59</f>
        <v>Related</v>
      </c>
    </row>
    <row r="78" spans="1:10" ht="30.75" customHeight="1">
      <c r="A78" s="651">
        <f>+A62+1</f>
        <v>27</v>
      </c>
      <c r="B78" s="561" t="s">
        <v>336</v>
      </c>
      <c r="C78" s="870">
        <v>-6274880</v>
      </c>
      <c r="D78" s="870">
        <v>0</v>
      </c>
      <c r="E78" s="870">
        <v>0</v>
      </c>
      <c r="F78" s="870">
        <v>0</v>
      </c>
      <c r="G78" s="870">
        <f>+C78</f>
        <v>-6274880</v>
      </c>
      <c r="H78" s="892">
        <v>0</v>
      </c>
      <c r="I78" s="1005" t="s">
        <v>337</v>
      </c>
    </row>
    <row r="79" spans="1:10" ht="43.5" customHeight="1">
      <c r="A79" s="651">
        <f>+A78+1</f>
        <v>28</v>
      </c>
      <c r="B79" s="563" t="s">
        <v>338</v>
      </c>
      <c r="C79" s="873">
        <v>-2045670</v>
      </c>
      <c r="D79" s="873">
        <v>0</v>
      </c>
      <c r="E79" s="873">
        <v>0</v>
      </c>
      <c r="F79" s="873">
        <f>+C79</f>
        <v>-2045670</v>
      </c>
      <c r="G79" s="873">
        <v>0</v>
      </c>
      <c r="H79" s="874">
        <v>0</v>
      </c>
      <c r="I79" s="661" t="s">
        <v>339</v>
      </c>
    </row>
    <row r="80" spans="1:10" ht="40.5" customHeight="1">
      <c r="A80" s="651">
        <f t="shared" ref="A80:A88" si="7">+A79+1</f>
        <v>29</v>
      </c>
      <c r="B80" s="563" t="s">
        <v>340</v>
      </c>
      <c r="C80" s="873">
        <v>-27592052</v>
      </c>
      <c r="D80" s="873">
        <v>0</v>
      </c>
      <c r="E80" s="873">
        <v>0</v>
      </c>
      <c r="F80" s="873">
        <v>0</v>
      </c>
      <c r="G80" s="873">
        <f>+C80</f>
        <v>-27592052</v>
      </c>
      <c r="H80" s="874">
        <v>0</v>
      </c>
      <c r="I80" s="661" t="s">
        <v>341</v>
      </c>
    </row>
    <row r="81" spans="1:10" s="842" customFormat="1" ht="33" customHeight="1">
      <c r="A81" s="1007">
        <f t="shared" si="7"/>
        <v>30</v>
      </c>
      <c r="B81" s="1008" t="s">
        <v>342</v>
      </c>
      <c r="C81" s="885">
        <v>-16174600</v>
      </c>
      <c r="D81" s="885">
        <f>+C81</f>
        <v>-16174600</v>
      </c>
      <c r="E81" s="885">
        <v>0</v>
      </c>
      <c r="F81" s="885">
        <v>0</v>
      </c>
      <c r="G81" s="885">
        <v>0</v>
      </c>
      <c r="H81" s="886">
        <v>0</v>
      </c>
      <c r="I81" s="661" t="s">
        <v>343</v>
      </c>
    </row>
    <row r="82" spans="1:10" ht="25.15" customHeight="1">
      <c r="A82" s="651">
        <f t="shared" si="7"/>
        <v>31</v>
      </c>
      <c r="B82" s="811" t="s">
        <v>344</v>
      </c>
      <c r="C82" s="873">
        <v>25424293</v>
      </c>
      <c r="D82" s="873">
        <v>0</v>
      </c>
      <c r="E82" s="873">
        <v>0</v>
      </c>
      <c r="F82" s="873">
        <f>+C82</f>
        <v>25424293</v>
      </c>
      <c r="G82" s="873">
        <v>0</v>
      </c>
      <c r="H82" s="874">
        <v>0</v>
      </c>
      <c r="I82" s="657" t="s">
        <v>300</v>
      </c>
    </row>
    <row r="83" spans="1:10" ht="25.15" customHeight="1">
      <c r="A83" s="651">
        <f t="shared" si="7"/>
        <v>32</v>
      </c>
      <c r="B83" s="563" t="s">
        <v>345</v>
      </c>
      <c r="C83" s="873">
        <v>1033045</v>
      </c>
      <c r="D83" s="873">
        <v>0</v>
      </c>
      <c r="E83" s="873">
        <v>0</v>
      </c>
      <c r="F83" s="873">
        <v>0</v>
      </c>
      <c r="G83" s="873">
        <f>+C83</f>
        <v>1033045</v>
      </c>
      <c r="H83" s="874">
        <v>0</v>
      </c>
      <c r="I83" s="661" t="s">
        <v>346</v>
      </c>
    </row>
    <row r="84" spans="1:10" ht="25.15" customHeight="1" thickBot="1">
      <c r="A84" s="651">
        <f>+A83+1</f>
        <v>33</v>
      </c>
      <c r="B84" s="563" t="s">
        <v>315</v>
      </c>
      <c r="C84" s="873">
        <v>17931915</v>
      </c>
      <c r="D84" s="873">
        <f>+C84</f>
        <v>17931915</v>
      </c>
      <c r="E84" s="873">
        <v>0</v>
      </c>
      <c r="F84" s="873">
        <v>0</v>
      </c>
      <c r="G84" s="873">
        <v>0</v>
      </c>
      <c r="H84" s="874">
        <v>0</v>
      </c>
      <c r="I84" s="661" t="s">
        <v>431</v>
      </c>
    </row>
    <row r="85" spans="1:10" s="218" customFormat="1" ht="35.1" customHeight="1">
      <c r="A85" s="651">
        <f t="shared" si="7"/>
        <v>34</v>
      </c>
      <c r="B85" s="258" t="s">
        <v>348</v>
      </c>
      <c r="C85" s="887">
        <f t="shared" ref="C85:H85" si="8">SUM(C78:C84)</f>
        <v>-7697949</v>
      </c>
      <c r="D85" s="887">
        <f t="shared" si="8"/>
        <v>1757315</v>
      </c>
      <c r="E85" s="887">
        <f t="shared" si="8"/>
        <v>0</v>
      </c>
      <c r="F85" s="887">
        <f t="shared" si="8"/>
        <v>23378623</v>
      </c>
      <c r="G85" s="887">
        <f t="shared" si="8"/>
        <v>-32833887</v>
      </c>
      <c r="H85" s="887">
        <f t="shared" si="8"/>
        <v>0</v>
      </c>
      <c r="I85" s="259"/>
      <c r="J85" s="216"/>
    </row>
    <row r="86" spans="1:10" s="218" customFormat="1" ht="15.6" customHeight="1">
      <c r="A86" s="651">
        <f t="shared" si="7"/>
        <v>35</v>
      </c>
      <c r="B86" s="246" t="s">
        <v>349</v>
      </c>
      <c r="C86" s="877">
        <f>+C82</f>
        <v>25424293</v>
      </c>
      <c r="D86" s="877">
        <f>+D82</f>
        <v>0</v>
      </c>
      <c r="E86" s="877">
        <f>+E82</f>
        <v>0</v>
      </c>
      <c r="F86" s="877">
        <f>+F82</f>
        <v>25424293</v>
      </c>
      <c r="G86" s="877">
        <f>+G82</f>
        <v>0</v>
      </c>
      <c r="H86" s="893">
        <v>0</v>
      </c>
      <c r="I86" s="247"/>
      <c r="J86" s="216"/>
    </row>
    <row r="87" spans="1:10" s="218" customFormat="1" ht="15.6" customHeight="1">
      <c r="A87" s="651">
        <f t="shared" si="7"/>
        <v>36</v>
      </c>
      <c r="B87" s="640" t="s">
        <v>350</v>
      </c>
      <c r="C87" s="888">
        <f>+C79</f>
        <v>-2045670</v>
      </c>
      <c r="D87" s="888">
        <f>+D79</f>
        <v>0</v>
      </c>
      <c r="E87" s="888">
        <f>+E79</f>
        <v>0</v>
      </c>
      <c r="F87" s="888">
        <f>+F79</f>
        <v>-2045670</v>
      </c>
      <c r="G87" s="888">
        <f>+G79</f>
        <v>0</v>
      </c>
      <c r="H87" s="894">
        <v>0</v>
      </c>
      <c r="I87" s="641" t="s">
        <v>351</v>
      </c>
      <c r="J87" s="216"/>
    </row>
    <row r="88" spans="1:10" s="218" customFormat="1" ht="35.1" customHeight="1" thickBot="1">
      <c r="A88" s="651">
        <f t="shared" si="7"/>
        <v>37</v>
      </c>
      <c r="B88" s="559" t="s">
        <v>75</v>
      </c>
      <c r="C88" s="880">
        <f>+C85-C86-C87</f>
        <v>-31076572</v>
      </c>
      <c r="D88" s="880">
        <f t="shared" ref="D88:H88" si="9">+D85-D86-D87</f>
        <v>1757315</v>
      </c>
      <c r="E88" s="880">
        <f t="shared" si="9"/>
        <v>0</v>
      </c>
      <c r="F88" s="880">
        <f t="shared" si="9"/>
        <v>0</v>
      </c>
      <c r="G88" s="880">
        <f t="shared" si="9"/>
        <v>-32833887</v>
      </c>
      <c r="H88" s="880">
        <f t="shared" si="9"/>
        <v>0</v>
      </c>
      <c r="I88" s="558"/>
    </row>
    <row r="89" spans="1:10" ht="28.15" customHeight="1">
      <c r="A89" s="651"/>
      <c r="B89" s="58" t="s">
        <v>352</v>
      </c>
      <c r="C89" s="58"/>
      <c r="D89" s="58"/>
      <c r="E89" s="73"/>
      <c r="F89" s="73"/>
      <c r="G89" s="218"/>
      <c r="H89" s="218"/>
      <c r="I89" s="250"/>
      <c r="J89" s="218"/>
    </row>
    <row r="90" spans="1:10" ht="19.149999999999999" customHeight="1">
      <c r="A90" s="651"/>
      <c r="B90" s="254" t="str">
        <f>+B64</f>
        <v>1.  ADIT items related only to Non-Electric Operations or Production are directly assigned to Column C</v>
      </c>
      <c r="C90" s="219"/>
      <c r="D90" s="236"/>
      <c r="E90" s="219"/>
      <c r="F90" s="219"/>
      <c r="G90" s="1079"/>
      <c r="H90" s="1079"/>
      <c r="I90" s="1079"/>
    </row>
    <row r="91" spans="1:10" ht="18.600000000000001" customHeight="1">
      <c r="A91" s="651"/>
      <c r="B91" s="254" t="s">
        <v>322</v>
      </c>
      <c r="C91" s="219"/>
      <c r="D91" s="236"/>
      <c r="E91" s="219"/>
      <c r="F91" s="219"/>
      <c r="G91" s="1079"/>
      <c r="H91" s="1079"/>
      <c r="I91" s="1079"/>
    </row>
    <row r="92" spans="1:10" ht="15" customHeight="1">
      <c r="A92" s="651"/>
      <c r="B92" s="254" t="s">
        <v>333</v>
      </c>
      <c r="C92" s="219"/>
      <c r="D92" s="236"/>
      <c r="E92" s="219"/>
      <c r="F92" s="219"/>
      <c r="G92" s="1079"/>
      <c r="H92" s="1079"/>
      <c r="I92" s="1079"/>
    </row>
    <row r="93" spans="1:10" ht="15.75">
      <c r="A93" s="651"/>
      <c r="B93" s="254" t="s">
        <v>334</v>
      </c>
      <c r="C93" s="219"/>
      <c r="D93" s="236"/>
      <c r="E93" s="219"/>
      <c r="F93" s="219"/>
      <c r="G93" s="1079"/>
      <c r="H93" s="1079"/>
      <c r="I93" s="1079"/>
    </row>
    <row r="94" spans="1:10" ht="15.75" customHeight="1">
      <c r="A94" s="651"/>
      <c r="B94" s="1118" t="s">
        <v>427</v>
      </c>
      <c r="C94" s="1118"/>
      <c r="D94" s="1118"/>
      <c r="E94" s="1118"/>
      <c r="F94" s="1118"/>
      <c r="G94" s="1118"/>
      <c r="H94" s="1118"/>
      <c r="I94" s="1118"/>
    </row>
    <row r="95" spans="1:10" ht="15.75" customHeight="1">
      <c r="A95" s="651"/>
      <c r="B95" s="237" t="s">
        <v>326</v>
      </c>
      <c r="C95" s="653"/>
      <c r="D95" s="761"/>
      <c r="E95" s="653"/>
      <c r="F95" s="653"/>
      <c r="G95" s="653"/>
      <c r="H95" s="653"/>
      <c r="I95" s="1080"/>
    </row>
    <row r="96" spans="1:10" ht="15.75">
      <c r="A96" s="651"/>
      <c r="B96" s="251"/>
      <c r="C96" s="252"/>
      <c r="D96" s="252"/>
      <c r="E96" s="252"/>
      <c r="F96" s="252"/>
      <c r="G96" s="252"/>
      <c r="H96" s="252"/>
      <c r="I96" s="252"/>
    </row>
    <row r="97" spans="1:9" ht="15.75">
      <c r="A97" s="651"/>
      <c r="B97" s="1116"/>
      <c r="C97" s="1116"/>
      <c r="D97" s="1116"/>
      <c r="E97" s="1116"/>
      <c r="F97" s="1116"/>
      <c r="G97" s="1116"/>
      <c r="H97" s="1116"/>
      <c r="I97" s="1116"/>
    </row>
    <row r="98" spans="1:9">
      <c r="A98" s="651"/>
      <c r="B98" s="58"/>
      <c r="C98" s="58"/>
      <c r="D98" s="58"/>
      <c r="E98" s="58"/>
      <c r="F98" s="58"/>
      <c r="G98" s="58"/>
      <c r="H98" s="58"/>
      <c r="I98" s="58"/>
    </row>
    <row r="99" spans="1:9">
      <c r="A99" s="651"/>
      <c r="B99" s="58"/>
      <c r="C99" s="58"/>
      <c r="D99" s="58"/>
      <c r="E99" s="58"/>
      <c r="F99" s="58"/>
      <c r="G99" s="58"/>
      <c r="H99" s="58"/>
      <c r="I99" s="58"/>
    </row>
    <row r="100" spans="1:9">
      <c r="A100" s="651"/>
      <c r="B100" s="58"/>
      <c r="C100" s="58"/>
      <c r="D100" s="58"/>
      <c r="E100" s="58"/>
      <c r="F100" s="58"/>
      <c r="G100" s="58"/>
      <c r="H100" s="58"/>
      <c r="I100" s="58"/>
    </row>
    <row r="101" spans="1:9" ht="15.75">
      <c r="A101" s="651"/>
      <c r="B101" s="219"/>
      <c r="C101" s="58"/>
      <c r="D101" s="253"/>
      <c r="E101" s="253"/>
      <c r="F101" s="253"/>
      <c r="G101" s="253"/>
      <c r="H101" s="253"/>
      <c r="I101" s="253"/>
    </row>
    <row r="102" spans="1:9" ht="15.75">
      <c r="B102" s="219"/>
      <c r="C102" s="58"/>
      <c r="D102" s="253"/>
      <c r="E102" s="253"/>
      <c r="F102" s="253"/>
      <c r="G102" s="253"/>
      <c r="H102" s="253"/>
      <c r="I102" s="253"/>
    </row>
    <row r="103" spans="1:9">
      <c r="B103" s="254"/>
      <c r="C103" s="58"/>
      <c r="D103" s="73"/>
      <c r="E103" s="73"/>
      <c r="F103" s="58"/>
      <c r="G103" s="58"/>
      <c r="H103" s="58"/>
      <c r="I103" s="58"/>
    </row>
    <row r="104" spans="1:9">
      <c r="B104" s="254"/>
      <c r="C104" s="58"/>
      <c r="D104" s="26"/>
      <c r="E104" s="26"/>
      <c r="F104" s="58"/>
      <c r="G104" s="58"/>
      <c r="H104" s="58"/>
      <c r="I104" s="58"/>
    </row>
    <row r="105" spans="1:9">
      <c r="B105" s="254"/>
      <c r="C105" s="58"/>
      <c r="D105" s="26"/>
      <c r="E105" s="26"/>
      <c r="F105" s="58"/>
      <c r="G105" s="58"/>
      <c r="H105" s="58"/>
      <c r="I105" s="58"/>
    </row>
    <row r="106" spans="1:9">
      <c r="B106" s="254"/>
      <c r="C106" s="58"/>
      <c r="D106" s="26"/>
      <c r="E106" s="26"/>
      <c r="F106" s="58"/>
      <c r="G106" s="58"/>
      <c r="H106" s="58"/>
      <c r="I106" s="58"/>
    </row>
    <row r="107" spans="1:9">
      <c r="B107" s="254"/>
      <c r="C107" s="58"/>
      <c r="D107" s="26"/>
      <c r="E107" s="26"/>
      <c r="F107" s="58"/>
      <c r="G107" s="58"/>
      <c r="H107" s="58"/>
      <c r="I107" s="58"/>
    </row>
    <row r="108" spans="1:9">
      <c r="B108" s="254"/>
      <c r="C108" s="58"/>
      <c r="D108" s="26"/>
      <c r="E108" s="26"/>
      <c r="F108" s="58"/>
      <c r="G108" s="58"/>
      <c r="H108" s="58"/>
      <c r="I108" s="58"/>
    </row>
    <row r="109" spans="1:9">
      <c r="B109" s="254"/>
      <c r="C109" s="58"/>
      <c r="D109" s="26"/>
      <c r="E109" s="26"/>
      <c r="F109" s="58"/>
      <c r="G109" s="58"/>
      <c r="H109" s="58"/>
      <c r="I109" s="58"/>
    </row>
    <row r="110" spans="1:9">
      <c r="B110" s="254"/>
      <c r="C110" s="58"/>
      <c r="D110" s="26"/>
      <c r="E110" s="26"/>
      <c r="F110" s="58"/>
      <c r="G110" s="58"/>
      <c r="H110" s="58"/>
      <c r="I110" s="58"/>
    </row>
    <row r="111" spans="1:9">
      <c r="B111" s="254"/>
      <c r="C111" s="58"/>
      <c r="D111" s="26"/>
      <c r="E111" s="26"/>
      <c r="F111" s="58"/>
      <c r="G111" s="58"/>
      <c r="H111" s="58"/>
      <c r="I111" s="58"/>
    </row>
    <row r="112" spans="1:9">
      <c r="B112" s="254"/>
      <c r="C112" s="58"/>
      <c r="D112" s="26"/>
      <c r="E112" s="26"/>
      <c r="F112" s="58"/>
      <c r="G112" s="58"/>
      <c r="H112" s="58"/>
      <c r="I112" s="58"/>
    </row>
    <row r="113" spans="2:9">
      <c r="B113" s="254"/>
      <c r="C113" s="58"/>
      <c r="D113" s="26"/>
      <c r="E113" s="26"/>
      <c r="F113" s="58"/>
      <c r="G113" s="58"/>
      <c r="H113" s="58"/>
      <c r="I113" s="58"/>
    </row>
    <row r="114" spans="2:9">
      <c r="B114" s="58"/>
      <c r="C114" s="58"/>
      <c r="D114" s="26"/>
      <c r="E114" s="26"/>
      <c r="F114" s="58"/>
      <c r="G114" s="58"/>
      <c r="H114" s="58"/>
      <c r="I114" s="58"/>
    </row>
    <row r="115" spans="2:9">
      <c r="B115" s="254"/>
      <c r="C115" s="58"/>
      <c r="D115" s="26"/>
      <c r="E115" s="26"/>
      <c r="F115" s="58"/>
      <c r="G115" s="58"/>
      <c r="H115" s="58"/>
      <c r="I115" s="58"/>
    </row>
    <row r="116" spans="2:9">
      <c r="B116" s="58"/>
      <c r="C116" s="58"/>
      <c r="D116" s="26"/>
      <c r="E116" s="26"/>
      <c r="F116" s="58"/>
      <c r="G116" s="58"/>
      <c r="H116" s="58"/>
      <c r="I116" s="58"/>
    </row>
    <row r="117" spans="2:9">
      <c r="B117" s="254"/>
      <c r="C117" s="58"/>
      <c r="D117" s="58"/>
      <c r="E117" s="58"/>
      <c r="F117" s="58"/>
      <c r="G117" s="58"/>
      <c r="H117" s="58"/>
      <c r="I117" s="58"/>
    </row>
    <row r="118" spans="2:9">
      <c r="B118" s="254"/>
      <c r="C118" s="58"/>
      <c r="D118" s="58"/>
      <c r="E118" s="58"/>
      <c r="F118" s="58"/>
      <c r="G118" s="58"/>
      <c r="H118" s="58"/>
      <c r="I118" s="58"/>
    </row>
    <row r="119" spans="2:9">
      <c r="B119" s="254"/>
      <c r="C119" s="58"/>
      <c r="D119" s="58"/>
      <c r="E119" s="58"/>
      <c r="F119" s="58"/>
      <c r="G119" s="58"/>
      <c r="H119" s="58"/>
      <c r="I119" s="58"/>
    </row>
    <row r="120" spans="2:9">
      <c r="B120" s="254"/>
      <c r="C120" s="58"/>
      <c r="D120" s="58"/>
      <c r="E120" s="58"/>
      <c r="F120" s="58"/>
      <c r="G120" s="58"/>
      <c r="H120" s="58"/>
      <c r="I120" s="58"/>
    </row>
    <row r="121" spans="2:9">
      <c r="B121" s="254"/>
      <c r="C121" s="58"/>
      <c r="D121" s="58"/>
      <c r="E121" s="58"/>
      <c r="F121" s="58"/>
      <c r="G121" s="58"/>
      <c r="H121" s="58"/>
      <c r="I121" s="58"/>
    </row>
    <row r="122" spans="2:9">
      <c r="B122" s="254"/>
      <c r="C122" s="58"/>
      <c r="D122" s="58"/>
      <c r="E122" s="58"/>
      <c r="F122" s="58"/>
      <c r="G122" s="58"/>
      <c r="H122" s="58"/>
      <c r="I122" s="58"/>
    </row>
    <row r="123" spans="2:9">
      <c r="B123" s="254"/>
      <c r="C123" s="58"/>
      <c r="D123" s="58"/>
      <c r="E123" s="58"/>
      <c r="F123" s="58"/>
      <c r="G123" s="58"/>
      <c r="H123" s="58"/>
      <c r="I123" s="58"/>
    </row>
    <row r="124" spans="2:9">
      <c r="B124" s="254"/>
      <c r="C124" s="58"/>
      <c r="D124" s="58"/>
      <c r="E124" s="58"/>
      <c r="F124" s="58"/>
      <c r="G124" s="58"/>
      <c r="H124" s="58"/>
      <c r="I124" s="58"/>
    </row>
    <row r="125" spans="2:9">
      <c r="B125" s="254"/>
      <c r="C125" s="58"/>
      <c r="D125" s="58"/>
      <c r="E125" s="58"/>
      <c r="F125" s="58"/>
      <c r="G125" s="58"/>
      <c r="H125" s="58"/>
      <c r="I125" s="58"/>
    </row>
    <row r="126" spans="2:9">
      <c r="B126" s="254"/>
      <c r="C126" s="58"/>
      <c r="D126" s="58"/>
      <c r="E126" s="58"/>
      <c r="F126" s="58"/>
      <c r="G126" s="58"/>
      <c r="H126" s="58"/>
      <c r="I126" s="58"/>
    </row>
    <row r="127" spans="2:9">
      <c r="B127" s="254"/>
      <c r="C127" s="58"/>
      <c r="D127" s="58"/>
      <c r="E127" s="58"/>
      <c r="F127" s="58"/>
      <c r="G127" s="58"/>
      <c r="H127" s="58"/>
      <c r="I127" s="58"/>
    </row>
    <row r="128" spans="2:9">
      <c r="B128" s="254"/>
      <c r="C128" s="58"/>
      <c r="D128" s="58"/>
      <c r="E128" s="58"/>
      <c r="F128" s="58"/>
      <c r="G128" s="58"/>
      <c r="H128" s="58"/>
      <c r="I128" s="58"/>
    </row>
    <row r="129" spans="2:9">
      <c r="B129" s="254"/>
      <c r="C129" s="58"/>
      <c r="D129" s="58"/>
      <c r="E129" s="58"/>
      <c r="F129" s="58"/>
      <c r="G129" s="58"/>
      <c r="H129" s="58"/>
      <c r="I129" s="58"/>
    </row>
    <row r="130" spans="2:9">
      <c r="B130" s="254"/>
      <c r="C130" s="58"/>
      <c r="D130" s="58"/>
      <c r="E130" s="58"/>
      <c r="F130" s="58"/>
      <c r="G130" s="58"/>
      <c r="H130" s="58"/>
      <c r="I130" s="58"/>
    </row>
    <row r="131" spans="2:9">
      <c r="B131" s="254"/>
      <c r="C131" s="58"/>
      <c r="D131" s="58"/>
      <c r="E131" s="58"/>
      <c r="F131" s="58"/>
      <c r="G131" s="58"/>
      <c r="H131" s="58"/>
      <c r="I131" s="58"/>
    </row>
    <row r="132" spans="2:9">
      <c r="B132" s="254"/>
      <c r="C132" s="58"/>
      <c r="D132" s="58"/>
      <c r="E132" s="58"/>
      <c r="F132" s="58"/>
      <c r="G132" s="58"/>
      <c r="H132" s="58"/>
      <c r="I132" s="58"/>
    </row>
    <row r="133" spans="2:9">
      <c r="B133" s="254"/>
      <c r="C133" s="58"/>
      <c r="D133" s="58"/>
      <c r="E133" s="58"/>
      <c r="F133" s="58"/>
      <c r="G133" s="58"/>
      <c r="H133" s="58"/>
      <c r="I133" s="58"/>
    </row>
    <row r="134" spans="2:9">
      <c r="B134" s="254"/>
      <c r="C134" s="58"/>
      <c r="D134" s="58"/>
      <c r="E134" s="58"/>
      <c r="F134" s="58"/>
      <c r="G134" s="58"/>
      <c r="H134" s="58"/>
      <c r="I134" s="58"/>
    </row>
    <row r="135" spans="2:9">
      <c r="B135" s="254"/>
      <c r="C135" s="58"/>
      <c r="D135" s="58"/>
      <c r="E135" s="58"/>
      <c r="F135" s="58"/>
      <c r="G135" s="58"/>
      <c r="H135" s="58"/>
      <c r="I135" s="58"/>
    </row>
    <row r="136" spans="2:9">
      <c r="B136" s="254"/>
      <c r="C136" s="58"/>
      <c r="D136" s="58"/>
      <c r="E136" s="58"/>
      <c r="F136" s="58"/>
      <c r="G136" s="58"/>
      <c r="H136" s="58"/>
      <c r="I136" s="58"/>
    </row>
    <row r="137" spans="2:9">
      <c r="B137" s="254"/>
      <c r="C137" s="58"/>
      <c r="D137" s="58"/>
      <c r="E137" s="58"/>
      <c r="F137" s="58"/>
      <c r="G137" s="58"/>
      <c r="H137" s="58"/>
      <c r="I137" s="58"/>
    </row>
    <row r="138" spans="2:9">
      <c r="B138" s="254"/>
      <c r="C138" s="58"/>
      <c r="D138" s="58"/>
      <c r="E138" s="58"/>
      <c r="F138" s="58"/>
      <c r="G138" s="58"/>
      <c r="H138" s="58"/>
      <c r="I138" s="58"/>
    </row>
    <row r="139" spans="2:9">
      <c r="B139" s="254"/>
      <c r="C139" s="58"/>
      <c r="D139" s="58"/>
      <c r="E139" s="58"/>
      <c r="F139" s="58"/>
      <c r="G139" s="58"/>
      <c r="H139" s="58"/>
      <c r="I139" s="58"/>
    </row>
    <row r="140" spans="2:9">
      <c r="B140" s="254"/>
      <c r="C140" s="58"/>
      <c r="D140" s="58"/>
      <c r="E140" s="58"/>
      <c r="F140" s="58"/>
      <c r="G140" s="58"/>
      <c r="H140" s="58"/>
      <c r="I140" s="58"/>
    </row>
    <row r="141" spans="2:9">
      <c r="B141" s="254"/>
      <c r="C141" s="58"/>
      <c r="D141" s="58"/>
      <c r="E141" s="58"/>
      <c r="F141" s="58"/>
      <c r="G141" s="58"/>
      <c r="H141" s="58"/>
      <c r="I141" s="58"/>
    </row>
    <row r="142" spans="2:9">
      <c r="B142" s="254"/>
      <c r="C142" s="58"/>
      <c r="D142" s="58"/>
      <c r="E142" s="58"/>
      <c r="F142" s="58"/>
      <c r="G142" s="58"/>
      <c r="H142" s="58"/>
      <c r="I142" s="58"/>
    </row>
    <row r="143" spans="2:9">
      <c r="B143" s="254"/>
      <c r="C143" s="58"/>
      <c r="D143" s="58"/>
      <c r="E143" s="58"/>
      <c r="F143" s="58"/>
      <c r="G143" s="58"/>
      <c r="H143" s="58"/>
      <c r="I143" s="58"/>
    </row>
    <row r="144" spans="2:9">
      <c r="B144" s="254"/>
      <c r="C144" s="58"/>
      <c r="D144" s="58"/>
      <c r="E144" s="58"/>
      <c r="F144" s="58"/>
      <c r="G144" s="58"/>
      <c r="H144" s="58"/>
      <c r="I144" s="58"/>
    </row>
    <row r="145" spans="2:9">
      <c r="B145" s="254"/>
      <c r="C145" s="58"/>
      <c r="D145" s="58"/>
      <c r="E145" s="58"/>
      <c r="F145" s="58"/>
      <c r="G145" s="58"/>
      <c r="H145" s="58"/>
      <c r="I145" s="58"/>
    </row>
    <row r="146" spans="2:9">
      <c r="B146" s="254"/>
      <c r="C146" s="58"/>
      <c r="D146" s="58"/>
      <c r="E146" s="58"/>
      <c r="F146" s="58"/>
      <c r="G146" s="58"/>
      <c r="H146" s="58"/>
      <c r="I146" s="58"/>
    </row>
    <row r="147" spans="2:9">
      <c r="B147" s="254"/>
      <c r="C147" s="58"/>
      <c r="D147" s="58"/>
      <c r="E147" s="58"/>
      <c r="F147" s="58"/>
      <c r="G147" s="58"/>
      <c r="H147" s="58"/>
      <c r="I147" s="58"/>
    </row>
    <row r="148" spans="2:9">
      <c r="B148" s="254"/>
      <c r="C148" s="58"/>
      <c r="D148" s="58"/>
      <c r="E148" s="58"/>
      <c r="F148" s="58"/>
      <c r="G148" s="58"/>
      <c r="H148" s="58"/>
      <c r="I148" s="58"/>
    </row>
    <row r="149" spans="2:9">
      <c r="B149" s="254"/>
      <c r="C149" s="58"/>
      <c r="D149" s="58"/>
      <c r="E149" s="58"/>
      <c r="F149" s="58"/>
      <c r="G149" s="58"/>
      <c r="H149" s="58"/>
      <c r="I149" s="58"/>
    </row>
    <row r="150" spans="2:9">
      <c r="B150" s="254"/>
      <c r="C150" s="58"/>
      <c r="D150" s="58"/>
      <c r="E150" s="58"/>
      <c r="F150" s="58"/>
      <c r="G150" s="58"/>
      <c r="H150" s="58"/>
      <c r="I150" s="58"/>
    </row>
    <row r="151" spans="2:9">
      <c r="B151" s="254"/>
      <c r="C151" s="58"/>
      <c r="D151" s="58"/>
      <c r="E151" s="58"/>
      <c r="F151" s="58"/>
      <c r="G151" s="58"/>
      <c r="H151" s="58"/>
      <c r="I151" s="58"/>
    </row>
    <row r="152" spans="2:9">
      <c r="B152" s="254"/>
      <c r="C152" s="58"/>
      <c r="D152" s="58"/>
      <c r="E152" s="58"/>
      <c r="F152" s="58"/>
      <c r="G152" s="58"/>
      <c r="H152" s="58"/>
      <c r="I152" s="58"/>
    </row>
    <row r="153" spans="2:9">
      <c r="B153" s="254"/>
      <c r="C153" s="58"/>
      <c r="D153" s="58"/>
      <c r="E153" s="58"/>
      <c r="F153" s="58"/>
      <c r="G153" s="58"/>
      <c r="H153" s="58"/>
      <c r="I153" s="58"/>
    </row>
    <row r="154" spans="2:9">
      <c r="B154" s="254"/>
      <c r="C154" s="58"/>
      <c r="D154" s="58"/>
      <c r="E154" s="58"/>
      <c r="F154" s="58"/>
      <c r="G154" s="58"/>
      <c r="H154" s="58"/>
      <c r="I154" s="58"/>
    </row>
    <row r="155" spans="2:9">
      <c r="B155" s="254"/>
      <c r="C155" s="58"/>
      <c r="D155" s="58"/>
      <c r="E155" s="58"/>
      <c r="F155" s="58"/>
      <c r="G155" s="58"/>
      <c r="H155" s="58"/>
      <c r="I155" s="58"/>
    </row>
    <row r="156" spans="2:9">
      <c r="B156" s="254"/>
      <c r="C156" s="58"/>
      <c r="D156" s="58"/>
      <c r="E156" s="58"/>
      <c r="F156" s="58"/>
      <c r="G156" s="58"/>
      <c r="H156" s="58"/>
      <c r="I156" s="58"/>
    </row>
    <row r="157" spans="2:9">
      <c r="B157" s="254"/>
      <c r="C157" s="58"/>
      <c r="D157" s="58"/>
      <c r="E157" s="58"/>
      <c r="F157" s="58"/>
      <c r="G157" s="58"/>
      <c r="H157" s="58"/>
      <c r="I157" s="58"/>
    </row>
    <row r="158" spans="2:9">
      <c r="B158" s="254"/>
      <c r="C158" s="58"/>
      <c r="D158" s="58"/>
      <c r="E158" s="58"/>
      <c r="F158" s="58"/>
      <c r="G158" s="58"/>
      <c r="H158" s="58"/>
      <c r="I158" s="58"/>
    </row>
    <row r="159" spans="2:9">
      <c r="B159" s="254"/>
      <c r="C159" s="58"/>
      <c r="D159" s="58"/>
      <c r="E159" s="58"/>
      <c r="F159" s="58"/>
      <c r="G159" s="58"/>
      <c r="H159" s="58"/>
      <c r="I159" s="58"/>
    </row>
    <row r="160" spans="2:9">
      <c r="B160" s="254"/>
      <c r="C160" s="58"/>
      <c r="D160" s="58"/>
      <c r="E160" s="58"/>
      <c r="F160" s="58"/>
      <c r="G160" s="58"/>
      <c r="H160" s="58"/>
      <c r="I160" s="58"/>
    </row>
    <row r="161" spans="2:9">
      <c r="B161" s="254"/>
      <c r="C161" s="58"/>
      <c r="D161" s="58"/>
      <c r="E161" s="58"/>
      <c r="F161" s="58"/>
      <c r="G161" s="58"/>
      <c r="H161" s="58"/>
      <c r="I161" s="58"/>
    </row>
    <row r="162" spans="2:9">
      <c r="B162" s="254"/>
      <c r="C162" s="58"/>
      <c r="D162" s="58"/>
      <c r="E162" s="58"/>
      <c r="F162" s="58"/>
      <c r="G162" s="58"/>
      <c r="H162" s="58"/>
      <c r="I162" s="58"/>
    </row>
    <row r="163" spans="2:9">
      <c r="B163" s="254"/>
      <c r="C163" s="58"/>
      <c r="D163" s="58"/>
      <c r="E163" s="58"/>
      <c r="F163" s="58"/>
      <c r="G163" s="58"/>
      <c r="H163" s="58"/>
      <c r="I163" s="58"/>
    </row>
    <row r="164" spans="2:9">
      <c r="B164" s="254"/>
      <c r="C164" s="58"/>
      <c r="D164" s="58"/>
      <c r="E164" s="58"/>
      <c r="F164" s="58"/>
      <c r="G164" s="58"/>
      <c r="H164" s="58"/>
      <c r="I164" s="58"/>
    </row>
    <row r="165" spans="2:9">
      <c r="B165" s="254"/>
      <c r="C165" s="58"/>
      <c r="D165" s="58"/>
      <c r="E165" s="58"/>
      <c r="F165" s="58"/>
      <c r="G165" s="58"/>
      <c r="H165" s="58"/>
      <c r="I165" s="58"/>
    </row>
    <row r="166" spans="2:9">
      <c r="B166" s="254"/>
      <c r="C166" s="58"/>
      <c r="D166" s="58"/>
      <c r="E166" s="58"/>
      <c r="F166" s="58"/>
      <c r="G166" s="58"/>
      <c r="H166" s="58"/>
      <c r="I166" s="58"/>
    </row>
    <row r="167" spans="2:9">
      <c r="B167" s="254"/>
      <c r="C167" s="58"/>
      <c r="D167" s="58"/>
      <c r="E167" s="58"/>
      <c r="F167" s="58"/>
      <c r="G167" s="58"/>
      <c r="H167" s="58"/>
      <c r="I167" s="58"/>
    </row>
    <row r="168" spans="2:9">
      <c r="B168" s="254"/>
      <c r="C168" s="58"/>
      <c r="D168" s="58"/>
      <c r="E168" s="58"/>
      <c r="F168" s="58"/>
      <c r="G168" s="58"/>
      <c r="H168" s="58"/>
      <c r="I168" s="58"/>
    </row>
    <row r="169" spans="2:9">
      <c r="B169" s="254"/>
      <c r="C169" s="58"/>
      <c r="D169" s="58"/>
      <c r="E169" s="58"/>
      <c r="F169" s="58"/>
      <c r="G169" s="58"/>
      <c r="H169" s="58"/>
      <c r="I169" s="58"/>
    </row>
    <row r="170" spans="2:9">
      <c r="B170" s="254"/>
      <c r="C170" s="58"/>
      <c r="D170" s="58"/>
      <c r="E170" s="58"/>
      <c r="F170" s="58"/>
      <c r="G170" s="58"/>
      <c r="H170" s="58"/>
      <c r="I170" s="58"/>
    </row>
    <row r="171" spans="2:9">
      <c r="B171" s="254"/>
      <c r="C171" s="58"/>
      <c r="D171" s="58"/>
      <c r="E171" s="58"/>
      <c r="F171" s="58"/>
      <c r="G171" s="58"/>
      <c r="H171" s="58"/>
      <c r="I171" s="58"/>
    </row>
    <row r="172" spans="2:9">
      <c r="B172" s="254"/>
      <c r="C172" s="58"/>
      <c r="D172" s="58"/>
      <c r="E172" s="58"/>
      <c r="F172" s="58"/>
      <c r="G172" s="58"/>
      <c r="H172" s="58"/>
      <c r="I172" s="58"/>
    </row>
    <row r="173" spans="2:9">
      <c r="B173" s="254"/>
      <c r="C173" s="58"/>
      <c r="D173" s="58"/>
      <c r="E173" s="58"/>
      <c r="F173" s="58"/>
      <c r="G173" s="58"/>
      <c r="H173" s="58"/>
      <c r="I173" s="58"/>
    </row>
    <row r="174" spans="2:9">
      <c r="B174" s="254"/>
      <c r="C174" s="58"/>
      <c r="D174" s="58"/>
      <c r="E174" s="58"/>
      <c r="F174" s="58"/>
      <c r="G174" s="58"/>
      <c r="H174" s="58"/>
      <c r="I174" s="58"/>
    </row>
    <row r="175" spans="2:9">
      <c r="B175" s="254"/>
      <c r="C175" s="58"/>
      <c r="D175" s="58"/>
      <c r="E175" s="58"/>
      <c r="F175" s="58"/>
      <c r="G175" s="58"/>
      <c r="H175" s="58"/>
      <c r="I175" s="58"/>
    </row>
    <row r="176" spans="2:9">
      <c r="B176" s="254"/>
      <c r="C176" s="58"/>
      <c r="D176" s="58"/>
      <c r="E176" s="58"/>
      <c r="F176" s="58"/>
      <c r="G176" s="58"/>
      <c r="H176" s="58"/>
      <c r="I176" s="58"/>
    </row>
    <row r="177" spans="2:9">
      <c r="B177" s="254"/>
      <c r="C177" s="58"/>
      <c r="D177" s="58"/>
      <c r="E177" s="58"/>
      <c r="F177" s="58"/>
      <c r="G177" s="58"/>
      <c r="H177" s="58"/>
      <c r="I177" s="58"/>
    </row>
    <row r="178" spans="2:9">
      <c r="B178" s="254"/>
      <c r="C178" s="58"/>
      <c r="D178" s="58"/>
      <c r="E178" s="58"/>
      <c r="F178" s="58"/>
      <c r="G178" s="58"/>
      <c r="H178" s="58"/>
      <c r="I178" s="58"/>
    </row>
    <row r="179" spans="2:9">
      <c r="B179" s="254"/>
      <c r="C179" s="58"/>
      <c r="D179" s="58"/>
      <c r="E179" s="58"/>
      <c r="F179" s="58"/>
      <c r="G179" s="58"/>
      <c r="H179" s="58"/>
      <c r="I179" s="58"/>
    </row>
    <row r="180" spans="2:9">
      <c r="B180" s="254"/>
      <c r="C180" s="58"/>
      <c r="D180" s="58"/>
      <c r="E180" s="58"/>
      <c r="F180" s="58"/>
      <c r="G180" s="58"/>
      <c r="H180" s="58"/>
      <c r="I180" s="58"/>
    </row>
    <row r="181" spans="2:9">
      <c r="B181" s="254"/>
      <c r="C181" s="58"/>
      <c r="D181" s="58"/>
      <c r="E181" s="58"/>
      <c r="F181" s="58"/>
      <c r="G181" s="58"/>
      <c r="H181" s="58"/>
      <c r="I181" s="58"/>
    </row>
    <row r="182" spans="2:9">
      <c r="B182" s="254"/>
      <c r="C182" s="58"/>
      <c r="D182" s="58"/>
      <c r="E182" s="58"/>
      <c r="F182" s="58"/>
      <c r="G182" s="58"/>
      <c r="H182" s="58"/>
      <c r="I182" s="58"/>
    </row>
    <row r="183" spans="2:9">
      <c r="B183" s="254"/>
      <c r="C183" s="58"/>
      <c r="D183" s="58"/>
      <c r="E183" s="58"/>
      <c r="F183" s="58"/>
      <c r="G183" s="58"/>
      <c r="H183" s="58"/>
      <c r="I183" s="58"/>
    </row>
    <row r="184" spans="2:9">
      <c r="B184" s="254"/>
      <c r="C184" s="58"/>
      <c r="D184" s="58"/>
      <c r="E184" s="58"/>
      <c r="F184" s="58"/>
      <c r="G184" s="58"/>
      <c r="H184" s="58"/>
      <c r="I184" s="58"/>
    </row>
    <row r="185" spans="2:9">
      <c r="B185" s="254"/>
      <c r="C185" s="58"/>
      <c r="D185" s="58"/>
      <c r="E185" s="58"/>
      <c r="F185" s="58"/>
      <c r="G185" s="58"/>
      <c r="H185" s="58"/>
      <c r="I185" s="58"/>
    </row>
    <row r="186" spans="2:9">
      <c r="B186" s="254"/>
      <c r="C186" s="58"/>
      <c r="D186" s="58"/>
      <c r="E186" s="58"/>
      <c r="F186" s="58"/>
      <c r="G186" s="58"/>
      <c r="H186" s="58"/>
      <c r="I186" s="58"/>
    </row>
    <row r="187" spans="2:9">
      <c r="B187" s="254"/>
      <c r="C187" s="58"/>
      <c r="D187" s="58"/>
      <c r="E187" s="58"/>
      <c r="F187" s="58"/>
      <c r="G187" s="58"/>
      <c r="H187" s="58"/>
      <c r="I187" s="58"/>
    </row>
    <row r="188" spans="2:9">
      <c r="B188" s="254"/>
      <c r="C188" s="58"/>
      <c r="D188" s="58"/>
      <c r="E188" s="58"/>
      <c r="F188" s="58"/>
      <c r="G188" s="58"/>
      <c r="H188" s="58"/>
      <c r="I188" s="58"/>
    </row>
    <row r="189" spans="2:9">
      <c r="B189" s="254"/>
      <c r="C189" s="58"/>
      <c r="D189" s="58"/>
      <c r="E189" s="58"/>
      <c r="F189" s="58"/>
      <c r="G189" s="58"/>
      <c r="H189" s="58"/>
      <c r="I189" s="58"/>
    </row>
    <row r="190" spans="2:9">
      <c r="B190" s="254"/>
      <c r="C190" s="58"/>
      <c r="D190" s="58"/>
      <c r="E190" s="58"/>
      <c r="F190" s="58"/>
      <c r="G190" s="58"/>
      <c r="H190" s="58"/>
      <c r="I190" s="58"/>
    </row>
    <row r="191" spans="2:9">
      <c r="B191" s="254"/>
      <c r="C191" s="58"/>
      <c r="D191" s="58"/>
      <c r="E191" s="58"/>
      <c r="F191" s="58"/>
      <c r="G191" s="58"/>
      <c r="H191" s="58"/>
      <c r="I191" s="58"/>
    </row>
    <row r="192" spans="2:9">
      <c r="B192" s="254"/>
      <c r="C192" s="58"/>
      <c r="D192" s="58"/>
      <c r="E192" s="58"/>
      <c r="F192" s="58"/>
      <c r="G192" s="58"/>
      <c r="H192" s="58"/>
      <c r="I192" s="58"/>
    </row>
    <row r="193" spans="2:9">
      <c r="B193" s="254"/>
      <c r="C193" s="58"/>
      <c r="D193" s="58"/>
      <c r="E193" s="58"/>
      <c r="F193" s="58"/>
      <c r="G193" s="58"/>
      <c r="H193" s="58"/>
      <c r="I193" s="58"/>
    </row>
    <row r="194" spans="2:9">
      <c r="B194" s="254"/>
      <c r="C194" s="58"/>
      <c r="D194" s="58"/>
      <c r="E194" s="58"/>
      <c r="F194" s="58"/>
      <c r="G194" s="58"/>
      <c r="H194" s="58"/>
      <c r="I194" s="58"/>
    </row>
    <row r="195" spans="2:9">
      <c r="B195" s="254"/>
      <c r="C195" s="58"/>
      <c r="D195" s="58"/>
      <c r="E195" s="58"/>
      <c r="F195" s="58"/>
      <c r="G195" s="58"/>
      <c r="H195" s="58"/>
      <c r="I195" s="58"/>
    </row>
    <row r="196" spans="2:9">
      <c r="B196" s="254"/>
      <c r="C196" s="58"/>
      <c r="D196" s="58"/>
      <c r="E196" s="58"/>
      <c r="F196" s="58"/>
      <c r="G196" s="58"/>
      <c r="H196" s="58"/>
      <c r="I196" s="58"/>
    </row>
    <row r="197" spans="2:9">
      <c r="B197" s="254"/>
      <c r="C197" s="58"/>
      <c r="D197" s="58"/>
      <c r="E197" s="58"/>
      <c r="F197" s="58"/>
      <c r="G197" s="58"/>
      <c r="H197" s="58"/>
      <c r="I197" s="58"/>
    </row>
    <row r="198" spans="2:9">
      <c r="B198" s="254"/>
      <c r="C198" s="58"/>
      <c r="D198" s="58"/>
      <c r="E198" s="58"/>
      <c r="F198" s="58"/>
      <c r="G198" s="58"/>
      <c r="H198" s="58"/>
      <c r="I198" s="58"/>
    </row>
    <row r="199" spans="2:9">
      <c r="B199" s="254"/>
      <c r="C199" s="58"/>
      <c r="D199" s="58"/>
      <c r="E199" s="58"/>
      <c r="F199" s="58"/>
      <c r="G199" s="58"/>
      <c r="H199" s="58"/>
      <c r="I199" s="58"/>
    </row>
    <row r="200" spans="2:9">
      <c r="B200" s="254"/>
      <c r="C200" s="58"/>
      <c r="D200" s="58"/>
      <c r="E200" s="58"/>
      <c r="F200" s="58"/>
      <c r="G200" s="58"/>
      <c r="H200" s="58"/>
      <c r="I200" s="58"/>
    </row>
    <row r="201" spans="2:9">
      <c r="B201" s="254"/>
      <c r="C201" s="58"/>
      <c r="D201" s="58"/>
      <c r="E201" s="58"/>
      <c r="F201" s="58"/>
      <c r="G201" s="58"/>
      <c r="H201" s="58"/>
      <c r="I201" s="58"/>
    </row>
    <row r="202" spans="2:9">
      <c r="B202" s="254"/>
      <c r="C202" s="58"/>
      <c r="D202" s="58"/>
      <c r="E202" s="58"/>
      <c r="F202" s="58"/>
      <c r="G202" s="58"/>
      <c r="H202" s="58"/>
      <c r="I202" s="58"/>
    </row>
    <row r="203" spans="2:9">
      <c r="B203" s="254"/>
      <c r="C203" s="58"/>
      <c r="D203" s="58"/>
      <c r="E203" s="58"/>
      <c r="F203" s="58"/>
      <c r="G203" s="58"/>
      <c r="H203" s="58"/>
      <c r="I203" s="58"/>
    </row>
    <row r="204" spans="2:9">
      <c r="B204" s="254"/>
      <c r="C204" s="58"/>
      <c r="D204" s="58"/>
      <c r="E204" s="58"/>
      <c r="F204" s="58"/>
      <c r="G204" s="58"/>
      <c r="H204" s="58"/>
      <c r="I204" s="58"/>
    </row>
    <row r="205" spans="2:9">
      <c r="B205" s="254"/>
      <c r="C205" s="58"/>
      <c r="D205" s="58"/>
      <c r="E205" s="58"/>
      <c r="F205" s="58"/>
      <c r="G205" s="58"/>
      <c r="H205" s="58"/>
      <c r="I205" s="58"/>
    </row>
    <row r="206" spans="2:9">
      <c r="B206" s="254"/>
      <c r="C206" s="58"/>
      <c r="D206" s="58"/>
      <c r="E206" s="58"/>
      <c r="F206" s="58"/>
      <c r="G206" s="58"/>
      <c r="H206" s="58"/>
      <c r="I206" s="58"/>
    </row>
    <row r="207" spans="2:9">
      <c r="B207" s="254"/>
      <c r="C207" s="58"/>
      <c r="D207" s="58"/>
      <c r="E207" s="58"/>
      <c r="F207" s="58"/>
      <c r="G207" s="58"/>
      <c r="H207" s="58"/>
      <c r="I207" s="58"/>
    </row>
    <row r="208" spans="2:9">
      <c r="B208" s="254"/>
      <c r="C208" s="58"/>
      <c r="D208" s="58"/>
      <c r="E208" s="58"/>
      <c r="F208" s="58"/>
      <c r="G208" s="58"/>
      <c r="H208" s="58"/>
      <c r="I208" s="58"/>
    </row>
    <row r="209" spans="2:9">
      <c r="B209" s="254"/>
      <c r="C209" s="58"/>
      <c r="D209" s="58"/>
      <c r="E209" s="58"/>
      <c r="F209" s="58"/>
      <c r="G209" s="58"/>
      <c r="H209" s="58"/>
      <c r="I209" s="58"/>
    </row>
    <row r="210" spans="2:9">
      <c r="B210" s="254"/>
      <c r="C210" s="58"/>
      <c r="D210" s="58"/>
      <c r="E210" s="58"/>
      <c r="F210" s="58"/>
      <c r="G210" s="58"/>
      <c r="H210" s="58"/>
      <c r="I210" s="58"/>
    </row>
    <row r="211" spans="2:9">
      <c r="B211" s="254"/>
      <c r="C211" s="58"/>
      <c r="D211" s="58"/>
      <c r="E211" s="58"/>
      <c r="F211" s="58"/>
      <c r="G211" s="58"/>
      <c r="H211" s="58"/>
      <c r="I211" s="58"/>
    </row>
    <row r="212" spans="2:9">
      <c r="B212" s="254"/>
      <c r="C212" s="58"/>
      <c r="D212" s="58"/>
      <c r="E212" s="58"/>
      <c r="F212" s="58"/>
      <c r="G212" s="58"/>
      <c r="H212" s="58"/>
      <c r="I212" s="58"/>
    </row>
    <row r="213" spans="2:9">
      <c r="B213" s="254"/>
      <c r="C213" s="58"/>
      <c r="D213" s="58"/>
      <c r="E213" s="58"/>
      <c r="F213" s="58"/>
      <c r="G213" s="58"/>
      <c r="H213" s="58"/>
      <c r="I213" s="58"/>
    </row>
    <row r="214" spans="2:9">
      <c r="B214" s="254"/>
      <c r="C214" s="58"/>
      <c r="D214" s="58"/>
      <c r="E214" s="58"/>
      <c r="F214" s="58"/>
      <c r="G214" s="58"/>
      <c r="H214" s="58"/>
      <c r="I214" s="58"/>
    </row>
    <row r="215" spans="2:9">
      <c r="B215" s="254"/>
      <c r="C215" s="58"/>
      <c r="D215" s="58"/>
      <c r="E215" s="58"/>
      <c r="F215" s="58"/>
      <c r="G215" s="58"/>
      <c r="H215" s="58"/>
      <c r="I215" s="58"/>
    </row>
    <row r="216" spans="2:9">
      <c r="B216" s="254"/>
      <c r="C216" s="58"/>
      <c r="D216" s="58"/>
      <c r="E216" s="58"/>
      <c r="F216" s="58"/>
      <c r="G216" s="58"/>
      <c r="H216" s="58"/>
      <c r="I216" s="58"/>
    </row>
    <row r="217" spans="2:9">
      <c r="B217" s="254"/>
      <c r="C217" s="58"/>
      <c r="D217" s="58"/>
      <c r="E217" s="58"/>
      <c r="F217" s="58"/>
      <c r="G217" s="58"/>
      <c r="H217" s="58"/>
      <c r="I217" s="58"/>
    </row>
    <row r="218" spans="2:9">
      <c r="B218" s="254"/>
      <c r="C218" s="58"/>
      <c r="D218" s="58"/>
      <c r="E218" s="58"/>
      <c r="F218" s="58"/>
      <c r="G218" s="58"/>
      <c r="H218" s="58"/>
      <c r="I218" s="58"/>
    </row>
    <row r="219" spans="2:9">
      <c r="B219" s="254"/>
      <c r="C219" s="58"/>
      <c r="D219" s="58"/>
      <c r="E219" s="58"/>
      <c r="F219" s="58"/>
      <c r="G219" s="58"/>
      <c r="H219" s="58"/>
      <c r="I219" s="58"/>
    </row>
    <row r="220" spans="2:9">
      <c r="B220" s="254"/>
      <c r="C220" s="58"/>
      <c r="D220" s="58"/>
      <c r="E220" s="58"/>
      <c r="F220" s="58"/>
      <c r="G220" s="58"/>
      <c r="H220" s="58"/>
      <c r="I220" s="58"/>
    </row>
    <row r="221" spans="2:9">
      <c r="B221" s="254"/>
      <c r="C221" s="58"/>
      <c r="D221" s="58"/>
      <c r="E221" s="58"/>
      <c r="F221" s="58"/>
      <c r="G221" s="58"/>
      <c r="H221" s="58"/>
      <c r="I221" s="58"/>
    </row>
    <row r="222" spans="2:9">
      <c r="B222" s="254"/>
      <c r="C222" s="58"/>
      <c r="D222" s="58"/>
      <c r="E222" s="58"/>
      <c r="F222" s="58"/>
      <c r="G222" s="58"/>
      <c r="H222" s="58"/>
      <c r="I222" s="58"/>
    </row>
    <row r="223" spans="2:9">
      <c r="B223" s="254"/>
      <c r="C223" s="58"/>
      <c r="D223" s="58"/>
      <c r="E223" s="58"/>
      <c r="F223" s="58"/>
      <c r="G223" s="58"/>
      <c r="H223" s="58"/>
      <c r="I223" s="58"/>
    </row>
    <row r="224" spans="2:9">
      <c r="B224" s="254"/>
      <c r="C224" s="58"/>
      <c r="D224" s="58"/>
      <c r="E224" s="58"/>
      <c r="F224" s="58"/>
      <c r="G224" s="58"/>
      <c r="H224" s="58"/>
      <c r="I224" s="58"/>
    </row>
    <row r="225" spans="2:9">
      <c r="B225" s="254"/>
      <c r="C225" s="58"/>
      <c r="D225" s="58"/>
      <c r="E225" s="58"/>
      <c r="F225" s="58"/>
      <c r="G225" s="58"/>
      <c r="H225" s="58"/>
      <c r="I225" s="58"/>
    </row>
    <row r="226" spans="2:9">
      <c r="B226" s="254"/>
      <c r="C226" s="58"/>
      <c r="D226" s="58"/>
      <c r="E226" s="58"/>
      <c r="F226" s="58"/>
      <c r="G226" s="58"/>
      <c r="H226" s="58"/>
      <c r="I226" s="58"/>
    </row>
    <row r="227" spans="2:9">
      <c r="B227" s="254"/>
      <c r="C227" s="58"/>
      <c r="D227" s="58"/>
      <c r="E227" s="58"/>
      <c r="F227" s="58"/>
      <c r="G227" s="58"/>
      <c r="H227" s="58"/>
      <c r="I227" s="58"/>
    </row>
    <row r="228" spans="2:9">
      <c r="B228" s="254"/>
      <c r="C228" s="58"/>
      <c r="D228" s="58"/>
      <c r="E228" s="58"/>
      <c r="F228" s="58"/>
      <c r="G228" s="58"/>
      <c r="H228" s="58"/>
      <c r="I228" s="58"/>
    </row>
    <row r="229" spans="2:9">
      <c r="B229" s="254"/>
      <c r="C229" s="58"/>
      <c r="D229" s="58"/>
      <c r="E229" s="58"/>
      <c r="F229" s="58"/>
      <c r="G229" s="58"/>
      <c r="H229" s="58"/>
      <c r="I229" s="58"/>
    </row>
    <row r="230" spans="2:9">
      <c r="B230" s="254"/>
      <c r="C230" s="58"/>
      <c r="D230" s="58"/>
      <c r="E230" s="58"/>
      <c r="F230" s="58"/>
      <c r="G230" s="58"/>
      <c r="H230" s="58"/>
      <c r="I230" s="58"/>
    </row>
    <row r="231" spans="2:9">
      <c r="B231" s="254"/>
      <c r="C231" s="58"/>
      <c r="D231" s="58"/>
      <c r="E231" s="58"/>
      <c r="F231" s="58"/>
      <c r="G231" s="58"/>
      <c r="H231" s="58"/>
      <c r="I231" s="58"/>
    </row>
    <row r="232" spans="2:9">
      <c r="B232" s="254"/>
      <c r="C232" s="58"/>
      <c r="D232" s="58"/>
      <c r="E232" s="58"/>
      <c r="F232" s="58"/>
      <c r="G232" s="58"/>
      <c r="H232" s="58"/>
      <c r="I232" s="58"/>
    </row>
    <row r="233" spans="2:9">
      <c r="B233" s="254"/>
      <c r="C233" s="58"/>
      <c r="D233" s="58"/>
      <c r="E233" s="58"/>
      <c r="F233" s="58"/>
      <c r="G233" s="58"/>
      <c r="H233" s="58"/>
      <c r="I233" s="58"/>
    </row>
    <row r="234" spans="2:9">
      <c r="B234" s="254"/>
      <c r="C234" s="58"/>
      <c r="D234" s="58"/>
      <c r="E234" s="58"/>
      <c r="F234" s="58"/>
      <c r="G234" s="58"/>
      <c r="H234" s="58"/>
      <c r="I234" s="58"/>
    </row>
    <row r="235" spans="2:9">
      <c r="B235" s="254"/>
      <c r="C235" s="58"/>
      <c r="D235" s="58"/>
      <c r="E235" s="58"/>
      <c r="F235" s="58"/>
      <c r="G235" s="58"/>
      <c r="H235" s="58"/>
      <c r="I235" s="58"/>
    </row>
    <row r="236" spans="2:9">
      <c r="B236" s="254"/>
      <c r="C236" s="58"/>
      <c r="D236" s="58"/>
      <c r="E236" s="58"/>
      <c r="F236" s="58"/>
      <c r="G236" s="58"/>
      <c r="H236" s="58"/>
      <c r="I236" s="58"/>
    </row>
    <row r="237" spans="2:9">
      <c r="B237" s="254"/>
      <c r="C237" s="58"/>
      <c r="D237" s="58"/>
      <c r="E237" s="58"/>
      <c r="F237" s="58"/>
      <c r="G237" s="58"/>
      <c r="H237" s="58"/>
      <c r="I237" s="58"/>
    </row>
    <row r="238" spans="2:9">
      <c r="B238" s="254"/>
      <c r="C238" s="58"/>
      <c r="D238" s="58"/>
      <c r="E238" s="58"/>
      <c r="F238" s="58"/>
      <c r="G238" s="58"/>
      <c r="H238" s="58"/>
      <c r="I238" s="58"/>
    </row>
    <row r="239" spans="2:9">
      <c r="B239" s="254"/>
      <c r="C239" s="58"/>
      <c r="D239" s="58"/>
      <c r="E239" s="58"/>
      <c r="F239" s="58"/>
      <c r="G239" s="58"/>
      <c r="H239" s="58"/>
      <c r="I239" s="58"/>
    </row>
    <row r="240" spans="2:9">
      <c r="B240" s="254"/>
      <c r="C240" s="58"/>
      <c r="D240" s="58"/>
      <c r="E240" s="58"/>
      <c r="F240" s="58"/>
      <c r="G240" s="58"/>
      <c r="H240" s="58"/>
      <c r="I240" s="58"/>
    </row>
    <row r="241" spans="2:9">
      <c r="B241" s="254"/>
      <c r="C241" s="58"/>
      <c r="D241" s="58"/>
      <c r="E241" s="58"/>
      <c r="F241" s="58"/>
      <c r="G241" s="58"/>
      <c r="H241" s="58"/>
      <c r="I241" s="58"/>
    </row>
    <row r="242" spans="2:9">
      <c r="B242" s="254"/>
      <c r="C242" s="58"/>
      <c r="D242" s="58"/>
      <c r="E242" s="58"/>
      <c r="F242" s="58"/>
      <c r="G242" s="58"/>
      <c r="H242" s="58"/>
      <c r="I242" s="58"/>
    </row>
    <row r="243" spans="2:9">
      <c r="B243" s="254"/>
      <c r="C243" s="58"/>
      <c r="D243" s="58"/>
      <c r="E243" s="58"/>
      <c r="F243" s="58"/>
      <c r="G243" s="58"/>
      <c r="H243" s="58"/>
      <c r="I243" s="58"/>
    </row>
    <row r="244" spans="2:9">
      <c r="B244" s="254"/>
      <c r="C244" s="58"/>
      <c r="D244" s="58"/>
      <c r="E244" s="58"/>
      <c r="F244" s="58"/>
      <c r="G244" s="58"/>
      <c r="H244" s="58"/>
      <c r="I244" s="58"/>
    </row>
    <row r="245" spans="2:9">
      <c r="B245" s="254"/>
      <c r="C245" s="58"/>
      <c r="D245" s="58"/>
      <c r="E245" s="58"/>
      <c r="F245" s="58"/>
      <c r="G245" s="58"/>
      <c r="H245" s="58"/>
      <c r="I245" s="58"/>
    </row>
    <row r="246" spans="2:9">
      <c r="B246" s="254"/>
      <c r="C246" s="58"/>
      <c r="D246" s="58"/>
      <c r="E246" s="58"/>
      <c r="F246" s="58"/>
      <c r="G246" s="58"/>
      <c r="H246" s="58"/>
      <c r="I246" s="58"/>
    </row>
    <row r="247" spans="2:9">
      <c r="B247" s="254"/>
      <c r="C247" s="58"/>
      <c r="D247" s="58"/>
      <c r="E247" s="58"/>
      <c r="F247" s="58"/>
      <c r="G247" s="58"/>
      <c r="H247" s="58"/>
      <c r="I247" s="58"/>
    </row>
    <row r="248" spans="2:9">
      <c r="B248" s="254"/>
      <c r="C248" s="58"/>
      <c r="D248" s="58"/>
      <c r="E248" s="58"/>
      <c r="F248" s="58"/>
      <c r="G248" s="58"/>
      <c r="H248" s="58"/>
      <c r="I248" s="58"/>
    </row>
    <row r="249" spans="2:9">
      <c r="B249" s="254"/>
      <c r="C249" s="58"/>
      <c r="D249" s="58"/>
      <c r="E249" s="58"/>
      <c r="F249" s="58"/>
      <c r="G249" s="58"/>
      <c r="H249" s="58"/>
      <c r="I249" s="58"/>
    </row>
    <row r="250" spans="2:9">
      <c r="B250" s="254"/>
      <c r="C250" s="58"/>
      <c r="D250" s="58"/>
      <c r="E250" s="58"/>
      <c r="F250" s="58"/>
      <c r="G250" s="58"/>
      <c r="H250" s="58"/>
      <c r="I250" s="58"/>
    </row>
    <row r="251" spans="2:9">
      <c r="B251" s="254"/>
      <c r="C251" s="58"/>
      <c r="D251" s="58"/>
      <c r="E251" s="58"/>
      <c r="F251" s="58"/>
      <c r="G251" s="58"/>
      <c r="H251" s="58"/>
      <c r="I251" s="58"/>
    </row>
    <row r="252" spans="2:9">
      <c r="B252" s="254"/>
      <c r="C252" s="58"/>
      <c r="D252" s="58"/>
      <c r="E252" s="58"/>
      <c r="F252" s="58"/>
      <c r="G252" s="58"/>
      <c r="H252" s="58"/>
      <c r="I252" s="58"/>
    </row>
    <row r="253" spans="2:9">
      <c r="B253" s="254"/>
      <c r="C253" s="58"/>
      <c r="D253" s="58"/>
      <c r="E253" s="58"/>
      <c r="F253" s="58"/>
      <c r="G253" s="58"/>
      <c r="H253" s="58"/>
      <c r="I253" s="58"/>
    </row>
    <row r="254" spans="2:9">
      <c r="B254" s="254"/>
      <c r="C254" s="58"/>
      <c r="D254" s="58"/>
      <c r="E254" s="58"/>
      <c r="F254" s="58"/>
      <c r="G254" s="58"/>
      <c r="H254" s="58"/>
      <c r="I254" s="58"/>
    </row>
    <row r="255" spans="2:9">
      <c r="B255" s="254"/>
      <c r="C255" s="58"/>
      <c r="D255" s="58"/>
      <c r="E255" s="58"/>
      <c r="F255" s="58"/>
      <c r="G255" s="58"/>
      <c r="H255" s="58"/>
      <c r="I255" s="58"/>
    </row>
    <row r="256" spans="2:9">
      <c r="B256" s="254"/>
      <c r="C256" s="58"/>
      <c r="D256" s="58"/>
      <c r="E256" s="58"/>
      <c r="F256" s="58"/>
      <c r="G256" s="58"/>
      <c r="H256" s="58"/>
      <c r="I256" s="58"/>
    </row>
    <row r="257" spans="2:9">
      <c r="B257" s="254"/>
      <c r="C257" s="58"/>
      <c r="D257" s="58"/>
      <c r="E257" s="58"/>
      <c r="F257" s="58"/>
      <c r="G257" s="58"/>
      <c r="H257" s="58"/>
      <c r="I257" s="58"/>
    </row>
    <row r="258" spans="2:9">
      <c r="B258" s="254"/>
      <c r="C258" s="58"/>
      <c r="D258" s="58"/>
      <c r="E258" s="58"/>
      <c r="F258" s="58"/>
      <c r="G258" s="58"/>
      <c r="H258" s="58"/>
      <c r="I258" s="58"/>
    </row>
    <row r="259" spans="2:9">
      <c r="B259" s="254"/>
      <c r="C259" s="58"/>
      <c r="D259" s="58"/>
      <c r="E259" s="58"/>
      <c r="F259" s="58"/>
      <c r="G259" s="58"/>
      <c r="H259" s="58"/>
      <c r="I259" s="58"/>
    </row>
    <row r="260" spans="2:9">
      <c r="B260" s="254"/>
      <c r="C260" s="58"/>
      <c r="D260" s="58"/>
      <c r="E260" s="58"/>
      <c r="F260" s="58"/>
      <c r="G260" s="58"/>
      <c r="H260" s="58"/>
      <c r="I260" s="58"/>
    </row>
    <row r="261" spans="2:9">
      <c r="B261" s="254"/>
      <c r="C261" s="58"/>
      <c r="D261" s="58"/>
      <c r="E261" s="58"/>
      <c r="F261" s="58"/>
      <c r="G261" s="58"/>
      <c r="H261" s="58"/>
      <c r="I261" s="58"/>
    </row>
    <row r="262" spans="2:9">
      <c r="B262" s="254"/>
      <c r="C262" s="58"/>
      <c r="D262" s="58"/>
      <c r="E262" s="58"/>
      <c r="F262" s="58"/>
      <c r="G262" s="58"/>
      <c r="H262" s="58"/>
      <c r="I262" s="58"/>
    </row>
    <row r="263" spans="2:9">
      <c r="B263" s="254"/>
      <c r="C263" s="58"/>
      <c r="D263" s="58"/>
      <c r="E263" s="58"/>
      <c r="F263" s="58"/>
      <c r="G263" s="58"/>
      <c r="H263" s="58"/>
      <c r="I263" s="58"/>
    </row>
    <row r="264" spans="2:9">
      <c r="B264" s="254"/>
      <c r="C264" s="58"/>
      <c r="D264" s="58"/>
      <c r="E264" s="58"/>
      <c r="F264" s="58"/>
      <c r="G264" s="58"/>
      <c r="H264" s="58"/>
      <c r="I264" s="58"/>
    </row>
    <row r="265" spans="2:9">
      <c r="B265" s="254"/>
      <c r="C265" s="58"/>
      <c r="D265" s="58"/>
      <c r="E265" s="58"/>
      <c r="F265" s="58"/>
      <c r="G265" s="58"/>
      <c r="H265" s="58"/>
      <c r="I265" s="58"/>
    </row>
    <row r="266" spans="2:9">
      <c r="B266" s="254"/>
      <c r="C266" s="58"/>
      <c r="D266" s="58"/>
      <c r="E266" s="58"/>
      <c r="F266" s="58"/>
      <c r="G266" s="58"/>
      <c r="H266" s="58"/>
      <c r="I266" s="58"/>
    </row>
    <row r="267" spans="2:9">
      <c r="B267" s="254"/>
      <c r="C267" s="58"/>
      <c r="D267" s="58"/>
      <c r="E267" s="58"/>
      <c r="F267" s="58"/>
      <c r="G267" s="58"/>
      <c r="H267" s="58"/>
      <c r="I267" s="58"/>
    </row>
    <row r="268" spans="2:9">
      <c r="B268" s="254"/>
      <c r="C268" s="58"/>
      <c r="D268" s="58"/>
      <c r="E268" s="58"/>
      <c r="F268" s="58"/>
      <c r="G268" s="58"/>
      <c r="H268" s="58"/>
      <c r="I268" s="58"/>
    </row>
    <row r="269" spans="2:9">
      <c r="B269" s="254"/>
      <c r="C269" s="58"/>
      <c r="D269" s="58"/>
      <c r="E269" s="58"/>
      <c r="F269" s="58"/>
      <c r="G269" s="58"/>
      <c r="H269" s="58"/>
      <c r="I269" s="58"/>
    </row>
    <row r="270" spans="2:9">
      <c r="B270" s="254"/>
      <c r="C270" s="58"/>
      <c r="D270" s="58"/>
      <c r="E270" s="58"/>
      <c r="F270" s="58"/>
      <c r="G270" s="58"/>
      <c r="H270" s="58"/>
      <c r="I270" s="58"/>
    </row>
    <row r="271" spans="2:9">
      <c r="B271" s="254"/>
      <c r="C271" s="58"/>
      <c r="D271" s="58"/>
      <c r="E271" s="58"/>
      <c r="F271" s="58"/>
      <c r="G271" s="58"/>
      <c r="H271" s="58"/>
      <c r="I271" s="58"/>
    </row>
    <row r="272" spans="2:9">
      <c r="B272" s="254"/>
      <c r="C272" s="58"/>
      <c r="D272" s="58"/>
      <c r="E272" s="58"/>
      <c r="F272" s="58"/>
      <c r="G272" s="58"/>
      <c r="H272" s="58"/>
      <c r="I272" s="58"/>
    </row>
    <row r="273" spans="2:9">
      <c r="B273" s="254"/>
      <c r="C273" s="58"/>
      <c r="D273" s="58"/>
      <c r="E273" s="58"/>
      <c r="F273" s="58"/>
      <c r="G273" s="58"/>
      <c r="H273" s="58"/>
      <c r="I273" s="58"/>
    </row>
    <row r="274" spans="2:9">
      <c r="B274" s="254"/>
      <c r="C274" s="58"/>
      <c r="D274" s="58"/>
      <c r="E274" s="58"/>
      <c r="F274" s="58"/>
      <c r="G274" s="58"/>
      <c r="H274" s="58"/>
      <c r="I274" s="58"/>
    </row>
    <row r="275" spans="2:9">
      <c r="B275" s="254"/>
      <c r="C275" s="58"/>
      <c r="D275" s="58"/>
      <c r="E275" s="58"/>
      <c r="F275" s="58"/>
      <c r="G275" s="58"/>
      <c r="H275" s="58"/>
      <c r="I275" s="58"/>
    </row>
    <row r="276" spans="2:9">
      <c r="B276" s="254"/>
      <c r="C276" s="58"/>
      <c r="D276" s="58"/>
      <c r="E276" s="58"/>
      <c r="F276" s="58"/>
      <c r="G276" s="58"/>
      <c r="H276" s="58"/>
      <c r="I276" s="58"/>
    </row>
    <row r="277" spans="2:9">
      <c r="B277" s="254"/>
      <c r="C277" s="58"/>
      <c r="D277" s="58"/>
      <c r="E277" s="58"/>
      <c r="F277" s="58"/>
      <c r="G277" s="58"/>
      <c r="H277" s="58"/>
      <c r="I277" s="58"/>
    </row>
    <row r="278" spans="2:9">
      <c r="B278" s="254"/>
      <c r="C278" s="58"/>
      <c r="D278" s="58"/>
      <c r="E278" s="58"/>
      <c r="F278" s="58"/>
      <c r="G278" s="58"/>
      <c r="H278" s="58"/>
      <c r="I278" s="58"/>
    </row>
    <row r="279" spans="2:9">
      <c r="B279" s="254"/>
      <c r="C279" s="58"/>
      <c r="D279" s="58"/>
      <c r="E279" s="58"/>
      <c r="F279" s="58"/>
      <c r="G279" s="58"/>
      <c r="H279" s="58"/>
      <c r="I279" s="58"/>
    </row>
    <row r="280" spans="2:9">
      <c r="B280" s="254"/>
      <c r="C280" s="58"/>
      <c r="D280" s="58"/>
      <c r="E280" s="58"/>
      <c r="F280" s="58"/>
      <c r="G280" s="58"/>
      <c r="H280" s="58"/>
      <c r="I280" s="58"/>
    </row>
    <row r="281" spans="2:9">
      <c r="B281" s="254"/>
      <c r="C281" s="58"/>
      <c r="D281" s="58"/>
      <c r="E281" s="58"/>
      <c r="F281" s="58"/>
      <c r="G281" s="58"/>
      <c r="H281" s="58"/>
      <c r="I281" s="58"/>
    </row>
    <row r="282" spans="2:9">
      <c r="B282" s="254"/>
      <c r="C282" s="58"/>
      <c r="D282" s="58"/>
      <c r="E282" s="58"/>
      <c r="F282" s="58"/>
      <c r="G282" s="58"/>
      <c r="H282" s="58"/>
      <c r="I282" s="58"/>
    </row>
    <row r="283" spans="2:9">
      <c r="B283" s="254"/>
      <c r="C283" s="58"/>
      <c r="D283" s="58"/>
      <c r="E283" s="58"/>
      <c r="F283" s="58"/>
      <c r="G283" s="58"/>
      <c r="H283" s="58"/>
      <c r="I283" s="58"/>
    </row>
    <row r="284" spans="2:9">
      <c r="B284" s="254"/>
      <c r="C284" s="58"/>
      <c r="D284" s="58"/>
      <c r="E284" s="58"/>
      <c r="F284" s="58"/>
      <c r="G284" s="58"/>
      <c r="H284" s="58"/>
      <c r="I284" s="58"/>
    </row>
    <row r="285" spans="2:9">
      <c r="B285" s="254"/>
      <c r="C285" s="58"/>
      <c r="D285" s="58"/>
      <c r="E285" s="58"/>
      <c r="F285" s="58"/>
      <c r="G285" s="58"/>
      <c r="H285" s="58"/>
      <c r="I285" s="58"/>
    </row>
    <row r="286" spans="2:9">
      <c r="B286" s="254"/>
      <c r="C286" s="58"/>
      <c r="D286" s="58"/>
      <c r="E286" s="58"/>
      <c r="F286" s="58"/>
      <c r="G286" s="58"/>
      <c r="H286" s="58"/>
      <c r="I286" s="58"/>
    </row>
    <row r="287" spans="2:9">
      <c r="B287" s="254"/>
      <c r="C287" s="58"/>
      <c r="D287" s="58"/>
      <c r="E287" s="58"/>
      <c r="F287" s="58"/>
      <c r="G287" s="58"/>
      <c r="H287" s="58"/>
      <c r="I287" s="58"/>
    </row>
    <row r="288" spans="2:9">
      <c r="B288" s="254"/>
      <c r="C288" s="58"/>
      <c r="D288" s="58"/>
      <c r="E288" s="58"/>
      <c r="F288" s="58"/>
      <c r="G288" s="58"/>
      <c r="H288" s="58"/>
      <c r="I288" s="58"/>
    </row>
    <row r="289" spans="2:9">
      <c r="B289" s="254"/>
      <c r="C289" s="58"/>
      <c r="D289" s="58"/>
      <c r="E289" s="58"/>
      <c r="F289" s="58"/>
      <c r="G289" s="58"/>
      <c r="H289" s="58"/>
      <c r="I289" s="58"/>
    </row>
    <row r="290" spans="2:9">
      <c r="B290" s="254"/>
      <c r="C290" s="58"/>
      <c r="D290" s="58"/>
      <c r="E290" s="58"/>
      <c r="F290" s="58"/>
      <c r="G290" s="58"/>
      <c r="H290" s="58"/>
      <c r="I290" s="58"/>
    </row>
    <row r="291" spans="2:9">
      <c r="B291" s="254"/>
      <c r="C291" s="58"/>
      <c r="D291" s="58"/>
      <c r="E291" s="58"/>
      <c r="F291" s="58"/>
      <c r="G291" s="58"/>
      <c r="H291" s="58"/>
      <c r="I291" s="58"/>
    </row>
    <row r="292" spans="2:9">
      <c r="B292" s="254"/>
      <c r="C292" s="58"/>
      <c r="D292" s="58"/>
      <c r="E292" s="58"/>
      <c r="F292" s="58"/>
      <c r="G292" s="58"/>
      <c r="H292" s="58"/>
      <c r="I292" s="58"/>
    </row>
    <row r="293" spans="2:9">
      <c r="B293" s="254"/>
      <c r="C293" s="58"/>
      <c r="D293" s="58"/>
      <c r="E293" s="58"/>
      <c r="F293" s="58"/>
      <c r="G293" s="58"/>
      <c r="H293" s="58"/>
      <c r="I293" s="58"/>
    </row>
    <row r="294" spans="2:9">
      <c r="B294" s="254"/>
      <c r="C294" s="58"/>
      <c r="D294" s="58"/>
      <c r="E294" s="58"/>
      <c r="F294" s="58"/>
      <c r="G294" s="58"/>
      <c r="H294" s="58"/>
      <c r="I294" s="58"/>
    </row>
    <row r="295" spans="2:9">
      <c r="B295" s="254"/>
      <c r="C295" s="58"/>
      <c r="D295" s="58"/>
      <c r="E295" s="58"/>
      <c r="F295" s="58"/>
      <c r="G295" s="58"/>
      <c r="H295" s="58"/>
      <c r="I295" s="58"/>
    </row>
    <row r="296" spans="2:9">
      <c r="B296" s="254"/>
      <c r="C296" s="58"/>
      <c r="D296" s="58"/>
      <c r="E296" s="58"/>
      <c r="F296" s="58"/>
      <c r="G296" s="58"/>
      <c r="H296" s="58"/>
      <c r="I296" s="58"/>
    </row>
    <row r="297" spans="2:9">
      <c r="B297" s="254"/>
      <c r="C297" s="58"/>
      <c r="D297" s="58"/>
      <c r="E297" s="58"/>
      <c r="F297" s="58"/>
      <c r="G297" s="58"/>
      <c r="H297" s="58"/>
      <c r="I297" s="58"/>
    </row>
    <row r="298" spans="2:9">
      <c r="B298" s="254"/>
      <c r="C298" s="58"/>
      <c r="D298" s="58"/>
      <c r="E298" s="58"/>
      <c r="F298" s="58"/>
      <c r="G298" s="58"/>
      <c r="H298" s="58"/>
      <c r="I298" s="58"/>
    </row>
    <row r="299" spans="2:9">
      <c r="B299" s="254"/>
      <c r="C299" s="58"/>
      <c r="D299" s="58"/>
      <c r="E299" s="58"/>
      <c r="F299" s="58"/>
      <c r="G299" s="58"/>
      <c r="H299" s="58"/>
      <c r="I299" s="58"/>
    </row>
    <row r="300" spans="2:9">
      <c r="B300" s="254"/>
      <c r="C300" s="58"/>
      <c r="D300" s="58"/>
      <c r="E300" s="58"/>
      <c r="F300" s="58"/>
      <c r="G300" s="58"/>
      <c r="H300" s="58"/>
      <c r="I300" s="58"/>
    </row>
    <row r="301" spans="2:9">
      <c r="B301" s="254"/>
      <c r="C301" s="58"/>
      <c r="D301" s="58"/>
      <c r="E301" s="58"/>
      <c r="F301" s="58"/>
      <c r="G301" s="58"/>
      <c r="H301" s="58"/>
      <c r="I301" s="58"/>
    </row>
    <row r="302" spans="2:9">
      <c r="B302" s="254"/>
      <c r="C302" s="58"/>
      <c r="D302" s="58"/>
      <c r="E302" s="58"/>
      <c r="F302" s="58"/>
      <c r="G302" s="58"/>
      <c r="H302" s="58"/>
      <c r="I302" s="58"/>
    </row>
    <row r="303" spans="2:9">
      <c r="B303" s="254"/>
      <c r="C303" s="58"/>
      <c r="D303" s="58"/>
      <c r="E303" s="58"/>
      <c r="F303" s="58"/>
      <c r="G303" s="58"/>
      <c r="H303" s="58"/>
      <c r="I303" s="58"/>
    </row>
    <row r="304" spans="2:9">
      <c r="B304" s="254"/>
      <c r="C304" s="58"/>
      <c r="D304" s="58"/>
      <c r="E304" s="58"/>
      <c r="F304" s="58"/>
      <c r="G304" s="58"/>
      <c r="H304" s="58"/>
      <c r="I304" s="58"/>
    </row>
    <row r="305" spans="2:9">
      <c r="B305" s="254"/>
      <c r="C305" s="58"/>
      <c r="D305" s="58"/>
      <c r="E305" s="58"/>
      <c r="F305" s="58"/>
      <c r="G305" s="58"/>
      <c r="H305" s="58"/>
      <c r="I305" s="58"/>
    </row>
    <row r="306" spans="2:9">
      <c r="B306" s="254"/>
      <c r="C306" s="58"/>
      <c r="D306" s="58"/>
      <c r="E306" s="58"/>
      <c r="F306" s="58"/>
      <c r="G306" s="58"/>
      <c r="H306" s="58"/>
      <c r="I306" s="58"/>
    </row>
    <row r="307" spans="2:9">
      <c r="B307" s="254"/>
      <c r="C307" s="58"/>
      <c r="D307" s="58"/>
      <c r="E307" s="58"/>
      <c r="F307" s="58"/>
      <c r="G307" s="58"/>
      <c r="H307" s="58"/>
      <c r="I307" s="58"/>
    </row>
    <row r="308" spans="2:9">
      <c r="B308" s="254"/>
      <c r="C308" s="58"/>
      <c r="D308" s="58"/>
      <c r="E308" s="58"/>
      <c r="F308" s="58"/>
      <c r="G308" s="58"/>
      <c r="H308" s="58"/>
      <c r="I308" s="58"/>
    </row>
    <row r="309" spans="2:9">
      <c r="B309" s="254"/>
      <c r="C309" s="58"/>
      <c r="D309" s="58"/>
      <c r="E309" s="58"/>
      <c r="F309" s="58"/>
      <c r="G309" s="58"/>
      <c r="H309" s="58"/>
      <c r="I309" s="58"/>
    </row>
    <row r="310" spans="2:9">
      <c r="B310" s="254"/>
      <c r="C310" s="58"/>
      <c r="D310" s="58"/>
      <c r="E310" s="58"/>
      <c r="F310" s="58"/>
      <c r="G310" s="58"/>
      <c r="H310" s="58"/>
      <c r="I310" s="58"/>
    </row>
    <row r="311" spans="2:9">
      <c r="B311" s="254"/>
      <c r="C311" s="58"/>
      <c r="D311" s="58"/>
      <c r="E311" s="58"/>
      <c r="F311" s="58"/>
      <c r="G311" s="58"/>
      <c r="H311" s="58"/>
      <c r="I311" s="58"/>
    </row>
    <row r="312" spans="2:9">
      <c r="B312" s="254"/>
      <c r="C312" s="58"/>
      <c r="D312" s="58"/>
      <c r="E312" s="58"/>
      <c r="F312" s="58"/>
      <c r="G312" s="58"/>
      <c r="H312" s="58"/>
      <c r="I312" s="58"/>
    </row>
    <row r="313" spans="2:9">
      <c r="B313" s="254"/>
      <c r="C313" s="58"/>
      <c r="D313" s="58"/>
      <c r="E313" s="58"/>
      <c r="F313" s="58"/>
      <c r="G313" s="58"/>
      <c r="H313" s="58"/>
      <c r="I313" s="58"/>
    </row>
    <row r="314" spans="2:9">
      <c r="B314" s="254"/>
      <c r="C314" s="58"/>
      <c r="D314" s="58"/>
      <c r="E314" s="58"/>
      <c r="F314" s="58"/>
      <c r="G314" s="58"/>
      <c r="H314" s="58"/>
      <c r="I314" s="58"/>
    </row>
    <row r="315" spans="2:9">
      <c r="B315" s="254"/>
      <c r="C315" s="58"/>
      <c r="D315" s="58"/>
      <c r="E315" s="58"/>
      <c r="F315" s="58"/>
      <c r="G315" s="58"/>
      <c r="H315" s="58"/>
      <c r="I315" s="58"/>
    </row>
    <row r="316" spans="2:9">
      <c r="B316" s="254"/>
      <c r="C316" s="58"/>
      <c r="D316" s="58"/>
      <c r="E316" s="58"/>
      <c r="F316" s="58"/>
      <c r="G316" s="58"/>
      <c r="H316" s="58"/>
      <c r="I316" s="58"/>
    </row>
    <row r="317" spans="2:9">
      <c r="B317" s="254"/>
      <c r="C317" s="58"/>
      <c r="D317" s="58"/>
      <c r="E317" s="58"/>
      <c r="F317" s="58"/>
      <c r="G317" s="58"/>
      <c r="H317" s="58"/>
      <c r="I317" s="58"/>
    </row>
    <row r="318" spans="2:9">
      <c r="B318" s="254"/>
      <c r="C318" s="58"/>
      <c r="D318" s="58"/>
      <c r="E318" s="58"/>
      <c r="F318" s="58"/>
      <c r="G318" s="58"/>
      <c r="H318" s="58"/>
      <c r="I318" s="58"/>
    </row>
    <row r="319" spans="2:9">
      <c r="B319" s="254"/>
      <c r="C319" s="58"/>
      <c r="D319" s="58"/>
      <c r="E319" s="58"/>
      <c r="F319" s="58"/>
      <c r="G319" s="58"/>
      <c r="H319" s="58"/>
      <c r="I319" s="58"/>
    </row>
    <row r="320" spans="2:9">
      <c r="B320" s="254"/>
      <c r="C320" s="58"/>
      <c r="D320" s="58"/>
      <c r="E320" s="58"/>
      <c r="F320" s="58"/>
      <c r="G320" s="58"/>
      <c r="H320" s="58"/>
      <c r="I320" s="58"/>
    </row>
    <row r="321" spans="2:9">
      <c r="B321" s="254"/>
      <c r="C321" s="58"/>
      <c r="D321" s="58"/>
      <c r="E321" s="58"/>
      <c r="F321" s="58"/>
      <c r="G321" s="58"/>
      <c r="H321" s="58"/>
      <c r="I321" s="58"/>
    </row>
    <row r="322" spans="2:9">
      <c r="B322" s="254"/>
      <c r="C322" s="58"/>
      <c r="D322" s="58"/>
      <c r="E322" s="58"/>
      <c r="F322" s="58"/>
      <c r="G322" s="58"/>
      <c r="H322" s="58"/>
      <c r="I322" s="58"/>
    </row>
    <row r="323" spans="2:9">
      <c r="B323" s="254"/>
      <c r="C323" s="58"/>
      <c r="D323" s="58"/>
      <c r="E323" s="58"/>
      <c r="F323" s="58"/>
      <c r="G323" s="58"/>
      <c r="H323" s="58"/>
      <c r="I323" s="58"/>
    </row>
    <row r="324" spans="2:9">
      <c r="B324" s="254"/>
      <c r="C324" s="58"/>
      <c r="D324" s="58"/>
      <c r="E324" s="58"/>
      <c r="F324" s="58"/>
      <c r="G324" s="58"/>
      <c r="H324" s="58"/>
      <c r="I324" s="58"/>
    </row>
    <row r="325" spans="2:9">
      <c r="B325" s="254"/>
      <c r="C325" s="58"/>
      <c r="D325" s="58"/>
      <c r="E325" s="58"/>
      <c r="F325" s="58"/>
      <c r="G325" s="58"/>
      <c r="H325" s="58"/>
      <c r="I325" s="58"/>
    </row>
    <row r="326" spans="2:9">
      <c r="B326" s="254"/>
      <c r="C326" s="58"/>
      <c r="D326" s="58"/>
      <c r="E326" s="58"/>
      <c r="F326" s="58"/>
      <c r="G326" s="58"/>
      <c r="H326" s="58"/>
      <c r="I326" s="58"/>
    </row>
    <row r="327" spans="2:9">
      <c r="B327" s="254"/>
      <c r="C327" s="58"/>
      <c r="D327" s="58"/>
      <c r="E327" s="58"/>
      <c r="F327" s="58"/>
      <c r="G327" s="58"/>
      <c r="H327" s="58"/>
      <c r="I327" s="58"/>
    </row>
    <row r="328" spans="2:9">
      <c r="B328" s="254"/>
      <c r="C328" s="58"/>
      <c r="D328" s="58"/>
      <c r="E328" s="58"/>
      <c r="F328" s="58"/>
      <c r="G328" s="58"/>
      <c r="H328" s="58"/>
      <c r="I328" s="58"/>
    </row>
    <row r="329" spans="2:9">
      <c r="B329" s="254"/>
      <c r="C329" s="58"/>
      <c r="D329" s="58"/>
      <c r="E329" s="58"/>
      <c r="F329" s="58"/>
      <c r="G329" s="58"/>
      <c r="H329" s="58"/>
      <c r="I329" s="58"/>
    </row>
    <row r="330" spans="2:9">
      <c r="B330" s="254"/>
      <c r="C330" s="58"/>
      <c r="D330" s="58"/>
      <c r="E330" s="58"/>
      <c r="F330" s="58"/>
      <c r="G330" s="58"/>
      <c r="H330" s="58"/>
      <c r="I330" s="58"/>
    </row>
    <row r="331" spans="2:9">
      <c r="B331" s="254"/>
      <c r="C331" s="58"/>
      <c r="D331" s="58"/>
      <c r="E331" s="58"/>
      <c r="F331" s="58"/>
      <c r="G331" s="58"/>
      <c r="H331" s="58"/>
      <c r="I331" s="58"/>
    </row>
    <row r="332" spans="2:9">
      <c r="B332" s="254"/>
      <c r="C332" s="58"/>
      <c r="D332" s="58"/>
      <c r="E332" s="58"/>
      <c r="F332" s="58"/>
      <c r="G332" s="58"/>
      <c r="H332" s="58"/>
      <c r="I332" s="58"/>
    </row>
    <row r="333" spans="2:9">
      <c r="B333" s="254"/>
      <c r="C333" s="58"/>
      <c r="D333" s="58"/>
      <c r="E333" s="58"/>
      <c r="F333" s="58"/>
      <c r="G333" s="58"/>
      <c r="H333" s="58"/>
      <c r="I333" s="58"/>
    </row>
    <row r="334" spans="2:9">
      <c r="B334" s="254"/>
      <c r="C334" s="58"/>
      <c r="D334" s="58"/>
      <c r="E334" s="58"/>
      <c r="F334" s="58"/>
      <c r="G334" s="58"/>
      <c r="H334" s="58"/>
      <c r="I334" s="58"/>
    </row>
    <row r="335" spans="2:9">
      <c r="B335" s="254"/>
      <c r="C335" s="58"/>
      <c r="D335" s="58"/>
      <c r="E335" s="58"/>
      <c r="F335" s="58"/>
      <c r="G335" s="58"/>
      <c r="H335" s="58"/>
      <c r="I335" s="58"/>
    </row>
    <row r="336" spans="2:9">
      <c r="B336" s="254"/>
      <c r="C336" s="58"/>
      <c r="D336" s="58"/>
      <c r="E336" s="58"/>
      <c r="F336" s="58"/>
      <c r="G336" s="58"/>
      <c r="H336" s="58"/>
      <c r="I336" s="58"/>
    </row>
    <row r="337" spans="2:9">
      <c r="B337" s="254"/>
      <c r="C337" s="58"/>
      <c r="D337" s="58"/>
      <c r="E337" s="58"/>
      <c r="F337" s="58"/>
      <c r="G337" s="58"/>
      <c r="H337" s="58"/>
      <c r="I337" s="58"/>
    </row>
    <row r="338" spans="2:9">
      <c r="B338" s="254"/>
      <c r="C338" s="58"/>
      <c r="D338" s="58"/>
      <c r="E338" s="58"/>
      <c r="F338" s="58"/>
      <c r="G338" s="58"/>
      <c r="H338" s="58"/>
      <c r="I338" s="58"/>
    </row>
    <row r="339" spans="2:9">
      <c r="B339" s="254"/>
      <c r="C339" s="58"/>
      <c r="D339" s="58"/>
      <c r="E339" s="58"/>
      <c r="F339" s="58"/>
      <c r="G339" s="58"/>
      <c r="H339" s="58"/>
      <c r="I339" s="58"/>
    </row>
    <row r="340" spans="2:9">
      <c r="B340" s="254"/>
      <c r="C340" s="58"/>
      <c r="D340" s="58"/>
      <c r="E340" s="58"/>
      <c r="F340" s="58"/>
      <c r="G340" s="58"/>
      <c r="H340" s="58"/>
      <c r="I340" s="58"/>
    </row>
    <row r="341" spans="2:9">
      <c r="B341" s="254"/>
      <c r="C341" s="58"/>
      <c r="D341" s="58"/>
      <c r="E341" s="58"/>
      <c r="F341" s="58"/>
      <c r="G341" s="58"/>
      <c r="H341" s="58"/>
      <c r="I341" s="58"/>
    </row>
    <row r="342" spans="2:9">
      <c r="B342" s="254"/>
      <c r="C342" s="58"/>
      <c r="D342" s="58"/>
      <c r="E342" s="58"/>
      <c r="F342" s="58"/>
      <c r="G342" s="58"/>
      <c r="H342" s="58"/>
      <c r="I342" s="58"/>
    </row>
    <row r="343" spans="2:9">
      <c r="B343" s="254"/>
      <c r="C343" s="58"/>
      <c r="D343" s="58"/>
      <c r="E343" s="58"/>
      <c r="F343" s="58"/>
      <c r="G343" s="58"/>
      <c r="H343" s="58"/>
      <c r="I343" s="58"/>
    </row>
    <row r="344" spans="2:9">
      <c r="B344" s="254"/>
      <c r="C344" s="58"/>
      <c r="D344" s="58"/>
      <c r="E344" s="58"/>
      <c r="F344" s="58"/>
      <c r="G344" s="58"/>
      <c r="H344" s="58"/>
      <c r="I344" s="58"/>
    </row>
    <row r="345" spans="2:9">
      <c r="B345" s="254"/>
      <c r="C345" s="58"/>
      <c r="D345" s="58"/>
      <c r="E345" s="58"/>
      <c r="F345" s="58"/>
      <c r="G345" s="58"/>
      <c r="H345" s="58"/>
      <c r="I345" s="58"/>
    </row>
    <row r="346" spans="2:9">
      <c r="B346" s="254"/>
      <c r="C346" s="58"/>
      <c r="D346" s="58"/>
      <c r="E346" s="58"/>
      <c r="F346" s="58"/>
      <c r="G346" s="58"/>
      <c r="H346" s="58"/>
      <c r="I346" s="58"/>
    </row>
    <row r="347" spans="2:9">
      <c r="B347" s="254"/>
      <c r="C347" s="58"/>
      <c r="D347" s="58"/>
      <c r="E347" s="58"/>
      <c r="F347" s="58"/>
      <c r="G347" s="58"/>
      <c r="H347" s="58"/>
      <c r="I347" s="58"/>
    </row>
    <row r="348" spans="2:9">
      <c r="B348" s="254"/>
      <c r="C348" s="58"/>
      <c r="D348" s="58"/>
      <c r="E348" s="58"/>
      <c r="F348" s="58"/>
      <c r="G348" s="58"/>
      <c r="H348" s="58"/>
      <c r="I348" s="58"/>
    </row>
    <row r="349" spans="2:9">
      <c r="B349" s="254"/>
      <c r="C349" s="58"/>
      <c r="D349" s="58"/>
      <c r="E349" s="58"/>
      <c r="F349" s="58"/>
      <c r="G349" s="58"/>
      <c r="H349" s="58"/>
      <c r="I349" s="58"/>
    </row>
    <row r="350" spans="2:9">
      <c r="B350" s="254"/>
      <c r="C350" s="58"/>
      <c r="D350" s="58"/>
      <c r="E350" s="58"/>
      <c r="F350" s="58"/>
      <c r="G350" s="58"/>
      <c r="H350" s="58"/>
      <c r="I350" s="58"/>
    </row>
    <row r="351" spans="2:9">
      <c r="B351" s="254"/>
      <c r="C351" s="58"/>
      <c r="D351" s="58"/>
      <c r="E351" s="58"/>
      <c r="F351" s="58"/>
      <c r="G351" s="58"/>
      <c r="H351" s="58"/>
      <c r="I351" s="58"/>
    </row>
    <row r="352" spans="2:9">
      <c r="B352" s="254"/>
      <c r="C352" s="58"/>
      <c r="D352" s="58"/>
      <c r="E352" s="58"/>
      <c r="F352" s="58"/>
      <c r="G352" s="58"/>
      <c r="H352" s="58"/>
      <c r="I352" s="58"/>
    </row>
    <row r="353" spans="2:9">
      <c r="B353" s="254"/>
      <c r="C353" s="58"/>
      <c r="D353" s="58"/>
      <c r="E353" s="58"/>
      <c r="F353" s="58"/>
      <c r="G353" s="58"/>
      <c r="H353" s="58"/>
      <c r="I353" s="58"/>
    </row>
    <row r="354" spans="2:9">
      <c r="B354" s="254"/>
      <c r="C354" s="58"/>
      <c r="D354" s="58"/>
      <c r="E354" s="58"/>
      <c r="F354" s="58"/>
      <c r="G354" s="58"/>
      <c r="H354" s="58"/>
      <c r="I354" s="58"/>
    </row>
    <row r="355" spans="2:9">
      <c r="B355" s="254"/>
      <c r="C355" s="58"/>
      <c r="D355" s="58"/>
      <c r="E355" s="58"/>
      <c r="F355" s="58"/>
      <c r="G355" s="58"/>
      <c r="H355" s="58"/>
      <c r="I355" s="58"/>
    </row>
    <row r="356" spans="2:9">
      <c r="B356" s="254"/>
      <c r="C356" s="58"/>
      <c r="D356" s="58"/>
      <c r="E356" s="58"/>
      <c r="F356" s="58"/>
      <c r="G356" s="58"/>
      <c r="H356" s="58"/>
      <c r="I356" s="58"/>
    </row>
    <row r="357" spans="2:9">
      <c r="B357" s="254"/>
      <c r="C357" s="58"/>
      <c r="D357" s="58"/>
      <c r="E357" s="58"/>
      <c r="F357" s="58"/>
      <c r="G357" s="58"/>
      <c r="H357" s="58"/>
      <c r="I357" s="58"/>
    </row>
    <row r="358" spans="2:9">
      <c r="B358" s="254"/>
      <c r="C358" s="58"/>
      <c r="D358" s="58"/>
      <c r="E358" s="58"/>
      <c r="F358" s="58"/>
      <c r="G358" s="58"/>
      <c r="H358" s="58"/>
      <c r="I358" s="58"/>
    </row>
    <row r="359" spans="2:9">
      <c r="B359" s="254"/>
      <c r="C359" s="58"/>
      <c r="D359" s="58"/>
      <c r="E359" s="58"/>
      <c r="F359" s="58"/>
      <c r="G359" s="58"/>
      <c r="H359" s="58"/>
      <c r="I359" s="58"/>
    </row>
    <row r="360" spans="2:9">
      <c r="B360" s="254"/>
      <c r="C360" s="58"/>
      <c r="D360" s="58"/>
      <c r="E360" s="58"/>
      <c r="F360" s="58"/>
      <c r="G360" s="58"/>
      <c r="H360" s="58"/>
      <c r="I360" s="58"/>
    </row>
    <row r="361" spans="2:9">
      <c r="B361" s="254"/>
      <c r="C361" s="58"/>
      <c r="D361" s="58"/>
      <c r="E361" s="58"/>
      <c r="F361" s="58"/>
      <c r="G361" s="58"/>
      <c r="H361" s="58"/>
      <c r="I361" s="58"/>
    </row>
    <row r="362" spans="2:9">
      <c r="B362" s="254"/>
      <c r="C362" s="58"/>
      <c r="D362" s="58"/>
      <c r="E362" s="58"/>
      <c r="F362" s="58"/>
      <c r="G362" s="58"/>
      <c r="H362" s="58"/>
      <c r="I362" s="58"/>
    </row>
    <row r="363" spans="2:9">
      <c r="B363" s="254"/>
      <c r="C363" s="58"/>
      <c r="D363" s="58"/>
      <c r="E363" s="58"/>
      <c r="F363" s="58"/>
      <c r="G363" s="58"/>
      <c r="H363" s="58"/>
      <c r="I363" s="58"/>
    </row>
    <row r="364" spans="2:9">
      <c r="B364" s="254"/>
      <c r="C364" s="58"/>
      <c r="D364" s="58"/>
      <c r="E364" s="58"/>
      <c r="F364" s="58"/>
      <c r="G364" s="58"/>
      <c r="H364" s="58"/>
      <c r="I364" s="58"/>
    </row>
    <row r="365" spans="2:9">
      <c r="B365" s="254"/>
      <c r="C365" s="58"/>
      <c r="D365" s="58"/>
      <c r="E365" s="58"/>
      <c r="F365" s="58"/>
      <c r="G365" s="58"/>
      <c r="H365" s="58"/>
      <c r="I365" s="58"/>
    </row>
    <row r="366" spans="2:9">
      <c r="B366" s="254"/>
      <c r="C366" s="58"/>
      <c r="D366" s="58"/>
      <c r="E366" s="58"/>
      <c r="F366" s="58"/>
      <c r="G366" s="58"/>
      <c r="H366" s="58"/>
      <c r="I366" s="58"/>
    </row>
    <row r="367" spans="2:9">
      <c r="B367" s="254"/>
      <c r="C367" s="58"/>
      <c r="D367" s="58"/>
      <c r="E367" s="58"/>
      <c r="F367" s="58"/>
      <c r="G367" s="58"/>
      <c r="H367" s="58"/>
      <c r="I367" s="58"/>
    </row>
    <row r="368" spans="2:9">
      <c r="B368" s="254"/>
      <c r="C368" s="58"/>
      <c r="D368" s="58"/>
      <c r="E368" s="58"/>
      <c r="F368" s="58"/>
      <c r="G368" s="58"/>
      <c r="H368" s="58"/>
      <c r="I368" s="58"/>
    </row>
    <row r="369" spans="2:9">
      <c r="B369" s="254"/>
      <c r="C369" s="58"/>
      <c r="D369" s="58"/>
      <c r="E369" s="58"/>
      <c r="F369" s="58"/>
      <c r="G369" s="58"/>
      <c r="H369" s="58"/>
      <c r="I369" s="58"/>
    </row>
    <row r="370" spans="2:9">
      <c r="B370" s="254"/>
      <c r="C370" s="58"/>
      <c r="D370" s="58"/>
      <c r="E370" s="58"/>
      <c r="F370" s="58"/>
      <c r="G370" s="58"/>
      <c r="H370" s="58"/>
      <c r="I370" s="58"/>
    </row>
    <row r="371" spans="2:9">
      <c r="B371" s="254"/>
      <c r="C371" s="58"/>
      <c r="D371" s="58"/>
      <c r="E371" s="58"/>
      <c r="F371" s="58"/>
      <c r="G371" s="58"/>
      <c r="H371" s="58"/>
      <c r="I371" s="58"/>
    </row>
    <row r="372" spans="2:9">
      <c r="B372" s="254"/>
      <c r="C372" s="58"/>
      <c r="D372" s="58"/>
      <c r="E372" s="58"/>
      <c r="F372" s="58"/>
      <c r="G372" s="58"/>
      <c r="H372" s="58"/>
      <c r="I372" s="58"/>
    </row>
    <row r="373" spans="2:9">
      <c r="B373" s="254"/>
      <c r="C373" s="58"/>
      <c r="D373" s="58"/>
      <c r="E373" s="58"/>
      <c r="F373" s="58"/>
      <c r="G373" s="58"/>
      <c r="H373" s="58"/>
      <c r="I373" s="58"/>
    </row>
    <row r="374" spans="2:9">
      <c r="B374" s="254"/>
      <c r="C374" s="58"/>
      <c r="D374" s="58"/>
      <c r="E374" s="58"/>
      <c r="F374" s="58"/>
      <c r="G374" s="58"/>
      <c r="H374" s="58"/>
      <c r="I374" s="58"/>
    </row>
    <row r="375" spans="2:9">
      <c r="B375" s="254"/>
      <c r="C375" s="58"/>
      <c r="D375" s="58"/>
      <c r="E375" s="58"/>
      <c r="F375" s="58"/>
      <c r="G375" s="58"/>
      <c r="H375" s="58"/>
      <c r="I375" s="58"/>
    </row>
    <row r="376" spans="2:9">
      <c r="B376" s="254"/>
      <c r="C376" s="58"/>
      <c r="D376" s="58"/>
      <c r="E376" s="58"/>
      <c r="F376" s="58"/>
      <c r="G376" s="58"/>
      <c r="H376" s="58"/>
      <c r="I376" s="58"/>
    </row>
    <row r="377" spans="2:9">
      <c r="B377" s="254"/>
      <c r="C377" s="58"/>
      <c r="D377" s="58"/>
      <c r="E377" s="58"/>
      <c r="F377" s="58"/>
      <c r="G377" s="58"/>
      <c r="H377" s="58"/>
      <c r="I377" s="58"/>
    </row>
    <row r="378" spans="2:9">
      <c r="B378" s="254"/>
      <c r="C378" s="58"/>
      <c r="D378" s="58"/>
      <c r="E378" s="58"/>
      <c r="F378" s="58"/>
      <c r="G378" s="58"/>
      <c r="H378" s="58"/>
      <c r="I378" s="58"/>
    </row>
    <row r="379" spans="2:9">
      <c r="B379" s="254"/>
      <c r="C379" s="58"/>
      <c r="D379" s="58"/>
      <c r="E379" s="58"/>
      <c r="F379" s="58"/>
      <c r="G379" s="58"/>
      <c r="H379" s="58"/>
      <c r="I379" s="58"/>
    </row>
    <row r="380" spans="2:9">
      <c r="B380" s="254"/>
      <c r="C380" s="58"/>
      <c r="D380" s="58"/>
      <c r="E380" s="58"/>
      <c r="F380" s="58"/>
      <c r="G380" s="58"/>
      <c r="H380" s="58"/>
      <c r="I380" s="58"/>
    </row>
    <row r="381" spans="2:9">
      <c r="B381" s="254"/>
      <c r="C381" s="58"/>
      <c r="D381" s="58"/>
      <c r="E381" s="58"/>
      <c r="F381" s="58"/>
      <c r="G381" s="58"/>
      <c r="H381" s="58"/>
      <c r="I381" s="58"/>
    </row>
    <row r="382" spans="2:9">
      <c r="B382" s="254"/>
      <c r="C382" s="58"/>
      <c r="D382" s="58"/>
      <c r="E382" s="58"/>
      <c r="F382" s="58"/>
      <c r="G382" s="58"/>
      <c r="H382" s="58"/>
      <c r="I382" s="58"/>
    </row>
    <row r="383" spans="2:9">
      <c r="B383" s="254"/>
      <c r="C383" s="58"/>
      <c r="D383" s="58"/>
      <c r="E383" s="58"/>
      <c r="F383" s="58"/>
      <c r="G383" s="58"/>
      <c r="H383" s="58"/>
      <c r="I383" s="58"/>
    </row>
    <row r="384" spans="2:9">
      <c r="B384" s="254"/>
      <c r="C384" s="58"/>
      <c r="D384" s="58"/>
      <c r="E384" s="58"/>
      <c r="F384" s="58"/>
      <c r="G384" s="58"/>
      <c r="H384" s="58"/>
      <c r="I384" s="58"/>
    </row>
    <row r="385" spans="2:9">
      <c r="B385" s="254"/>
      <c r="C385" s="58"/>
      <c r="D385" s="58"/>
      <c r="E385" s="58"/>
      <c r="F385" s="58"/>
      <c r="G385" s="58"/>
      <c r="H385" s="58"/>
      <c r="I385" s="58"/>
    </row>
    <row r="386" spans="2:9">
      <c r="B386" s="254"/>
      <c r="C386" s="58"/>
      <c r="D386" s="58"/>
      <c r="E386" s="58"/>
      <c r="F386" s="58"/>
      <c r="G386" s="58"/>
      <c r="H386" s="58"/>
      <c r="I386" s="58"/>
    </row>
    <row r="387" spans="2:9">
      <c r="B387" s="254"/>
      <c r="C387" s="58"/>
      <c r="D387" s="58"/>
      <c r="E387" s="58"/>
      <c r="F387" s="58"/>
      <c r="G387" s="58"/>
      <c r="H387" s="58"/>
      <c r="I387" s="58"/>
    </row>
    <row r="388" spans="2:9">
      <c r="B388" s="254"/>
      <c r="C388" s="58"/>
      <c r="D388" s="58"/>
      <c r="E388" s="58"/>
      <c r="F388" s="58"/>
      <c r="G388" s="58"/>
      <c r="H388" s="58"/>
      <c r="I388" s="58"/>
    </row>
    <row r="389" spans="2:9">
      <c r="B389" s="254"/>
      <c r="C389" s="58"/>
      <c r="D389" s="58"/>
      <c r="E389" s="58"/>
      <c r="F389" s="58"/>
      <c r="G389" s="58"/>
      <c r="H389" s="58"/>
      <c r="I389" s="58"/>
    </row>
    <row r="390" spans="2:9">
      <c r="B390" s="254"/>
      <c r="C390" s="58"/>
      <c r="D390" s="58"/>
      <c r="E390" s="58"/>
      <c r="F390" s="58"/>
      <c r="G390" s="58"/>
      <c r="H390" s="58"/>
      <c r="I390" s="58"/>
    </row>
    <row r="391" spans="2:9">
      <c r="B391" s="254"/>
      <c r="C391" s="58"/>
      <c r="D391" s="58"/>
      <c r="E391" s="58"/>
      <c r="F391" s="58"/>
      <c r="G391" s="58"/>
      <c r="H391" s="58"/>
      <c r="I391" s="58"/>
    </row>
    <row r="392" spans="2:9">
      <c r="B392" s="254"/>
      <c r="C392" s="58"/>
      <c r="D392" s="58"/>
      <c r="E392" s="58"/>
      <c r="F392" s="58"/>
      <c r="G392" s="58"/>
      <c r="H392" s="58"/>
      <c r="I392" s="58"/>
    </row>
    <row r="393" spans="2:9">
      <c r="B393" s="254"/>
      <c r="C393" s="58"/>
      <c r="D393" s="58"/>
      <c r="E393" s="58"/>
      <c r="F393" s="58"/>
      <c r="G393" s="58"/>
      <c r="H393" s="58"/>
      <c r="I393" s="58"/>
    </row>
    <row r="394" spans="2:9">
      <c r="B394" s="254"/>
      <c r="C394" s="58"/>
      <c r="D394" s="58"/>
      <c r="E394" s="58"/>
      <c r="F394" s="58"/>
      <c r="G394" s="58"/>
      <c r="H394" s="58"/>
      <c r="I394" s="58"/>
    </row>
    <row r="395" spans="2:9">
      <c r="B395" s="254"/>
      <c r="C395" s="58"/>
      <c r="D395" s="58"/>
      <c r="E395" s="58"/>
      <c r="F395" s="58"/>
      <c r="G395" s="58"/>
      <c r="H395" s="58"/>
      <c r="I395" s="58"/>
    </row>
    <row r="396" spans="2:9">
      <c r="B396" s="254"/>
      <c r="C396" s="58"/>
      <c r="D396" s="58"/>
      <c r="E396" s="58"/>
      <c r="F396" s="58"/>
      <c r="G396" s="58"/>
      <c r="H396" s="58"/>
      <c r="I396" s="58"/>
    </row>
    <row r="397" spans="2:9">
      <c r="B397" s="254"/>
      <c r="C397" s="58"/>
      <c r="D397" s="58"/>
      <c r="E397" s="58"/>
      <c r="F397" s="58"/>
      <c r="G397" s="58"/>
      <c r="H397" s="58"/>
      <c r="I397" s="58"/>
    </row>
    <row r="398" spans="2:9">
      <c r="B398" s="254"/>
      <c r="C398" s="58"/>
      <c r="D398" s="58"/>
      <c r="E398" s="58"/>
      <c r="F398" s="58"/>
      <c r="G398" s="58"/>
      <c r="H398" s="58"/>
      <c r="I398" s="58"/>
    </row>
    <row r="399" spans="2:9">
      <c r="B399" s="254"/>
      <c r="C399" s="58"/>
      <c r="D399" s="58"/>
      <c r="E399" s="58"/>
      <c r="F399" s="58"/>
      <c r="G399" s="58"/>
      <c r="H399" s="58"/>
      <c r="I399" s="58"/>
    </row>
    <row r="400" spans="2:9">
      <c r="B400" s="254"/>
      <c r="C400" s="58"/>
      <c r="D400" s="58"/>
      <c r="E400" s="58"/>
      <c r="F400" s="58"/>
      <c r="G400" s="58"/>
      <c r="H400" s="58"/>
      <c r="I400" s="58"/>
    </row>
    <row r="401" spans="2:9">
      <c r="B401" s="254"/>
      <c r="C401" s="58"/>
      <c r="D401" s="58"/>
      <c r="E401" s="58"/>
      <c r="F401" s="58"/>
      <c r="G401" s="58"/>
      <c r="H401" s="58"/>
      <c r="I401" s="58"/>
    </row>
    <row r="402" spans="2:9">
      <c r="B402" s="254"/>
      <c r="C402" s="58"/>
      <c r="D402" s="58"/>
      <c r="E402" s="58"/>
      <c r="F402" s="58"/>
      <c r="G402" s="58"/>
      <c r="H402" s="58"/>
      <c r="I402" s="58"/>
    </row>
    <row r="403" spans="2:9">
      <c r="B403" s="254"/>
      <c r="C403" s="58"/>
      <c r="D403" s="58"/>
      <c r="E403" s="58"/>
      <c r="F403" s="58"/>
      <c r="G403" s="58"/>
      <c r="H403" s="58"/>
      <c r="I403" s="58"/>
    </row>
    <row r="404" spans="2:9">
      <c r="B404" s="254"/>
      <c r="C404" s="58"/>
      <c r="D404" s="58"/>
      <c r="E404" s="58"/>
      <c r="F404" s="58"/>
      <c r="G404" s="58"/>
      <c r="H404" s="58"/>
      <c r="I404" s="58"/>
    </row>
    <row r="405" spans="2:9">
      <c r="B405" s="254"/>
      <c r="C405" s="58"/>
      <c r="D405" s="58"/>
      <c r="E405" s="58"/>
      <c r="F405" s="58"/>
      <c r="G405" s="58"/>
      <c r="H405" s="58"/>
      <c r="I405" s="58"/>
    </row>
    <row r="406" spans="2:9">
      <c r="B406" s="254"/>
      <c r="C406" s="58"/>
      <c r="D406" s="58"/>
      <c r="E406" s="58"/>
      <c r="F406" s="58"/>
      <c r="G406" s="58"/>
      <c r="H406" s="58"/>
      <c r="I406" s="58"/>
    </row>
    <row r="407" spans="2:9">
      <c r="B407" s="254"/>
      <c r="C407" s="58"/>
      <c r="D407" s="58"/>
      <c r="E407" s="58"/>
      <c r="F407" s="58"/>
      <c r="G407" s="58"/>
      <c r="H407" s="58"/>
      <c r="I407" s="58"/>
    </row>
    <row r="408" spans="2:9">
      <c r="B408" s="254"/>
      <c r="C408" s="58"/>
      <c r="D408" s="58"/>
      <c r="E408" s="58"/>
      <c r="F408" s="58"/>
      <c r="G408" s="58"/>
      <c r="H408" s="58"/>
      <c r="I408" s="58"/>
    </row>
    <row r="409" spans="2:9">
      <c r="B409" s="254"/>
      <c r="C409" s="58"/>
      <c r="D409" s="58"/>
      <c r="E409" s="58"/>
      <c r="F409" s="58"/>
      <c r="G409" s="58"/>
      <c r="H409" s="58"/>
      <c r="I409" s="58"/>
    </row>
    <row r="410" spans="2:9">
      <c r="B410" s="254"/>
      <c r="C410" s="58"/>
      <c r="D410" s="58"/>
      <c r="E410" s="58"/>
      <c r="F410" s="58"/>
      <c r="G410" s="58"/>
      <c r="H410" s="58"/>
      <c r="I410" s="58"/>
    </row>
    <row r="411" spans="2:9">
      <c r="B411" s="254"/>
      <c r="C411" s="58"/>
      <c r="D411" s="58"/>
      <c r="E411" s="58"/>
      <c r="F411" s="58"/>
      <c r="G411" s="58"/>
      <c r="H411" s="58"/>
      <c r="I411" s="58"/>
    </row>
    <row r="412" spans="2:9">
      <c r="B412" s="254"/>
      <c r="C412" s="58"/>
      <c r="D412" s="58"/>
      <c r="E412" s="58"/>
      <c r="F412" s="58"/>
      <c r="G412" s="58"/>
      <c r="H412" s="58"/>
      <c r="I412" s="58"/>
    </row>
    <row r="413" spans="2:9">
      <c r="B413" s="254"/>
      <c r="C413" s="58"/>
      <c r="D413" s="58"/>
      <c r="E413" s="58"/>
      <c r="F413" s="58"/>
      <c r="G413" s="58"/>
      <c r="H413" s="58"/>
      <c r="I413" s="58"/>
    </row>
    <row r="414" spans="2:9">
      <c r="B414" s="254"/>
      <c r="C414" s="58"/>
      <c r="D414" s="58"/>
      <c r="E414" s="58"/>
      <c r="F414" s="58"/>
      <c r="G414" s="58"/>
      <c r="H414" s="58"/>
      <c r="I414" s="58"/>
    </row>
    <row r="415" spans="2:9">
      <c r="B415" s="254"/>
      <c r="C415" s="58"/>
      <c r="D415" s="58"/>
      <c r="E415" s="58"/>
      <c r="F415" s="58"/>
      <c r="G415" s="58"/>
      <c r="H415" s="58"/>
      <c r="I415" s="58"/>
    </row>
    <row r="416" spans="2:9">
      <c r="B416" s="254"/>
      <c r="C416" s="58"/>
      <c r="D416" s="58"/>
      <c r="E416" s="58"/>
      <c r="F416" s="58"/>
      <c r="G416" s="58"/>
      <c r="H416" s="58"/>
      <c r="I416" s="58"/>
    </row>
    <row r="417" spans="2:9">
      <c r="B417" s="254"/>
      <c r="C417" s="58"/>
      <c r="D417" s="58"/>
      <c r="E417" s="58"/>
      <c r="F417" s="58"/>
      <c r="G417" s="58"/>
      <c r="H417" s="58"/>
      <c r="I417" s="58"/>
    </row>
    <row r="418" spans="2:9">
      <c r="B418" s="254"/>
      <c r="C418" s="58"/>
      <c r="D418" s="58"/>
      <c r="E418" s="58"/>
      <c r="F418" s="58"/>
      <c r="G418" s="58"/>
      <c r="H418" s="58"/>
      <c r="I418" s="58"/>
    </row>
    <row r="419" spans="2:9">
      <c r="B419" s="254"/>
      <c r="C419" s="58"/>
      <c r="D419" s="58"/>
      <c r="E419" s="58"/>
      <c r="F419" s="58"/>
      <c r="G419" s="58"/>
      <c r="H419" s="58"/>
      <c r="I419" s="58"/>
    </row>
    <row r="420" spans="2:9">
      <c r="B420" s="254"/>
      <c r="C420" s="58"/>
      <c r="D420" s="58"/>
      <c r="E420" s="58"/>
      <c r="F420" s="58"/>
      <c r="G420" s="58"/>
      <c r="H420" s="58"/>
      <c r="I420" s="58"/>
    </row>
    <row r="421" spans="2:9">
      <c r="B421" s="254"/>
      <c r="C421" s="58"/>
      <c r="D421" s="58"/>
      <c r="E421" s="58"/>
      <c r="F421" s="58"/>
      <c r="G421" s="58"/>
      <c r="H421" s="58"/>
      <c r="I421" s="58"/>
    </row>
    <row r="422" spans="2:9">
      <c r="B422" s="254"/>
      <c r="C422" s="58"/>
      <c r="D422" s="58"/>
      <c r="E422" s="58"/>
      <c r="F422" s="58"/>
      <c r="G422" s="58"/>
      <c r="H422" s="58"/>
      <c r="I422" s="58"/>
    </row>
    <row r="423" spans="2:9">
      <c r="B423" s="254"/>
      <c r="C423" s="58"/>
      <c r="D423" s="58"/>
      <c r="E423" s="58"/>
      <c r="F423" s="58"/>
      <c r="G423" s="58"/>
      <c r="H423" s="58"/>
      <c r="I423" s="58"/>
    </row>
    <row r="424" spans="2:9">
      <c r="B424" s="254"/>
      <c r="C424" s="58"/>
      <c r="D424" s="58"/>
      <c r="E424" s="58"/>
      <c r="F424" s="58"/>
      <c r="G424" s="58"/>
      <c r="H424" s="58"/>
      <c r="I424" s="58"/>
    </row>
    <row r="425" spans="2:9">
      <c r="B425" s="254"/>
      <c r="C425" s="58"/>
      <c r="D425" s="58"/>
      <c r="E425" s="58"/>
      <c r="F425" s="58"/>
      <c r="G425" s="58"/>
      <c r="H425" s="58"/>
      <c r="I425" s="58"/>
    </row>
    <row r="426" spans="2:9">
      <c r="B426" s="254"/>
      <c r="C426" s="58"/>
      <c r="D426" s="58"/>
      <c r="E426" s="58"/>
      <c r="F426" s="58"/>
      <c r="G426" s="58"/>
      <c r="H426" s="58"/>
      <c r="I426" s="58"/>
    </row>
    <row r="427" spans="2:9">
      <c r="B427" s="254"/>
      <c r="C427" s="58"/>
      <c r="D427" s="58"/>
      <c r="E427" s="58"/>
      <c r="F427" s="58"/>
      <c r="G427" s="58"/>
      <c r="H427" s="58"/>
      <c r="I427" s="58"/>
    </row>
    <row r="428" spans="2:9">
      <c r="B428" s="254"/>
      <c r="C428" s="58"/>
      <c r="D428" s="58"/>
      <c r="E428" s="58"/>
      <c r="F428" s="58"/>
      <c r="G428" s="58"/>
      <c r="H428" s="58"/>
      <c r="I428" s="58"/>
    </row>
    <row r="429" spans="2:9">
      <c r="B429" s="254"/>
      <c r="C429" s="58"/>
      <c r="D429" s="58"/>
      <c r="E429" s="58"/>
      <c r="F429" s="58"/>
      <c r="G429" s="58"/>
      <c r="H429" s="58"/>
      <c r="I429" s="58"/>
    </row>
    <row r="430" spans="2:9">
      <c r="B430" s="254"/>
      <c r="C430" s="58"/>
      <c r="D430" s="58"/>
      <c r="E430" s="58"/>
      <c r="F430" s="58"/>
      <c r="G430" s="58"/>
      <c r="H430" s="58"/>
      <c r="I430" s="58"/>
    </row>
    <row r="431" spans="2:9">
      <c r="B431" s="254"/>
      <c r="C431" s="58"/>
      <c r="D431" s="58"/>
      <c r="E431" s="58"/>
      <c r="F431" s="58"/>
      <c r="G431" s="58"/>
      <c r="H431" s="58"/>
      <c r="I431" s="58"/>
    </row>
    <row r="432" spans="2:9">
      <c r="B432" s="254"/>
      <c r="C432" s="58"/>
      <c r="D432" s="58"/>
      <c r="E432" s="58"/>
      <c r="F432" s="58"/>
      <c r="G432" s="58"/>
      <c r="H432" s="58"/>
      <c r="I432" s="58"/>
    </row>
    <row r="433" spans="2:9">
      <c r="B433" s="254"/>
      <c r="C433" s="58"/>
      <c r="D433" s="58"/>
      <c r="E433" s="58"/>
      <c r="F433" s="58"/>
      <c r="G433" s="58"/>
      <c r="H433" s="58"/>
      <c r="I433" s="58"/>
    </row>
    <row r="434" spans="2:9">
      <c r="B434" s="254"/>
      <c r="C434" s="58"/>
      <c r="D434" s="58"/>
      <c r="E434" s="58"/>
      <c r="F434" s="58"/>
      <c r="G434" s="58"/>
      <c r="H434" s="58"/>
      <c r="I434" s="58"/>
    </row>
    <row r="435" spans="2:9">
      <c r="B435" s="254"/>
      <c r="C435" s="58"/>
      <c r="D435" s="58"/>
      <c r="E435" s="58"/>
      <c r="F435" s="58"/>
      <c r="G435" s="58"/>
      <c r="H435" s="58"/>
      <c r="I435" s="58"/>
    </row>
    <row r="436" spans="2:9">
      <c r="B436" s="254"/>
      <c r="C436" s="58"/>
      <c r="D436" s="58"/>
      <c r="E436" s="58"/>
      <c r="F436" s="58"/>
      <c r="G436" s="58"/>
      <c r="H436" s="58"/>
      <c r="I436" s="58"/>
    </row>
    <row r="437" spans="2:9">
      <c r="B437" s="254"/>
      <c r="C437" s="58"/>
      <c r="D437" s="58"/>
      <c r="E437" s="58"/>
      <c r="F437" s="58"/>
      <c r="G437" s="58"/>
      <c r="H437" s="58"/>
      <c r="I437" s="58"/>
    </row>
    <row r="438" spans="2:9">
      <c r="B438" s="254"/>
      <c r="C438" s="58"/>
      <c r="D438" s="58"/>
      <c r="E438" s="58"/>
      <c r="F438" s="58"/>
      <c r="G438" s="58"/>
      <c r="H438" s="58"/>
      <c r="I438" s="58"/>
    </row>
    <row r="439" spans="2:9">
      <c r="B439" s="254"/>
      <c r="C439" s="58"/>
      <c r="D439" s="58"/>
      <c r="E439" s="58"/>
      <c r="F439" s="58"/>
      <c r="G439" s="58"/>
      <c r="H439" s="58"/>
      <c r="I439" s="58"/>
    </row>
    <row r="440" spans="2:9">
      <c r="B440" s="254"/>
      <c r="C440" s="58"/>
      <c r="D440" s="58"/>
      <c r="E440" s="58"/>
      <c r="F440" s="58"/>
      <c r="G440" s="58"/>
      <c r="H440" s="58"/>
      <c r="I440" s="58"/>
    </row>
    <row r="441" spans="2:9">
      <c r="B441" s="254"/>
      <c r="C441" s="58"/>
      <c r="D441" s="58"/>
      <c r="E441" s="58"/>
      <c r="F441" s="58"/>
      <c r="G441" s="58"/>
      <c r="H441" s="58"/>
      <c r="I441" s="58"/>
    </row>
    <row r="442" spans="2:9">
      <c r="B442" s="254"/>
      <c r="C442" s="58"/>
      <c r="D442" s="58"/>
      <c r="E442" s="58"/>
      <c r="F442" s="58"/>
      <c r="G442" s="58"/>
      <c r="H442" s="58"/>
      <c r="I442" s="58"/>
    </row>
    <row r="443" spans="2:9">
      <c r="B443" s="254"/>
      <c r="C443" s="58"/>
      <c r="D443" s="58"/>
      <c r="E443" s="58"/>
      <c r="F443" s="58"/>
      <c r="G443" s="58"/>
      <c r="H443" s="58"/>
      <c r="I443" s="58"/>
    </row>
    <row r="444" spans="2:9">
      <c r="B444" s="254"/>
      <c r="C444" s="58"/>
      <c r="D444" s="58"/>
      <c r="E444" s="58"/>
      <c r="F444" s="58"/>
      <c r="G444" s="58"/>
      <c r="H444" s="58"/>
      <c r="I444" s="58"/>
    </row>
    <row r="445" spans="2:9">
      <c r="B445" s="254"/>
      <c r="C445" s="58"/>
      <c r="D445" s="58"/>
      <c r="E445" s="58"/>
      <c r="F445" s="58"/>
      <c r="G445" s="58"/>
      <c r="H445" s="58"/>
      <c r="I445" s="58"/>
    </row>
    <row r="446" spans="2:9">
      <c r="B446" s="254"/>
      <c r="C446" s="58"/>
      <c r="D446" s="58"/>
      <c r="E446" s="58"/>
      <c r="F446" s="58"/>
      <c r="G446" s="58"/>
      <c r="H446" s="58"/>
      <c r="I446" s="58"/>
    </row>
    <row r="447" spans="2:9">
      <c r="B447" s="254"/>
      <c r="C447" s="58"/>
      <c r="D447" s="58"/>
      <c r="E447" s="58"/>
      <c r="F447" s="58"/>
      <c r="G447" s="58"/>
      <c r="H447" s="58"/>
      <c r="I447" s="58"/>
    </row>
    <row r="448" spans="2:9">
      <c r="B448" s="254"/>
      <c r="C448" s="58"/>
      <c r="D448" s="58"/>
      <c r="E448" s="58"/>
      <c r="F448" s="58"/>
      <c r="G448" s="58"/>
      <c r="H448" s="58"/>
      <c r="I448" s="58"/>
    </row>
    <row r="449" spans="2:9">
      <c r="B449" s="254"/>
      <c r="C449" s="58"/>
      <c r="D449" s="58"/>
      <c r="E449" s="58"/>
      <c r="F449" s="58"/>
      <c r="G449" s="58"/>
      <c r="H449" s="58"/>
      <c r="I449" s="58"/>
    </row>
    <row r="450" spans="2:9">
      <c r="B450" s="254"/>
      <c r="C450" s="58"/>
      <c r="D450" s="58"/>
      <c r="E450" s="58"/>
      <c r="F450" s="58"/>
      <c r="G450" s="58"/>
      <c r="H450" s="58"/>
      <c r="I450" s="58"/>
    </row>
    <row r="451" spans="2:9">
      <c r="B451" s="254"/>
      <c r="C451" s="58"/>
      <c r="D451" s="58"/>
      <c r="E451" s="58"/>
      <c r="F451" s="58"/>
      <c r="G451" s="58"/>
      <c r="H451" s="58"/>
      <c r="I451" s="58"/>
    </row>
    <row r="452" spans="2:9">
      <c r="B452" s="254"/>
      <c r="C452" s="58"/>
      <c r="D452" s="58"/>
      <c r="E452" s="58"/>
      <c r="F452" s="58"/>
      <c r="G452" s="58"/>
      <c r="H452" s="58"/>
      <c r="I452" s="58"/>
    </row>
    <row r="453" spans="2:9">
      <c r="B453" s="254"/>
      <c r="C453" s="58"/>
      <c r="D453" s="58"/>
      <c r="E453" s="58"/>
      <c r="F453" s="58"/>
      <c r="G453" s="58"/>
      <c r="H453" s="58"/>
      <c r="I453" s="58"/>
    </row>
    <row r="454" spans="2:9">
      <c r="B454" s="254"/>
      <c r="C454" s="58"/>
      <c r="D454" s="58"/>
      <c r="E454" s="58"/>
      <c r="F454" s="58"/>
      <c r="G454" s="58"/>
      <c r="H454" s="58"/>
      <c r="I454" s="58"/>
    </row>
    <row r="455" spans="2:9">
      <c r="B455" s="254"/>
      <c r="C455" s="58"/>
      <c r="D455" s="58"/>
      <c r="E455" s="58"/>
      <c r="F455" s="58"/>
      <c r="G455" s="58"/>
      <c r="H455" s="58"/>
      <c r="I455" s="58"/>
    </row>
    <row r="456" spans="2:9">
      <c r="B456" s="254"/>
      <c r="C456" s="58"/>
      <c r="D456" s="58"/>
      <c r="E456" s="58"/>
      <c r="F456" s="58"/>
      <c r="G456" s="58"/>
      <c r="H456" s="58"/>
      <c r="I456" s="58"/>
    </row>
    <row r="457" spans="2:9">
      <c r="B457" s="254"/>
      <c r="C457" s="58"/>
      <c r="D457" s="58"/>
      <c r="E457" s="58"/>
      <c r="F457" s="58"/>
      <c r="G457" s="58"/>
      <c r="H457" s="58"/>
      <c r="I457" s="58"/>
    </row>
    <row r="458" spans="2:9">
      <c r="B458" s="254"/>
      <c r="C458" s="58"/>
      <c r="D458" s="58"/>
      <c r="E458" s="58"/>
      <c r="F458" s="58"/>
      <c r="G458" s="58"/>
      <c r="H458" s="58"/>
      <c r="I458" s="58"/>
    </row>
    <row r="459" spans="2:9">
      <c r="B459" s="254"/>
      <c r="C459" s="58"/>
      <c r="D459" s="58"/>
      <c r="E459" s="58"/>
      <c r="F459" s="58"/>
      <c r="G459" s="58"/>
      <c r="H459" s="58"/>
      <c r="I459" s="58"/>
    </row>
    <row r="460" spans="2:9">
      <c r="B460" s="254"/>
      <c r="C460" s="58"/>
      <c r="D460" s="58"/>
      <c r="E460" s="58"/>
      <c r="F460" s="58"/>
      <c r="G460" s="58"/>
      <c r="H460" s="58"/>
      <c r="I460" s="58"/>
    </row>
    <row r="461" spans="2:9">
      <c r="B461" s="254"/>
      <c r="C461" s="58"/>
      <c r="D461" s="58"/>
      <c r="E461" s="58"/>
      <c r="F461" s="58"/>
      <c r="G461" s="58"/>
      <c r="H461" s="58"/>
      <c r="I461" s="58"/>
    </row>
    <row r="462" spans="2:9">
      <c r="B462" s="254"/>
      <c r="C462" s="58"/>
      <c r="D462" s="58"/>
      <c r="E462" s="58"/>
      <c r="F462" s="58"/>
      <c r="G462" s="58"/>
      <c r="H462" s="58"/>
      <c r="I462" s="58"/>
    </row>
    <row r="463" spans="2:9">
      <c r="B463" s="254"/>
      <c r="C463" s="58"/>
      <c r="D463" s="58"/>
      <c r="E463" s="58"/>
      <c r="F463" s="58"/>
      <c r="G463" s="58"/>
      <c r="H463" s="58"/>
      <c r="I463" s="58"/>
    </row>
    <row r="464" spans="2:9">
      <c r="B464" s="254"/>
      <c r="C464" s="58"/>
      <c r="D464" s="58"/>
      <c r="E464" s="58"/>
      <c r="F464" s="58"/>
      <c r="G464" s="58"/>
      <c r="H464" s="58"/>
      <c r="I464" s="58"/>
    </row>
    <row r="465" spans="2:9">
      <c r="B465" s="254"/>
      <c r="C465" s="58"/>
      <c r="D465" s="58"/>
      <c r="E465" s="58"/>
      <c r="F465" s="58"/>
      <c r="G465" s="58"/>
      <c r="H465" s="58"/>
      <c r="I465" s="58"/>
    </row>
    <row r="466" spans="2:9">
      <c r="B466" s="254"/>
      <c r="C466" s="58"/>
      <c r="D466" s="58"/>
      <c r="E466" s="58"/>
      <c r="F466" s="58"/>
      <c r="G466" s="58"/>
      <c r="H466" s="58"/>
      <c r="I466" s="58"/>
    </row>
    <row r="467" spans="2:9">
      <c r="B467" s="254"/>
      <c r="C467" s="58"/>
      <c r="D467" s="58"/>
      <c r="E467" s="58"/>
      <c r="F467" s="58"/>
      <c r="G467" s="58"/>
      <c r="H467" s="58"/>
      <c r="I467" s="58"/>
    </row>
    <row r="468" spans="2:9">
      <c r="B468" s="254"/>
      <c r="C468" s="58"/>
      <c r="D468" s="58"/>
      <c r="E468" s="58"/>
      <c r="F468" s="58"/>
      <c r="G468" s="58"/>
      <c r="H468" s="58"/>
      <c r="I468" s="58"/>
    </row>
    <row r="469" spans="2:9">
      <c r="B469" s="254"/>
      <c r="C469" s="58"/>
      <c r="D469" s="58"/>
      <c r="E469" s="58"/>
      <c r="F469" s="58"/>
      <c r="G469" s="58"/>
      <c r="H469" s="58"/>
      <c r="I469" s="58"/>
    </row>
    <row r="470" spans="2:9">
      <c r="B470" s="254"/>
      <c r="C470" s="58"/>
      <c r="D470" s="58"/>
      <c r="E470" s="58"/>
      <c r="F470" s="58"/>
      <c r="G470" s="58"/>
      <c r="H470" s="58"/>
      <c r="I470" s="58"/>
    </row>
    <row r="471" spans="2:9">
      <c r="B471" s="254"/>
      <c r="C471" s="58"/>
      <c r="D471" s="58"/>
      <c r="E471" s="58"/>
      <c r="F471" s="58"/>
      <c r="G471" s="58"/>
      <c r="H471" s="58"/>
      <c r="I471" s="58"/>
    </row>
    <row r="472" spans="2:9">
      <c r="B472" s="254"/>
      <c r="C472" s="58"/>
      <c r="D472" s="58"/>
      <c r="E472" s="58"/>
      <c r="F472" s="58"/>
      <c r="G472" s="58"/>
      <c r="H472" s="58"/>
      <c r="I472" s="58"/>
    </row>
    <row r="473" spans="2:9">
      <c r="B473" s="254"/>
      <c r="C473" s="58"/>
      <c r="D473" s="58"/>
      <c r="E473" s="58"/>
      <c r="F473" s="58"/>
      <c r="G473" s="58"/>
      <c r="H473" s="58"/>
      <c r="I473" s="58"/>
    </row>
    <row r="474" spans="2:9">
      <c r="B474" s="254"/>
      <c r="C474" s="58"/>
      <c r="D474" s="58"/>
      <c r="E474" s="58"/>
      <c r="F474" s="58"/>
      <c r="G474" s="58"/>
      <c r="H474" s="58"/>
      <c r="I474" s="58"/>
    </row>
    <row r="475" spans="2:9">
      <c r="B475" s="254"/>
      <c r="C475" s="58"/>
      <c r="D475" s="58"/>
      <c r="E475" s="58"/>
      <c r="F475" s="58"/>
      <c r="G475" s="58"/>
      <c r="H475" s="58"/>
      <c r="I475" s="58"/>
    </row>
    <row r="476" spans="2:9">
      <c r="B476" s="254"/>
      <c r="C476" s="58"/>
      <c r="D476" s="58"/>
      <c r="E476" s="58"/>
      <c r="F476" s="58"/>
      <c r="G476" s="58"/>
      <c r="H476" s="58"/>
      <c r="I476" s="58"/>
    </row>
    <row r="477" spans="2:9">
      <c r="B477" s="254"/>
      <c r="C477" s="58"/>
      <c r="D477" s="58"/>
      <c r="E477" s="58"/>
      <c r="F477" s="58"/>
      <c r="G477" s="58"/>
      <c r="H477" s="58"/>
      <c r="I477" s="58"/>
    </row>
    <row r="478" spans="2:9">
      <c r="B478" s="254"/>
      <c r="C478" s="58"/>
      <c r="D478" s="58"/>
      <c r="E478" s="58"/>
      <c r="F478" s="58"/>
      <c r="G478" s="58"/>
      <c r="H478" s="58"/>
      <c r="I478" s="58"/>
    </row>
    <row r="479" spans="2:9">
      <c r="B479" s="254"/>
      <c r="C479" s="58"/>
      <c r="D479" s="58"/>
      <c r="E479" s="58"/>
      <c r="F479" s="58"/>
      <c r="G479" s="58"/>
      <c r="H479" s="58"/>
      <c r="I479" s="58"/>
    </row>
    <row r="480" spans="2:9">
      <c r="B480" s="254"/>
      <c r="C480" s="58"/>
      <c r="D480" s="58"/>
      <c r="E480" s="58"/>
      <c r="F480" s="58"/>
      <c r="G480" s="58"/>
      <c r="H480" s="58"/>
      <c r="I480" s="58"/>
    </row>
    <row r="481" spans="2:9">
      <c r="B481" s="254"/>
      <c r="C481" s="58"/>
      <c r="D481" s="58"/>
      <c r="E481" s="58"/>
      <c r="F481" s="58"/>
      <c r="G481" s="58"/>
      <c r="H481" s="58"/>
      <c r="I481" s="58"/>
    </row>
    <row r="482" spans="2:9">
      <c r="B482" s="254"/>
      <c r="C482" s="58"/>
      <c r="D482" s="58"/>
      <c r="E482" s="58"/>
      <c r="F482" s="58"/>
      <c r="G482" s="58"/>
      <c r="H482" s="58"/>
      <c r="I482" s="58"/>
    </row>
    <row r="483" spans="2:9">
      <c r="B483" s="254"/>
      <c r="C483" s="58"/>
      <c r="D483" s="58"/>
      <c r="E483" s="58"/>
      <c r="F483" s="58"/>
      <c r="G483" s="58"/>
      <c r="H483" s="58"/>
      <c r="I483" s="58"/>
    </row>
    <row r="484" spans="2:9">
      <c r="B484" s="254"/>
      <c r="C484" s="58"/>
      <c r="D484" s="58"/>
      <c r="E484" s="58"/>
      <c r="F484" s="58"/>
      <c r="G484" s="58"/>
      <c r="H484" s="58"/>
      <c r="I484" s="58"/>
    </row>
    <row r="485" spans="2:9">
      <c r="B485" s="254"/>
      <c r="C485" s="58"/>
      <c r="D485" s="58"/>
      <c r="E485" s="58"/>
      <c r="F485" s="58"/>
      <c r="G485" s="58"/>
      <c r="H485" s="58"/>
      <c r="I485" s="58"/>
    </row>
    <row r="486" spans="2:9">
      <c r="B486" s="254"/>
      <c r="C486" s="58"/>
      <c r="D486" s="58"/>
      <c r="E486" s="58"/>
      <c r="F486" s="58"/>
      <c r="G486" s="58"/>
      <c r="H486" s="58"/>
      <c r="I486" s="58"/>
    </row>
    <row r="487" spans="2:9">
      <c r="B487" s="254"/>
      <c r="C487" s="58"/>
      <c r="D487" s="58"/>
      <c r="E487" s="58"/>
      <c r="F487" s="58"/>
      <c r="G487" s="58"/>
      <c r="H487" s="58"/>
      <c r="I487" s="58"/>
    </row>
    <row r="488" spans="2:9">
      <c r="B488" s="254"/>
      <c r="C488" s="58"/>
      <c r="D488" s="58"/>
      <c r="E488" s="58"/>
      <c r="F488" s="58"/>
      <c r="G488" s="58"/>
      <c r="H488" s="58"/>
      <c r="I488" s="58"/>
    </row>
    <row r="489" spans="2:9">
      <c r="B489" s="254"/>
      <c r="C489" s="58"/>
      <c r="D489" s="58"/>
      <c r="E489" s="58"/>
      <c r="F489" s="58"/>
      <c r="G489" s="58"/>
      <c r="H489" s="58"/>
      <c r="I489" s="58"/>
    </row>
    <row r="490" spans="2:9">
      <c r="B490" s="254"/>
      <c r="C490" s="58"/>
      <c r="D490" s="58"/>
      <c r="E490" s="58"/>
      <c r="F490" s="58"/>
      <c r="G490" s="58"/>
      <c r="H490" s="58"/>
      <c r="I490" s="58"/>
    </row>
    <row r="491" spans="2:9">
      <c r="B491" s="254"/>
      <c r="C491" s="58"/>
      <c r="D491" s="58"/>
      <c r="E491" s="58"/>
      <c r="F491" s="58"/>
      <c r="G491" s="58"/>
      <c r="H491" s="58"/>
      <c r="I491" s="58"/>
    </row>
    <row r="492" spans="2:9">
      <c r="B492" s="254"/>
      <c r="C492" s="58"/>
      <c r="D492" s="58"/>
      <c r="E492" s="58"/>
      <c r="F492" s="58"/>
      <c r="G492" s="58"/>
      <c r="H492" s="58"/>
      <c r="I492" s="58"/>
    </row>
    <row r="493" spans="2:9">
      <c r="B493" s="254"/>
      <c r="C493" s="58"/>
      <c r="D493" s="58"/>
      <c r="E493" s="58"/>
      <c r="F493" s="58"/>
      <c r="G493" s="58"/>
      <c r="H493" s="58"/>
      <c r="I493" s="58"/>
    </row>
    <row r="494" spans="2:9">
      <c r="B494" s="254"/>
      <c r="C494" s="58"/>
      <c r="D494" s="58"/>
      <c r="E494" s="58"/>
      <c r="F494" s="58"/>
      <c r="G494" s="58"/>
      <c r="H494" s="58"/>
      <c r="I494" s="58"/>
    </row>
    <row r="495" spans="2:9">
      <c r="B495" s="254"/>
      <c r="C495" s="58"/>
      <c r="D495" s="58"/>
      <c r="E495" s="58"/>
      <c r="F495" s="58"/>
      <c r="G495" s="58"/>
      <c r="H495" s="58"/>
      <c r="I495" s="58"/>
    </row>
    <row r="496" spans="2:9">
      <c r="B496" s="254"/>
      <c r="C496" s="58"/>
      <c r="D496" s="58"/>
      <c r="E496" s="58"/>
      <c r="F496" s="58"/>
      <c r="G496" s="58"/>
      <c r="H496" s="58"/>
      <c r="I496" s="58"/>
    </row>
    <row r="497" spans="2:9">
      <c r="B497" s="254"/>
      <c r="C497" s="58"/>
      <c r="D497" s="58"/>
      <c r="E497" s="58"/>
      <c r="F497" s="58"/>
      <c r="G497" s="58"/>
      <c r="H497" s="58"/>
      <c r="I497" s="58"/>
    </row>
    <row r="498" spans="2:9">
      <c r="B498" s="254"/>
      <c r="C498" s="58"/>
      <c r="D498" s="58"/>
      <c r="E498" s="58"/>
      <c r="F498" s="58"/>
      <c r="G498" s="58"/>
      <c r="H498" s="58"/>
      <c r="I498" s="58"/>
    </row>
    <row r="499" spans="2:9">
      <c r="B499" s="254"/>
      <c r="C499" s="58"/>
      <c r="D499" s="58"/>
      <c r="E499" s="58"/>
      <c r="F499" s="58"/>
      <c r="G499" s="58"/>
      <c r="H499" s="58"/>
      <c r="I499" s="58"/>
    </row>
    <row r="500" spans="2:9">
      <c r="B500" s="254"/>
      <c r="C500" s="58"/>
      <c r="D500" s="58"/>
      <c r="E500" s="58"/>
      <c r="F500" s="58"/>
      <c r="G500" s="58"/>
      <c r="H500" s="58"/>
      <c r="I500" s="58"/>
    </row>
    <row r="501" spans="2:9">
      <c r="B501" s="254"/>
      <c r="C501" s="58"/>
      <c r="D501" s="58"/>
      <c r="E501" s="58"/>
      <c r="F501" s="58"/>
      <c r="G501" s="58"/>
      <c r="H501" s="58"/>
      <c r="I501" s="58"/>
    </row>
    <row r="502" spans="2:9">
      <c r="B502" s="254"/>
      <c r="C502" s="58"/>
      <c r="D502" s="58"/>
      <c r="E502" s="58"/>
      <c r="F502" s="58"/>
      <c r="G502" s="58"/>
      <c r="H502" s="58"/>
      <c r="I502" s="58"/>
    </row>
    <row r="503" spans="2:9">
      <c r="B503" s="254"/>
      <c r="C503" s="58"/>
      <c r="D503" s="58"/>
      <c r="E503" s="58"/>
      <c r="F503" s="58"/>
      <c r="G503" s="58"/>
      <c r="H503" s="58"/>
      <c r="I503" s="58"/>
    </row>
    <row r="504" spans="2:9">
      <c r="B504" s="254"/>
      <c r="C504" s="58"/>
      <c r="D504" s="58"/>
      <c r="E504" s="58"/>
      <c r="F504" s="58"/>
      <c r="G504" s="58"/>
      <c r="H504" s="58"/>
      <c r="I504" s="58"/>
    </row>
    <row r="505" spans="2:9">
      <c r="B505" s="254"/>
      <c r="C505" s="58"/>
      <c r="D505" s="58"/>
      <c r="E505" s="58"/>
      <c r="F505" s="58"/>
      <c r="G505" s="58"/>
      <c r="H505" s="58"/>
      <c r="I505" s="58"/>
    </row>
    <row r="506" spans="2:9">
      <c r="B506" s="254"/>
      <c r="C506" s="58"/>
      <c r="D506" s="58"/>
      <c r="E506" s="58"/>
      <c r="F506" s="58"/>
      <c r="G506" s="58"/>
      <c r="H506" s="58"/>
      <c r="I506" s="58"/>
    </row>
    <row r="507" spans="2:9">
      <c r="B507" s="254"/>
      <c r="C507" s="58"/>
      <c r="D507" s="58"/>
      <c r="E507" s="58"/>
      <c r="F507" s="58"/>
      <c r="G507" s="58"/>
      <c r="H507" s="58"/>
      <c r="I507" s="58"/>
    </row>
    <row r="508" spans="2:9">
      <c r="B508" s="254"/>
      <c r="C508" s="58"/>
      <c r="D508" s="58"/>
      <c r="E508" s="58"/>
      <c r="F508" s="58"/>
      <c r="G508" s="58"/>
      <c r="H508" s="58"/>
      <c r="I508" s="58"/>
    </row>
    <row r="509" spans="2:9">
      <c r="B509" s="254"/>
      <c r="C509" s="58"/>
      <c r="D509" s="58"/>
      <c r="E509" s="58"/>
      <c r="F509" s="58"/>
      <c r="G509" s="58"/>
      <c r="H509" s="58"/>
      <c r="I509" s="58"/>
    </row>
  </sheetData>
  <mergeCells count="14">
    <mergeCell ref="B1:I1"/>
    <mergeCell ref="B2:I2"/>
    <mergeCell ref="B3:I3"/>
    <mergeCell ref="B44:I44"/>
    <mergeCell ref="B97:I97"/>
    <mergeCell ref="B48:I48"/>
    <mergeCell ref="B52:I52"/>
    <mergeCell ref="B53:I53"/>
    <mergeCell ref="B54:I54"/>
    <mergeCell ref="B55:I55"/>
    <mergeCell ref="B72:I72"/>
    <mergeCell ref="B73:I73"/>
    <mergeCell ref="B94:I94"/>
    <mergeCell ref="B68:I68"/>
  </mergeCells>
  <printOptions horizontalCentered="1"/>
  <pageMargins left="0.75" right="0.75" top="1" bottom="1" header="0.5" footer="0.5"/>
  <pageSetup scale="33" fitToHeight="2" orientation="landscape" r:id="rId1"/>
  <headerFooter alignWithMargins="0"/>
  <rowBreaks count="1" manualBreakCount="1">
    <brk id="51"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3"/>
  <sheetViews>
    <sheetView zoomScale="70" zoomScaleNormal="70" zoomScaleSheetLayoutView="50" workbookViewId="0"/>
  </sheetViews>
  <sheetFormatPr defaultRowHeight="12.75"/>
  <cols>
    <col min="1" max="1" width="5.140625" style="649"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style="649" customWidth="1"/>
    <col min="9" max="9" width="142" customWidth="1"/>
  </cols>
  <sheetData>
    <row r="3" spans="1:9" ht="18">
      <c r="A3" s="1025"/>
      <c r="B3" s="1112" t="s">
        <v>0</v>
      </c>
      <c r="C3" s="1112"/>
      <c r="D3" s="1112"/>
      <c r="E3" s="1112"/>
      <c r="F3" s="1112"/>
      <c r="G3" s="1112"/>
      <c r="H3" s="1112"/>
      <c r="I3" s="1112"/>
    </row>
    <row r="4" spans="1:9" ht="18">
      <c r="A4" s="1025"/>
      <c r="B4" s="1113" t="s">
        <v>1</v>
      </c>
      <c r="C4" s="1113"/>
      <c r="D4" s="1113"/>
      <c r="E4" s="1113"/>
      <c r="F4" s="1113"/>
      <c r="G4" s="1113"/>
      <c r="H4" s="1113"/>
      <c r="I4" s="1113"/>
    </row>
    <row r="5" spans="1:9" ht="18">
      <c r="A5" s="1025"/>
      <c r="B5" s="1113" t="s">
        <v>432</v>
      </c>
      <c r="C5" s="1113"/>
      <c r="D5" s="1113"/>
      <c r="E5" s="1113"/>
      <c r="F5" s="1113"/>
      <c r="G5" s="1113"/>
      <c r="H5" s="1113"/>
      <c r="I5" s="1113"/>
    </row>
    <row r="6" spans="1:9" ht="15">
      <c r="A6" s="1025"/>
      <c r="B6" s="594"/>
      <c r="C6" s="222"/>
      <c r="D6" s="222"/>
      <c r="E6" s="222"/>
      <c r="F6" s="222"/>
      <c r="G6" s="222"/>
      <c r="H6" s="222"/>
      <c r="I6" s="222"/>
    </row>
    <row r="7" spans="1:9" ht="18">
      <c r="A7" s="1025"/>
      <c r="B7" s="1081"/>
      <c r="C7" s="4"/>
      <c r="D7" s="223" t="s">
        <v>270</v>
      </c>
      <c r="E7" s="223"/>
      <c r="F7" s="220"/>
      <c r="G7" s="223"/>
      <c r="H7" s="223"/>
      <c r="I7" s="220"/>
    </row>
    <row r="8" spans="1:9" ht="18">
      <c r="A8" s="1025"/>
      <c r="B8" s="224"/>
      <c r="C8" s="220"/>
      <c r="D8" s="223" t="s">
        <v>271</v>
      </c>
      <c r="E8" s="223" t="s">
        <v>272</v>
      </c>
      <c r="F8" s="223" t="s">
        <v>273</v>
      </c>
      <c r="G8" s="711" t="s">
        <v>274</v>
      </c>
      <c r="H8" s="711" t="s">
        <v>75</v>
      </c>
      <c r="I8" s="967"/>
    </row>
    <row r="9" spans="1:9" ht="18">
      <c r="A9" s="1025"/>
      <c r="B9" s="224"/>
      <c r="C9" s="220"/>
      <c r="D9" s="223" t="s">
        <v>275</v>
      </c>
      <c r="E9" s="223" t="s">
        <v>275</v>
      </c>
      <c r="F9" s="223" t="s">
        <v>275</v>
      </c>
      <c r="G9" s="711" t="s">
        <v>275</v>
      </c>
      <c r="H9" s="711" t="s">
        <v>276</v>
      </c>
      <c r="I9" s="968"/>
    </row>
    <row r="10" spans="1:9" ht="25.5">
      <c r="A10" s="1025"/>
      <c r="B10" s="579"/>
      <c r="C10" s="576"/>
      <c r="D10" s="576"/>
      <c r="E10" s="576"/>
      <c r="F10" s="576"/>
      <c r="G10" s="576"/>
      <c r="H10" s="576"/>
      <c r="I10" s="968"/>
    </row>
    <row r="11" spans="1:9" ht="15">
      <c r="A11" s="1025"/>
      <c r="B11" s="224"/>
      <c r="C11" s="220"/>
      <c r="D11" s="220"/>
      <c r="E11" s="220"/>
      <c r="F11" s="220"/>
      <c r="G11" s="220"/>
      <c r="H11" s="220"/>
      <c r="I11" s="220"/>
    </row>
    <row r="12" spans="1:9" ht="15.75">
      <c r="A12" s="646">
        <f>+A11+1</f>
        <v>1</v>
      </c>
      <c r="B12" s="224"/>
      <c r="C12" s="230" t="s">
        <v>277</v>
      </c>
      <c r="D12" s="226">
        <f>+E50</f>
        <v>0</v>
      </c>
      <c r="E12" s="226">
        <f>+F50</f>
        <v>0</v>
      </c>
      <c r="F12" s="226">
        <f>+G50</f>
        <v>0</v>
      </c>
      <c r="G12" s="226">
        <f>+H50</f>
        <v>0</v>
      </c>
      <c r="H12" s="226"/>
      <c r="I12" s="650" t="str">
        <f>"(Line "&amp;A50&amp;")"</f>
        <v>(Line 29)</v>
      </c>
    </row>
    <row r="13" spans="1:9" s="730" customFormat="1" ht="15.75">
      <c r="A13" s="646">
        <f>+A12+1</f>
        <v>2</v>
      </c>
      <c r="B13" s="224"/>
      <c r="C13" s="230" t="s">
        <v>278</v>
      </c>
      <c r="D13" s="226">
        <f>+E70</f>
        <v>0</v>
      </c>
      <c r="E13" s="226">
        <f>+F70</f>
        <v>0</v>
      </c>
      <c r="F13" s="226">
        <f>+G70</f>
        <v>0</v>
      </c>
      <c r="G13" s="226">
        <f>+H70</f>
        <v>0</v>
      </c>
      <c r="H13" s="226"/>
      <c r="I13" s="650" t="str">
        <f>"(Line "&amp;A70&amp;")"</f>
        <v>(Line 32)</v>
      </c>
    </row>
    <row r="14" spans="1:9" ht="15.75">
      <c r="A14" s="646">
        <f>+A13+1</f>
        <v>3</v>
      </c>
      <c r="B14" s="224"/>
      <c r="C14" s="230" t="s">
        <v>279</v>
      </c>
      <c r="D14" s="226">
        <f>+E100</f>
        <v>0</v>
      </c>
      <c r="E14" s="226">
        <f>+F100</f>
        <v>0</v>
      </c>
      <c r="F14" s="226">
        <f>+G100</f>
        <v>0</v>
      </c>
      <c r="G14" s="226">
        <f>+H100</f>
        <v>0</v>
      </c>
      <c r="H14" s="226"/>
      <c r="I14" s="650" t="str">
        <f>"(Line "&amp;A100&amp;")"</f>
        <v>(Line 40)</v>
      </c>
    </row>
    <row r="15" spans="1:9" ht="15.75">
      <c r="A15" s="646">
        <f>+A14+1</f>
        <v>4</v>
      </c>
      <c r="B15" s="224"/>
      <c r="C15" s="230" t="s">
        <v>101</v>
      </c>
      <c r="D15" s="226">
        <f>SUM(D12:D14)</f>
        <v>0</v>
      </c>
      <c r="E15" s="226">
        <f t="shared" ref="E15:G15" si="0">SUM(E12:E14)</f>
        <v>0</v>
      </c>
      <c r="F15" s="226">
        <f t="shared" si="0"/>
        <v>0</v>
      </c>
      <c r="G15" s="226">
        <f t="shared" si="0"/>
        <v>0</v>
      </c>
      <c r="H15" s="226"/>
      <c r="I15" s="650" t="str">
        <f>"(Line "&amp;A12&amp;" + Line "&amp;A13&amp;" + Line "&amp;A14&amp;")"</f>
        <v>(Line 1 + Line 2 + Line 3)</v>
      </c>
    </row>
    <row r="16" spans="1:9" ht="15.75">
      <c r="A16" s="646">
        <f t="shared" ref="A16:A21" si="1">+A15+1</f>
        <v>5</v>
      </c>
      <c r="B16" s="224"/>
      <c r="C16" s="230" t="s">
        <v>14</v>
      </c>
      <c r="D16" s="220"/>
      <c r="E16" s="220"/>
      <c r="F16" s="746">
        <f>+'Appendix A'!H16</f>
        <v>0.12146075795343095</v>
      </c>
      <c r="G16" s="220"/>
      <c r="H16" s="220"/>
      <c r="I16" s="28" t="str">
        <f>"(Appendix A, Line "&amp;'Appendix A'!A16&amp;")"</f>
        <v>(Appendix A, Line 5)</v>
      </c>
    </row>
    <row r="17" spans="1:9" ht="15.75">
      <c r="A17" s="646">
        <f t="shared" si="1"/>
        <v>6</v>
      </c>
      <c r="B17" s="224"/>
      <c r="C17" s="230" t="s">
        <v>22</v>
      </c>
      <c r="D17" s="220"/>
      <c r="E17" s="746">
        <f>+'Appendix A'!H27</f>
        <v>0.20363964961424239</v>
      </c>
      <c r="F17" s="220"/>
      <c r="G17" s="220"/>
      <c r="H17" s="220"/>
      <c r="I17" s="28" t="str">
        <f>"(Appendix A, Line "&amp;'Appendix A'!A27&amp;")"</f>
        <v>(Appendix A, Line 12)</v>
      </c>
    </row>
    <row r="18" spans="1:9" s="649" customFormat="1" ht="15.75">
      <c r="A18" s="646">
        <f>+A17+1</f>
        <v>7</v>
      </c>
      <c r="B18" s="224"/>
      <c r="C18" s="753" t="s">
        <v>23</v>
      </c>
      <c r="D18" s="750"/>
      <c r="E18" s="751"/>
      <c r="F18" s="750"/>
      <c r="G18" s="754">
        <f>+'Appendix A'!H33</f>
        <v>0.18298233367566416</v>
      </c>
      <c r="H18" s="220"/>
      <c r="I18" s="28" t="str">
        <f>"(Appendix A, Line "&amp;'Appendix A'!A33&amp;")"</f>
        <v>(Appendix A, Line 17)</v>
      </c>
    </row>
    <row r="19" spans="1:9" ht="15.75">
      <c r="A19" s="646">
        <f>+A18+1</f>
        <v>8</v>
      </c>
      <c r="B19" s="224"/>
      <c r="C19" s="230" t="s">
        <v>280</v>
      </c>
      <c r="D19" s="895">
        <f>+D15</f>
        <v>0</v>
      </c>
      <c r="E19" s="895">
        <f>+E17*E15</f>
        <v>0</v>
      </c>
      <c r="F19" s="895">
        <f>+F16*F15</f>
        <v>0</v>
      </c>
      <c r="G19" s="895">
        <f>+G15*G18</f>
        <v>0</v>
      </c>
      <c r="H19" s="895">
        <f>+SUM(D19:G19)</f>
        <v>0</v>
      </c>
      <c r="I19" s="650" t="str">
        <f>"(Line "&amp;A15&amp;" * Line "&amp;A16&amp;" or Line "&amp;A17&amp;" or "&amp;A18&amp;")"</f>
        <v>(Line 4 * Line 5 or Line 6 or 7)</v>
      </c>
    </row>
    <row r="20" spans="1:9" ht="15.75">
      <c r="A20" s="646">
        <f t="shared" si="1"/>
        <v>9</v>
      </c>
      <c r="B20" s="224"/>
      <c r="C20" s="230" t="s">
        <v>281</v>
      </c>
      <c r="D20" s="895">
        <f>+'1C - ADIT Prior Year'!D16</f>
        <v>-25126574.956941638</v>
      </c>
      <c r="E20" s="895">
        <f>+'1C - ADIT Prior Year'!E16</f>
        <v>87971.106795455024</v>
      </c>
      <c r="F20" s="895">
        <f>+'1C - ADIT Prior Year'!F16</f>
        <v>-3083804.229210834</v>
      </c>
      <c r="G20" s="895">
        <f>+'1C - ADIT Prior Year'!G16</f>
        <v>61250.408480589766</v>
      </c>
      <c r="H20" s="895">
        <f>+SUM(D20:G20)</f>
        <v>-28061157.670876428</v>
      </c>
      <c r="I20" s="650" t="str">
        <f>"(Attachment 1C - ADIT Prior Year, Line "&amp;A19&amp;")"</f>
        <v>(Attachment 1C - ADIT Prior Year, Line 8)</v>
      </c>
    </row>
    <row r="21" spans="1:9" ht="15.75">
      <c r="A21" s="646">
        <f t="shared" si="1"/>
        <v>10</v>
      </c>
      <c r="B21" s="224"/>
      <c r="C21" s="230" t="s">
        <v>433</v>
      </c>
      <c r="D21" s="895">
        <f>(D19+D20)/2</f>
        <v>-12563287.478470819</v>
      </c>
      <c r="E21" s="895">
        <f>(E19+E20)/2</f>
        <v>43985.553397727512</v>
      </c>
      <c r="F21" s="895">
        <f>(F19+F20)/2</f>
        <v>-1541902.114605417</v>
      </c>
      <c r="G21" s="895">
        <f>(G19+G20)/2</f>
        <v>30625.204240294883</v>
      </c>
      <c r="H21" s="895">
        <f>+SUM(D21:G21)</f>
        <v>-14030578.835438214</v>
      </c>
      <c r="I21" s="650" t="str">
        <f>"(Average of Line "&amp;A19&amp;" + Line "&amp;A20&amp;")"</f>
        <v>(Average of Line 8 + Line 9)</v>
      </c>
    </row>
    <row r="22" spans="1:9" ht="15.75">
      <c r="A22" s="646">
        <f>+A21+1</f>
        <v>11</v>
      </c>
      <c r="B22" s="230"/>
      <c r="C22" s="230" t="s">
        <v>283</v>
      </c>
      <c r="D22" s="895"/>
      <c r="E22" s="895"/>
      <c r="F22" s="895"/>
      <c r="G22" s="895"/>
      <c r="H22" s="895">
        <f>+'1E - ADIT True-Up Proration'!Q26</f>
        <v>0</v>
      </c>
      <c r="I22" s="28" t="str">
        <f>"(Attachment 1E, Line "&amp;'1E - ADIT True-Up Proration'!A26&amp;")"</f>
        <v>(Attachment 1E, Line 13)</v>
      </c>
    </row>
    <row r="23" spans="1:9" s="730" customFormat="1" ht="15.75">
      <c r="A23" s="646">
        <f t="shared" ref="A23:A25" si="2">+A22+1</f>
        <v>12</v>
      </c>
      <c r="B23" s="230"/>
      <c r="C23" s="230" t="s">
        <v>284</v>
      </c>
      <c r="D23" s="895"/>
      <c r="E23" s="895"/>
      <c r="F23" s="895"/>
      <c r="G23" s="895"/>
      <c r="H23" s="895">
        <f>+'1E - ADIT True-Up Proration'!Q76</f>
        <v>0</v>
      </c>
      <c r="I23" s="28" t="str">
        <f>"(Attachment 1E, Line "&amp;'1E - ADIT True-Up Proration'!A76&amp;")"</f>
        <v>(Attachment 1E, Line 39)</v>
      </c>
    </row>
    <row r="24" spans="1:9" s="730" customFormat="1" ht="15.75">
      <c r="A24" s="646">
        <f t="shared" si="2"/>
        <v>13</v>
      </c>
      <c r="B24" s="230"/>
      <c r="C24" s="230" t="s">
        <v>285</v>
      </c>
      <c r="D24" s="895"/>
      <c r="E24" s="895"/>
      <c r="F24" s="895"/>
      <c r="G24" s="895"/>
      <c r="H24" s="896">
        <f>+'1E - ADIT True-Up Proration'!Q127</f>
        <v>0</v>
      </c>
      <c r="I24" s="28" t="str">
        <f>"(Attachment 1E, Line "&amp;'1E - ADIT True-Up Proration'!A127&amp;")"</f>
        <v>(Attachment 1E, Line 65)</v>
      </c>
    </row>
    <row r="25" spans="1:9" s="730" customFormat="1" ht="15.75">
      <c r="A25" s="646">
        <f t="shared" si="2"/>
        <v>14</v>
      </c>
      <c r="B25" s="230"/>
      <c r="C25" s="230" t="s">
        <v>434</v>
      </c>
      <c r="D25" s="895"/>
      <c r="E25" s="895"/>
      <c r="F25" s="895"/>
      <c r="G25" s="895"/>
      <c r="H25" s="897">
        <f>+H21+H22+H23+H24</f>
        <v>-14030578.835438214</v>
      </c>
      <c r="I25" s="216"/>
    </row>
    <row r="26" spans="1:9" s="730" customFormat="1" ht="15.75">
      <c r="A26" s="646"/>
      <c r="B26" s="230"/>
      <c r="C26" s="230"/>
      <c r="D26" s="226"/>
      <c r="E26" s="220"/>
      <c r="F26" s="220"/>
      <c r="G26" s="220"/>
      <c r="H26" s="228"/>
      <c r="I26" s="216"/>
    </row>
    <row r="27" spans="1:9" ht="15">
      <c r="A27" s="1025"/>
      <c r="B27" s="220" t="s">
        <v>288</v>
      </c>
      <c r="C27" s="220"/>
      <c r="D27" s="220"/>
      <c r="E27" s="220"/>
      <c r="F27" s="220"/>
      <c r="G27" s="220"/>
      <c r="H27" s="220"/>
      <c r="I27" s="220"/>
    </row>
    <row r="28" spans="1:9" s="730" customFormat="1" ht="15">
      <c r="A28" s="1025"/>
      <c r="B28" s="220"/>
      <c r="C28" s="220"/>
      <c r="D28" s="220"/>
      <c r="E28" s="220"/>
      <c r="F28" s="220"/>
      <c r="G28" s="220"/>
      <c r="H28" s="220"/>
      <c r="I28" s="220"/>
    </row>
    <row r="29" spans="1:9" ht="15">
      <c r="A29" s="1025"/>
      <c r="B29" s="224" t="s">
        <v>289</v>
      </c>
      <c r="C29" s="220"/>
      <c r="D29" s="220"/>
      <c r="E29" s="220"/>
      <c r="F29" s="220"/>
      <c r="G29" s="220"/>
      <c r="H29" s="220"/>
      <c r="I29" s="220"/>
    </row>
    <row r="30" spans="1:9" ht="15">
      <c r="A30" s="1025"/>
      <c r="B30" s="224" t="s">
        <v>290</v>
      </c>
      <c r="C30" s="220"/>
      <c r="D30" s="220"/>
      <c r="E30" s="220"/>
      <c r="F30" s="220"/>
      <c r="G30" s="220"/>
      <c r="H30" s="220"/>
      <c r="I30" s="220"/>
    </row>
    <row r="31" spans="1:9" ht="15">
      <c r="A31" s="1025"/>
      <c r="B31" s="224"/>
      <c r="C31" s="220"/>
      <c r="D31" s="220"/>
      <c r="E31" s="220"/>
      <c r="F31" s="220"/>
      <c r="G31" s="225"/>
      <c r="H31" s="225"/>
      <c r="I31" s="220"/>
    </row>
    <row r="32" spans="1:9" ht="15.75">
      <c r="A32" s="1025"/>
      <c r="B32" s="231" t="s">
        <v>217</v>
      </c>
      <c r="C32" s="232" t="s">
        <v>219</v>
      </c>
      <c r="D32" s="232" t="s">
        <v>222</v>
      </c>
      <c r="E32" s="232" t="s">
        <v>224</v>
      </c>
      <c r="F32" s="232" t="s">
        <v>226</v>
      </c>
      <c r="G32" s="232" t="s">
        <v>228</v>
      </c>
      <c r="H32" s="232" t="s">
        <v>230</v>
      </c>
      <c r="I32" s="232" t="s">
        <v>237</v>
      </c>
    </row>
    <row r="33" spans="1:9" ht="15">
      <c r="A33" s="1025"/>
      <c r="B33" s="224"/>
      <c r="C33" s="223" t="s">
        <v>75</v>
      </c>
      <c r="D33" s="223"/>
      <c r="E33" s="223" t="s">
        <v>270</v>
      </c>
      <c r="F33" s="223"/>
      <c r="G33" s="223"/>
      <c r="H33" s="223"/>
      <c r="I33" s="216"/>
    </row>
    <row r="34" spans="1:9" ht="15">
      <c r="A34" s="1025"/>
      <c r="B34" s="233" t="s">
        <v>291</v>
      </c>
      <c r="C34" s="223"/>
      <c r="D34" s="223"/>
      <c r="E34" s="223" t="s">
        <v>271</v>
      </c>
      <c r="F34" s="223" t="s">
        <v>272</v>
      </c>
      <c r="G34" s="223" t="s">
        <v>273</v>
      </c>
      <c r="H34" s="223" t="s">
        <v>274</v>
      </c>
      <c r="I34" s="216"/>
    </row>
    <row r="35" spans="1:9" ht="15.75" thickBot="1">
      <c r="A35" s="1025"/>
      <c r="B35" s="224"/>
      <c r="C35" s="223"/>
      <c r="D35" s="223" t="s">
        <v>292</v>
      </c>
      <c r="E35" s="223" t="s">
        <v>275</v>
      </c>
      <c r="F35" s="223" t="s">
        <v>275</v>
      </c>
      <c r="G35" s="223" t="s">
        <v>275</v>
      </c>
      <c r="H35" s="710" t="s">
        <v>275</v>
      </c>
      <c r="I35" s="223" t="s">
        <v>293</v>
      </c>
    </row>
    <row r="36" spans="1:9" ht="27.6" customHeight="1">
      <c r="A36" s="646">
        <f>+A25+1</f>
        <v>15</v>
      </c>
      <c r="B36" s="561" t="s">
        <v>294</v>
      </c>
      <c r="C36" s="869">
        <v>0</v>
      </c>
      <c r="D36" s="870">
        <v>0</v>
      </c>
      <c r="E36" s="870">
        <v>0</v>
      </c>
      <c r="F36" s="870">
        <v>0</v>
      </c>
      <c r="G36" s="870">
        <v>0</v>
      </c>
      <c r="H36" s="871">
        <v>0</v>
      </c>
      <c r="I36" s="660" t="s">
        <v>295</v>
      </c>
    </row>
    <row r="37" spans="1:9" ht="30.6" customHeight="1">
      <c r="A37" s="646">
        <f>+A36+1</f>
        <v>16</v>
      </c>
      <c r="B37" s="563" t="s">
        <v>296</v>
      </c>
      <c r="C37" s="872">
        <v>0</v>
      </c>
      <c r="D37" s="873">
        <v>0</v>
      </c>
      <c r="E37" s="873">
        <v>0</v>
      </c>
      <c r="F37" s="873">
        <v>0</v>
      </c>
      <c r="G37" s="873">
        <v>0</v>
      </c>
      <c r="H37" s="874">
        <v>0</v>
      </c>
      <c r="I37" s="660" t="s">
        <v>297</v>
      </c>
    </row>
    <row r="38" spans="1:9" ht="32.450000000000003" customHeight="1">
      <c r="A38" s="646">
        <f t="shared" ref="A38:A49" si="3">+A37+1</f>
        <v>17</v>
      </c>
      <c r="B38" s="563" t="s">
        <v>298</v>
      </c>
      <c r="C38" s="872">
        <v>0</v>
      </c>
      <c r="D38" s="873">
        <v>0</v>
      </c>
      <c r="E38" s="873">
        <v>0</v>
      </c>
      <c r="F38" s="873">
        <v>0</v>
      </c>
      <c r="G38" s="873">
        <v>0</v>
      </c>
      <c r="H38" s="874">
        <v>0</v>
      </c>
      <c r="I38" s="660" t="s">
        <v>295</v>
      </c>
    </row>
    <row r="39" spans="1:9" ht="40.15" customHeight="1">
      <c r="A39" s="646">
        <f t="shared" si="3"/>
        <v>18</v>
      </c>
      <c r="B39" s="811" t="s">
        <v>299</v>
      </c>
      <c r="C39" s="872">
        <v>0</v>
      </c>
      <c r="D39" s="873">
        <v>0</v>
      </c>
      <c r="E39" s="873">
        <v>0</v>
      </c>
      <c r="F39" s="873">
        <v>0</v>
      </c>
      <c r="G39" s="873">
        <v>0</v>
      </c>
      <c r="H39" s="874">
        <v>0</v>
      </c>
      <c r="I39" s="658" t="s">
        <v>300</v>
      </c>
    </row>
    <row r="40" spans="1:9" ht="24.75" customHeight="1">
      <c r="A40" s="646">
        <f t="shared" si="3"/>
        <v>19</v>
      </c>
      <c r="B40" s="563" t="s">
        <v>301</v>
      </c>
      <c r="C40" s="872">
        <v>0</v>
      </c>
      <c r="D40" s="873">
        <v>0</v>
      </c>
      <c r="E40" s="873">
        <v>0</v>
      </c>
      <c r="F40" s="873">
        <v>0</v>
      </c>
      <c r="G40" s="873">
        <v>0</v>
      </c>
      <c r="H40" s="874">
        <v>0</v>
      </c>
      <c r="I40" s="660" t="s">
        <v>302</v>
      </c>
    </row>
    <row r="41" spans="1:9" ht="37.9" customHeight="1">
      <c r="A41" s="646">
        <f t="shared" si="3"/>
        <v>20</v>
      </c>
      <c r="B41" s="563" t="s">
        <v>303</v>
      </c>
      <c r="C41" s="872">
        <v>0</v>
      </c>
      <c r="D41" s="873">
        <v>0</v>
      </c>
      <c r="E41" s="873">
        <v>0</v>
      </c>
      <c r="F41" s="873">
        <v>0</v>
      </c>
      <c r="G41" s="873">
        <v>0</v>
      </c>
      <c r="H41" s="874">
        <v>0</v>
      </c>
      <c r="I41" s="660" t="s">
        <v>420</v>
      </c>
    </row>
    <row r="42" spans="1:9" ht="31.9" customHeight="1">
      <c r="A42" s="646">
        <f t="shared" si="3"/>
        <v>21</v>
      </c>
      <c r="B42" s="563" t="s">
        <v>305</v>
      </c>
      <c r="C42" s="872">
        <v>0</v>
      </c>
      <c r="D42" s="873">
        <v>0</v>
      </c>
      <c r="E42" s="873">
        <v>0</v>
      </c>
      <c r="F42" s="873">
        <v>0</v>
      </c>
      <c r="G42" s="873">
        <v>0</v>
      </c>
      <c r="H42" s="874">
        <v>0</v>
      </c>
      <c r="I42" s="660" t="s">
        <v>306</v>
      </c>
    </row>
    <row r="43" spans="1:9" ht="37.15" customHeight="1">
      <c r="A43" s="646">
        <f t="shared" si="3"/>
        <v>22</v>
      </c>
      <c r="B43" s="563" t="s">
        <v>307</v>
      </c>
      <c r="C43" s="872">
        <v>0</v>
      </c>
      <c r="D43" s="873">
        <v>0</v>
      </c>
      <c r="E43" s="873">
        <v>0</v>
      </c>
      <c r="F43" s="873">
        <v>0</v>
      </c>
      <c r="G43" s="873">
        <v>0</v>
      </c>
      <c r="H43" s="874">
        <v>0</v>
      </c>
      <c r="I43" s="660" t="s">
        <v>308</v>
      </c>
    </row>
    <row r="44" spans="1:9" ht="24.6" customHeight="1">
      <c r="A44" s="646">
        <f t="shared" si="3"/>
        <v>23</v>
      </c>
      <c r="B44" s="563" t="s">
        <v>309</v>
      </c>
      <c r="C44" s="872">
        <v>0</v>
      </c>
      <c r="D44" s="873">
        <v>0</v>
      </c>
      <c r="E44" s="873">
        <v>0</v>
      </c>
      <c r="F44" s="873">
        <v>0</v>
      </c>
      <c r="G44" s="873">
        <v>0</v>
      </c>
      <c r="H44" s="874">
        <v>0</v>
      </c>
      <c r="I44" s="660" t="s">
        <v>310</v>
      </c>
    </row>
    <row r="45" spans="1:9" ht="24.6" customHeight="1">
      <c r="A45" s="646">
        <f t="shared" si="3"/>
        <v>24</v>
      </c>
      <c r="B45" s="563" t="s">
        <v>311</v>
      </c>
      <c r="C45" s="872">
        <v>0</v>
      </c>
      <c r="D45" s="873">
        <v>0</v>
      </c>
      <c r="E45" s="873">
        <v>0</v>
      </c>
      <c r="F45" s="873">
        <v>0</v>
      </c>
      <c r="G45" s="873">
        <v>0</v>
      </c>
      <c r="H45" s="874">
        <v>0</v>
      </c>
      <c r="I45" s="660" t="s">
        <v>312</v>
      </c>
    </row>
    <row r="46" spans="1:9" ht="39.6" customHeight="1">
      <c r="A46" s="646">
        <f t="shared" si="3"/>
        <v>25</v>
      </c>
      <c r="B46" s="563" t="s">
        <v>313</v>
      </c>
      <c r="C46" s="872">
        <v>0</v>
      </c>
      <c r="D46" s="873">
        <v>0</v>
      </c>
      <c r="E46" s="873">
        <v>0</v>
      </c>
      <c r="F46" s="873">
        <v>0</v>
      </c>
      <c r="G46" s="873">
        <v>0</v>
      </c>
      <c r="H46" s="874">
        <v>0</v>
      </c>
      <c r="I46" s="660" t="s">
        <v>312</v>
      </c>
    </row>
    <row r="47" spans="1:9" ht="27" customHeight="1">
      <c r="A47" s="646">
        <f>+A46+1</f>
        <v>26</v>
      </c>
      <c r="B47" s="563" t="s">
        <v>315</v>
      </c>
      <c r="C47" s="875">
        <v>0</v>
      </c>
      <c r="D47" s="873">
        <v>0</v>
      </c>
      <c r="E47" s="873">
        <v>0</v>
      </c>
      <c r="F47" s="873">
        <v>0</v>
      </c>
      <c r="G47" s="873">
        <v>0</v>
      </c>
      <c r="H47" s="874">
        <v>0</v>
      </c>
      <c r="I47" s="565" t="s">
        <v>316</v>
      </c>
    </row>
    <row r="48" spans="1:9" ht="15.75">
      <c r="A48" s="646">
        <f t="shared" si="3"/>
        <v>27</v>
      </c>
      <c r="B48" s="564" t="s">
        <v>317</v>
      </c>
      <c r="C48" s="876">
        <f t="shared" ref="C48:H48" si="4">SUM(C36:C47)</f>
        <v>0</v>
      </c>
      <c r="D48" s="876">
        <f t="shared" si="4"/>
        <v>0</v>
      </c>
      <c r="E48" s="876">
        <f t="shared" si="4"/>
        <v>0</v>
      </c>
      <c r="F48" s="876">
        <f t="shared" si="4"/>
        <v>0</v>
      </c>
      <c r="G48" s="876">
        <f t="shared" si="4"/>
        <v>0</v>
      </c>
      <c r="H48" s="876">
        <f t="shared" si="4"/>
        <v>0</v>
      </c>
      <c r="I48" s="234"/>
    </row>
    <row r="49" spans="1:9" ht="31.5">
      <c r="A49" s="646">
        <f t="shared" si="3"/>
        <v>28</v>
      </c>
      <c r="B49" s="755" t="s">
        <v>318</v>
      </c>
      <c r="C49" s="877">
        <f>SUM(D49:H49)</f>
        <v>0</v>
      </c>
      <c r="D49" s="877">
        <f>D39</f>
        <v>0</v>
      </c>
      <c r="E49" s="878">
        <f>+E39</f>
        <v>0</v>
      </c>
      <c r="F49" s="879">
        <f>F39</f>
        <v>0</v>
      </c>
      <c r="G49" s="879">
        <f>+G39</f>
        <v>0</v>
      </c>
      <c r="H49" s="879">
        <f>+H39</f>
        <v>0</v>
      </c>
      <c r="I49" s="247" t="str">
        <f>+'1A - ADIT'!I48</f>
        <v>All FAS 109 items excluded from formula rate</v>
      </c>
    </row>
    <row r="50" spans="1:9" ht="16.5" thickBot="1">
      <c r="A50" s="646">
        <f>+A49+1</f>
        <v>29</v>
      </c>
      <c r="B50" s="559" t="s">
        <v>75</v>
      </c>
      <c r="C50" s="880">
        <f>+C48-C49</f>
        <v>0</v>
      </c>
      <c r="D50" s="880">
        <f t="shared" ref="D50:H50" si="5">+D48-D49</f>
        <v>0</v>
      </c>
      <c r="E50" s="880">
        <f t="shared" si="5"/>
        <v>0</v>
      </c>
      <c r="F50" s="880">
        <f t="shared" si="5"/>
        <v>0</v>
      </c>
      <c r="G50" s="880">
        <f t="shared" si="5"/>
        <v>0</v>
      </c>
      <c r="H50" s="880">
        <f t="shared" si="5"/>
        <v>0</v>
      </c>
      <c r="I50" s="558"/>
    </row>
    <row r="51" spans="1:9" s="649" customFormat="1" ht="15.75">
      <c r="A51" s="646"/>
      <c r="B51" s="219"/>
      <c r="C51" s="654"/>
      <c r="D51" s="655"/>
      <c r="E51" s="655"/>
      <c r="F51" s="655"/>
      <c r="G51" s="655"/>
      <c r="H51" s="655"/>
      <c r="I51" s="647"/>
    </row>
    <row r="52" spans="1:9" ht="15">
      <c r="A52" s="1025"/>
      <c r="B52" s="58" t="s">
        <v>320</v>
      </c>
      <c r="C52" s="58"/>
      <c r="D52" s="249"/>
      <c r="E52" s="759"/>
      <c r="F52" s="73"/>
      <c r="G52" s="218"/>
      <c r="H52" s="218"/>
      <c r="I52" s="760"/>
    </row>
    <row r="53" spans="1:9" ht="15">
      <c r="A53" s="1025"/>
      <c r="B53" s="1117" t="s">
        <v>425</v>
      </c>
      <c r="C53" s="1118"/>
      <c r="D53" s="1118"/>
      <c r="E53" s="1118"/>
      <c r="F53" s="1118"/>
      <c r="G53" s="1118"/>
      <c r="H53" s="1118"/>
      <c r="I53" s="1118"/>
    </row>
    <row r="54" spans="1:9" ht="15">
      <c r="A54" s="1025"/>
      <c r="B54" s="254" t="s">
        <v>322</v>
      </c>
      <c r="C54" s="58"/>
      <c r="D54" s="218"/>
      <c r="E54" s="58"/>
      <c r="F54" s="58"/>
      <c r="G54" s="73"/>
      <c r="H54" s="73"/>
      <c r="I54" s="73"/>
    </row>
    <row r="55" spans="1:9" ht="15">
      <c r="A55" s="1025"/>
      <c r="B55" s="254" t="s">
        <v>333</v>
      </c>
      <c r="C55" s="58"/>
      <c r="D55" s="218"/>
      <c r="E55" s="58"/>
      <c r="F55" s="58"/>
      <c r="G55" s="73"/>
      <c r="H55" s="73"/>
      <c r="I55" s="73"/>
    </row>
    <row r="56" spans="1:9" ht="15">
      <c r="A56" s="1025"/>
      <c r="B56" s="254" t="s">
        <v>426</v>
      </c>
      <c r="C56" s="58"/>
      <c r="D56" s="218"/>
      <c r="E56" s="58"/>
      <c r="F56" s="58"/>
      <c r="G56" s="73"/>
      <c r="H56" s="73"/>
      <c r="I56" s="73"/>
    </row>
    <row r="57" spans="1:9" ht="15" customHeight="1">
      <c r="A57" s="1025"/>
      <c r="B57" s="1118" t="s">
        <v>325</v>
      </c>
      <c r="C57" s="1118"/>
      <c r="D57" s="1118"/>
      <c r="E57" s="1118"/>
      <c r="F57" s="1118"/>
      <c r="G57" s="1118"/>
      <c r="H57" s="1118"/>
      <c r="I57" s="1118"/>
    </row>
    <row r="58" spans="1:9" s="730" customFormat="1" ht="15">
      <c r="A58" s="1025"/>
      <c r="B58" s="237" t="s">
        <v>326</v>
      </c>
      <c r="C58" s="653"/>
      <c r="D58" s="761"/>
      <c r="E58" s="653"/>
      <c r="F58" s="653"/>
      <c r="G58" s="653"/>
      <c r="H58" s="653"/>
      <c r="I58" s="1080"/>
    </row>
    <row r="59" spans="1:9" s="730" customFormat="1" ht="15.75">
      <c r="A59" s="1025"/>
      <c r="B59" s="728"/>
      <c r="C59" s="728"/>
      <c r="D59" s="728"/>
      <c r="E59" s="728"/>
      <c r="F59" s="728"/>
      <c r="G59" s="728"/>
      <c r="H59" s="728"/>
      <c r="I59" s="728"/>
    </row>
    <row r="60" spans="1:9" s="730" customFormat="1" ht="18">
      <c r="A60" s="215"/>
      <c r="B60" s="1115" t="str">
        <f>+B3</f>
        <v>Dayton Power and Light</v>
      </c>
      <c r="C60" s="1119"/>
      <c r="D60" s="1119"/>
      <c r="E60" s="1119"/>
      <c r="F60" s="1119"/>
      <c r="G60" s="1119"/>
      <c r="H60" s="1119"/>
      <c r="I60" s="1119"/>
    </row>
    <row r="61" spans="1:9" s="730" customFormat="1" ht="18">
      <c r="A61" s="215"/>
      <c r="B61" s="1114" t="str">
        <f>+B4</f>
        <v xml:space="preserve">ATTACHMENT H-15A </v>
      </c>
      <c r="C61" s="1114"/>
      <c r="D61" s="1114"/>
      <c r="E61" s="1114"/>
      <c r="F61" s="1114"/>
      <c r="G61" s="1114"/>
      <c r="H61" s="1114"/>
      <c r="I61" s="1114"/>
    </row>
    <row r="62" spans="1:9" s="730" customFormat="1" ht="18">
      <c r="A62" s="215"/>
      <c r="B62" s="1114" t="str">
        <f>+B5</f>
        <v>Attachment 1D - Accumulated Deferred Income Taxes for Annual True-up - December 31, 2021</v>
      </c>
      <c r="C62" s="1114"/>
      <c r="D62" s="1114"/>
      <c r="E62" s="1114"/>
      <c r="F62" s="1114"/>
      <c r="G62" s="1114"/>
      <c r="H62" s="1114"/>
      <c r="I62" s="1114"/>
    </row>
    <row r="63" spans="1:9" s="730" customFormat="1" ht="18">
      <c r="A63" s="216"/>
      <c r="B63" s="239"/>
      <c r="C63" s="238"/>
      <c r="D63" s="238"/>
      <c r="E63" s="238"/>
      <c r="F63" s="238"/>
      <c r="G63" s="238"/>
      <c r="H63" s="238"/>
      <c r="I63" s="967"/>
    </row>
    <row r="64" spans="1:9" s="730" customFormat="1" ht="18">
      <c r="A64" s="216"/>
      <c r="B64" s="729" t="s">
        <v>217</v>
      </c>
      <c r="C64" s="729" t="s">
        <v>219</v>
      </c>
      <c r="D64" s="729" t="s">
        <v>222</v>
      </c>
      <c r="E64" s="729" t="s">
        <v>224</v>
      </c>
      <c r="F64" s="729" t="s">
        <v>226</v>
      </c>
      <c r="G64" s="729" t="s">
        <v>228</v>
      </c>
      <c r="H64" s="232" t="s">
        <v>230</v>
      </c>
      <c r="I64" s="968"/>
    </row>
    <row r="65" spans="1:9" s="730" customFormat="1" ht="18">
      <c r="A65" s="216"/>
      <c r="B65" s="218"/>
      <c r="C65" s="240" t="s">
        <v>327</v>
      </c>
      <c r="D65" s="240"/>
      <c r="E65" s="240"/>
      <c r="F65" s="240"/>
      <c r="G65" s="240"/>
      <c r="H65" s="223"/>
      <c r="I65" s="968"/>
    </row>
    <row r="66" spans="1:9" s="730" customFormat="1" ht="15.75">
      <c r="A66" s="216"/>
      <c r="B66" s="241" t="s">
        <v>328</v>
      </c>
      <c r="C66" s="240"/>
      <c r="D66" s="240"/>
      <c r="E66" s="240" t="s">
        <v>271</v>
      </c>
      <c r="F66" s="240" t="s">
        <v>272</v>
      </c>
      <c r="G66" s="240" t="s">
        <v>273</v>
      </c>
      <c r="H66" s="223" t="s">
        <v>274</v>
      </c>
      <c r="I66" s="729" t="s">
        <v>237</v>
      </c>
    </row>
    <row r="67" spans="1:9" s="730" customFormat="1" ht="15.75" thickBot="1">
      <c r="A67" s="216"/>
      <c r="B67" s="237"/>
      <c r="C67" s="240"/>
      <c r="D67" s="240" t="s">
        <v>292</v>
      </c>
      <c r="E67" s="240" t="s">
        <v>275</v>
      </c>
      <c r="F67" s="240" t="s">
        <v>275</v>
      </c>
      <c r="G67" s="240" t="s">
        <v>275</v>
      </c>
      <c r="H67" s="710" t="s">
        <v>275</v>
      </c>
      <c r="I67" s="240" t="s">
        <v>293</v>
      </c>
    </row>
    <row r="68" spans="1:9" s="730" customFormat="1" ht="30">
      <c r="A68" s="216">
        <f>+A50+1</f>
        <v>30</v>
      </c>
      <c r="B68" s="561" t="s">
        <v>329</v>
      </c>
      <c r="C68" s="881">
        <v>0</v>
      </c>
      <c r="D68" s="882">
        <v>0</v>
      </c>
      <c r="E68" s="883">
        <v>0</v>
      </c>
      <c r="F68" s="883">
        <v>0</v>
      </c>
      <c r="G68" s="883">
        <v>0</v>
      </c>
      <c r="H68" s="884">
        <v>0</v>
      </c>
      <c r="I68" s="813" t="str">
        <f>+'1C - ADIT Prior Year'!I60</f>
        <v>Tax and book differences resulting from accelerated tax depreciation .  Included in prorated amount</v>
      </c>
    </row>
    <row r="69" spans="1:9" ht="30">
      <c r="A69" s="216">
        <f>+A68+1</f>
        <v>31</v>
      </c>
      <c r="B69" s="563" t="s">
        <v>435</v>
      </c>
      <c r="C69" s="873">
        <v>0</v>
      </c>
      <c r="D69" s="885">
        <v>0</v>
      </c>
      <c r="E69" s="885">
        <v>0</v>
      </c>
      <c r="F69" s="885">
        <v>0</v>
      </c>
      <c r="G69" s="885">
        <v>0</v>
      </c>
      <c r="H69" s="886">
        <v>0</v>
      </c>
      <c r="I69" s="571" t="s">
        <v>330</v>
      </c>
    </row>
    <row r="70" spans="1:9" s="730" customFormat="1" ht="16.5" thickBot="1">
      <c r="A70" s="216">
        <f>+A69+1</f>
        <v>32</v>
      </c>
      <c r="B70" s="559" t="s">
        <v>75</v>
      </c>
      <c r="C70" s="880">
        <f>+SUM(C68:C69)</f>
        <v>0</v>
      </c>
      <c r="D70" s="880">
        <f t="shared" ref="D70:H70" si="6">+SUM(D68:D69)</f>
        <v>0</v>
      </c>
      <c r="E70" s="880">
        <f t="shared" si="6"/>
        <v>0</v>
      </c>
      <c r="F70" s="880">
        <f t="shared" si="6"/>
        <v>0</v>
      </c>
      <c r="G70" s="880">
        <f t="shared" si="6"/>
        <v>0</v>
      </c>
      <c r="H70" s="880">
        <f t="shared" si="6"/>
        <v>0</v>
      </c>
      <c r="I70" s="558"/>
    </row>
    <row r="71" spans="1:9" s="730" customFormat="1" ht="15">
      <c r="A71" s="216"/>
      <c r="B71" s="58" t="s">
        <v>331</v>
      </c>
      <c r="C71" s="58"/>
      <c r="D71" s="58"/>
      <c r="E71" s="73"/>
      <c r="F71" s="759"/>
      <c r="G71" s="218"/>
      <c r="H71" s="218"/>
      <c r="I71" s="1080"/>
    </row>
    <row r="72" spans="1:9" s="730" customFormat="1" ht="15">
      <c r="A72" s="216"/>
      <c r="B72" s="254" t="s">
        <v>332</v>
      </c>
      <c r="C72" s="58"/>
      <c r="D72" s="218"/>
      <c r="E72" s="58"/>
      <c r="F72" s="58"/>
      <c r="G72" s="73"/>
      <c r="H72" s="73"/>
      <c r="I72" s="73"/>
    </row>
    <row r="73" spans="1:9" s="730" customFormat="1" ht="15">
      <c r="A73" s="216"/>
      <c r="B73" s="254" t="s">
        <v>322</v>
      </c>
      <c r="C73" s="58"/>
      <c r="D73" s="218"/>
      <c r="E73" s="58"/>
      <c r="F73" s="58"/>
      <c r="G73" s="73"/>
      <c r="H73" s="73"/>
      <c r="I73" s="73"/>
    </row>
    <row r="74" spans="1:9" s="730" customFormat="1" ht="15">
      <c r="A74" s="216"/>
      <c r="B74" s="254" t="s">
        <v>333</v>
      </c>
      <c r="C74" s="58"/>
      <c r="D74" s="218"/>
      <c r="E74" s="58"/>
      <c r="F74" s="58"/>
      <c r="G74" s="73"/>
      <c r="H74" s="73"/>
      <c r="I74" s="73"/>
    </row>
    <row r="75" spans="1:9" s="730" customFormat="1" ht="15">
      <c r="A75" s="216"/>
      <c r="B75" s="254" t="s">
        <v>334</v>
      </c>
      <c r="C75" s="58"/>
      <c r="D75" s="218"/>
      <c r="E75" s="58"/>
      <c r="F75" s="58"/>
      <c r="G75" s="73"/>
      <c r="H75" s="73"/>
      <c r="I75" s="73"/>
    </row>
    <row r="76" spans="1:9" s="730" customFormat="1" ht="15">
      <c r="A76" s="216"/>
      <c r="B76" s="1118" t="s">
        <v>325</v>
      </c>
      <c r="C76" s="1118"/>
      <c r="D76" s="1118"/>
      <c r="E76" s="1118"/>
      <c r="F76" s="1118"/>
      <c r="G76" s="1118"/>
      <c r="H76" s="1118"/>
      <c r="I76" s="1118"/>
    </row>
    <row r="77" spans="1:9" s="730" customFormat="1" ht="15">
      <c r="A77" s="216"/>
      <c r="B77" s="237" t="s">
        <v>326</v>
      </c>
      <c r="C77" s="653"/>
      <c r="D77" s="761"/>
      <c r="E77" s="653"/>
      <c r="F77" s="653"/>
      <c r="G77" s="653"/>
      <c r="H77" s="653"/>
      <c r="I77" s="1080"/>
    </row>
    <row r="78" spans="1:9" s="730" customFormat="1" ht="15.75">
      <c r="A78" s="216"/>
      <c r="B78" s="639"/>
      <c r="C78" s="218"/>
      <c r="D78" s="58"/>
      <c r="E78" s="58"/>
      <c r="F78" s="73"/>
      <c r="G78" s="73"/>
      <c r="H78" s="73"/>
      <c r="I78" s="1080"/>
    </row>
    <row r="79" spans="1:9" s="730" customFormat="1" ht="15">
      <c r="A79" s="216"/>
      <c r="B79" s="237"/>
      <c r="C79" s="218"/>
      <c r="D79" s="58"/>
      <c r="E79" s="58"/>
      <c r="F79" s="73"/>
      <c r="G79" s="73"/>
      <c r="H79" s="73"/>
      <c r="I79" s="1080"/>
    </row>
    <row r="80" spans="1:9" s="730" customFormat="1" ht="15.75">
      <c r="A80" s="216"/>
      <c r="B80" s="729"/>
      <c r="C80" s="238"/>
      <c r="D80" s="238"/>
      <c r="E80" s="238"/>
      <c r="F80" s="238"/>
      <c r="G80" s="238"/>
      <c r="H80" s="238"/>
      <c r="I80" s="238"/>
    </row>
    <row r="81" spans="1:9" ht="18">
      <c r="A81" s="1025"/>
      <c r="B81" s="255" t="str">
        <f>B3</f>
        <v>Dayton Power and Light</v>
      </c>
      <c r="C81" s="256"/>
      <c r="D81" s="256"/>
      <c r="E81" s="256"/>
      <c r="F81" s="256"/>
      <c r="G81" s="256"/>
      <c r="H81" s="256"/>
      <c r="I81" s="257"/>
    </row>
    <row r="82" spans="1:9" ht="18">
      <c r="A82" s="1025"/>
      <c r="B82" s="1115" t="str">
        <f>+'Appendix A'!A4</f>
        <v xml:space="preserve">ATTACHMENT H-15A </v>
      </c>
      <c r="C82" s="1115"/>
      <c r="D82" s="1115"/>
      <c r="E82" s="1115"/>
      <c r="F82" s="1115"/>
      <c r="G82" s="1115"/>
      <c r="H82" s="1115"/>
      <c r="I82" s="1115"/>
    </row>
    <row r="83" spans="1:9" ht="18">
      <c r="A83" s="1025"/>
      <c r="B83" s="1115" t="str">
        <f>+B5</f>
        <v>Attachment 1D - Accumulated Deferred Income Taxes for Annual True-up - December 31, 2021</v>
      </c>
      <c r="C83" s="1115"/>
      <c r="D83" s="1115"/>
      <c r="E83" s="1115"/>
      <c r="F83" s="1115"/>
      <c r="G83" s="1115"/>
      <c r="H83" s="1115"/>
      <c r="I83" s="1115"/>
    </row>
    <row r="84" spans="1:9" ht="18.75">
      <c r="A84" s="1025"/>
      <c r="B84" s="242"/>
      <c r="C84" s="217"/>
      <c r="D84" s="217"/>
      <c r="E84" s="217"/>
      <c r="F84" s="217"/>
      <c r="G84" s="213"/>
      <c r="H84" s="213"/>
      <c r="I84" s="243"/>
    </row>
    <row r="85" spans="1:9" ht="15.75">
      <c r="A85" s="1025"/>
      <c r="B85" s="237"/>
      <c r="C85" s="218"/>
      <c r="D85" s="218"/>
      <c r="E85" s="218"/>
      <c r="F85" s="218"/>
      <c r="G85" s="241"/>
      <c r="H85" s="241"/>
      <c r="I85" s="271"/>
    </row>
    <row r="86" spans="1:9" ht="15">
      <c r="A86" s="1025"/>
      <c r="B86" s="237"/>
      <c r="C86" s="218"/>
      <c r="D86" s="218"/>
      <c r="E86" s="218"/>
      <c r="F86" s="218"/>
      <c r="G86" s="241"/>
      <c r="H86" s="241"/>
      <c r="I86" s="1080"/>
    </row>
    <row r="87" spans="1:9" ht="15.75">
      <c r="A87" s="1025"/>
      <c r="B87" s="231" t="s">
        <v>217</v>
      </c>
      <c r="C87" s="232" t="s">
        <v>219</v>
      </c>
      <c r="D87" s="232" t="s">
        <v>222</v>
      </c>
      <c r="E87" s="232" t="s">
        <v>224</v>
      </c>
      <c r="F87" s="232" t="s">
        <v>226</v>
      </c>
      <c r="G87" s="232" t="s">
        <v>228</v>
      </c>
      <c r="H87" s="232" t="s">
        <v>230</v>
      </c>
      <c r="I87" s="232" t="s">
        <v>237</v>
      </c>
    </row>
    <row r="88" spans="1:9" ht="31.5">
      <c r="A88" s="1025"/>
      <c r="B88" s="241" t="s">
        <v>335</v>
      </c>
      <c r="C88" s="223" t="s">
        <v>75</v>
      </c>
      <c r="D88" s="244" t="s">
        <v>292</v>
      </c>
      <c r="E88" s="244" t="s">
        <v>436</v>
      </c>
      <c r="F88" s="244" t="s">
        <v>272</v>
      </c>
      <c r="G88" s="244" t="s">
        <v>273</v>
      </c>
      <c r="H88" s="223" t="s">
        <v>274</v>
      </c>
      <c r="I88" s="240" t="s">
        <v>293</v>
      </c>
    </row>
    <row r="89" spans="1:9" ht="15.75" thickBot="1">
      <c r="A89" s="1025"/>
      <c r="B89" s="245"/>
      <c r="C89" s="223"/>
      <c r="D89" s="223"/>
      <c r="E89" s="223"/>
      <c r="F89" s="223"/>
      <c r="G89" s="223"/>
      <c r="H89" s="710" t="s">
        <v>275</v>
      </c>
      <c r="I89" s="216"/>
    </row>
    <row r="90" spans="1:9" ht="15">
      <c r="A90" s="646">
        <f>+A50+1</f>
        <v>30</v>
      </c>
      <c r="B90" s="561" t="s">
        <v>336</v>
      </c>
      <c r="C90" s="870">
        <v>0</v>
      </c>
      <c r="D90" s="870">
        <v>0</v>
      </c>
      <c r="E90" s="870">
        <v>0</v>
      </c>
      <c r="F90" s="870">
        <v>0</v>
      </c>
      <c r="G90" s="870">
        <v>0</v>
      </c>
      <c r="H90" s="892">
        <v>0</v>
      </c>
      <c r="I90" s="1005" t="s">
        <v>337</v>
      </c>
    </row>
    <row r="91" spans="1:9" ht="15">
      <c r="A91" s="646">
        <f>+A90+1</f>
        <v>31</v>
      </c>
      <c r="B91" s="563" t="s">
        <v>338</v>
      </c>
      <c r="C91" s="873">
        <v>0</v>
      </c>
      <c r="D91" s="873">
        <v>0</v>
      </c>
      <c r="E91" s="873">
        <v>0</v>
      </c>
      <c r="F91" s="873">
        <v>0</v>
      </c>
      <c r="G91" s="873">
        <v>0</v>
      </c>
      <c r="H91" s="874">
        <v>0</v>
      </c>
      <c r="I91" s="661" t="s">
        <v>339</v>
      </c>
    </row>
    <row r="92" spans="1:9" ht="30">
      <c r="A92" s="646">
        <f t="shared" ref="A92:A100" si="7">+A91+1</f>
        <v>32</v>
      </c>
      <c r="B92" s="563" t="s">
        <v>340</v>
      </c>
      <c r="C92" s="873">
        <v>0</v>
      </c>
      <c r="D92" s="873">
        <v>0</v>
      </c>
      <c r="E92" s="873">
        <v>0</v>
      </c>
      <c r="F92" s="873">
        <v>0</v>
      </c>
      <c r="G92" s="873">
        <v>0</v>
      </c>
      <c r="H92" s="874">
        <v>0</v>
      </c>
      <c r="I92" s="661" t="s">
        <v>341</v>
      </c>
    </row>
    <row r="93" spans="1:9" ht="30">
      <c r="A93" s="646">
        <f t="shared" si="7"/>
        <v>33</v>
      </c>
      <c r="B93" s="563" t="s">
        <v>342</v>
      </c>
      <c r="C93" s="873">
        <v>0</v>
      </c>
      <c r="D93" s="873">
        <v>0</v>
      </c>
      <c r="E93" s="873">
        <v>0</v>
      </c>
      <c r="F93" s="873">
        <v>0</v>
      </c>
      <c r="G93" s="873">
        <v>0</v>
      </c>
      <c r="H93" s="874">
        <v>0</v>
      </c>
      <c r="I93" s="661" t="s">
        <v>343</v>
      </c>
    </row>
    <row r="94" spans="1:9" ht="15">
      <c r="A94" s="646">
        <f t="shared" si="7"/>
        <v>34</v>
      </c>
      <c r="B94" s="563" t="s">
        <v>344</v>
      </c>
      <c r="C94" s="873">
        <v>0</v>
      </c>
      <c r="D94" s="873">
        <v>0</v>
      </c>
      <c r="E94" s="873">
        <v>0</v>
      </c>
      <c r="F94" s="873">
        <v>0</v>
      </c>
      <c r="G94" s="873">
        <v>0</v>
      </c>
      <c r="H94" s="874">
        <v>0</v>
      </c>
      <c r="I94" s="657" t="s">
        <v>300</v>
      </c>
    </row>
    <row r="95" spans="1:9" ht="15">
      <c r="A95" s="646">
        <f t="shared" si="7"/>
        <v>35</v>
      </c>
      <c r="B95" s="563" t="s">
        <v>345</v>
      </c>
      <c r="C95" s="873">
        <v>0</v>
      </c>
      <c r="D95" s="873">
        <v>0</v>
      </c>
      <c r="E95" s="873">
        <v>0</v>
      </c>
      <c r="F95" s="873">
        <v>0</v>
      </c>
      <c r="G95" s="873">
        <v>0</v>
      </c>
      <c r="H95" s="874">
        <v>0</v>
      </c>
      <c r="I95" s="661" t="s">
        <v>346</v>
      </c>
    </row>
    <row r="96" spans="1:9" ht="30.75" thickBot="1">
      <c r="A96" s="646">
        <f t="shared" si="7"/>
        <v>36</v>
      </c>
      <c r="B96" s="563" t="s">
        <v>315</v>
      </c>
      <c r="C96" s="873">
        <v>0</v>
      </c>
      <c r="D96" s="873">
        <v>0</v>
      </c>
      <c r="E96" s="873">
        <v>0</v>
      </c>
      <c r="F96" s="873">
        <v>0</v>
      </c>
      <c r="G96" s="873">
        <v>0</v>
      </c>
      <c r="H96" s="874">
        <v>0</v>
      </c>
      <c r="I96" s="661" t="s">
        <v>343</v>
      </c>
    </row>
    <row r="97" spans="1:9" ht="15.75">
      <c r="A97" s="646">
        <f t="shared" si="7"/>
        <v>37</v>
      </c>
      <c r="B97" s="258" t="s">
        <v>348</v>
      </c>
      <c r="C97" s="887">
        <f t="shared" ref="C97:H97" si="8">SUM(C90:C96)</f>
        <v>0</v>
      </c>
      <c r="D97" s="887">
        <f t="shared" si="8"/>
        <v>0</v>
      </c>
      <c r="E97" s="887">
        <f t="shared" si="8"/>
        <v>0</v>
      </c>
      <c r="F97" s="887">
        <f t="shared" si="8"/>
        <v>0</v>
      </c>
      <c r="G97" s="887">
        <f t="shared" si="8"/>
        <v>0</v>
      </c>
      <c r="H97" s="887">
        <f t="shared" si="8"/>
        <v>0</v>
      </c>
      <c r="I97" s="259"/>
    </row>
    <row r="98" spans="1:9" ht="47.25">
      <c r="A98" s="646">
        <f t="shared" si="7"/>
        <v>38</v>
      </c>
      <c r="B98" s="756" t="s">
        <v>349</v>
      </c>
      <c r="C98" s="877">
        <f>+C94</f>
        <v>0</v>
      </c>
      <c r="D98" s="877">
        <f t="shared" ref="D98:G98" si="9">+D94</f>
        <v>0</v>
      </c>
      <c r="E98" s="877">
        <f t="shared" si="9"/>
        <v>0</v>
      </c>
      <c r="F98" s="877">
        <f t="shared" si="9"/>
        <v>0</v>
      </c>
      <c r="G98" s="877">
        <f t="shared" si="9"/>
        <v>0</v>
      </c>
      <c r="H98" s="893">
        <f>+H94</f>
        <v>0</v>
      </c>
      <c r="I98" s="247"/>
    </row>
    <row r="99" spans="1:9" ht="31.5">
      <c r="A99" s="646">
        <f t="shared" si="7"/>
        <v>39</v>
      </c>
      <c r="B99" s="757" t="s">
        <v>350</v>
      </c>
      <c r="C99" s="888">
        <f>+C91</f>
        <v>0</v>
      </c>
      <c r="D99" s="888">
        <f>+D91</f>
        <v>0</v>
      </c>
      <c r="E99" s="888">
        <f t="shared" ref="E99:G99" si="10">+E91</f>
        <v>0</v>
      </c>
      <c r="F99" s="888">
        <f t="shared" si="10"/>
        <v>0</v>
      </c>
      <c r="G99" s="888">
        <f t="shared" si="10"/>
        <v>0</v>
      </c>
      <c r="H99" s="894">
        <f>+H91</f>
        <v>0</v>
      </c>
      <c r="I99" s="641" t="s">
        <v>437</v>
      </c>
    </row>
    <row r="100" spans="1:9" ht="16.5" thickBot="1">
      <c r="A100" s="646">
        <f t="shared" si="7"/>
        <v>40</v>
      </c>
      <c r="B100" s="559" t="s">
        <v>75</v>
      </c>
      <c r="C100" s="880">
        <f>+C97-C98-C99</f>
        <v>0</v>
      </c>
      <c r="D100" s="880">
        <f t="shared" ref="D100:H100" si="11">+D97-D98-D99</f>
        <v>0</v>
      </c>
      <c r="E100" s="880">
        <f t="shared" si="11"/>
        <v>0</v>
      </c>
      <c r="F100" s="880">
        <f t="shared" si="11"/>
        <v>0</v>
      </c>
      <c r="G100" s="880">
        <f t="shared" si="11"/>
        <v>0</v>
      </c>
      <c r="H100" s="880">
        <f t="shared" si="11"/>
        <v>0</v>
      </c>
      <c r="I100" s="558"/>
    </row>
    <row r="101" spans="1:9" ht="15">
      <c r="A101" s="1025"/>
      <c r="B101" s="237"/>
      <c r="C101" s="248"/>
      <c r="D101" s="249"/>
      <c r="E101" s="249"/>
      <c r="F101" s="249"/>
      <c r="G101" s="249"/>
      <c r="H101" s="249"/>
      <c r="I101" s="1080"/>
    </row>
    <row r="102" spans="1:9" ht="15">
      <c r="A102" s="1025"/>
      <c r="B102" s="58" t="s">
        <v>352</v>
      </c>
      <c r="C102" s="58"/>
      <c r="D102" s="58"/>
      <c r="E102" s="73"/>
      <c r="F102" s="73"/>
      <c r="G102" s="218"/>
      <c r="H102" s="218"/>
      <c r="I102" s="250"/>
    </row>
    <row r="103" spans="1:9" ht="15">
      <c r="A103" s="1025"/>
      <c r="B103" s="254" t="str">
        <f>+'1A - ADIT'!B99</f>
        <v>1.  ADIT items related only to Non-Electric Operations or Production are directly assigned to Column C</v>
      </c>
      <c r="C103" s="58"/>
      <c r="D103" s="218"/>
      <c r="E103" s="58"/>
      <c r="F103" s="58"/>
      <c r="G103" s="73"/>
      <c r="H103" s="73"/>
      <c r="I103" s="73"/>
    </row>
    <row r="104" spans="1:9" ht="15">
      <c r="A104" s="1025"/>
      <c r="B104" s="254" t="s">
        <v>322</v>
      </c>
      <c r="C104" s="58"/>
      <c r="D104" s="218"/>
      <c r="E104" s="58"/>
      <c r="F104" s="58"/>
      <c r="G104" s="73"/>
      <c r="H104" s="73"/>
      <c r="I104" s="73"/>
    </row>
    <row r="105" spans="1:9" ht="15">
      <c r="A105" s="1025"/>
      <c r="B105" s="254" t="s">
        <v>333</v>
      </c>
      <c r="C105" s="58"/>
      <c r="D105" s="218"/>
      <c r="E105" s="58"/>
      <c r="F105" s="58"/>
      <c r="G105" s="73"/>
      <c r="H105" s="73"/>
      <c r="I105" s="73"/>
    </row>
    <row r="106" spans="1:9" ht="15">
      <c r="A106" s="1025"/>
      <c r="B106" s="254" t="s">
        <v>334</v>
      </c>
      <c r="C106" s="58"/>
      <c r="D106" s="218"/>
      <c r="E106" s="58"/>
      <c r="F106" s="58"/>
      <c r="G106" s="73"/>
      <c r="H106" s="73"/>
      <c r="I106" s="73"/>
    </row>
    <row r="107" spans="1:9" ht="15">
      <c r="A107" s="1025"/>
      <c r="B107" s="1118" t="s">
        <v>325</v>
      </c>
      <c r="C107" s="1118"/>
      <c r="D107" s="1118"/>
      <c r="E107" s="1118"/>
      <c r="F107" s="1118"/>
      <c r="G107" s="1118"/>
      <c r="H107" s="1118"/>
      <c r="I107" s="1118"/>
    </row>
    <row r="108" spans="1:9" ht="15">
      <c r="A108" s="1025"/>
      <c r="B108" s="237" t="s">
        <v>326</v>
      </c>
      <c r="C108" s="653"/>
      <c r="D108" s="761"/>
      <c r="E108" s="653"/>
      <c r="F108" s="653"/>
      <c r="G108" s="653"/>
      <c r="H108" s="653"/>
      <c r="I108" s="1080"/>
    </row>
    <row r="109" spans="1:9" ht="15.75">
      <c r="A109" s="1025"/>
      <c r="B109" s="251"/>
      <c r="C109" s="252"/>
      <c r="D109" s="252"/>
      <c r="E109" s="252"/>
      <c r="F109" s="252"/>
      <c r="G109" s="252"/>
      <c r="H109" s="252"/>
      <c r="I109" s="252"/>
    </row>
    <row r="110" spans="1:9" ht="15.75">
      <c r="A110" s="1025"/>
      <c r="B110" s="1116" t="s">
        <v>438</v>
      </c>
      <c r="C110" s="1116"/>
      <c r="D110" s="1116"/>
      <c r="E110" s="1116"/>
      <c r="F110" s="1116"/>
      <c r="G110" s="1116"/>
      <c r="H110" s="1116"/>
      <c r="I110" s="1116"/>
    </row>
    <row r="111" spans="1:9" ht="15">
      <c r="A111" s="1025"/>
      <c r="B111" s="58" t="s">
        <v>439</v>
      </c>
      <c r="C111" s="58"/>
      <c r="D111" s="58"/>
      <c r="E111" s="58"/>
      <c r="F111" s="58"/>
      <c r="G111" s="58"/>
      <c r="H111" s="58"/>
      <c r="I111" s="58"/>
    </row>
    <row r="112" spans="1:9" ht="15">
      <c r="A112" s="1025"/>
      <c r="B112" s="58" t="s">
        <v>440</v>
      </c>
      <c r="C112" s="58"/>
      <c r="D112" s="58"/>
      <c r="E112" s="58"/>
      <c r="F112" s="58"/>
      <c r="G112" s="58"/>
      <c r="H112" s="58"/>
      <c r="I112" s="58"/>
    </row>
    <row r="113" spans="2:9" ht="15">
      <c r="B113" s="58" t="s">
        <v>441</v>
      </c>
      <c r="C113" s="58"/>
      <c r="D113" s="58"/>
      <c r="E113" s="58"/>
      <c r="F113" s="58"/>
      <c r="G113" s="58"/>
      <c r="H113" s="58"/>
      <c r="I113" s="58"/>
    </row>
    <row r="114" spans="2:9" ht="15.75">
      <c r="B114" s="58" t="s">
        <v>442</v>
      </c>
      <c r="C114" s="58"/>
      <c r="D114" s="253"/>
      <c r="E114" s="253"/>
      <c r="F114" s="253"/>
      <c r="G114" s="253"/>
      <c r="H114" s="253"/>
      <c r="I114" s="253"/>
    </row>
    <row r="115" spans="2:9" ht="15.75">
      <c r="B115" s="58" t="s">
        <v>443</v>
      </c>
      <c r="C115" s="58"/>
      <c r="D115" s="253"/>
      <c r="E115" s="253"/>
      <c r="F115" s="253"/>
      <c r="G115" s="253"/>
      <c r="H115" s="253"/>
      <c r="I115" s="253"/>
    </row>
    <row r="116" spans="2:9" ht="15">
      <c r="B116" s="254"/>
      <c r="C116" s="58"/>
      <c r="D116" s="73"/>
      <c r="E116" s="73"/>
      <c r="F116" s="58"/>
      <c r="G116" s="58"/>
      <c r="H116" s="58"/>
      <c r="I116" s="58"/>
    </row>
    <row r="117" spans="2:9" ht="15">
      <c r="B117" s="254"/>
      <c r="C117" s="58"/>
      <c r="D117" s="26"/>
      <c r="E117" s="26"/>
      <c r="F117" s="58"/>
      <c r="G117" s="58"/>
      <c r="H117" s="58"/>
      <c r="I117" s="58"/>
    </row>
    <row r="118" spans="2:9" ht="15">
      <c r="B118" s="254"/>
      <c r="C118" s="58"/>
      <c r="D118" s="26"/>
      <c r="E118" s="26"/>
      <c r="F118" s="58"/>
      <c r="G118" s="58"/>
      <c r="H118" s="58"/>
      <c r="I118" s="58"/>
    </row>
    <row r="119" spans="2:9" ht="15">
      <c r="B119" s="254"/>
      <c r="C119" s="58"/>
      <c r="D119" s="26"/>
      <c r="E119" s="26"/>
      <c r="F119" s="58"/>
      <c r="G119" s="58"/>
      <c r="H119" s="58"/>
      <c r="I119" s="58"/>
    </row>
    <row r="120" spans="2:9" ht="15">
      <c r="B120" s="254"/>
      <c r="C120" s="58"/>
      <c r="D120" s="26"/>
      <c r="E120" s="26"/>
      <c r="F120" s="58"/>
      <c r="G120" s="58"/>
      <c r="H120" s="58"/>
      <c r="I120" s="58"/>
    </row>
    <row r="121" spans="2:9" ht="15">
      <c r="B121" s="254"/>
      <c r="C121" s="58"/>
      <c r="D121" s="26"/>
      <c r="E121" s="26"/>
      <c r="F121" s="58"/>
      <c r="G121" s="58"/>
      <c r="H121" s="58"/>
      <c r="I121" s="58"/>
    </row>
    <row r="122" spans="2:9" ht="15">
      <c r="B122" s="254"/>
      <c r="C122" s="58"/>
      <c r="D122" s="26"/>
      <c r="E122" s="26"/>
      <c r="F122" s="58"/>
      <c r="G122" s="58"/>
      <c r="H122" s="58"/>
      <c r="I122" s="58"/>
    </row>
    <row r="123" spans="2:9" ht="15">
      <c r="B123" s="254"/>
      <c r="C123" s="58"/>
      <c r="D123" s="26"/>
      <c r="E123" s="26"/>
      <c r="F123" s="58"/>
      <c r="G123" s="58"/>
      <c r="H123" s="58"/>
      <c r="I123" s="58"/>
    </row>
  </sheetData>
  <mergeCells count="13">
    <mergeCell ref="B82:I82"/>
    <mergeCell ref="B83:I83"/>
    <mergeCell ref="B110:I110"/>
    <mergeCell ref="B3:I3"/>
    <mergeCell ref="B4:I4"/>
    <mergeCell ref="B5:I5"/>
    <mergeCell ref="B53:I53"/>
    <mergeCell ref="B57:I57"/>
    <mergeCell ref="B60:I60"/>
    <mergeCell ref="B61:I61"/>
    <mergeCell ref="B62:I62"/>
    <mergeCell ref="B76:I76"/>
    <mergeCell ref="B107:I107"/>
  </mergeCells>
  <phoneticPr fontId="111" type="noConversion"/>
  <pageMargins left="0.7" right="0.7" top="0.75" bottom="0.75" header="0.3" footer="0.3"/>
  <pageSetup scale="34" fitToHeight="2" orientation="landscape" verticalDpi="0" r:id="rId1"/>
  <rowBreaks count="1" manualBreakCount="1">
    <brk id="59"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1:Q154"/>
  <sheetViews>
    <sheetView zoomScale="70" zoomScaleNormal="70" workbookViewId="0"/>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1" spans="1:17" s="626" customFormat="1">
      <c r="A1" s="1025"/>
      <c r="B1" s="1025"/>
      <c r="C1" s="1025"/>
      <c r="D1" s="1025"/>
      <c r="E1" s="1025"/>
      <c r="F1" s="1025"/>
      <c r="G1" s="1025"/>
      <c r="H1" s="1025"/>
      <c r="I1" s="1025"/>
      <c r="J1" s="1025"/>
      <c r="K1" s="1025"/>
      <c r="L1" s="1025"/>
      <c r="M1" s="1025"/>
      <c r="N1" s="1025"/>
      <c r="O1" s="1025"/>
      <c r="P1" s="1025"/>
      <c r="Q1" s="1025"/>
    </row>
    <row r="2" spans="1:17" s="626" customFormat="1" ht="18">
      <c r="A2" s="1025"/>
      <c r="B2" s="1025"/>
      <c r="C2" s="1025"/>
      <c r="D2" s="1025"/>
      <c r="E2" s="1025"/>
      <c r="F2" s="1025"/>
      <c r="G2" s="1025"/>
      <c r="H2" s="1025"/>
      <c r="I2" s="656" t="str">
        <f>+'Appendix A'!A3</f>
        <v>Dayton Power and Light</v>
      </c>
      <c r="J2" s="1025"/>
      <c r="K2" s="1025"/>
      <c r="L2" s="1025"/>
      <c r="M2" s="1025"/>
      <c r="N2" s="1025"/>
      <c r="O2" s="1025"/>
      <c r="P2" s="1025"/>
      <c r="Q2" s="1025"/>
    </row>
    <row r="3" spans="1:17" s="626" customFormat="1" ht="18">
      <c r="A3" s="1025"/>
      <c r="B3" s="1025"/>
      <c r="C3" s="1025"/>
      <c r="D3" s="1025"/>
      <c r="E3" s="1025"/>
      <c r="F3" s="1025"/>
      <c r="G3" s="1025"/>
      <c r="H3" s="1025"/>
      <c r="I3" s="656" t="str">
        <f>+'Appendix A'!A4</f>
        <v xml:space="preserve">ATTACHMENT H-15A </v>
      </c>
      <c r="J3" s="1025"/>
      <c r="K3" s="1025"/>
      <c r="L3" s="1025"/>
      <c r="M3" s="1025"/>
      <c r="N3" s="1025"/>
      <c r="O3" s="1025"/>
      <c r="P3" s="1025"/>
      <c r="Q3" s="1025"/>
    </row>
    <row r="4" spans="1:17" s="649" customFormat="1" ht="18">
      <c r="A4" s="1025"/>
      <c r="B4" s="1025"/>
      <c r="C4" s="1025"/>
      <c r="D4" s="1025"/>
      <c r="E4" s="1025"/>
      <c r="F4" s="1025"/>
      <c r="G4" s="1025"/>
      <c r="H4" s="1025"/>
      <c r="I4" s="1082" t="s">
        <v>444</v>
      </c>
      <c r="J4" s="1082"/>
      <c r="K4" s="1082"/>
      <c r="L4" s="1082"/>
      <c r="M4" s="1082"/>
      <c r="N4" s="1082"/>
      <c r="O4" s="1082"/>
      <c r="P4" s="1025"/>
      <c r="Q4" s="1025"/>
    </row>
    <row r="5" spans="1:17" s="626" customFormat="1" ht="18">
      <c r="A5" s="1025"/>
      <c r="B5" s="1025"/>
      <c r="C5" s="1025"/>
      <c r="D5" s="1025"/>
      <c r="E5" s="1025"/>
      <c r="F5" s="1025"/>
      <c r="G5" s="1025"/>
      <c r="H5" s="1025"/>
      <c r="I5" s="656" t="s">
        <v>445</v>
      </c>
      <c r="J5" s="1025"/>
      <c r="K5" s="1025"/>
      <c r="L5" s="1025"/>
      <c r="M5" s="1025"/>
      <c r="N5" s="1025"/>
      <c r="O5" s="1025"/>
      <c r="P5" s="1025"/>
      <c r="Q5" s="967"/>
    </row>
    <row r="6" spans="1:17" s="626" customFormat="1">
      <c r="A6" s="1025"/>
      <c r="B6" s="1025"/>
      <c r="C6" s="1025"/>
      <c r="D6" s="1025"/>
      <c r="E6" s="1025"/>
      <c r="F6" s="1025"/>
      <c r="G6" s="1025"/>
      <c r="H6" s="1025"/>
      <c r="I6" s="594"/>
      <c r="J6" s="1025"/>
      <c r="K6" s="1025"/>
      <c r="L6" s="1025"/>
      <c r="M6" s="1025"/>
      <c r="N6" s="1025"/>
      <c r="O6" s="1025"/>
      <c r="P6" s="1025"/>
      <c r="Q6" s="1025"/>
    </row>
    <row r="7" spans="1:17" s="626" customFormat="1" ht="15">
      <c r="A7" s="216"/>
      <c r="B7" s="216" t="s">
        <v>446</v>
      </c>
      <c r="C7" s="216"/>
      <c r="D7" s="216"/>
      <c r="E7" s="216"/>
      <c r="F7" s="216"/>
      <c r="G7" s="216"/>
      <c r="H7" s="216"/>
      <c r="I7" s="216"/>
      <c r="J7" s="216"/>
      <c r="K7" s="216"/>
      <c r="L7" s="216"/>
      <c r="M7" s="216"/>
      <c r="N7" s="216"/>
      <c r="O7" s="216"/>
      <c r="P7" s="216"/>
      <c r="Q7" s="216"/>
    </row>
    <row r="8" spans="1:17" s="626" customFormat="1" ht="15">
      <c r="A8" s="216"/>
      <c r="B8" s="216"/>
      <c r="C8" s="216"/>
      <c r="D8" s="216"/>
      <c r="E8" s="216"/>
      <c r="F8" s="216"/>
      <c r="G8" s="216"/>
      <c r="H8" s="216"/>
      <c r="I8" s="216"/>
      <c r="J8" s="216"/>
      <c r="K8" s="216"/>
      <c r="L8" s="216"/>
      <c r="M8" s="216"/>
      <c r="N8" s="216"/>
      <c r="O8" s="216"/>
      <c r="P8" s="216"/>
      <c r="Q8" s="216"/>
    </row>
    <row r="9" spans="1:17" ht="15.75">
      <c r="A9" s="665"/>
      <c r="B9" s="666" t="s">
        <v>447</v>
      </c>
      <c r="C9" s="665"/>
      <c r="D9" s="665"/>
      <c r="E9" s="665"/>
      <c r="F9" s="665"/>
      <c r="G9" s="665"/>
      <c r="H9" s="665"/>
      <c r="I9" s="665"/>
      <c r="J9" s="665"/>
      <c r="K9" s="665"/>
      <c r="L9" s="666"/>
      <c r="M9" s="665"/>
      <c r="N9" s="665"/>
      <c r="O9" s="665"/>
      <c r="P9" s="665"/>
      <c r="Q9" s="665"/>
    </row>
    <row r="10" spans="1:17" ht="31.15" customHeight="1">
      <c r="A10" s="665"/>
      <c r="B10" s="1122" t="s">
        <v>448</v>
      </c>
      <c r="C10" s="1123"/>
      <c r="D10" s="1123"/>
      <c r="E10" s="1123"/>
      <c r="F10" s="1124"/>
      <c r="G10" s="667"/>
      <c r="H10" s="1125" t="s">
        <v>449</v>
      </c>
      <c r="I10" s="1126"/>
      <c r="J10" s="1127"/>
      <c r="K10" s="668"/>
      <c r="L10" s="1128" t="s">
        <v>450</v>
      </c>
      <c r="M10" s="1129"/>
      <c r="N10" s="1129"/>
      <c r="O10" s="1129"/>
      <c r="P10" s="1129"/>
      <c r="Q10" s="1129"/>
    </row>
    <row r="11" spans="1:17" ht="15.75">
      <c r="A11" s="665"/>
      <c r="B11" s="669" t="s">
        <v>217</v>
      </c>
      <c r="C11" s="669" t="s">
        <v>219</v>
      </c>
      <c r="D11" s="669" t="s">
        <v>222</v>
      </c>
      <c r="E11" s="669" t="s">
        <v>224</v>
      </c>
      <c r="F11" s="669" t="s">
        <v>226</v>
      </c>
      <c r="G11" s="667"/>
      <c r="H11" s="669" t="s">
        <v>228</v>
      </c>
      <c r="I11" s="669" t="s">
        <v>230</v>
      </c>
      <c r="J11" s="669" t="s">
        <v>237</v>
      </c>
      <c r="K11" s="670"/>
      <c r="L11" s="671" t="s">
        <v>240</v>
      </c>
      <c r="M11" s="671" t="s">
        <v>242</v>
      </c>
      <c r="N11" s="671" t="s">
        <v>244</v>
      </c>
      <c r="O11" s="671" t="s">
        <v>246</v>
      </c>
      <c r="P11" s="671" t="s">
        <v>248</v>
      </c>
      <c r="Q11" s="671" t="s">
        <v>250</v>
      </c>
    </row>
    <row r="12" spans="1:17" ht="150">
      <c r="A12" s="665"/>
      <c r="B12" s="672" t="s">
        <v>451</v>
      </c>
      <c r="C12" s="672" t="s">
        <v>382</v>
      </c>
      <c r="D12" s="672" t="s">
        <v>452</v>
      </c>
      <c r="E12" s="672" t="s">
        <v>453</v>
      </c>
      <c r="F12" s="672" t="s">
        <v>454</v>
      </c>
      <c r="G12" s="673"/>
      <c r="H12" s="672" t="s">
        <v>455</v>
      </c>
      <c r="I12" s="672" t="s">
        <v>456</v>
      </c>
      <c r="J12" s="672" t="s">
        <v>457</v>
      </c>
      <c r="K12" s="673"/>
      <c r="L12" s="674" t="s">
        <v>458</v>
      </c>
      <c r="M12" s="674" t="s">
        <v>459</v>
      </c>
      <c r="N12" s="674" t="s">
        <v>460</v>
      </c>
      <c r="O12" s="674" t="s">
        <v>461</v>
      </c>
      <c r="P12" s="674" t="s">
        <v>462</v>
      </c>
      <c r="Q12" s="674" t="s">
        <v>463</v>
      </c>
    </row>
    <row r="13" spans="1:17" ht="15">
      <c r="A13" s="665"/>
      <c r="B13" s="665"/>
      <c r="C13" s="673"/>
      <c r="D13" s="673"/>
      <c r="E13" s="673"/>
      <c r="F13" s="673"/>
      <c r="G13" s="673"/>
      <c r="H13" s="673"/>
      <c r="I13" s="673"/>
      <c r="J13" s="673"/>
      <c r="K13" s="673"/>
      <c r="L13" s="675"/>
      <c r="M13" s="675"/>
      <c r="N13" s="675"/>
      <c r="O13" s="675"/>
      <c r="P13" s="675"/>
      <c r="Q13" s="675"/>
    </row>
    <row r="14" spans="1:17" ht="15">
      <c r="A14" s="665">
        <f t="shared" ref="A14:A27" si="0">+A13+1</f>
        <v>1</v>
      </c>
      <c r="B14" s="676" t="s">
        <v>464</v>
      </c>
      <c r="C14" s="677"/>
      <c r="D14" s="663"/>
      <c r="E14" s="663"/>
      <c r="F14" s="663"/>
      <c r="G14" s="663"/>
      <c r="H14" s="898"/>
      <c r="I14" s="898"/>
      <c r="J14" s="899">
        <v>0</v>
      </c>
      <c r="K14" s="900"/>
      <c r="L14" s="901" t="str">
        <f>+B14</f>
        <v>December 31st balance (FF1 234.8.b)</v>
      </c>
      <c r="M14" s="902"/>
      <c r="N14" s="902"/>
      <c r="O14" s="902"/>
      <c r="P14" s="902"/>
      <c r="Q14" s="903">
        <f>+J14</f>
        <v>0</v>
      </c>
    </row>
    <row r="15" spans="1:17" ht="15">
      <c r="A15" s="665">
        <f t="shared" si="0"/>
        <v>2</v>
      </c>
      <c r="B15" s="677" t="s">
        <v>399</v>
      </c>
      <c r="C15" s="662">
        <v>31</v>
      </c>
      <c r="D15" s="663">
        <f t="shared" ref="D15:D25" si="1">D16+C16</f>
        <v>335</v>
      </c>
      <c r="E15" s="663">
        <f>SUM(C15:C26)</f>
        <v>365</v>
      </c>
      <c r="F15" s="56">
        <f>335/365</f>
        <v>0.9178082191780822</v>
      </c>
      <c r="G15" s="663"/>
      <c r="H15" s="899">
        <v>0</v>
      </c>
      <c r="I15" s="898">
        <f t="shared" ref="I15:I26" si="2">+H15*F15</f>
        <v>0</v>
      </c>
      <c r="J15" s="898">
        <f t="shared" ref="J15:J26" si="3">+I15+J14</f>
        <v>0</v>
      </c>
      <c r="K15" s="900"/>
      <c r="L15" s="904">
        <f t="shared" ref="L15:L26" si="4">+Q33</f>
        <v>0</v>
      </c>
      <c r="M15" s="902">
        <f>L15-H15</f>
        <v>0</v>
      </c>
      <c r="N15" s="903">
        <f>IF(AND(H15&gt;=0,L15&gt;=0),IF(M15&gt;=0,I15,L15/H15*I15),IF(AND(H15&lt;0,L15&lt;0),IF(M15&lt;0,I15,L15/H15*I15),0))</f>
        <v>0</v>
      </c>
      <c r="O15" s="903">
        <f t="shared" ref="O15:O26" si="5">IF(AND(H15&gt;=0,L15&gt;=0),IF(M15&gt;=0,M15,0),IF(AND(H15&lt;0,L15&lt;0),IF(M15&lt;0,M15,0),0))</f>
        <v>0</v>
      </c>
      <c r="P15" s="903">
        <f>IF(AND(H15&gt;=0,L15&lt;0),L15,IF(AND(H15&lt;0,L15&gt;=0),L15,0))</f>
        <v>0</v>
      </c>
      <c r="Q15" s="903">
        <f>Q14+N15+(O15+P15)*0.5</f>
        <v>0</v>
      </c>
    </row>
    <row r="16" spans="1:17" ht="15">
      <c r="A16" s="665">
        <f t="shared" si="0"/>
        <v>3</v>
      </c>
      <c r="B16" s="677" t="s">
        <v>400</v>
      </c>
      <c r="C16" s="664">
        <v>28</v>
      </c>
      <c r="D16" s="663">
        <f t="shared" si="1"/>
        <v>307</v>
      </c>
      <c r="E16" s="663">
        <f>E15</f>
        <v>365</v>
      </c>
      <c r="F16" s="56">
        <f>307/365</f>
        <v>0.84109589041095889</v>
      </c>
      <c r="G16" s="663"/>
      <c r="H16" s="899">
        <v>0</v>
      </c>
      <c r="I16" s="898">
        <f t="shared" si="2"/>
        <v>0</v>
      </c>
      <c r="J16" s="898">
        <f t="shared" si="3"/>
        <v>0</v>
      </c>
      <c r="K16" s="900"/>
      <c r="L16" s="904">
        <f t="shared" si="4"/>
        <v>0</v>
      </c>
      <c r="M16" s="902">
        <f>L16-H16</f>
        <v>0</v>
      </c>
      <c r="N16" s="903">
        <f t="shared" ref="N16:N26" si="6">IF(AND(H16&gt;=0,L16&gt;=0),IF(M16&gt;=0,I16,L16/H16*I16),IF(AND(H16&lt;0,L16&lt;0),IF(M16&lt;0,I16,L16/H16*I16),0))</f>
        <v>0</v>
      </c>
      <c r="O16" s="903">
        <f t="shared" si="5"/>
        <v>0</v>
      </c>
      <c r="P16" s="903">
        <f t="shared" ref="P16:P26" si="7">IF(AND(H16&gt;=0,L16&lt;0),L16,IF(AND(H16&lt;0,L16&gt;=0),L16,0))</f>
        <v>0</v>
      </c>
      <c r="Q16" s="903">
        <f>Q15+N16+(O16+P16)*0.5</f>
        <v>0</v>
      </c>
    </row>
    <row r="17" spans="1:17" ht="15">
      <c r="A17" s="665">
        <f t="shared" si="0"/>
        <v>4</v>
      </c>
      <c r="B17" s="677" t="s">
        <v>401</v>
      </c>
      <c r="C17" s="662">
        <v>31</v>
      </c>
      <c r="D17" s="663">
        <f t="shared" si="1"/>
        <v>276</v>
      </c>
      <c r="E17" s="663">
        <f t="shared" ref="E17:E26" si="8">E16</f>
        <v>365</v>
      </c>
      <c r="F17" s="56">
        <f>276/365</f>
        <v>0.75616438356164384</v>
      </c>
      <c r="G17" s="663"/>
      <c r="H17" s="899">
        <v>0</v>
      </c>
      <c r="I17" s="898">
        <f t="shared" si="2"/>
        <v>0</v>
      </c>
      <c r="J17" s="898">
        <f t="shared" si="3"/>
        <v>0</v>
      </c>
      <c r="K17" s="900"/>
      <c r="L17" s="904">
        <f t="shared" si="4"/>
        <v>0</v>
      </c>
      <c r="M17" s="902">
        <f t="shared" ref="M17:M26" si="9">L17-H17</f>
        <v>0</v>
      </c>
      <c r="N17" s="903">
        <f t="shared" si="6"/>
        <v>0</v>
      </c>
      <c r="O17" s="903">
        <f t="shared" si="5"/>
        <v>0</v>
      </c>
      <c r="P17" s="903">
        <f t="shared" si="7"/>
        <v>0</v>
      </c>
      <c r="Q17" s="903">
        <f>Q16+N17+(O17+P17)*0.5</f>
        <v>0</v>
      </c>
    </row>
    <row r="18" spans="1:17" ht="15">
      <c r="A18" s="665">
        <f t="shared" si="0"/>
        <v>5</v>
      </c>
      <c r="B18" s="677" t="s">
        <v>402</v>
      </c>
      <c r="C18" s="662">
        <v>30</v>
      </c>
      <c r="D18" s="663">
        <f t="shared" si="1"/>
        <v>246</v>
      </c>
      <c r="E18" s="663">
        <f t="shared" si="8"/>
        <v>365</v>
      </c>
      <c r="F18" s="56">
        <f>246/365</f>
        <v>0.67397260273972603</v>
      </c>
      <c r="G18" s="663"/>
      <c r="H18" s="899">
        <v>0</v>
      </c>
      <c r="I18" s="898">
        <f t="shared" si="2"/>
        <v>0</v>
      </c>
      <c r="J18" s="898">
        <f>+I18+J17</f>
        <v>0</v>
      </c>
      <c r="K18" s="900"/>
      <c r="L18" s="904">
        <f t="shared" si="4"/>
        <v>0</v>
      </c>
      <c r="M18" s="902">
        <f t="shared" si="9"/>
        <v>0</v>
      </c>
      <c r="N18" s="903">
        <f t="shared" si="6"/>
        <v>0</v>
      </c>
      <c r="O18" s="903">
        <f t="shared" si="5"/>
        <v>0</v>
      </c>
      <c r="P18" s="903">
        <f t="shared" si="7"/>
        <v>0</v>
      </c>
      <c r="Q18" s="903">
        <f t="shared" ref="Q18:Q26" si="10">Q17+N18+(O18+P18)*0.5</f>
        <v>0</v>
      </c>
    </row>
    <row r="19" spans="1:17" ht="15">
      <c r="A19" s="665">
        <f t="shared" si="0"/>
        <v>6</v>
      </c>
      <c r="B19" s="677" t="s">
        <v>403</v>
      </c>
      <c r="C19" s="662">
        <v>31</v>
      </c>
      <c r="D19" s="663">
        <f t="shared" si="1"/>
        <v>215</v>
      </c>
      <c r="E19" s="663">
        <f t="shared" si="8"/>
        <v>365</v>
      </c>
      <c r="F19" s="56">
        <f>215/365</f>
        <v>0.58904109589041098</v>
      </c>
      <c r="G19" s="663"/>
      <c r="H19" s="899">
        <v>0</v>
      </c>
      <c r="I19" s="898">
        <f t="shared" si="2"/>
        <v>0</v>
      </c>
      <c r="J19" s="898">
        <f t="shared" si="3"/>
        <v>0</v>
      </c>
      <c r="K19" s="900"/>
      <c r="L19" s="904">
        <f t="shared" si="4"/>
        <v>0</v>
      </c>
      <c r="M19" s="902">
        <f t="shared" si="9"/>
        <v>0</v>
      </c>
      <c r="N19" s="903">
        <f t="shared" si="6"/>
        <v>0</v>
      </c>
      <c r="O19" s="903">
        <f t="shared" si="5"/>
        <v>0</v>
      </c>
      <c r="P19" s="903">
        <f t="shared" si="7"/>
        <v>0</v>
      </c>
      <c r="Q19" s="903">
        <f t="shared" si="10"/>
        <v>0</v>
      </c>
    </row>
    <row r="20" spans="1:17" ht="15">
      <c r="A20" s="665">
        <f t="shared" si="0"/>
        <v>7</v>
      </c>
      <c r="B20" s="677" t="s">
        <v>404</v>
      </c>
      <c r="C20" s="662">
        <v>30</v>
      </c>
      <c r="D20" s="663">
        <f t="shared" si="1"/>
        <v>185</v>
      </c>
      <c r="E20" s="663">
        <f t="shared" si="8"/>
        <v>365</v>
      </c>
      <c r="F20" s="56">
        <f>185/365</f>
        <v>0.50684931506849318</v>
      </c>
      <c r="G20" s="663"/>
      <c r="H20" s="899">
        <v>0</v>
      </c>
      <c r="I20" s="898">
        <f t="shared" si="2"/>
        <v>0</v>
      </c>
      <c r="J20" s="898">
        <f t="shared" si="3"/>
        <v>0</v>
      </c>
      <c r="K20" s="900"/>
      <c r="L20" s="904">
        <f t="shared" si="4"/>
        <v>0</v>
      </c>
      <c r="M20" s="902">
        <f t="shared" si="9"/>
        <v>0</v>
      </c>
      <c r="N20" s="903">
        <f t="shared" si="6"/>
        <v>0</v>
      </c>
      <c r="O20" s="903">
        <f t="shared" si="5"/>
        <v>0</v>
      </c>
      <c r="P20" s="903">
        <f t="shared" si="7"/>
        <v>0</v>
      </c>
      <c r="Q20" s="903">
        <f t="shared" si="10"/>
        <v>0</v>
      </c>
    </row>
    <row r="21" spans="1:17" ht="15">
      <c r="A21" s="665">
        <f t="shared" si="0"/>
        <v>8</v>
      </c>
      <c r="B21" s="677" t="s">
        <v>405</v>
      </c>
      <c r="C21" s="662">
        <v>31</v>
      </c>
      <c r="D21" s="663">
        <f t="shared" si="1"/>
        <v>154</v>
      </c>
      <c r="E21" s="663">
        <f t="shared" si="8"/>
        <v>365</v>
      </c>
      <c r="F21" s="56">
        <f>154/365</f>
        <v>0.42191780821917807</v>
      </c>
      <c r="G21" s="663"/>
      <c r="H21" s="899">
        <v>0</v>
      </c>
      <c r="I21" s="898">
        <f t="shared" si="2"/>
        <v>0</v>
      </c>
      <c r="J21" s="898">
        <f t="shared" si="3"/>
        <v>0</v>
      </c>
      <c r="K21" s="900"/>
      <c r="L21" s="904">
        <f t="shared" si="4"/>
        <v>0</v>
      </c>
      <c r="M21" s="902">
        <f t="shared" si="9"/>
        <v>0</v>
      </c>
      <c r="N21" s="903">
        <f t="shared" si="6"/>
        <v>0</v>
      </c>
      <c r="O21" s="903">
        <f t="shared" si="5"/>
        <v>0</v>
      </c>
      <c r="P21" s="903">
        <f t="shared" si="7"/>
        <v>0</v>
      </c>
      <c r="Q21" s="903">
        <f t="shared" si="10"/>
        <v>0</v>
      </c>
    </row>
    <row r="22" spans="1:17" ht="15">
      <c r="A22" s="665">
        <f t="shared" si="0"/>
        <v>9</v>
      </c>
      <c r="B22" s="677" t="s">
        <v>406</v>
      </c>
      <c r="C22" s="662">
        <v>31</v>
      </c>
      <c r="D22" s="663">
        <f t="shared" si="1"/>
        <v>123</v>
      </c>
      <c r="E22" s="663">
        <f t="shared" si="8"/>
        <v>365</v>
      </c>
      <c r="F22" s="56">
        <f>123/365</f>
        <v>0.33698630136986302</v>
      </c>
      <c r="G22" s="663"/>
      <c r="H22" s="899">
        <v>0</v>
      </c>
      <c r="I22" s="898">
        <f t="shared" si="2"/>
        <v>0</v>
      </c>
      <c r="J22" s="898">
        <f t="shared" si="3"/>
        <v>0</v>
      </c>
      <c r="K22" s="900"/>
      <c r="L22" s="904">
        <f t="shared" si="4"/>
        <v>0</v>
      </c>
      <c r="M22" s="902">
        <f t="shared" si="9"/>
        <v>0</v>
      </c>
      <c r="N22" s="903">
        <f t="shared" si="6"/>
        <v>0</v>
      </c>
      <c r="O22" s="903">
        <f t="shared" si="5"/>
        <v>0</v>
      </c>
      <c r="P22" s="903">
        <f t="shared" si="7"/>
        <v>0</v>
      </c>
      <c r="Q22" s="903">
        <f t="shared" si="10"/>
        <v>0</v>
      </c>
    </row>
    <row r="23" spans="1:17" ht="15">
      <c r="A23" s="665">
        <f t="shared" si="0"/>
        <v>10</v>
      </c>
      <c r="B23" s="677" t="s">
        <v>407</v>
      </c>
      <c r="C23" s="662">
        <v>30</v>
      </c>
      <c r="D23" s="663">
        <f t="shared" si="1"/>
        <v>93</v>
      </c>
      <c r="E23" s="663">
        <f t="shared" si="8"/>
        <v>365</v>
      </c>
      <c r="F23" s="56">
        <f>93/365</f>
        <v>0.25479452054794521</v>
      </c>
      <c r="G23" s="663"/>
      <c r="H23" s="899">
        <v>0</v>
      </c>
      <c r="I23" s="898">
        <f t="shared" si="2"/>
        <v>0</v>
      </c>
      <c r="J23" s="898">
        <f t="shared" si="3"/>
        <v>0</v>
      </c>
      <c r="K23" s="900"/>
      <c r="L23" s="904">
        <f t="shared" si="4"/>
        <v>0</v>
      </c>
      <c r="M23" s="902">
        <f t="shared" si="9"/>
        <v>0</v>
      </c>
      <c r="N23" s="903">
        <f t="shared" si="6"/>
        <v>0</v>
      </c>
      <c r="O23" s="903">
        <f t="shared" si="5"/>
        <v>0</v>
      </c>
      <c r="P23" s="903">
        <f t="shared" si="7"/>
        <v>0</v>
      </c>
      <c r="Q23" s="903">
        <f t="shared" si="10"/>
        <v>0</v>
      </c>
    </row>
    <row r="24" spans="1:17" ht="15">
      <c r="A24" s="665">
        <f t="shared" si="0"/>
        <v>11</v>
      </c>
      <c r="B24" s="677" t="s">
        <v>408</v>
      </c>
      <c r="C24" s="662">
        <v>31</v>
      </c>
      <c r="D24" s="663">
        <f t="shared" si="1"/>
        <v>62</v>
      </c>
      <c r="E24" s="663">
        <f t="shared" si="8"/>
        <v>365</v>
      </c>
      <c r="F24" s="56">
        <f>62/365</f>
        <v>0.16986301369863013</v>
      </c>
      <c r="G24" s="663"/>
      <c r="H24" s="899">
        <v>0</v>
      </c>
      <c r="I24" s="898">
        <f t="shared" si="2"/>
        <v>0</v>
      </c>
      <c r="J24" s="898">
        <f t="shared" si="3"/>
        <v>0</v>
      </c>
      <c r="K24" s="900"/>
      <c r="L24" s="904">
        <f t="shared" si="4"/>
        <v>0</v>
      </c>
      <c r="M24" s="902">
        <f t="shared" si="9"/>
        <v>0</v>
      </c>
      <c r="N24" s="903">
        <f t="shared" si="6"/>
        <v>0</v>
      </c>
      <c r="O24" s="903">
        <f t="shared" si="5"/>
        <v>0</v>
      </c>
      <c r="P24" s="903">
        <f t="shared" si="7"/>
        <v>0</v>
      </c>
      <c r="Q24" s="903">
        <f t="shared" si="10"/>
        <v>0</v>
      </c>
    </row>
    <row r="25" spans="1:17" ht="15">
      <c r="A25" s="665">
        <f t="shared" si="0"/>
        <v>12</v>
      </c>
      <c r="B25" s="677" t="s">
        <v>409</v>
      </c>
      <c r="C25" s="662">
        <v>30</v>
      </c>
      <c r="D25" s="663">
        <f t="shared" si="1"/>
        <v>32</v>
      </c>
      <c r="E25" s="663">
        <f t="shared" si="8"/>
        <v>365</v>
      </c>
      <c r="F25" s="56">
        <f>32/365</f>
        <v>8.7671232876712329E-2</v>
      </c>
      <c r="G25" s="663"/>
      <c r="H25" s="899">
        <v>0</v>
      </c>
      <c r="I25" s="898">
        <f t="shared" si="2"/>
        <v>0</v>
      </c>
      <c r="J25" s="898">
        <f t="shared" si="3"/>
        <v>0</v>
      </c>
      <c r="K25" s="900"/>
      <c r="L25" s="904">
        <f t="shared" si="4"/>
        <v>0</v>
      </c>
      <c r="M25" s="902">
        <f t="shared" si="9"/>
        <v>0</v>
      </c>
      <c r="N25" s="903">
        <f t="shared" si="6"/>
        <v>0</v>
      </c>
      <c r="O25" s="903">
        <f t="shared" si="5"/>
        <v>0</v>
      </c>
      <c r="P25" s="903">
        <f t="shared" si="7"/>
        <v>0</v>
      </c>
      <c r="Q25" s="903">
        <f t="shared" si="10"/>
        <v>0</v>
      </c>
    </row>
    <row r="26" spans="1:17" ht="15">
      <c r="A26" s="665">
        <f t="shared" si="0"/>
        <v>13</v>
      </c>
      <c r="B26" s="677" t="s">
        <v>410</v>
      </c>
      <c r="C26" s="662">
        <v>31</v>
      </c>
      <c r="D26" s="663">
        <v>1</v>
      </c>
      <c r="E26" s="663">
        <f t="shared" si="8"/>
        <v>365</v>
      </c>
      <c r="F26" s="56">
        <f>1/365</f>
        <v>2.7397260273972603E-3</v>
      </c>
      <c r="G26" s="663"/>
      <c r="H26" s="899">
        <v>0</v>
      </c>
      <c r="I26" s="898">
        <f t="shared" si="2"/>
        <v>0</v>
      </c>
      <c r="J26" s="898">
        <f t="shared" si="3"/>
        <v>0</v>
      </c>
      <c r="K26" s="900"/>
      <c r="L26" s="904">
        <f t="shared" si="4"/>
        <v>0</v>
      </c>
      <c r="M26" s="902">
        <f t="shared" si="9"/>
        <v>0</v>
      </c>
      <c r="N26" s="903">
        <f t="shared" si="6"/>
        <v>0</v>
      </c>
      <c r="O26" s="903">
        <f t="shared" si="5"/>
        <v>0</v>
      </c>
      <c r="P26" s="903">
        <f t="shared" si="7"/>
        <v>0</v>
      </c>
      <c r="Q26" s="903">
        <f t="shared" si="10"/>
        <v>0</v>
      </c>
    </row>
    <row r="27" spans="1:17" ht="15">
      <c r="A27" s="665">
        <f t="shared" si="0"/>
        <v>14</v>
      </c>
      <c r="B27" s="678" t="s">
        <v>75</v>
      </c>
      <c r="C27" s="679">
        <f>SUM(C15:C26)</f>
        <v>365</v>
      </c>
      <c r="D27" s="678"/>
      <c r="E27" s="678"/>
      <c r="F27" s="680"/>
      <c r="G27" s="663"/>
      <c r="H27" s="905">
        <f>SUM(H15:H26)</f>
        <v>0</v>
      </c>
      <c r="I27" s="905">
        <f>SUM(I15:I26)</f>
        <v>0</v>
      </c>
      <c r="J27" s="906"/>
      <c r="K27" s="900"/>
      <c r="L27" s="905">
        <f>SUM(L15:L26)</f>
        <v>0</v>
      </c>
      <c r="M27" s="905">
        <f t="shared" ref="M27:P27" si="11">SUM(M15:M26)</f>
        <v>0</v>
      </c>
      <c r="N27" s="907">
        <f t="shared" si="11"/>
        <v>0</v>
      </c>
      <c r="O27" s="907">
        <f t="shared" si="11"/>
        <v>0</v>
      </c>
      <c r="P27" s="907">
        <f t="shared" si="11"/>
        <v>0</v>
      </c>
      <c r="Q27" s="908"/>
    </row>
    <row r="28" spans="1:17" ht="15">
      <c r="A28" s="665"/>
      <c r="B28" s="681"/>
      <c r="C28" s="681"/>
      <c r="D28" s="681"/>
      <c r="E28" s="681"/>
      <c r="F28" s="682"/>
      <c r="G28" s="682"/>
      <c r="H28" s="665"/>
      <c r="I28" s="683"/>
      <c r="J28" s="682"/>
      <c r="K28" s="682"/>
      <c r="L28" s="665"/>
      <c r="M28" s="665"/>
      <c r="N28" s="665"/>
      <c r="O28" s="665"/>
      <c r="P28" s="665"/>
      <c r="Q28" s="665"/>
    </row>
    <row r="29" spans="1:17" ht="15">
      <c r="A29" s="216"/>
      <c r="B29" s="216"/>
      <c r="C29" s="216"/>
      <c r="D29" s="216"/>
      <c r="E29" s="216"/>
      <c r="F29" s="216"/>
      <c r="G29" s="216"/>
      <c r="H29" s="216"/>
      <c r="I29" s="216"/>
      <c r="J29" s="216"/>
      <c r="K29" s="216"/>
      <c r="L29" s="216"/>
      <c r="M29" s="216"/>
      <c r="N29" s="216"/>
      <c r="O29" s="216"/>
      <c r="P29" s="216"/>
      <c r="Q29" s="216"/>
    </row>
    <row r="30" spans="1:17" ht="15">
      <c r="A30" s="216"/>
      <c r="B30" s="216"/>
      <c r="C30" s="216"/>
      <c r="D30" s="216"/>
      <c r="E30" s="216"/>
      <c r="F30" s="651" t="s">
        <v>18</v>
      </c>
      <c r="G30" s="216"/>
      <c r="H30" s="216"/>
      <c r="I30" s="216"/>
      <c r="J30" s="651" t="s">
        <v>465</v>
      </c>
      <c r="K30" s="216"/>
      <c r="L30" s="216"/>
      <c r="M30" s="216"/>
      <c r="N30" s="216"/>
      <c r="O30" s="651" t="s">
        <v>274</v>
      </c>
      <c r="P30" s="216"/>
      <c r="Q30" s="216"/>
    </row>
    <row r="31" spans="1:17" ht="15">
      <c r="A31" s="216"/>
      <c r="B31" s="216"/>
      <c r="C31" s="645" t="str">
        <f>+'1B - ADIT Proration'!I9</f>
        <v>Transmission</v>
      </c>
      <c r="D31" s="645"/>
      <c r="E31" s="645" t="str">
        <f>+'1B - ADIT Proration'!K9</f>
        <v>Plant Related</v>
      </c>
      <c r="F31" s="684" t="s">
        <v>466</v>
      </c>
      <c r="G31" s="684" t="s">
        <v>75</v>
      </c>
      <c r="H31" s="645"/>
      <c r="I31" s="645" t="str">
        <f>+'1B - ADIT Proration'!O9</f>
        <v>Labor Related</v>
      </c>
      <c r="J31" s="684" t="s">
        <v>466</v>
      </c>
      <c r="K31" s="216"/>
      <c r="L31" s="684" t="s">
        <v>75</v>
      </c>
      <c r="M31" s="216"/>
      <c r="N31" s="645" t="str">
        <f>+'1B - ADIT Proration'!S9</f>
        <v>Revenue Related</v>
      </c>
      <c r="O31" s="684" t="s">
        <v>466</v>
      </c>
      <c r="P31" s="684" t="s">
        <v>75</v>
      </c>
      <c r="Q31" s="684" t="s">
        <v>467</v>
      </c>
    </row>
    <row r="32" spans="1:17" ht="15">
      <c r="A32" s="216"/>
      <c r="B32" s="216" t="s">
        <v>458</v>
      </c>
      <c r="C32" s="216"/>
      <c r="D32" s="216"/>
      <c r="E32" s="216"/>
      <c r="F32" s="216"/>
      <c r="G32" s="216"/>
      <c r="H32" s="216"/>
      <c r="I32" s="216"/>
      <c r="J32" s="216"/>
      <c r="K32" s="216"/>
      <c r="L32" s="216"/>
      <c r="M32" s="216"/>
      <c r="N32" s="216"/>
      <c r="O32" s="216"/>
      <c r="P32" s="1025"/>
      <c r="Q32" s="216"/>
    </row>
    <row r="33" spans="1:17" ht="15">
      <c r="A33" s="216">
        <f>+A27+1</f>
        <v>15</v>
      </c>
      <c r="B33" s="216" t="s">
        <v>399</v>
      </c>
      <c r="C33" s="909">
        <v>0</v>
      </c>
      <c r="D33" s="575"/>
      <c r="E33" s="909">
        <v>0</v>
      </c>
      <c r="F33" s="747">
        <f>+'Appendix A'!$H$27</f>
        <v>0.20363964961424239</v>
      </c>
      <c r="G33" s="575">
        <f t="shared" ref="G33:G44" si="12">+E33*F33</f>
        <v>0</v>
      </c>
      <c r="H33" s="575"/>
      <c r="I33" s="909">
        <v>0</v>
      </c>
      <c r="J33" s="747">
        <f>+'Appendix A'!$H$16</f>
        <v>0.12146075795343095</v>
      </c>
      <c r="K33" s="216"/>
      <c r="L33" s="575">
        <f>+I33*J33</f>
        <v>0</v>
      </c>
      <c r="M33" s="575"/>
      <c r="N33" s="909">
        <v>0</v>
      </c>
      <c r="O33" s="747">
        <f>+'Appendix A'!$H$33</f>
        <v>0.18298233367566416</v>
      </c>
      <c r="P33" s="575">
        <f>+N33*O33</f>
        <v>0</v>
      </c>
      <c r="Q33" s="575">
        <f>+C33+G33+L33+P33</f>
        <v>0</v>
      </c>
    </row>
    <row r="34" spans="1:17" ht="15">
      <c r="A34" s="216">
        <f>+A33+1</f>
        <v>16</v>
      </c>
      <c r="B34" s="216" t="s">
        <v>400</v>
      </c>
      <c r="C34" s="909">
        <v>0</v>
      </c>
      <c r="D34" s="575"/>
      <c r="E34" s="909">
        <v>0</v>
      </c>
      <c r="F34" s="747">
        <f>+'Appendix A'!$H$27</f>
        <v>0.20363964961424239</v>
      </c>
      <c r="G34" s="575">
        <f t="shared" si="12"/>
        <v>0</v>
      </c>
      <c r="H34" s="575"/>
      <c r="I34" s="909">
        <v>0</v>
      </c>
      <c r="J34" s="747">
        <f>+'Appendix A'!$H$16</f>
        <v>0.12146075795343095</v>
      </c>
      <c r="K34" s="216"/>
      <c r="L34" s="575">
        <f t="shared" ref="L34:L44" si="13">+I34*J34</f>
        <v>0</v>
      </c>
      <c r="M34" s="575"/>
      <c r="N34" s="909">
        <v>0</v>
      </c>
      <c r="O34" s="747">
        <f>+'Appendix A'!$H$33</f>
        <v>0.18298233367566416</v>
      </c>
      <c r="P34" s="575">
        <f t="shared" ref="P34:P44" si="14">+N34*O34</f>
        <v>0</v>
      </c>
      <c r="Q34" s="575">
        <f t="shared" ref="Q34:Q44" si="15">+C34+G34+L34+P34</f>
        <v>0</v>
      </c>
    </row>
    <row r="35" spans="1:17" ht="15">
      <c r="A35" s="216">
        <f t="shared" ref="A35:A44" si="16">+A34+1</f>
        <v>17</v>
      </c>
      <c r="B35" s="216" t="s">
        <v>401</v>
      </c>
      <c r="C35" s="909">
        <v>0</v>
      </c>
      <c r="D35" s="575"/>
      <c r="E35" s="909">
        <v>0</v>
      </c>
      <c r="F35" s="747">
        <f>+'Appendix A'!$H$27</f>
        <v>0.20363964961424239</v>
      </c>
      <c r="G35" s="575">
        <f t="shared" si="12"/>
        <v>0</v>
      </c>
      <c r="H35" s="575"/>
      <c r="I35" s="909">
        <v>0</v>
      </c>
      <c r="J35" s="747">
        <f>+'Appendix A'!$H$16</f>
        <v>0.12146075795343095</v>
      </c>
      <c r="K35" s="216"/>
      <c r="L35" s="575">
        <f t="shared" si="13"/>
        <v>0</v>
      </c>
      <c r="M35" s="575"/>
      <c r="N35" s="909">
        <v>0</v>
      </c>
      <c r="O35" s="747">
        <f>+'Appendix A'!$H$33</f>
        <v>0.18298233367566416</v>
      </c>
      <c r="P35" s="575">
        <f t="shared" si="14"/>
        <v>0</v>
      </c>
      <c r="Q35" s="575">
        <f t="shared" si="15"/>
        <v>0</v>
      </c>
    </row>
    <row r="36" spans="1:17" ht="15">
      <c r="A36" s="216">
        <f t="shared" si="16"/>
        <v>18</v>
      </c>
      <c r="B36" s="216" t="s">
        <v>402</v>
      </c>
      <c r="C36" s="909">
        <v>0</v>
      </c>
      <c r="D36" s="575"/>
      <c r="E36" s="909">
        <v>0</v>
      </c>
      <c r="F36" s="747">
        <f>+'Appendix A'!$H$27</f>
        <v>0.20363964961424239</v>
      </c>
      <c r="G36" s="575">
        <f t="shared" si="12"/>
        <v>0</v>
      </c>
      <c r="H36" s="575"/>
      <c r="I36" s="909">
        <v>0</v>
      </c>
      <c r="J36" s="747">
        <f>+'Appendix A'!$H$16</f>
        <v>0.12146075795343095</v>
      </c>
      <c r="K36" s="216"/>
      <c r="L36" s="575">
        <f t="shared" si="13"/>
        <v>0</v>
      </c>
      <c r="M36" s="575"/>
      <c r="N36" s="909">
        <v>0</v>
      </c>
      <c r="O36" s="747">
        <f>+'Appendix A'!$H$33</f>
        <v>0.18298233367566416</v>
      </c>
      <c r="P36" s="575">
        <f t="shared" si="14"/>
        <v>0</v>
      </c>
      <c r="Q36" s="575">
        <f t="shared" si="15"/>
        <v>0</v>
      </c>
    </row>
    <row r="37" spans="1:17" ht="15">
      <c r="A37" s="216">
        <f t="shared" si="16"/>
        <v>19</v>
      </c>
      <c r="B37" s="216" t="s">
        <v>403</v>
      </c>
      <c r="C37" s="909">
        <v>0</v>
      </c>
      <c r="D37" s="575"/>
      <c r="E37" s="909">
        <v>0</v>
      </c>
      <c r="F37" s="747">
        <f>+'Appendix A'!$H$27</f>
        <v>0.20363964961424239</v>
      </c>
      <c r="G37" s="575">
        <f t="shared" si="12"/>
        <v>0</v>
      </c>
      <c r="H37" s="575"/>
      <c r="I37" s="909">
        <v>0</v>
      </c>
      <c r="J37" s="747">
        <f>+'Appendix A'!$H$16</f>
        <v>0.12146075795343095</v>
      </c>
      <c r="K37" s="216"/>
      <c r="L37" s="575">
        <f t="shared" si="13"/>
        <v>0</v>
      </c>
      <c r="M37" s="575"/>
      <c r="N37" s="909">
        <v>0</v>
      </c>
      <c r="O37" s="747">
        <f>+'Appendix A'!$H$33</f>
        <v>0.18298233367566416</v>
      </c>
      <c r="P37" s="575">
        <f t="shared" si="14"/>
        <v>0</v>
      </c>
      <c r="Q37" s="575">
        <f t="shared" si="15"/>
        <v>0</v>
      </c>
    </row>
    <row r="38" spans="1:17" ht="15">
      <c r="A38" s="216">
        <f t="shared" si="16"/>
        <v>20</v>
      </c>
      <c r="B38" s="216" t="s">
        <v>404</v>
      </c>
      <c r="C38" s="909">
        <v>0</v>
      </c>
      <c r="D38" s="575"/>
      <c r="E38" s="909">
        <v>0</v>
      </c>
      <c r="F38" s="747">
        <f>+'Appendix A'!$H$27</f>
        <v>0.20363964961424239</v>
      </c>
      <c r="G38" s="575">
        <f t="shared" si="12"/>
        <v>0</v>
      </c>
      <c r="H38" s="575"/>
      <c r="I38" s="909">
        <v>0</v>
      </c>
      <c r="J38" s="747">
        <f>+'Appendix A'!$H$16</f>
        <v>0.12146075795343095</v>
      </c>
      <c r="K38" s="216"/>
      <c r="L38" s="575">
        <f>+I38*J38</f>
        <v>0</v>
      </c>
      <c r="M38" s="575"/>
      <c r="N38" s="909">
        <v>0</v>
      </c>
      <c r="O38" s="747">
        <f>+'Appendix A'!$H$33</f>
        <v>0.18298233367566416</v>
      </c>
      <c r="P38" s="575">
        <f t="shared" si="14"/>
        <v>0</v>
      </c>
      <c r="Q38" s="575">
        <f t="shared" si="15"/>
        <v>0</v>
      </c>
    </row>
    <row r="39" spans="1:17" ht="15">
      <c r="A39" s="216">
        <f t="shared" si="16"/>
        <v>21</v>
      </c>
      <c r="B39" s="216" t="s">
        <v>405</v>
      </c>
      <c r="C39" s="909">
        <v>0</v>
      </c>
      <c r="D39" s="575"/>
      <c r="E39" s="909">
        <v>0</v>
      </c>
      <c r="F39" s="747">
        <f>+'Appendix A'!$H$27</f>
        <v>0.20363964961424239</v>
      </c>
      <c r="G39" s="575">
        <f t="shared" si="12"/>
        <v>0</v>
      </c>
      <c r="H39" s="575"/>
      <c r="I39" s="909">
        <v>0</v>
      </c>
      <c r="J39" s="747">
        <f>+'Appendix A'!$H$16</f>
        <v>0.12146075795343095</v>
      </c>
      <c r="K39" s="216"/>
      <c r="L39" s="575">
        <f t="shared" si="13"/>
        <v>0</v>
      </c>
      <c r="M39" s="575"/>
      <c r="N39" s="909">
        <v>0</v>
      </c>
      <c r="O39" s="747">
        <f>+'Appendix A'!$H$33</f>
        <v>0.18298233367566416</v>
      </c>
      <c r="P39" s="575">
        <f t="shared" si="14"/>
        <v>0</v>
      </c>
      <c r="Q39" s="575">
        <f t="shared" si="15"/>
        <v>0</v>
      </c>
    </row>
    <row r="40" spans="1:17" ht="15">
      <c r="A40" s="216">
        <f t="shared" si="16"/>
        <v>22</v>
      </c>
      <c r="B40" s="216" t="s">
        <v>406</v>
      </c>
      <c r="C40" s="909">
        <v>0</v>
      </c>
      <c r="D40" s="575"/>
      <c r="E40" s="909">
        <v>0</v>
      </c>
      <c r="F40" s="747">
        <f>+'Appendix A'!$H$27</f>
        <v>0.20363964961424239</v>
      </c>
      <c r="G40" s="575">
        <f t="shared" si="12"/>
        <v>0</v>
      </c>
      <c r="H40" s="575"/>
      <c r="I40" s="909">
        <v>0</v>
      </c>
      <c r="J40" s="747">
        <f>+'Appendix A'!$H$16</f>
        <v>0.12146075795343095</v>
      </c>
      <c r="K40" s="216"/>
      <c r="L40" s="575">
        <f t="shared" si="13"/>
        <v>0</v>
      </c>
      <c r="M40" s="575"/>
      <c r="N40" s="909">
        <v>0</v>
      </c>
      <c r="O40" s="747">
        <f>+'Appendix A'!$H$33</f>
        <v>0.18298233367566416</v>
      </c>
      <c r="P40" s="575">
        <f t="shared" si="14"/>
        <v>0</v>
      </c>
      <c r="Q40" s="575">
        <f t="shared" si="15"/>
        <v>0</v>
      </c>
    </row>
    <row r="41" spans="1:17" ht="15">
      <c r="A41" s="216">
        <f t="shared" si="16"/>
        <v>23</v>
      </c>
      <c r="B41" s="216" t="s">
        <v>407</v>
      </c>
      <c r="C41" s="909">
        <v>0</v>
      </c>
      <c r="D41" s="575"/>
      <c r="E41" s="909">
        <v>0</v>
      </c>
      <c r="F41" s="747">
        <f>+'Appendix A'!$H$27</f>
        <v>0.20363964961424239</v>
      </c>
      <c r="G41" s="575">
        <f t="shared" si="12"/>
        <v>0</v>
      </c>
      <c r="H41" s="575"/>
      <c r="I41" s="909">
        <v>0</v>
      </c>
      <c r="J41" s="747">
        <f>+'Appendix A'!$H$16</f>
        <v>0.12146075795343095</v>
      </c>
      <c r="K41" s="216"/>
      <c r="L41" s="575">
        <f t="shared" si="13"/>
        <v>0</v>
      </c>
      <c r="M41" s="575"/>
      <c r="N41" s="909">
        <v>0</v>
      </c>
      <c r="O41" s="747">
        <f>+'Appendix A'!$H$33</f>
        <v>0.18298233367566416</v>
      </c>
      <c r="P41" s="575">
        <f>+N41*O41</f>
        <v>0</v>
      </c>
      <c r="Q41" s="575">
        <f t="shared" si="15"/>
        <v>0</v>
      </c>
    </row>
    <row r="42" spans="1:17" ht="15">
      <c r="A42" s="216">
        <f t="shared" si="16"/>
        <v>24</v>
      </c>
      <c r="B42" s="216" t="s">
        <v>408</v>
      </c>
      <c r="C42" s="909">
        <v>0</v>
      </c>
      <c r="D42" s="575"/>
      <c r="E42" s="909">
        <v>0</v>
      </c>
      <c r="F42" s="747">
        <f>+'Appendix A'!$H$27</f>
        <v>0.20363964961424239</v>
      </c>
      <c r="G42" s="575">
        <f t="shared" si="12"/>
        <v>0</v>
      </c>
      <c r="H42" s="575"/>
      <c r="I42" s="909">
        <v>0</v>
      </c>
      <c r="J42" s="747">
        <f>+'Appendix A'!$H$16</f>
        <v>0.12146075795343095</v>
      </c>
      <c r="K42" s="216"/>
      <c r="L42" s="575">
        <f t="shared" si="13"/>
        <v>0</v>
      </c>
      <c r="M42" s="575"/>
      <c r="N42" s="909">
        <v>0</v>
      </c>
      <c r="O42" s="747">
        <f>+'Appendix A'!$H$33</f>
        <v>0.18298233367566416</v>
      </c>
      <c r="P42" s="575">
        <f t="shared" si="14"/>
        <v>0</v>
      </c>
      <c r="Q42" s="575">
        <f t="shared" si="15"/>
        <v>0</v>
      </c>
    </row>
    <row r="43" spans="1:17" ht="15">
      <c r="A43" s="216">
        <f t="shared" si="16"/>
        <v>25</v>
      </c>
      <c r="B43" s="216" t="s">
        <v>409</v>
      </c>
      <c r="C43" s="909">
        <v>0</v>
      </c>
      <c r="D43" s="575"/>
      <c r="E43" s="909">
        <v>0</v>
      </c>
      <c r="F43" s="747">
        <f>+'Appendix A'!$H$27</f>
        <v>0.20363964961424239</v>
      </c>
      <c r="G43" s="575">
        <f t="shared" si="12"/>
        <v>0</v>
      </c>
      <c r="H43" s="575"/>
      <c r="I43" s="909">
        <v>0</v>
      </c>
      <c r="J43" s="747">
        <f>+'Appendix A'!$H$16</f>
        <v>0.12146075795343095</v>
      </c>
      <c r="K43" s="216"/>
      <c r="L43" s="575">
        <f t="shared" si="13"/>
        <v>0</v>
      </c>
      <c r="M43" s="575"/>
      <c r="N43" s="909">
        <v>0</v>
      </c>
      <c r="O43" s="747">
        <f>+'Appendix A'!$H$33</f>
        <v>0.18298233367566416</v>
      </c>
      <c r="P43" s="575">
        <f t="shared" si="14"/>
        <v>0</v>
      </c>
      <c r="Q43" s="575">
        <f t="shared" si="15"/>
        <v>0</v>
      </c>
    </row>
    <row r="44" spans="1:17" ht="15">
      <c r="A44" s="216">
        <f t="shared" si="16"/>
        <v>26</v>
      </c>
      <c r="B44" s="216" t="s">
        <v>410</v>
      </c>
      <c r="C44" s="909">
        <v>0</v>
      </c>
      <c r="D44" s="575"/>
      <c r="E44" s="909">
        <v>0</v>
      </c>
      <c r="F44" s="747">
        <f>+'Appendix A'!$H$27</f>
        <v>0.20363964961424239</v>
      </c>
      <c r="G44" s="575">
        <f t="shared" si="12"/>
        <v>0</v>
      </c>
      <c r="H44" s="575"/>
      <c r="I44" s="909">
        <v>0</v>
      </c>
      <c r="J44" s="747">
        <f>+'Appendix A'!$H$16</f>
        <v>0.12146075795343095</v>
      </c>
      <c r="K44" s="216"/>
      <c r="L44" s="575">
        <f t="shared" si="13"/>
        <v>0</v>
      </c>
      <c r="M44" s="575"/>
      <c r="N44" s="909">
        <v>0</v>
      </c>
      <c r="O44" s="747">
        <f>+'Appendix A'!$H$33</f>
        <v>0.18298233367566416</v>
      </c>
      <c r="P44" s="575">
        <f t="shared" si="14"/>
        <v>0</v>
      </c>
      <c r="Q44" s="575">
        <f t="shared" si="15"/>
        <v>0</v>
      </c>
    </row>
    <row r="45" spans="1:17" ht="15">
      <c r="A45" s="216"/>
      <c r="B45" s="216"/>
      <c r="C45" s="216"/>
      <c r="D45" s="216"/>
      <c r="E45" s="216"/>
      <c r="F45" s="216"/>
      <c r="G45" s="685"/>
      <c r="H45" s="216"/>
      <c r="I45" s="216"/>
      <c r="J45" s="216"/>
      <c r="K45" s="216"/>
      <c r="L45" s="216"/>
      <c r="M45" s="216"/>
      <c r="N45" s="216"/>
      <c r="O45" s="216"/>
      <c r="P45" s="216"/>
      <c r="Q45" s="216"/>
    </row>
    <row r="46" spans="1:17" ht="15">
      <c r="A46" s="216"/>
      <c r="B46" s="216"/>
      <c r="C46" s="216"/>
      <c r="D46" s="216"/>
      <c r="E46" s="216"/>
      <c r="F46" s="216"/>
      <c r="G46" s="216"/>
      <c r="H46" s="216"/>
      <c r="I46" s="216"/>
      <c r="J46" s="216"/>
      <c r="K46" s="216"/>
      <c r="L46" s="216"/>
      <c r="M46" s="216"/>
      <c r="N46" s="216"/>
      <c r="O46" s="216"/>
      <c r="P46" s="216"/>
      <c r="Q46" s="216"/>
    </row>
    <row r="47" spans="1:17" ht="15">
      <c r="A47" s="216"/>
      <c r="B47" s="58" t="s">
        <v>468</v>
      </c>
      <c r="C47" s="216"/>
      <c r="D47" s="216"/>
      <c r="E47" s="216"/>
      <c r="F47" s="216"/>
      <c r="G47" s="216"/>
      <c r="H47" s="216"/>
      <c r="I47" s="216"/>
      <c r="J47" s="216"/>
      <c r="K47" s="216"/>
      <c r="L47" s="216"/>
      <c r="M47" s="216"/>
      <c r="N47" s="216"/>
      <c r="O47" s="216"/>
      <c r="P47" s="216"/>
      <c r="Q47" s="216"/>
    </row>
    <row r="48" spans="1:17" ht="15">
      <c r="A48" s="216"/>
      <c r="B48" s="58" t="s">
        <v>440</v>
      </c>
      <c r="C48" s="216"/>
      <c r="D48" s="216"/>
      <c r="E48" s="216"/>
      <c r="F48" s="216"/>
      <c r="G48" s="216"/>
      <c r="H48" s="216"/>
      <c r="I48" s="216"/>
      <c r="J48" s="216"/>
      <c r="K48" s="216"/>
      <c r="L48" s="216"/>
      <c r="M48" s="216"/>
      <c r="N48" s="216"/>
      <c r="O48" s="216"/>
      <c r="P48" s="216"/>
      <c r="Q48" s="216"/>
    </row>
    <row r="49" spans="1:17" ht="15">
      <c r="A49" s="216"/>
      <c r="B49" s="58" t="s">
        <v>441</v>
      </c>
      <c r="C49" s="216"/>
      <c r="D49" s="216"/>
      <c r="E49" s="216"/>
      <c r="F49" s="216"/>
      <c r="G49" s="216"/>
      <c r="H49" s="216"/>
      <c r="I49" s="216"/>
      <c r="J49" s="216"/>
      <c r="K49" s="216"/>
      <c r="L49" s="216"/>
      <c r="M49" s="216"/>
      <c r="N49" s="216"/>
      <c r="O49" s="216"/>
      <c r="P49" s="216"/>
      <c r="Q49" s="216"/>
    </row>
    <row r="50" spans="1:17" ht="15">
      <c r="A50" s="216"/>
      <c r="B50" s="58" t="s">
        <v>442</v>
      </c>
      <c r="C50" s="216"/>
      <c r="D50" s="216"/>
      <c r="E50" s="216"/>
      <c r="F50" s="216"/>
      <c r="G50" s="216"/>
      <c r="H50" s="216"/>
      <c r="I50" s="216"/>
      <c r="J50" s="216"/>
      <c r="K50" s="216"/>
      <c r="L50" s="216"/>
      <c r="M50" s="216"/>
      <c r="N50" s="216"/>
      <c r="O50" s="216"/>
      <c r="P50" s="216"/>
      <c r="Q50" s="216"/>
    </row>
    <row r="51" spans="1:17" ht="15">
      <c r="A51" s="1025"/>
      <c r="B51" s="58" t="s">
        <v>443</v>
      </c>
      <c r="C51" s="1025"/>
      <c r="D51" s="1025"/>
      <c r="E51" s="1025"/>
      <c r="F51" s="1025"/>
      <c r="G51" s="1025"/>
      <c r="H51" s="1025"/>
      <c r="I51" s="1025"/>
      <c r="J51" s="1025"/>
      <c r="K51" s="1025"/>
      <c r="L51" s="1025"/>
      <c r="M51" s="1025"/>
      <c r="N51" s="1025"/>
      <c r="O51" s="1025"/>
      <c r="P51" s="1025"/>
      <c r="Q51" s="1025"/>
    </row>
    <row r="53" spans="1:17" s="841" customFormat="1">
      <c r="A53" s="1025"/>
      <c r="B53" s="1025"/>
      <c r="C53" s="1025"/>
      <c r="D53" s="1025"/>
      <c r="E53" s="1025"/>
      <c r="F53" s="1025"/>
      <c r="G53" s="1025"/>
      <c r="H53" s="1025"/>
      <c r="I53" s="1025"/>
      <c r="J53" s="1025"/>
      <c r="K53" s="1025"/>
      <c r="L53" s="1025"/>
      <c r="M53" s="1025"/>
      <c r="N53" s="1025"/>
      <c r="O53" s="1025"/>
      <c r="P53" s="1025"/>
      <c r="Q53" s="1025"/>
    </row>
    <row r="54" spans="1:17" s="841" customFormat="1" ht="18">
      <c r="A54" s="1025"/>
      <c r="B54" s="1025"/>
      <c r="C54" s="1025"/>
      <c r="D54" s="1025"/>
      <c r="E54" s="1025"/>
      <c r="F54" s="1025"/>
      <c r="G54" s="1025"/>
      <c r="H54" s="1025"/>
      <c r="I54" s="656" t="str">
        <f>+I2</f>
        <v>Dayton Power and Light</v>
      </c>
      <c r="J54" s="1025"/>
      <c r="K54" s="1025"/>
      <c r="L54" s="1025"/>
      <c r="M54" s="1025"/>
      <c r="N54" s="1025"/>
      <c r="O54" s="1025"/>
      <c r="P54" s="1025"/>
      <c r="Q54" s="1025"/>
    </row>
    <row r="55" spans="1:17" s="841" customFormat="1" ht="18">
      <c r="A55" s="1025"/>
      <c r="B55" s="1025"/>
      <c r="C55" s="1025"/>
      <c r="D55" s="1025"/>
      <c r="E55" s="1025"/>
      <c r="F55" s="1025"/>
      <c r="G55" s="1025"/>
      <c r="H55" s="1025"/>
      <c r="I55" s="656" t="str">
        <f t="shared" ref="I55:I57" si="17">+I3</f>
        <v xml:space="preserve">ATTACHMENT H-15A </v>
      </c>
      <c r="J55" s="1025"/>
      <c r="K55" s="1025"/>
      <c r="L55" s="1025"/>
      <c r="M55" s="1025"/>
      <c r="N55" s="1025"/>
      <c r="O55" s="1025"/>
      <c r="P55" s="1025"/>
      <c r="Q55" s="1025"/>
    </row>
    <row r="56" spans="1:17" ht="18">
      <c r="A56" s="1025"/>
      <c r="B56" s="1025"/>
      <c r="C56" s="1025"/>
      <c r="D56" s="1025"/>
      <c r="E56" s="1025"/>
      <c r="F56" s="1025"/>
      <c r="G56" s="1025"/>
      <c r="H56" s="1025"/>
      <c r="I56" s="656" t="str">
        <f t="shared" si="17"/>
        <v>Attachment 1E - Accumulated Deferred Income Taxes for Annual True-up - December 31, 2021</v>
      </c>
      <c r="J56" s="1025"/>
      <c r="K56" s="1025"/>
      <c r="L56" s="1025"/>
      <c r="M56" s="1025"/>
      <c r="N56" s="1025"/>
      <c r="O56" s="1025"/>
      <c r="P56" s="1025"/>
      <c r="Q56" s="967"/>
    </row>
    <row r="57" spans="1:17" ht="18">
      <c r="A57" s="1025"/>
      <c r="B57" s="1025"/>
      <c r="C57" s="1025"/>
      <c r="D57" s="1025"/>
      <c r="E57" s="1025"/>
      <c r="F57" s="1025"/>
      <c r="G57" s="1025"/>
      <c r="H57" s="1025"/>
      <c r="I57" s="656" t="str">
        <f t="shared" si="17"/>
        <v>ADIT Proration</v>
      </c>
      <c r="J57" s="1025"/>
      <c r="K57" s="1025"/>
      <c r="L57" s="1025"/>
      <c r="M57" s="1025"/>
      <c r="N57" s="1025"/>
      <c r="O57" s="1025"/>
      <c r="P57" s="1025"/>
      <c r="Q57" s="845"/>
    </row>
    <row r="59" spans="1:17" ht="15.75">
      <c r="A59" s="665"/>
      <c r="B59" s="666" t="s">
        <v>469</v>
      </c>
      <c r="C59" s="665"/>
      <c r="D59" s="665"/>
      <c r="E59" s="665"/>
      <c r="F59" s="665"/>
      <c r="G59" s="665"/>
      <c r="H59" s="665"/>
      <c r="I59" s="665"/>
      <c r="J59" s="665"/>
      <c r="K59" s="665"/>
      <c r="L59" s="666"/>
      <c r="M59" s="665"/>
      <c r="N59" s="665"/>
      <c r="O59" s="665"/>
      <c r="P59" s="665"/>
      <c r="Q59" s="665"/>
    </row>
    <row r="60" spans="1:17" ht="15.75">
      <c r="A60" s="665"/>
      <c r="B60" s="1122" t="s">
        <v>448</v>
      </c>
      <c r="C60" s="1123"/>
      <c r="D60" s="1123"/>
      <c r="E60" s="1123"/>
      <c r="F60" s="1124"/>
      <c r="G60" s="667"/>
      <c r="H60" s="1125" t="s">
        <v>449</v>
      </c>
      <c r="I60" s="1126"/>
      <c r="J60" s="1127"/>
      <c r="K60" s="668"/>
      <c r="L60" s="1128" t="s">
        <v>450</v>
      </c>
      <c r="M60" s="1129"/>
      <c r="N60" s="1129"/>
      <c r="O60" s="1129"/>
      <c r="P60" s="1129"/>
      <c r="Q60" s="1129"/>
    </row>
    <row r="61" spans="1:17" ht="15.75">
      <c r="A61" s="665"/>
      <c r="B61" s="669" t="s">
        <v>217</v>
      </c>
      <c r="C61" s="669" t="s">
        <v>219</v>
      </c>
      <c r="D61" s="669" t="s">
        <v>222</v>
      </c>
      <c r="E61" s="669" t="s">
        <v>224</v>
      </c>
      <c r="F61" s="669" t="s">
        <v>226</v>
      </c>
      <c r="G61" s="667"/>
      <c r="H61" s="669" t="s">
        <v>228</v>
      </c>
      <c r="I61" s="669" t="s">
        <v>230</v>
      </c>
      <c r="J61" s="669" t="s">
        <v>237</v>
      </c>
      <c r="K61" s="670"/>
      <c r="L61" s="671" t="s">
        <v>240</v>
      </c>
      <c r="M61" s="671" t="s">
        <v>242</v>
      </c>
      <c r="N61" s="671" t="s">
        <v>244</v>
      </c>
      <c r="O61" s="671" t="s">
        <v>246</v>
      </c>
      <c r="P61" s="671" t="s">
        <v>248</v>
      </c>
      <c r="Q61" s="671" t="s">
        <v>250</v>
      </c>
    </row>
    <row r="62" spans="1:17" ht="150">
      <c r="A62" s="665"/>
      <c r="B62" s="672" t="s">
        <v>451</v>
      </c>
      <c r="C62" s="672" t="s">
        <v>382</v>
      </c>
      <c r="D62" s="672" t="s">
        <v>452</v>
      </c>
      <c r="E62" s="672" t="s">
        <v>453</v>
      </c>
      <c r="F62" s="672" t="s">
        <v>454</v>
      </c>
      <c r="G62" s="673"/>
      <c r="H62" s="672" t="s">
        <v>455</v>
      </c>
      <c r="I62" s="672" t="s">
        <v>456</v>
      </c>
      <c r="J62" s="672" t="s">
        <v>470</v>
      </c>
      <c r="K62" s="673"/>
      <c r="L62" s="674" t="s">
        <v>458</v>
      </c>
      <c r="M62" s="674" t="s">
        <v>459</v>
      </c>
      <c r="N62" s="674" t="s">
        <v>460</v>
      </c>
      <c r="O62" s="674" t="s">
        <v>461</v>
      </c>
      <c r="P62" s="674" t="s">
        <v>462</v>
      </c>
      <c r="Q62" s="674" t="s">
        <v>463</v>
      </c>
    </row>
    <row r="63" spans="1:17" ht="15">
      <c r="A63" s="665"/>
      <c r="B63" s="665"/>
      <c r="C63" s="673"/>
      <c r="D63" s="673"/>
      <c r="E63" s="673"/>
      <c r="F63" s="673"/>
      <c r="G63" s="673"/>
      <c r="H63" s="673"/>
      <c r="I63" s="673"/>
      <c r="J63" s="673"/>
      <c r="K63" s="673"/>
      <c r="L63" s="675"/>
      <c r="M63" s="675"/>
      <c r="N63" s="675"/>
      <c r="O63" s="675"/>
      <c r="P63" s="675"/>
      <c r="Q63" s="675"/>
    </row>
    <row r="64" spans="1:17" ht="15">
      <c r="A64" s="665">
        <f>+A44+1</f>
        <v>27</v>
      </c>
      <c r="B64" s="676" t="s">
        <v>471</v>
      </c>
      <c r="C64" s="677"/>
      <c r="D64" s="663"/>
      <c r="E64" s="663"/>
      <c r="F64" s="663"/>
      <c r="G64" s="663"/>
      <c r="H64" s="898"/>
      <c r="I64" s="898"/>
      <c r="J64" s="899">
        <v>0</v>
      </c>
      <c r="K64" s="900"/>
      <c r="L64" s="901" t="str">
        <f>+B64</f>
        <v>December 31st balance (FF1 274.2.b)</v>
      </c>
      <c r="M64" s="902"/>
      <c r="N64" s="902"/>
      <c r="O64" s="902"/>
      <c r="P64" s="902"/>
      <c r="Q64" s="903">
        <f>+J64</f>
        <v>0</v>
      </c>
    </row>
    <row r="65" spans="1:17" ht="15">
      <c r="A65" s="665">
        <f t="shared" ref="A65:A77" si="18">+A64+1</f>
        <v>28</v>
      </c>
      <c r="B65" s="677" t="s">
        <v>399</v>
      </c>
      <c r="C65" s="662">
        <v>31</v>
      </c>
      <c r="D65" s="663">
        <f t="shared" ref="D65:D75" si="19">D66+C66</f>
        <v>335</v>
      </c>
      <c r="E65" s="663">
        <f>SUM(C65:C76)</f>
        <v>365</v>
      </c>
      <c r="F65" s="56">
        <f>335/365</f>
        <v>0.9178082191780822</v>
      </c>
      <c r="G65" s="663"/>
      <c r="H65" s="899">
        <v>0</v>
      </c>
      <c r="I65" s="898">
        <f t="shared" ref="I65:I76" si="20">+H65*F65</f>
        <v>0</v>
      </c>
      <c r="J65" s="898">
        <f t="shared" ref="J65:J67" si="21">+I65+J64</f>
        <v>0</v>
      </c>
      <c r="K65" s="900"/>
      <c r="L65" s="904">
        <f>+Q83</f>
        <v>0</v>
      </c>
      <c r="M65" s="902">
        <f>L65-H65</f>
        <v>0</v>
      </c>
      <c r="N65" s="903">
        <f>IF(AND(H65&gt;=0,L65&gt;=0),IF(M65&gt;=0,I65,L65/H65*I65),IF(AND(H65&lt;0,L65&lt;0),IF(M65&lt;0,I65,L65/H65*I65),0))</f>
        <v>0</v>
      </c>
      <c r="O65" s="903">
        <f t="shared" ref="O65:O76" si="22">IF(AND(H65&gt;=0,L65&gt;=0),IF(M65&gt;=0,M65,0),IF(AND(H65&lt;0,L65&lt;0),IF(M65&lt;0,M65,0),0))</f>
        <v>0</v>
      </c>
      <c r="P65" s="903">
        <f>IF(AND(H65&gt;=0,L65&lt;0),L65,IF(AND(H65&lt;0,L65&gt;=0),L65,0))</f>
        <v>0</v>
      </c>
      <c r="Q65" s="903">
        <f>Q64+N65+(O65+P65)*0.5</f>
        <v>0</v>
      </c>
    </row>
    <row r="66" spans="1:17" ht="15">
      <c r="A66" s="665">
        <f t="shared" si="18"/>
        <v>29</v>
      </c>
      <c r="B66" s="677" t="s">
        <v>400</v>
      </c>
      <c r="C66" s="748">
        <f>+C16</f>
        <v>28</v>
      </c>
      <c r="D66" s="663">
        <f t="shared" si="19"/>
        <v>307</v>
      </c>
      <c r="E66" s="663">
        <f>E65</f>
        <v>365</v>
      </c>
      <c r="F66" s="56">
        <f>307/365</f>
        <v>0.84109589041095889</v>
      </c>
      <c r="G66" s="663"/>
      <c r="H66" s="899">
        <v>0</v>
      </c>
      <c r="I66" s="898">
        <f t="shared" si="20"/>
        <v>0</v>
      </c>
      <c r="J66" s="898">
        <f t="shared" si="21"/>
        <v>0</v>
      </c>
      <c r="K66" s="900"/>
      <c r="L66" s="904">
        <f t="shared" ref="L66:L76" si="23">+Q84</f>
        <v>0</v>
      </c>
      <c r="M66" s="902">
        <f>L66-H66</f>
        <v>0</v>
      </c>
      <c r="N66" s="903">
        <f t="shared" ref="N66:N76" si="24">IF(AND(H66&gt;=0,L66&gt;=0),IF(M66&gt;=0,I66,L66/H66*I66),IF(AND(H66&lt;0,L66&lt;0),IF(M66&lt;0,I66,L66/H66*I66),0))</f>
        <v>0</v>
      </c>
      <c r="O66" s="903">
        <f t="shared" si="22"/>
        <v>0</v>
      </c>
      <c r="P66" s="903">
        <f t="shared" ref="P66:P76" si="25">IF(AND(H66&gt;=0,L66&lt;0),L66,IF(AND(H66&lt;0,L66&gt;=0),L66,0))</f>
        <v>0</v>
      </c>
      <c r="Q66" s="903">
        <f>Q65+N66+(O66+P66)*0.5</f>
        <v>0</v>
      </c>
    </row>
    <row r="67" spans="1:17" ht="15">
      <c r="A67" s="665">
        <f t="shared" si="18"/>
        <v>30</v>
      </c>
      <c r="B67" s="677" t="s">
        <v>401</v>
      </c>
      <c r="C67" s="662">
        <v>31</v>
      </c>
      <c r="D67" s="663">
        <f t="shared" si="19"/>
        <v>276</v>
      </c>
      <c r="E67" s="663">
        <f t="shared" ref="E67:E76" si="26">E66</f>
        <v>365</v>
      </c>
      <c r="F67" s="56">
        <f>276/365</f>
        <v>0.75616438356164384</v>
      </c>
      <c r="G67" s="663"/>
      <c r="H67" s="899">
        <v>0</v>
      </c>
      <c r="I67" s="898">
        <f t="shared" si="20"/>
        <v>0</v>
      </c>
      <c r="J67" s="898">
        <f t="shared" si="21"/>
        <v>0</v>
      </c>
      <c r="K67" s="900"/>
      <c r="L67" s="904">
        <f t="shared" si="23"/>
        <v>0</v>
      </c>
      <c r="M67" s="902">
        <f t="shared" ref="M67:M76" si="27">L67-H67</f>
        <v>0</v>
      </c>
      <c r="N67" s="903">
        <f t="shared" si="24"/>
        <v>0</v>
      </c>
      <c r="O67" s="903">
        <f t="shared" si="22"/>
        <v>0</v>
      </c>
      <c r="P67" s="903">
        <f t="shared" si="25"/>
        <v>0</v>
      </c>
      <c r="Q67" s="903">
        <f>Q66+N67+(O67+P67)*0.5</f>
        <v>0</v>
      </c>
    </row>
    <row r="68" spans="1:17" ht="15">
      <c r="A68" s="665">
        <f t="shared" si="18"/>
        <v>31</v>
      </c>
      <c r="B68" s="677" t="s">
        <v>402</v>
      </c>
      <c r="C68" s="662">
        <v>30</v>
      </c>
      <c r="D68" s="663">
        <f t="shared" si="19"/>
        <v>246</v>
      </c>
      <c r="E68" s="663">
        <f t="shared" si="26"/>
        <v>365</v>
      </c>
      <c r="F68" s="56">
        <f>246/365</f>
        <v>0.67397260273972603</v>
      </c>
      <c r="G68" s="663"/>
      <c r="H68" s="899">
        <v>0</v>
      </c>
      <c r="I68" s="898">
        <f t="shared" si="20"/>
        <v>0</v>
      </c>
      <c r="J68" s="898">
        <f>+I68+J67</f>
        <v>0</v>
      </c>
      <c r="K68" s="900"/>
      <c r="L68" s="904">
        <f t="shared" si="23"/>
        <v>0</v>
      </c>
      <c r="M68" s="902">
        <f t="shared" si="27"/>
        <v>0</v>
      </c>
      <c r="N68" s="903">
        <f t="shared" si="24"/>
        <v>0</v>
      </c>
      <c r="O68" s="903">
        <f t="shared" si="22"/>
        <v>0</v>
      </c>
      <c r="P68" s="903">
        <f t="shared" si="25"/>
        <v>0</v>
      </c>
      <c r="Q68" s="903">
        <f t="shared" ref="Q68:Q76" si="28">Q67+N68+(O68+P68)*0.5</f>
        <v>0</v>
      </c>
    </row>
    <row r="69" spans="1:17" ht="15">
      <c r="A69" s="665">
        <f t="shared" si="18"/>
        <v>32</v>
      </c>
      <c r="B69" s="677" t="s">
        <v>403</v>
      </c>
      <c r="C69" s="662">
        <v>31</v>
      </c>
      <c r="D69" s="663">
        <f t="shared" si="19"/>
        <v>215</v>
      </c>
      <c r="E69" s="663">
        <f t="shared" si="26"/>
        <v>365</v>
      </c>
      <c r="F69" s="56">
        <f>215/365</f>
        <v>0.58904109589041098</v>
      </c>
      <c r="G69" s="663"/>
      <c r="H69" s="899">
        <v>0</v>
      </c>
      <c r="I69" s="898">
        <f t="shared" si="20"/>
        <v>0</v>
      </c>
      <c r="J69" s="898">
        <f t="shared" ref="J69:J76" si="29">+I69+J68</f>
        <v>0</v>
      </c>
      <c r="K69" s="900"/>
      <c r="L69" s="904">
        <f t="shared" si="23"/>
        <v>0</v>
      </c>
      <c r="M69" s="902">
        <f t="shared" si="27"/>
        <v>0</v>
      </c>
      <c r="N69" s="903">
        <f t="shared" si="24"/>
        <v>0</v>
      </c>
      <c r="O69" s="903">
        <f t="shared" si="22"/>
        <v>0</v>
      </c>
      <c r="P69" s="903">
        <f t="shared" si="25"/>
        <v>0</v>
      </c>
      <c r="Q69" s="903">
        <f t="shared" si="28"/>
        <v>0</v>
      </c>
    </row>
    <row r="70" spans="1:17" ht="15">
      <c r="A70" s="665">
        <f t="shared" si="18"/>
        <v>33</v>
      </c>
      <c r="B70" s="677" t="s">
        <v>404</v>
      </c>
      <c r="C70" s="662">
        <v>30</v>
      </c>
      <c r="D70" s="663">
        <f t="shared" si="19"/>
        <v>185</v>
      </c>
      <c r="E70" s="663">
        <f t="shared" si="26"/>
        <v>365</v>
      </c>
      <c r="F70" s="56">
        <f>185/365</f>
        <v>0.50684931506849318</v>
      </c>
      <c r="G70" s="663"/>
      <c r="H70" s="899">
        <v>0</v>
      </c>
      <c r="I70" s="898">
        <f t="shared" si="20"/>
        <v>0</v>
      </c>
      <c r="J70" s="898">
        <f t="shared" si="29"/>
        <v>0</v>
      </c>
      <c r="K70" s="900"/>
      <c r="L70" s="904">
        <f t="shared" si="23"/>
        <v>0</v>
      </c>
      <c r="M70" s="902">
        <f t="shared" si="27"/>
        <v>0</v>
      </c>
      <c r="N70" s="903">
        <f t="shared" si="24"/>
        <v>0</v>
      </c>
      <c r="O70" s="903">
        <f t="shared" si="22"/>
        <v>0</v>
      </c>
      <c r="P70" s="903">
        <f t="shared" si="25"/>
        <v>0</v>
      </c>
      <c r="Q70" s="903">
        <f t="shared" si="28"/>
        <v>0</v>
      </c>
    </row>
    <row r="71" spans="1:17" ht="15">
      <c r="A71" s="665">
        <f t="shared" si="18"/>
        <v>34</v>
      </c>
      <c r="B71" s="677" t="s">
        <v>405</v>
      </c>
      <c r="C71" s="662">
        <v>31</v>
      </c>
      <c r="D71" s="663">
        <f t="shared" si="19"/>
        <v>154</v>
      </c>
      <c r="E71" s="663">
        <f t="shared" si="26"/>
        <v>365</v>
      </c>
      <c r="F71" s="56">
        <f>154/365</f>
        <v>0.42191780821917807</v>
      </c>
      <c r="G71" s="663"/>
      <c r="H71" s="899">
        <v>0</v>
      </c>
      <c r="I71" s="898">
        <f t="shared" si="20"/>
        <v>0</v>
      </c>
      <c r="J71" s="898">
        <f t="shared" si="29"/>
        <v>0</v>
      </c>
      <c r="K71" s="900"/>
      <c r="L71" s="904">
        <f t="shared" si="23"/>
        <v>0</v>
      </c>
      <c r="M71" s="902">
        <f t="shared" si="27"/>
        <v>0</v>
      </c>
      <c r="N71" s="903">
        <f t="shared" si="24"/>
        <v>0</v>
      </c>
      <c r="O71" s="903">
        <f t="shared" si="22"/>
        <v>0</v>
      </c>
      <c r="P71" s="903">
        <f t="shared" si="25"/>
        <v>0</v>
      </c>
      <c r="Q71" s="903">
        <f t="shared" si="28"/>
        <v>0</v>
      </c>
    </row>
    <row r="72" spans="1:17" ht="15">
      <c r="A72" s="665">
        <f t="shared" si="18"/>
        <v>35</v>
      </c>
      <c r="B72" s="677" t="s">
        <v>406</v>
      </c>
      <c r="C72" s="662">
        <v>31</v>
      </c>
      <c r="D72" s="663">
        <f t="shared" si="19"/>
        <v>123</v>
      </c>
      <c r="E72" s="663">
        <f t="shared" si="26"/>
        <v>365</v>
      </c>
      <c r="F72" s="56">
        <f>123/365</f>
        <v>0.33698630136986302</v>
      </c>
      <c r="G72" s="663"/>
      <c r="H72" s="899">
        <v>0</v>
      </c>
      <c r="I72" s="898">
        <f t="shared" si="20"/>
        <v>0</v>
      </c>
      <c r="J72" s="898">
        <f t="shared" si="29"/>
        <v>0</v>
      </c>
      <c r="K72" s="900"/>
      <c r="L72" s="904">
        <f t="shared" si="23"/>
        <v>0</v>
      </c>
      <c r="M72" s="902">
        <f t="shared" si="27"/>
        <v>0</v>
      </c>
      <c r="N72" s="903">
        <f t="shared" si="24"/>
        <v>0</v>
      </c>
      <c r="O72" s="903">
        <f t="shared" si="22"/>
        <v>0</v>
      </c>
      <c r="P72" s="903">
        <f t="shared" si="25"/>
        <v>0</v>
      </c>
      <c r="Q72" s="903">
        <f t="shared" si="28"/>
        <v>0</v>
      </c>
    </row>
    <row r="73" spans="1:17" ht="15">
      <c r="A73" s="665">
        <f t="shared" si="18"/>
        <v>36</v>
      </c>
      <c r="B73" s="677" t="s">
        <v>407</v>
      </c>
      <c r="C73" s="662">
        <v>30</v>
      </c>
      <c r="D73" s="663">
        <f t="shared" si="19"/>
        <v>93</v>
      </c>
      <c r="E73" s="663">
        <f t="shared" si="26"/>
        <v>365</v>
      </c>
      <c r="F73" s="56">
        <f>93/365</f>
        <v>0.25479452054794521</v>
      </c>
      <c r="G73" s="663"/>
      <c r="H73" s="899">
        <v>0</v>
      </c>
      <c r="I73" s="898">
        <f t="shared" si="20"/>
        <v>0</v>
      </c>
      <c r="J73" s="898">
        <f t="shared" si="29"/>
        <v>0</v>
      </c>
      <c r="K73" s="900"/>
      <c r="L73" s="904">
        <f t="shared" si="23"/>
        <v>0</v>
      </c>
      <c r="M73" s="902">
        <f t="shared" si="27"/>
        <v>0</v>
      </c>
      <c r="N73" s="903">
        <f t="shared" si="24"/>
        <v>0</v>
      </c>
      <c r="O73" s="903">
        <f t="shared" si="22"/>
        <v>0</v>
      </c>
      <c r="P73" s="903">
        <f t="shared" si="25"/>
        <v>0</v>
      </c>
      <c r="Q73" s="903">
        <f t="shared" si="28"/>
        <v>0</v>
      </c>
    </row>
    <row r="74" spans="1:17" ht="15">
      <c r="A74" s="665">
        <f t="shared" si="18"/>
        <v>37</v>
      </c>
      <c r="B74" s="677" t="s">
        <v>408</v>
      </c>
      <c r="C74" s="662">
        <v>31</v>
      </c>
      <c r="D74" s="663">
        <f t="shared" si="19"/>
        <v>62</v>
      </c>
      <c r="E74" s="663">
        <f t="shared" si="26"/>
        <v>365</v>
      </c>
      <c r="F74" s="56">
        <f>62/365</f>
        <v>0.16986301369863013</v>
      </c>
      <c r="G74" s="663"/>
      <c r="H74" s="899">
        <v>0</v>
      </c>
      <c r="I74" s="898">
        <f t="shared" si="20"/>
        <v>0</v>
      </c>
      <c r="J74" s="898">
        <f t="shared" si="29"/>
        <v>0</v>
      </c>
      <c r="K74" s="900"/>
      <c r="L74" s="904">
        <f t="shared" si="23"/>
        <v>0</v>
      </c>
      <c r="M74" s="902">
        <f t="shared" si="27"/>
        <v>0</v>
      </c>
      <c r="N74" s="903">
        <f t="shared" si="24"/>
        <v>0</v>
      </c>
      <c r="O74" s="903">
        <f t="shared" si="22"/>
        <v>0</v>
      </c>
      <c r="P74" s="903">
        <f t="shared" si="25"/>
        <v>0</v>
      </c>
      <c r="Q74" s="903">
        <f t="shared" si="28"/>
        <v>0</v>
      </c>
    </row>
    <row r="75" spans="1:17" ht="15">
      <c r="A75" s="665">
        <f t="shared" si="18"/>
        <v>38</v>
      </c>
      <c r="B75" s="677" t="s">
        <v>409</v>
      </c>
      <c r="C75" s="662">
        <v>30</v>
      </c>
      <c r="D75" s="663">
        <f t="shared" si="19"/>
        <v>32</v>
      </c>
      <c r="E75" s="663">
        <f t="shared" si="26"/>
        <v>365</v>
      </c>
      <c r="F75" s="56">
        <f>32/365</f>
        <v>8.7671232876712329E-2</v>
      </c>
      <c r="G75" s="663"/>
      <c r="H75" s="899">
        <v>0</v>
      </c>
      <c r="I75" s="898">
        <f t="shared" si="20"/>
        <v>0</v>
      </c>
      <c r="J75" s="898">
        <f t="shared" si="29"/>
        <v>0</v>
      </c>
      <c r="K75" s="900"/>
      <c r="L75" s="904">
        <f t="shared" si="23"/>
        <v>0</v>
      </c>
      <c r="M75" s="902">
        <f t="shared" si="27"/>
        <v>0</v>
      </c>
      <c r="N75" s="903">
        <f t="shared" si="24"/>
        <v>0</v>
      </c>
      <c r="O75" s="903">
        <f t="shared" si="22"/>
        <v>0</v>
      </c>
      <c r="P75" s="903">
        <f t="shared" si="25"/>
        <v>0</v>
      </c>
      <c r="Q75" s="903">
        <f t="shared" si="28"/>
        <v>0</v>
      </c>
    </row>
    <row r="76" spans="1:17" ht="15">
      <c r="A76" s="665">
        <f t="shared" si="18"/>
        <v>39</v>
      </c>
      <c r="B76" s="677" t="s">
        <v>410</v>
      </c>
      <c r="C76" s="662">
        <v>31</v>
      </c>
      <c r="D76" s="663">
        <v>1</v>
      </c>
      <c r="E76" s="663">
        <f t="shared" si="26"/>
        <v>365</v>
      </c>
      <c r="F76" s="56">
        <f>1/365</f>
        <v>2.7397260273972603E-3</v>
      </c>
      <c r="G76" s="663"/>
      <c r="H76" s="899">
        <v>0</v>
      </c>
      <c r="I76" s="898">
        <f t="shared" si="20"/>
        <v>0</v>
      </c>
      <c r="J76" s="898">
        <f t="shared" si="29"/>
        <v>0</v>
      </c>
      <c r="K76" s="900"/>
      <c r="L76" s="904">
        <f t="shared" si="23"/>
        <v>0</v>
      </c>
      <c r="M76" s="902">
        <f t="shared" si="27"/>
        <v>0</v>
      </c>
      <c r="N76" s="903">
        <f t="shared" si="24"/>
        <v>0</v>
      </c>
      <c r="O76" s="903">
        <f t="shared" si="22"/>
        <v>0</v>
      </c>
      <c r="P76" s="903">
        <f t="shared" si="25"/>
        <v>0</v>
      </c>
      <c r="Q76" s="903">
        <f t="shared" si="28"/>
        <v>0</v>
      </c>
    </row>
    <row r="77" spans="1:17" ht="15">
      <c r="A77" s="665">
        <f t="shared" si="18"/>
        <v>40</v>
      </c>
      <c r="B77" s="678" t="s">
        <v>75</v>
      </c>
      <c r="C77" s="679">
        <f>SUM(C65:C76)</f>
        <v>365</v>
      </c>
      <c r="D77" s="678"/>
      <c r="E77" s="678"/>
      <c r="F77" s="680"/>
      <c r="G77" s="663"/>
      <c r="H77" s="905">
        <f>SUM(H65:H76)</f>
        <v>0</v>
      </c>
      <c r="I77" s="905">
        <f>SUM(I65:I76)</f>
        <v>0</v>
      </c>
      <c r="J77" s="906"/>
      <c r="K77" s="900"/>
      <c r="L77" s="905">
        <f>SUM(L65:L76)</f>
        <v>0</v>
      </c>
      <c r="M77" s="905">
        <f t="shared" ref="M77:P77" si="30">SUM(M65:M76)</f>
        <v>0</v>
      </c>
      <c r="N77" s="907">
        <f t="shared" si="30"/>
        <v>0</v>
      </c>
      <c r="O77" s="907">
        <f t="shared" si="30"/>
        <v>0</v>
      </c>
      <c r="P77" s="907">
        <f t="shared" si="30"/>
        <v>0</v>
      </c>
      <c r="Q77" s="908"/>
    </row>
    <row r="78" spans="1:17" ht="15">
      <c r="A78" s="665"/>
      <c r="B78" s="681"/>
      <c r="C78" s="681"/>
      <c r="D78" s="681"/>
      <c r="E78" s="681"/>
      <c r="F78" s="682"/>
      <c r="G78" s="682"/>
      <c r="H78" s="665"/>
      <c r="I78" s="683"/>
      <c r="J78" s="682"/>
      <c r="K78" s="682"/>
      <c r="L78" s="665"/>
      <c r="M78" s="665"/>
      <c r="N78" s="665"/>
      <c r="O78" s="665"/>
      <c r="P78" s="665"/>
      <c r="Q78" s="665"/>
    </row>
    <row r="79" spans="1:17" ht="16.899999999999999" customHeight="1">
      <c r="A79" s="216"/>
      <c r="B79" s="216"/>
      <c r="C79" s="216"/>
      <c r="D79" s="216"/>
      <c r="E79" s="216"/>
      <c r="F79" s="216"/>
      <c r="G79" s="216"/>
      <c r="H79" s="216"/>
      <c r="I79" s="216"/>
      <c r="J79" s="216"/>
      <c r="K79" s="216"/>
      <c r="L79" s="216"/>
      <c r="M79" s="216"/>
      <c r="N79" s="216"/>
      <c r="O79" s="216"/>
      <c r="P79" s="216"/>
      <c r="Q79" s="216"/>
    </row>
    <row r="80" spans="1:17" ht="16.899999999999999" customHeight="1">
      <c r="A80" s="216"/>
      <c r="B80" s="216"/>
      <c r="C80" s="216"/>
      <c r="D80" s="216"/>
      <c r="E80" s="216"/>
      <c r="F80" s="651" t="s">
        <v>18</v>
      </c>
      <c r="G80" s="216"/>
      <c r="H80" s="216"/>
      <c r="I80" s="216"/>
      <c r="J80" s="651" t="s">
        <v>465</v>
      </c>
      <c r="K80" s="216"/>
      <c r="L80" s="216"/>
      <c r="M80" s="216"/>
      <c r="N80" s="216"/>
      <c r="O80" s="651" t="s">
        <v>274</v>
      </c>
      <c r="P80" s="216"/>
      <c r="Q80" s="216"/>
    </row>
    <row r="81" spans="1:17" ht="16.899999999999999" customHeight="1">
      <c r="A81" s="216"/>
      <c r="B81" s="216"/>
      <c r="C81" s="645" t="s">
        <v>271</v>
      </c>
      <c r="D81" s="645"/>
      <c r="E81" s="645" t="s">
        <v>388</v>
      </c>
      <c r="F81" s="684" t="s">
        <v>466</v>
      </c>
      <c r="G81" s="684" t="s">
        <v>75</v>
      </c>
      <c r="H81" s="645"/>
      <c r="I81" s="645" t="s">
        <v>391</v>
      </c>
      <c r="J81" s="684" t="s">
        <v>466</v>
      </c>
      <c r="K81" s="216"/>
      <c r="L81" s="684" t="s">
        <v>75</v>
      </c>
      <c r="M81" s="216"/>
      <c r="N81" s="645" t="str">
        <f>+N31</f>
        <v>Revenue Related</v>
      </c>
      <c r="O81" s="684" t="s">
        <v>466</v>
      </c>
      <c r="P81" s="684" t="s">
        <v>75</v>
      </c>
      <c r="Q81" s="684" t="s">
        <v>467</v>
      </c>
    </row>
    <row r="82" spans="1:17" ht="16.899999999999999" customHeight="1">
      <c r="A82" s="216"/>
      <c r="B82" s="216" t="s">
        <v>458</v>
      </c>
      <c r="C82" s="216"/>
      <c r="D82" s="216"/>
      <c r="E82" s="216"/>
      <c r="F82" s="216"/>
      <c r="G82" s="216"/>
      <c r="H82" s="216"/>
      <c r="I82" s="216"/>
      <c r="J82" s="216"/>
      <c r="K82" s="216"/>
      <c r="L82" s="216"/>
      <c r="M82" s="216"/>
      <c r="N82" s="216"/>
      <c r="O82" s="216"/>
      <c r="P82" s="1025"/>
      <c r="Q82" s="216"/>
    </row>
    <row r="83" spans="1:17" ht="16.899999999999999" customHeight="1">
      <c r="A83" s="216">
        <f>+A77+1</f>
        <v>41</v>
      </c>
      <c r="B83" s="216" t="s">
        <v>399</v>
      </c>
      <c r="C83" s="909">
        <v>0</v>
      </c>
      <c r="D83" s="575"/>
      <c r="E83" s="909">
        <v>0</v>
      </c>
      <c r="F83" s="747">
        <f>+'Appendix A'!$H$27</f>
        <v>0.20363964961424239</v>
      </c>
      <c r="G83" s="575">
        <f t="shared" ref="G83:G94" si="31">+E83*F83</f>
        <v>0</v>
      </c>
      <c r="H83" s="575"/>
      <c r="I83" s="909">
        <v>0</v>
      </c>
      <c r="J83" s="747">
        <f>+'Appendix A'!$H$16</f>
        <v>0.12146075795343095</v>
      </c>
      <c r="K83" s="216"/>
      <c r="L83" s="575">
        <f>+I83*J83</f>
        <v>0</v>
      </c>
      <c r="M83" s="575"/>
      <c r="N83" s="909">
        <v>0</v>
      </c>
      <c r="O83" s="747">
        <f>+'Appendix A'!$H$33</f>
        <v>0.18298233367566416</v>
      </c>
      <c r="P83" s="575">
        <f>+N83*O83</f>
        <v>0</v>
      </c>
      <c r="Q83" s="575">
        <f>+C83+G83+L83+P83</f>
        <v>0</v>
      </c>
    </row>
    <row r="84" spans="1:17" ht="16.899999999999999" customHeight="1">
      <c r="A84" s="216">
        <f>+A83+1</f>
        <v>42</v>
      </c>
      <c r="B84" s="216" t="s">
        <v>400</v>
      </c>
      <c r="C84" s="909">
        <v>0</v>
      </c>
      <c r="D84" s="575"/>
      <c r="E84" s="909">
        <v>0</v>
      </c>
      <c r="F84" s="747">
        <f>+'Appendix A'!$H$27</f>
        <v>0.20363964961424239</v>
      </c>
      <c r="G84" s="575">
        <f t="shared" si="31"/>
        <v>0</v>
      </c>
      <c r="H84" s="575"/>
      <c r="I84" s="909">
        <v>0</v>
      </c>
      <c r="J84" s="747">
        <f>+'Appendix A'!$H$16</f>
        <v>0.12146075795343095</v>
      </c>
      <c r="K84" s="216"/>
      <c r="L84" s="575">
        <f t="shared" ref="L84:L94" si="32">+I84*J84</f>
        <v>0</v>
      </c>
      <c r="M84" s="575"/>
      <c r="N84" s="909">
        <v>0</v>
      </c>
      <c r="O84" s="747">
        <f>+'Appendix A'!$H$33</f>
        <v>0.18298233367566416</v>
      </c>
      <c r="P84" s="575">
        <f t="shared" ref="P84:P90" si="33">+N84*O84</f>
        <v>0</v>
      </c>
      <c r="Q84" s="575">
        <f t="shared" ref="Q84:Q93" si="34">+C84+G84+L84+P84</f>
        <v>0</v>
      </c>
    </row>
    <row r="85" spans="1:17" ht="16.899999999999999" customHeight="1">
      <c r="A85" s="216">
        <f t="shared" ref="A85:A94" si="35">+A84+1</f>
        <v>43</v>
      </c>
      <c r="B85" s="216" t="s">
        <v>401</v>
      </c>
      <c r="C85" s="909">
        <v>0</v>
      </c>
      <c r="D85" s="575"/>
      <c r="E85" s="909">
        <v>0</v>
      </c>
      <c r="F85" s="747">
        <f>+'Appendix A'!$H$27</f>
        <v>0.20363964961424239</v>
      </c>
      <c r="G85" s="575">
        <f t="shared" si="31"/>
        <v>0</v>
      </c>
      <c r="H85" s="575"/>
      <c r="I85" s="909">
        <v>0</v>
      </c>
      <c r="J85" s="747">
        <f>+'Appendix A'!$H$16</f>
        <v>0.12146075795343095</v>
      </c>
      <c r="K85" s="216"/>
      <c r="L85" s="575">
        <f t="shared" si="32"/>
        <v>0</v>
      </c>
      <c r="M85" s="575"/>
      <c r="N85" s="909">
        <v>0</v>
      </c>
      <c r="O85" s="747">
        <f>+'Appendix A'!$H$33</f>
        <v>0.18298233367566416</v>
      </c>
      <c r="P85" s="575">
        <f t="shared" si="33"/>
        <v>0</v>
      </c>
      <c r="Q85" s="575">
        <f t="shared" si="34"/>
        <v>0</v>
      </c>
    </row>
    <row r="86" spans="1:17" ht="16.899999999999999" customHeight="1">
      <c r="A86" s="216">
        <f t="shared" si="35"/>
        <v>44</v>
      </c>
      <c r="B86" s="216" t="s">
        <v>402</v>
      </c>
      <c r="C86" s="909">
        <v>0</v>
      </c>
      <c r="D86" s="575"/>
      <c r="E86" s="909">
        <v>0</v>
      </c>
      <c r="F86" s="747">
        <f>+'Appendix A'!$H$27</f>
        <v>0.20363964961424239</v>
      </c>
      <c r="G86" s="575">
        <f t="shared" si="31"/>
        <v>0</v>
      </c>
      <c r="H86" s="575"/>
      <c r="I86" s="909">
        <v>0</v>
      </c>
      <c r="J86" s="747">
        <f>+'Appendix A'!$H$16</f>
        <v>0.12146075795343095</v>
      </c>
      <c r="K86" s="216"/>
      <c r="L86" s="575">
        <f t="shared" si="32"/>
        <v>0</v>
      </c>
      <c r="M86" s="575"/>
      <c r="N86" s="909">
        <v>0</v>
      </c>
      <c r="O86" s="747">
        <f>+'Appendix A'!$H$33</f>
        <v>0.18298233367566416</v>
      </c>
      <c r="P86" s="575">
        <f t="shared" si="33"/>
        <v>0</v>
      </c>
      <c r="Q86" s="575">
        <f t="shared" si="34"/>
        <v>0</v>
      </c>
    </row>
    <row r="87" spans="1:17" ht="16.899999999999999" customHeight="1">
      <c r="A87" s="216">
        <f t="shared" si="35"/>
        <v>45</v>
      </c>
      <c r="B87" s="216" t="s">
        <v>403</v>
      </c>
      <c r="C87" s="909">
        <v>0</v>
      </c>
      <c r="D87" s="575"/>
      <c r="E87" s="909">
        <v>0</v>
      </c>
      <c r="F87" s="747">
        <f>+'Appendix A'!$H$27</f>
        <v>0.20363964961424239</v>
      </c>
      <c r="G87" s="575">
        <f t="shared" si="31"/>
        <v>0</v>
      </c>
      <c r="H87" s="575"/>
      <c r="I87" s="909">
        <v>0</v>
      </c>
      <c r="J87" s="747">
        <f>+'Appendix A'!$H$16</f>
        <v>0.12146075795343095</v>
      </c>
      <c r="K87" s="216"/>
      <c r="L87" s="575">
        <f t="shared" si="32"/>
        <v>0</v>
      </c>
      <c r="M87" s="575"/>
      <c r="N87" s="909">
        <v>0</v>
      </c>
      <c r="O87" s="747">
        <f>+'Appendix A'!$H$33</f>
        <v>0.18298233367566416</v>
      </c>
      <c r="P87" s="575">
        <f t="shared" si="33"/>
        <v>0</v>
      </c>
      <c r="Q87" s="575">
        <f t="shared" si="34"/>
        <v>0</v>
      </c>
    </row>
    <row r="88" spans="1:17" ht="16.899999999999999" customHeight="1">
      <c r="A88" s="216">
        <f t="shared" si="35"/>
        <v>46</v>
      </c>
      <c r="B88" s="216" t="s">
        <v>404</v>
      </c>
      <c r="C88" s="909">
        <v>0</v>
      </c>
      <c r="D88" s="575"/>
      <c r="E88" s="909">
        <v>0</v>
      </c>
      <c r="F88" s="747">
        <f>+'Appendix A'!$H$27</f>
        <v>0.20363964961424239</v>
      </c>
      <c r="G88" s="575">
        <f t="shared" si="31"/>
        <v>0</v>
      </c>
      <c r="H88" s="575"/>
      <c r="I88" s="909">
        <v>0</v>
      </c>
      <c r="J88" s="747">
        <f>+'Appendix A'!$H$16</f>
        <v>0.12146075795343095</v>
      </c>
      <c r="K88" s="216"/>
      <c r="L88" s="575">
        <f t="shared" si="32"/>
        <v>0</v>
      </c>
      <c r="M88" s="575"/>
      <c r="N88" s="909">
        <v>0</v>
      </c>
      <c r="O88" s="747">
        <f>+'Appendix A'!$H$33</f>
        <v>0.18298233367566416</v>
      </c>
      <c r="P88" s="575">
        <f>+N88*O88</f>
        <v>0</v>
      </c>
      <c r="Q88" s="575">
        <f t="shared" si="34"/>
        <v>0</v>
      </c>
    </row>
    <row r="89" spans="1:17" ht="15">
      <c r="A89" s="216">
        <f t="shared" si="35"/>
        <v>47</v>
      </c>
      <c r="B89" s="216" t="s">
        <v>405</v>
      </c>
      <c r="C89" s="909">
        <v>0</v>
      </c>
      <c r="D89" s="575"/>
      <c r="E89" s="909">
        <v>0</v>
      </c>
      <c r="F89" s="747">
        <f>+'Appendix A'!$H$27</f>
        <v>0.20363964961424239</v>
      </c>
      <c r="G89" s="575">
        <f t="shared" si="31"/>
        <v>0</v>
      </c>
      <c r="H89" s="575"/>
      <c r="I89" s="909">
        <v>0</v>
      </c>
      <c r="J89" s="747">
        <f>+'Appendix A'!$H$16</f>
        <v>0.12146075795343095</v>
      </c>
      <c r="K89" s="216"/>
      <c r="L89" s="575">
        <f t="shared" si="32"/>
        <v>0</v>
      </c>
      <c r="M89" s="575"/>
      <c r="N89" s="909">
        <v>0</v>
      </c>
      <c r="O89" s="747">
        <f>+'Appendix A'!$H$33</f>
        <v>0.18298233367566416</v>
      </c>
      <c r="P89" s="575">
        <f t="shared" si="33"/>
        <v>0</v>
      </c>
      <c r="Q89" s="575">
        <f t="shared" si="34"/>
        <v>0</v>
      </c>
    </row>
    <row r="90" spans="1:17" ht="15">
      <c r="A90" s="216">
        <f t="shared" si="35"/>
        <v>48</v>
      </c>
      <c r="B90" s="216" t="s">
        <v>406</v>
      </c>
      <c r="C90" s="909">
        <v>0</v>
      </c>
      <c r="D90" s="575"/>
      <c r="E90" s="909">
        <v>0</v>
      </c>
      <c r="F90" s="747">
        <f>+'Appendix A'!$H$27</f>
        <v>0.20363964961424239</v>
      </c>
      <c r="G90" s="575">
        <f t="shared" si="31"/>
        <v>0</v>
      </c>
      <c r="H90" s="575"/>
      <c r="I90" s="909">
        <v>0</v>
      </c>
      <c r="J90" s="747">
        <f>+'Appendix A'!$H$16</f>
        <v>0.12146075795343095</v>
      </c>
      <c r="K90" s="216"/>
      <c r="L90" s="575">
        <f t="shared" si="32"/>
        <v>0</v>
      </c>
      <c r="M90" s="575"/>
      <c r="N90" s="909">
        <v>0</v>
      </c>
      <c r="O90" s="747">
        <f>+'Appendix A'!$H$33</f>
        <v>0.18298233367566416</v>
      </c>
      <c r="P90" s="575">
        <f t="shared" si="33"/>
        <v>0</v>
      </c>
      <c r="Q90" s="575">
        <f t="shared" si="34"/>
        <v>0</v>
      </c>
    </row>
    <row r="91" spans="1:17" ht="15">
      <c r="A91" s="216">
        <f t="shared" si="35"/>
        <v>49</v>
      </c>
      <c r="B91" s="216" t="s">
        <v>407</v>
      </c>
      <c r="C91" s="909">
        <v>0</v>
      </c>
      <c r="D91" s="575"/>
      <c r="E91" s="909">
        <v>0</v>
      </c>
      <c r="F91" s="747">
        <f>+'Appendix A'!$H$27</f>
        <v>0.20363964961424239</v>
      </c>
      <c r="G91" s="575">
        <f t="shared" si="31"/>
        <v>0</v>
      </c>
      <c r="H91" s="575"/>
      <c r="I91" s="909">
        <v>0</v>
      </c>
      <c r="J91" s="747">
        <f>+'Appendix A'!$H$16</f>
        <v>0.12146075795343095</v>
      </c>
      <c r="K91" s="216"/>
      <c r="L91" s="575">
        <f t="shared" si="32"/>
        <v>0</v>
      </c>
      <c r="M91" s="575"/>
      <c r="N91" s="909">
        <v>0</v>
      </c>
      <c r="O91" s="747">
        <f>+'Appendix A'!$H$33</f>
        <v>0.18298233367566416</v>
      </c>
      <c r="P91" s="575">
        <f>+N91*O91</f>
        <v>0</v>
      </c>
      <c r="Q91" s="575">
        <f t="shared" si="34"/>
        <v>0</v>
      </c>
    </row>
    <row r="92" spans="1:17" ht="15">
      <c r="A92" s="216">
        <f t="shared" si="35"/>
        <v>50</v>
      </c>
      <c r="B92" s="216" t="s">
        <v>408</v>
      </c>
      <c r="C92" s="909">
        <v>0</v>
      </c>
      <c r="D92" s="575"/>
      <c r="E92" s="909">
        <v>0</v>
      </c>
      <c r="F92" s="747">
        <f>+'Appendix A'!$H$27</f>
        <v>0.20363964961424239</v>
      </c>
      <c r="G92" s="575">
        <f t="shared" si="31"/>
        <v>0</v>
      </c>
      <c r="H92" s="575"/>
      <c r="I92" s="909">
        <v>0</v>
      </c>
      <c r="J92" s="747">
        <f>+'Appendix A'!$H$16</f>
        <v>0.12146075795343095</v>
      </c>
      <c r="K92" s="216"/>
      <c r="L92" s="575">
        <f t="shared" si="32"/>
        <v>0</v>
      </c>
      <c r="M92" s="575"/>
      <c r="N92" s="909">
        <v>0</v>
      </c>
      <c r="O92" s="747">
        <f>+'Appendix A'!$H$33</f>
        <v>0.18298233367566416</v>
      </c>
      <c r="P92" s="575">
        <f t="shared" ref="P92:P94" si="36">+N92*O92</f>
        <v>0</v>
      </c>
      <c r="Q92" s="575">
        <f t="shared" si="34"/>
        <v>0</v>
      </c>
    </row>
    <row r="93" spans="1:17" ht="15">
      <c r="A93" s="216">
        <f t="shared" si="35"/>
        <v>51</v>
      </c>
      <c r="B93" s="216" t="s">
        <v>409</v>
      </c>
      <c r="C93" s="909">
        <v>0</v>
      </c>
      <c r="D93" s="575"/>
      <c r="E93" s="909">
        <v>0</v>
      </c>
      <c r="F93" s="747">
        <f>+'Appendix A'!$H$27</f>
        <v>0.20363964961424239</v>
      </c>
      <c r="G93" s="575">
        <f t="shared" si="31"/>
        <v>0</v>
      </c>
      <c r="H93" s="575"/>
      <c r="I93" s="909">
        <v>0</v>
      </c>
      <c r="J93" s="747">
        <f>+'Appendix A'!$H$16</f>
        <v>0.12146075795343095</v>
      </c>
      <c r="K93" s="216"/>
      <c r="L93" s="575">
        <f t="shared" si="32"/>
        <v>0</v>
      </c>
      <c r="M93" s="575"/>
      <c r="N93" s="909">
        <v>0</v>
      </c>
      <c r="O93" s="747">
        <f>+'Appendix A'!$H$33</f>
        <v>0.18298233367566416</v>
      </c>
      <c r="P93" s="575">
        <f t="shared" si="36"/>
        <v>0</v>
      </c>
      <c r="Q93" s="575">
        <f t="shared" si="34"/>
        <v>0</v>
      </c>
    </row>
    <row r="94" spans="1:17" ht="15">
      <c r="A94" s="216">
        <f t="shared" si="35"/>
        <v>52</v>
      </c>
      <c r="B94" s="216" t="s">
        <v>410</v>
      </c>
      <c r="C94" s="909">
        <v>0</v>
      </c>
      <c r="D94" s="575"/>
      <c r="E94" s="909">
        <v>0</v>
      </c>
      <c r="F94" s="747">
        <f>+'Appendix A'!$H$27</f>
        <v>0.20363964961424239</v>
      </c>
      <c r="G94" s="575">
        <f t="shared" si="31"/>
        <v>0</v>
      </c>
      <c r="H94" s="575"/>
      <c r="I94" s="909">
        <v>0</v>
      </c>
      <c r="J94" s="747">
        <f>+'Appendix A'!$H$16</f>
        <v>0.12146075795343095</v>
      </c>
      <c r="K94" s="216"/>
      <c r="L94" s="575">
        <f t="shared" si="32"/>
        <v>0</v>
      </c>
      <c r="M94" s="575"/>
      <c r="N94" s="909">
        <v>0</v>
      </c>
      <c r="O94" s="747">
        <f>+'Appendix A'!$H$33</f>
        <v>0.18298233367566416</v>
      </c>
      <c r="P94" s="575">
        <f t="shared" si="36"/>
        <v>0</v>
      </c>
      <c r="Q94" s="575">
        <f>+C94+G94+L94+P94</f>
        <v>0</v>
      </c>
    </row>
    <row r="95" spans="1:17" ht="15">
      <c r="A95" s="216"/>
      <c r="B95" s="216"/>
      <c r="C95" s="216"/>
      <c r="D95" s="216"/>
      <c r="E95" s="216"/>
      <c r="F95" s="216"/>
      <c r="G95" s="685"/>
      <c r="H95" s="216"/>
      <c r="I95" s="216"/>
      <c r="J95" s="216"/>
      <c r="K95" s="216"/>
      <c r="L95" s="216"/>
      <c r="M95" s="216"/>
      <c r="N95" s="216"/>
      <c r="O95" s="216"/>
      <c r="P95" s="216"/>
      <c r="Q95" s="216"/>
    </row>
    <row r="96" spans="1:17" ht="15">
      <c r="A96" s="216"/>
      <c r="B96" s="216"/>
      <c r="C96" s="216"/>
      <c r="D96" s="216"/>
      <c r="E96" s="216"/>
      <c r="F96" s="216"/>
      <c r="G96" s="216"/>
      <c r="H96" s="216"/>
      <c r="I96" s="216"/>
      <c r="J96" s="216"/>
      <c r="K96" s="216"/>
      <c r="L96" s="216"/>
      <c r="M96" s="216"/>
      <c r="N96" s="216"/>
      <c r="O96" s="216"/>
      <c r="P96" s="216"/>
      <c r="Q96" s="216"/>
    </row>
    <row r="97" spans="1:17" ht="15">
      <c r="A97" s="216"/>
      <c r="B97" s="58" t="s">
        <v>468</v>
      </c>
      <c r="C97" s="216"/>
      <c r="D97" s="216"/>
      <c r="E97" s="216"/>
      <c r="F97" s="216"/>
      <c r="G97" s="216"/>
      <c r="H97" s="216"/>
      <c r="I97" s="216"/>
      <c r="J97" s="216"/>
      <c r="K97" s="216"/>
      <c r="L97" s="216"/>
      <c r="M97" s="216"/>
      <c r="N97" s="216"/>
      <c r="O97" s="216"/>
      <c r="P97" s="216"/>
      <c r="Q97" s="216"/>
    </row>
    <row r="98" spans="1:17" ht="15">
      <c r="A98" s="216"/>
      <c r="B98" s="58" t="s">
        <v>440</v>
      </c>
      <c r="C98" s="216"/>
      <c r="D98" s="216"/>
      <c r="E98" s="216"/>
      <c r="F98" s="216"/>
      <c r="G98" s="216"/>
      <c r="H98" s="216"/>
      <c r="I98" s="216"/>
      <c r="J98" s="216"/>
      <c r="K98" s="216"/>
      <c r="L98" s="216"/>
      <c r="M98" s="216"/>
      <c r="N98" s="216"/>
      <c r="O98" s="216"/>
      <c r="P98" s="216"/>
      <c r="Q98" s="216"/>
    </row>
    <row r="99" spans="1:17" ht="15">
      <c r="A99" s="216"/>
      <c r="B99" s="58" t="s">
        <v>441</v>
      </c>
      <c r="C99" s="216"/>
      <c r="D99" s="216"/>
      <c r="E99" s="216"/>
      <c r="F99" s="216"/>
      <c r="G99" s="216"/>
      <c r="H99" s="216"/>
      <c r="I99" s="216"/>
      <c r="J99" s="216"/>
      <c r="K99" s="216"/>
      <c r="L99" s="216"/>
      <c r="M99" s="216"/>
      <c r="N99" s="216"/>
      <c r="O99" s="216"/>
      <c r="P99" s="216"/>
      <c r="Q99" s="216"/>
    </row>
    <row r="100" spans="1:17" ht="15">
      <c r="A100" s="216"/>
      <c r="B100" s="58" t="s">
        <v>442</v>
      </c>
      <c r="C100" s="216"/>
      <c r="D100" s="216"/>
      <c r="E100" s="216"/>
      <c r="F100" s="216"/>
      <c r="G100" s="216"/>
      <c r="H100" s="216"/>
      <c r="I100" s="216"/>
      <c r="J100" s="216"/>
      <c r="K100" s="216"/>
      <c r="L100" s="216"/>
      <c r="M100" s="216"/>
      <c r="N100" s="216"/>
      <c r="O100" s="216"/>
      <c r="P100" s="216"/>
      <c r="Q100" s="216"/>
    </row>
    <row r="101" spans="1:17" ht="15">
      <c r="A101" s="1025"/>
      <c r="B101" s="58" t="s">
        <v>443</v>
      </c>
      <c r="C101" s="1025"/>
      <c r="D101" s="1025"/>
      <c r="E101" s="1025"/>
      <c r="F101" s="1025"/>
      <c r="G101" s="1025"/>
      <c r="H101" s="1025"/>
      <c r="I101" s="1025"/>
      <c r="J101" s="1025"/>
      <c r="K101" s="1025"/>
      <c r="L101" s="1025"/>
      <c r="M101" s="1025"/>
      <c r="N101" s="1025"/>
      <c r="O101" s="1025"/>
      <c r="P101" s="1025"/>
      <c r="Q101" s="1025"/>
    </row>
    <row r="102" spans="1:17">
      <c r="A102" s="1025"/>
      <c r="B102" s="1025"/>
      <c r="C102" s="1025"/>
      <c r="D102" s="1025"/>
      <c r="E102" s="1025"/>
      <c r="F102" s="1025"/>
      <c r="G102" s="1025"/>
      <c r="H102" s="1025"/>
      <c r="I102" s="1025"/>
      <c r="J102" s="1025"/>
      <c r="K102" s="1025"/>
      <c r="L102" s="1025"/>
      <c r="M102" s="1025"/>
      <c r="N102" s="1025"/>
      <c r="O102" s="1025"/>
      <c r="P102" s="1025"/>
      <c r="Q102" s="1025"/>
    </row>
    <row r="103" spans="1:17">
      <c r="A103" s="1025"/>
      <c r="B103" s="1025"/>
      <c r="C103" s="1025"/>
      <c r="D103" s="1025"/>
      <c r="E103" s="1025"/>
      <c r="F103" s="1025"/>
      <c r="G103" s="1025"/>
      <c r="H103" s="1025"/>
      <c r="I103" s="1025"/>
      <c r="J103" s="1025"/>
      <c r="K103" s="1025"/>
      <c r="L103" s="1025"/>
      <c r="M103" s="1025"/>
      <c r="N103" s="1025"/>
      <c r="O103" s="1025"/>
      <c r="P103" s="1025"/>
      <c r="Q103" s="1025"/>
    </row>
    <row r="104" spans="1:17" s="841" customFormat="1">
      <c r="A104" s="1025"/>
      <c r="B104" s="1025"/>
      <c r="C104" s="1025"/>
      <c r="D104" s="1025"/>
      <c r="E104" s="1025"/>
      <c r="F104" s="1025"/>
      <c r="G104" s="1025"/>
      <c r="H104" s="1025"/>
      <c r="I104" s="1025"/>
      <c r="J104" s="1025"/>
      <c r="K104" s="1025"/>
      <c r="L104" s="1025"/>
      <c r="M104" s="1025"/>
      <c r="N104" s="1025"/>
      <c r="O104" s="1025"/>
      <c r="P104" s="1025"/>
      <c r="Q104" s="1025"/>
    </row>
    <row r="105" spans="1:17" s="841" customFormat="1" ht="18">
      <c r="A105" s="1025"/>
      <c r="B105" s="1025"/>
      <c r="C105" s="1025"/>
      <c r="D105" s="1025"/>
      <c r="E105" s="1025"/>
      <c r="F105" s="1025"/>
      <c r="G105" s="1025"/>
      <c r="H105" s="1025"/>
      <c r="I105" s="656" t="str">
        <f>+I2</f>
        <v>Dayton Power and Light</v>
      </c>
      <c r="J105" s="1025"/>
      <c r="K105" s="1025"/>
      <c r="L105" s="1025"/>
      <c r="M105" s="1025"/>
      <c r="N105" s="1025"/>
      <c r="O105" s="1025"/>
      <c r="P105" s="1025"/>
      <c r="Q105" s="1025"/>
    </row>
    <row r="106" spans="1:17" s="841" customFormat="1" ht="18">
      <c r="A106" s="1025"/>
      <c r="B106" s="1025"/>
      <c r="C106" s="1025"/>
      <c r="D106" s="1025"/>
      <c r="E106" s="1025"/>
      <c r="F106" s="1025"/>
      <c r="G106" s="1025"/>
      <c r="H106" s="1025"/>
      <c r="I106" s="656" t="str">
        <f t="shared" ref="I106:I108" si="37">+I3</f>
        <v xml:space="preserve">ATTACHMENT H-15A </v>
      </c>
      <c r="J106" s="1025"/>
      <c r="K106" s="1025"/>
      <c r="L106" s="1025"/>
      <c r="M106" s="1025"/>
      <c r="N106" s="1025"/>
      <c r="O106" s="1025"/>
      <c r="P106" s="1025"/>
      <c r="Q106" s="1025"/>
    </row>
    <row r="107" spans="1:17" ht="18">
      <c r="A107" s="1025"/>
      <c r="B107" s="1025"/>
      <c r="C107" s="1025"/>
      <c r="D107" s="1025"/>
      <c r="E107" s="1025"/>
      <c r="F107" s="1025"/>
      <c r="G107" s="1025"/>
      <c r="H107" s="1025"/>
      <c r="I107" s="656" t="str">
        <f t="shared" si="37"/>
        <v>Attachment 1E - Accumulated Deferred Income Taxes for Annual True-up - December 31, 2021</v>
      </c>
      <c r="J107" s="1025"/>
      <c r="K107" s="1025"/>
      <c r="L107" s="1025"/>
      <c r="M107" s="1025"/>
      <c r="N107" s="1025"/>
      <c r="O107" s="1025"/>
      <c r="P107" s="1025"/>
      <c r="Q107" s="967"/>
    </row>
    <row r="108" spans="1:17" ht="18">
      <c r="A108" s="1025"/>
      <c r="B108" s="1025"/>
      <c r="C108" s="1025"/>
      <c r="D108" s="1025"/>
      <c r="E108" s="1025"/>
      <c r="F108" s="1025"/>
      <c r="G108" s="1025"/>
      <c r="H108" s="1025"/>
      <c r="I108" s="656" t="str">
        <f t="shared" si="37"/>
        <v>ADIT Proration</v>
      </c>
      <c r="J108" s="1025"/>
      <c r="K108" s="1025"/>
      <c r="L108" s="1025"/>
      <c r="M108" s="1025"/>
      <c r="N108" s="1025"/>
      <c r="O108" s="1025"/>
      <c r="P108" s="1025"/>
      <c r="Q108" s="845"/>
    </row>
    <row r="110" spans="1:17" ht="15.75">
      <c r="A110" s="665"/>
      <c r="B110" s="666" t="s">
        <v>472</v>
      </c>
      <c r="C110" s="665"/>
      <c r="D110" s="665"/>
      <c r="E110" s="665"/>
      <c r="F110" s="665"/>
      <c r="G110" s="665"/>
      <c r="H110" s="665"/>
      <c r="I110" s="665"/>
      <c r="J110" s="665"/>
      <c r="K110" s="665"/>
      <c r="L110" s="666"/>
      <c r="M110" s="665"/>
      <c r="N110" s="665"/>
      <c r="O110" s="665"/>
      <c r="P110" s="665"/>
      <c r="Q110" s="665"/>
    </row>
    <row r="111" spans="1:17" ht="15.75">
      <c r="A111" s="665"/>
      <c r="B111" s="1122" t="s">
        <v>448</v>
      </c>
      <c r="C111" s="1123"/>
      <c r="D111" s="1123"/>
      <c r="E111" s="1123"/>
      <c r="F111" s="1124"/>
      <c r="G111" s="667"/>
      <c r="H111" s="1125" t="s">
        <v>449</v>
      </c>
      <c r="I111" s="1126"/>
      <c r="J111" s="1127"/>
      <c r="K111" s="668"/>
      <c r="L111" s="1128" t="s">
        <v>450</v>
      </c>
      <c r="M111" s="1129"/>
      <c r="N111" s="1129"/>
      <c r="O111" s="1129"/>
      <c r="P111" s="1129"/>
      <c r="Q111" s="1129"/>
    </row>
    <row r="112" spans="1:17" ht="15.75">
      <c r="A112" s="665"/>
      <c r="B112" s="669" t="s">
        <v>217</v>
      </c>
      <c r="C112" s="669" t="s">
        <v>219</v>
      </c>
      <c r="D112" s="669" t="s">
        <v>222</v>
      </c>
      <c r="E112" s="669" t="s">
        <v>224</v>
      </c>
      <c r="F112" s="669" t="s">
        <v>226</v>
      </c>
      <c r="G112" s="667"/>
      <c r="H112" s="669" t="s">
        <v>228</v>
      </c>
      <c r="I112" s="669" t="s">
        <v>230</v>
      </c>
      <c r="J112" s="669" t="s">
        <v>237</v>
      </c>
      <c r="K112" s="670"/>
      <c r="L112" s="671" t="s">
        <v>240</v>
      </c>
      <c r="M112" s="671" t="s">
        <v>242</v>
      </c>
      <c r="N112" s="671" t="s">
        <v>244</v>
      </c>
      <c r="O112" s="671" t="s">
        <v>246</v>
      </c>
      <c r="P112" s="671" t="s">
        <v>248</v>
      </c>
      <c r="Q112" s="671" t="s">
        <v>250</v>
      </c>
    </row>
    <row r="113" spans="1:17" ht="150">
      <c r="A113" s="665"/>
      <c r="B113" s="672" t="s">
        <v>451</v>
      </c>
      <c r="C113" s="672" t="s">
        <v>382</v>
      </c>
      <c r="D113" s="672" t="s">
        <v>452</v>
      </c>
      <c r="E113" s="672" t="s">
        <v>453</v>
      </c>
      <c r="F113" s="672" t="s">
        <v>454</v>
      </c>
      <c r="G113" s="673"/>
      <c r="H113" s="672" t="s">
        <v>455</v>
      </c>
      <c r="I113" s="672" t="s">
        <v>456</v>
      </c>
      <c r="J113" s="672" t="s">
        <v>473</v>
      </c>
      <c r="K113" s="673"/>
      <c r="L113" s="674" t="s">
        <v>458</v>
      </c>
      <c r="M113" s="674" t="s">
        <v>459</v>
      </c>
      <c r="N113" s="674" t="s">
        <v>460</v>
      </c>
      <c r="O113" s="674" t="s">
        <v>461</v>
      </c>
      <c r="P113" s="674" t="s">
        <v>462</v>
      </c>
      <c r="Q113" s="674" t="s">
        <v>463</v>
      </c>
    </row>
    <row r="114" spans="1:17" ht="15">
      <c r="A114" s="665"/>
      <c r="B114" s="665"/>
      <c r="C114" s="673"/>
      <c r="D114" s="673"/>
      <c r="E114" s="673"/>
      <c r="F114" s="673"/>
      <c r="G114" s="673"/>
      <c r="H114" s="673"/>
      <c r="I114" s="673"/>
      <c r="J114" s="673"/>
      <c r="K114" s="673"/>
      <c r="L114" s="675"/>
      <c r="M114" s="675"/>
      <c r="N114" s="675"/>
      <c r="O114" s="675"/>
      <c r="P114" s="675"/>
      <c r="Q114" s="675"/>
    </row>
    <row r="115" spans="1:17" ht="15">
      <c r="A115" s="665">
        <f>+A94+1</f>
        <v>53</v>
      </c>
      <c r="B115" s="676" t="s">
        <v>474</v>
      </c>
      <c r="C115" s="677"/>
      <c r="D115" s="663"/>
      <c r="E115" s="663"/>
      <c r="F115" s="663"/>
      <c r="G115" s="663"/>
      <c r="H115" s="898"/>
      <c r="I115" s="898"/>
      <c r="J115" s="899">
        <v>0</v>
      </c>
      <c r="K115" s="900"/>
      <c r="L115" s="901" t="str">
        <f>+B115</f>
        <v>December 31st balance (FF1 276.9.b)</v>
      </c>
      <c r="M115" s="902"/>
      <c r="N115" s="902"/>
      <c r="O115" s="902"/>
      <c r="P115" s="902"/>
      <c r="Q115" s="903">
        <f>+J115</f>
        <v>0</v>
      </c>
    </row>
    <row r="116" spans="1:17" ht="15">
      <c r="A116" s="665">
        <f t="shared" ref="A116:A128" si="38">+A115+1</f>
        <v>54</v>
      </c>
      <c r="B116" s="677" t="s">
        <v>399</v>
      </c>
      <c r="C116" s="662">
        <v>31</v>
      </c>
      <c r="D116" s="663">
        <f t="shared" ref="D116:D126" si="39">D117+C117</f>
        <v>335</v>
      </c>
      <c r="E116" s="663">
        <f>SUM(C116:C127)</f>
        <v>365</v>
      </c>
      <c r="F116" s="56">
        <f>335/365</f>
        <v>0.9178082191780822</v>
      </c>
      <c r="G116" s="663"/>
      <c r="H116" s="899">
        <v>0</v>
      </c>
      <c r="I116" s="898">
        <f t="shared" ref="I116:I127" si="40">+H116*F116</f>
        <v>0</v>
      </c>
      <c r="J116" s="898">
        <f t="shared" ref="J116:J118" si="41">+I116+J115</f>
        <v>0</v>
      </c>
      <c r="K116" s="900"/>
      <c r="L116" s="904">
        <f>+Q134</f>
        <v>0</v>
      </c>
      <c r="M116" s="902">
        <f>L116-H116</f>
        <v>0</v>
      </c>
      <c r="N116" s="903">
        <f>IF(AND(H116&gt;=0,L116&gt;=0),IF(M116&gt;=0,I116,L116/H116*I116),IF(AND(H116&lt;0,L116&lt;0),IF(M116&lt;0,I116,L116/H116*I116),0))</f>
        <v>0</v>
      </c>
      <c r="O116" s="903">
        <f t="shared" ref="O116:O127" si="42">IF(AND(H116&gt;=0,L116&gt;=0),IF(M116&gt;=0,M116,0),IF(AND(H116&lt;0,L116&lt;0),IF(M116&lt;0,M116,0),0))</f>
        <v>0</v>
      </c>
      <c r="P116" s="903">
        <f>IF(AND(H116&gt;=0,L116&lt;0),L116,IF(AND(H116&lt;0,L116&gt;=0),L116,0))</f>
        <v>0</v>
      </c>
      <c r="Q116" s="903">
        <f>Q115+N116+(O116+P116)*0.5</f>
        <v>0</v>
      </c>
    </row>
    <row r="117" spans="1:17" ht="15">
      <c r="A117" s="665">
        <f t="shared" si="38"/>
        <v>55</v>
      </c>
      <c r="B117" s="677" t="s">
        <v>400</v>
      </c>
      <c r="C117" s="748">
        <f>+C16</f>
        <v>28</v>
      </c>
      <c r="D117" s="663">
        <f t="shared" si="39"/>
        <v>307</v>
      </c>
      <c r="E117" s="663">
        <f>E116</f>
        <v>365</v>
      </c>
      <c r="F117" s="56">
        <f>307/365</f>
        <v>0.84109589041095889</v>
      </c>
      <c r="G117" s="663"/>
      <c r="H117" s="899">
        <v>0</v>
      </c>
      <c r="I117" s="898">
        <f t="shared" si="40"/>
        <v>0</v>
      </c>
      <c r="J117" s="898">
        <f t="shared" si="41"/>
        <v>0</v>
      </c>
      <c r="K117" s="900"/>
      <c r="L117" s="904">
        <f t="shared" ref="L117:L127" si="43">+Q135</f>
        <v>0</v>
      </c>
      <c r="M117" s="902">
        <f>L117-H117</f>
        <v>0</v>
      </c>
      <c r="N117" s="903">
        <f t="shared" ref="N117:N127" si="44">IF(AND(H117&gt;=0,L117&gt;=0),IF(M117&gt;=0,I117,L117/H117*I117),IF(AND(H117&lt;0,L117&lt;0),IF(M117&lt;0,I117,L117/H117*I117),0))</f>
        <v>0</v>
      </c>
      <c r="O117" s="903">
        <f t="shared" si="42"/>
        <v>0</v>
      </c>
      <c r="P117" s="903">
        <f t="shared" ref="P117:P127" si="45">IF(AND(H117&gt;=0,L117&lt;0),L117,IF(AND(H117&lt;0,L117&gt;=0),L117,0))</f>
        <v>0</v>
      </c>
      <c r="Q117" s="903">
        <f>Q116+N117+(O117+P117)*0.5</f>
        <v>0</v>
      </c>
    </row>
    <row r="118" spans="1:17" ht="15">
      <c r="A118" s="665">
        <f t="shared" si="38"/>
        <v>56</v>
      </c>
      <c r="B118" s="677" t="s">
        <v>401</v>
      </c>
      <c r="C118" s="662">
        <v>31</v>
      </c>
      <c r="D118" s="663">
        <f t="shared" si="39"/>
        <v>276</v>
      </c>
      <c r="E118" s="663">
        <f t="shared" ref="E118:E127" si="46">E117</f>
        <v>365</v>
      </c>
      <c r="F118" s="56">
        <f>276/365</f>
        <v>0.75616438356164384</v>
      </c>
      <c r="G118" s="663"/>
      <c r="H118" s="899">
        <v>0</v>
      </c>
      <c r="I118" s="898">
        <f t="shared" si="40"/>
        <v>0</v>
      </c>
      <c r="J118" s="898">
        <f t="shared" si="41"/>
        <v>0</v>
      </c>
      <c r="K118" s="900"/>
      <c r="L118" s="904">
        <f t="shared" si="43"/>
        <v>0</v>
      </c>
      <c r="M118" s="902">
        <f t="shared" ref="M118:M127" si="47">L118-H118</f>
        <v>0</v>
      </c>
      <c r="N118" s="903">
        <f t="shared" si="44"/>
        <v>0</v>
      </c>
      <c r="O118" s="903">
        <f t="shared" si="42"/>
        <v>0</v>
      </c>
      <c r="P118" s="903">
        <f t="shared" si="45"/>
        <v>0</v>
      </c>
      <c r="Q118" s="903">
        <f>Q117+N118+(O118+P118)*0.5</f>
        <v>0</v>
      </c>
    </row>
    <row r="119" spans="1:17" ht="15">
      <c r="A119" s="665">
        <f t="shared" si="38"/>
        <v>57</v>
      </c>
      <c r="B119" s="677" t="s">
        <v>402</v>
      </c>
      <c r="C119" s="662">
        <v>30</v>
      </c>
      <c r="D119" s="663">
        <f t="shared" si="39"/>
        <v>246</v>
      </c>
      <c r="E119" s="663">
        <f t="shared" si="46"/>
        <v>365</v>
      </c>
      <c r="F119" s="56">
        <f>246/365</f>
        <v>0.67397260273972603</v>
      </c>
      <c r="G119" s="663"/>
      <c r="H119" s="899">
        <v>0</v>
      </c>
      <c r="I119" s="898">
        <f t="shared" si="40"/>
        <v>0</v>
      </c>
      <c r="J119" s="898">
        <f>+I119+J118</f>
        <v>0</v>
      </c>
      <c r="K119" s="900"/>
      <c r="L119" s="904">
        <f t="shared" si="43"/>
        <v>0</v>
      </c>
      <c r="M119" s="902">
        <f t="shared" si="47"/>
        <v>0</v>
      </c>
      <c r="N119" s="903">
        <f t="shared" si="44"/>
        <v>0</v>
      </c>
      <c r="O119" s="903">
        <f t="shared" si="42"/>
        <v>0</v>
      </c>
      <c r="P119" s="903">
        <f t="shared" si="45"/>
        <v>0</v>
      </c>
      <c r="Q119" s="903">
        <f t="shared" ref="Q119:Q127" si="48">Q118+N119+(O119+P119)*0.5</f>
        <v>0</v>
      </c>
    </row>
    <row r="120" spans="1:17" ht="15">
      <c r="A120" s="665">
        <f t="shared" si="38"/>
        <v>58</v>
      </c>
      <c r="B120" s="677" t="s">
        <v>403</v>
      </c>
      <c r="C120" s="662">
        <v>31</v>
      </c>
      <c r="D120" s="663">
        <f t="shared" si="39"/>
        <v>215</v>
      </c>
      <c r="E120" s="663">
        <f t="shared" si="46"/>
        <v>365</v>
      </c>
      <c r="F120" s="56">
        <f>215/365</f>
        <v>0.58904109589041098</v>
      </c>
      <c r="G120" s="663"/>
      <c r="H120" s="899">
        <v>0</v>
      </c>
      <c r="I120" s="898">
        <f t="shared" si="40"/>
        <v>0</v>
      </c>
      <c r="J120" s="898">
        <f t="shared" ref="J120:J127" si="49">+I120+J119</f>
        <v>0</v>
      </c>
      <c r="K120" s="900"/>
      <c r="L120" s="904">
        <f t="shared" si="43"/>
        <v>0</v>
      </c>
      <c r="M120" s="902">
        <f t="shared" si="47"/>
        <v>0</v>
      </c>
      <c r="N120" s="903">
        <f t="shared" si="44"/>
        <v>0</v>
      </c>
      <c r="O120" s="903">
        <f t="shared" si="42"/>
        <v>0</v>
      </c>
      <c r="P120" s="903">
        <f t="shared" si="45"/>
        <v>0</v>
      </c>
      <c r="Q120" s="903">
        <f t="shared" si="48"/>
        <v>0</v>
      </c>
    </row>
    <row r="121" spans="1:17" ht="15">
      <c r="A121" s="665">
        <f t="shared" si="38"/>
        <v>59</v>
      </c>
      <c r="B121" s="677" t="s">
        <v>404</v>
      </c>
      <c r="C121" s="662">
        <v>30</v>
      </c>
      <c r="D121" s="663">
        <f t="shared" si="39"/>
        <v>185</v>
      </c>
      <c r="E121" s="663">
        <f t="shared" si="46"/>
        <v>365</v>
      </c>
      <c r="F121" s="56">
        <f>185/365</f>
        <v>0.50684931506849318</v>
      </c>
      <c r="G121" s="663"/>
      <c r="H121" s="899">
        <v>0</v>
      </c>
      <c r="I121" s="898">
        <f t="shared" si="40"/>
        <v>0</v>
      </c>
      <c r="J121" s="898">
        <f t="shared" si="49"/>
        <v>0</v>
      </c>
      <c r="K121" s="900"/>
      <c r="L121" s="904">
        <f t="shared" si="43"/>
        <v>0</v>
      </c>
      <c r="M121" s="902">
        <f t="shared" si="47"/>
        <v>0</v>
      </c>
      <c r="N121" s="903">
        <f t="shared" si="44"/>
        <v>0</v>
      </c>
      <c r="O121" s="903">
        <f t="shared" si="42"/>
        <v>0</v>
      </c>
      <c r="P121" s="903">
        <f t="shared" si="45"/>
        <v>0</v>
      </c>
      <c r="Q121" s="903">
        <f t="shared" si="48"/>
        <v>0</v>
      </c>
    </row>
    <row r="122" spans="1:17" ht="15">
      <c r="A122" s="665">
        <f t="shared" si="38"/>
        <v>60</v>
      </c>
      <c r="B122" s="677" t="s">
        <v>405</v>
      </c>
      <c r="C122" s="662">
        <v>31</v>
      </c>
      <c r="D122" s="663">
        <f t="shared" si="39"/>
        <v>154</v>
      </c>
      <c r="E122" s="663">
        <f t="shared" si="46"/>
        <v>365</v>
      </c>
      <c r="F122" s="56">
        <f>154/365</f>
        <v>0.42191780821917807</v>
      </c>
      <c r="G122" s="663"/>
      <c r="H122" s="899">
        <v>0</v>
      </c>
      <c r="I122" s="898">
        <f t="shared" si="40"/>
        <v>0</v>
      </c>
      <c r="J122" s="898">
        <f t="shared" si="49"/>
        <v>0</v>
      </c>
      <c r="K122" s="900"/>
      <c r="L122" s="904">
        <f t="shared" si="43"/>
        <v>0</v>
      </c>
      <c r="M122" s="902">
        <f t="shared" si="47"/>
        <v>0</v>
      </c>
      <c r="N122" s="903">
        <f t="shared" si="44"/>
        <v>0</v>
      </c>
      <c r="O122" s="903">
        <f t="shared" si="42"/>
        <v>0</v>
      </c>
      <c r="P122" s="903">
        <f t="shared" si="45"/>
        <v>0</v>
      </c>
      <c r="Q122" s="903">
        <f t="shared" si="48"/>
        <v>0</v>
      </c>
    </row>
    <row r="123" spans="1:17" ht="15">
      <c r="A123" s="665">
        <f t="shared" si="38"/>
        <v>61</v>
      </c>
      <c r="B123" s="677" t="s">
        <v>406</v>
      </c>
      <c r="C123" s="662">
        <v>31</v>
      </c>
      <c r="D123" s="663">
        <f t="shared" si="39"/>
        <v>123</v>
      </c>
      <c r="E123" s="663">
        <f t="shared" si="46"/>
        <v>365</v>
      </c>
      <c r="F123" s="56">
        <f>123/365</f>
        <v>0.33698630136986302</v>
      </c>
      <c r="G123" s="663"/>
      <c r="H123" s="899">
        <v>0</v>
      </c>
      <c r="I123" s="898">
        <f t="shared" si="40"/>
        <v>0</v>
      </c>
      <c r="J123" s="898">
        <f t="shared" si="49"/>
        <v>0</v>
      </c>
      <c r="K123" s="900"/>
      <c r="L123" s="904">
        <f t="shared" si="43"/>
        <v>0</v>
      </c>
      <c r="M123" s="902">
        <f t="shared" si="47"/>
        <v>0</v>
      </c>
      <c r="N123" s="903">
        <f t="shared" si="44"/>
        <v>0</v>
      </c>
      <c r="O123" s="903">
        <f t="shared" si="42"/>
        <v>0</v>
      </c>
      <c r="P123" s="903">
        <f t="shared" si="45"/>
        <v>0</v>
      </c>
      <c r="Q123" s="903">
        <f t="shared" si="48"/>
        <v>0</v>
      </c>
    </row>
    <row r="124" spans="1:17" ht="15">
      <c r="A124" s="665">
        <f t="shared" si="38"/>
        <v>62</v>
      </c>
      <c r="B124" s="677" t="s">
        <v>407</v>
      </c>
      <c r="C124" s="662">
        <v>30</v>
      </c>
      <c r="D124" s="663">
        <f t="shared" si="39"/>
        <v>93</v>
      </c>
      <c r="E124" s="663">
        <f t="shared" si="46"/>
        <v>365</v>
      </c>
      <c r="F124" s="56">
        <f>93/365</f>
        <v>0.25479452054794521</v>
      </c>
      <c r="G124" s="663"/>
      <c r="H124" s="899">
        <v>0</v>
      </c>
      <c r="I124" s="898">
        <f t="shared" si="40"/>
        <v>0</v>
      </c>
      <c r="J124" s="898">
        <f t="shared" si="49"/>
        <v>0</v>
      </c>
      <c r="K124" s="900"/>
      <c r="L124" s="904">
        <f t="shared" si="43"/>
        <v>0</v>
      </c>
      <c r="M124" s="902">
        <f t="shared" si="47"/>
        <v>0</v>
      </c>
      <c r="N124" s="903">
        <f t="shared" si="44"/>
        <v>0</v>
      </c>
      <c r="O124" s="903">
        <f t="shared" si="42"/>
        <v>0</v>
      </c>
      <c r="P124" s="903">
        <f t="shared" si="45"/>
        <v>0</v>
      </c>
      <c r="Q124" s="903">
        <f t="shared" si="48"/>
        <v>0</v>
      </c>
    </row>
    <row r="125" spans="1:17" ht="15">
      <c r="A125" s="665">
        <f t="shared" si="38"/>
        <v>63</v>
      </c>
      <c r="B125" s="677" t="s">
        <v>408</v>
      </c>
      <c r="C125" s="662">
        <v>31</v>
      </c>
      <c r="D125" s="663">
        <f t="shared" si="39"/>
        <v>62</v>
      </c>
      <c r="E125" s="663">
        <f t="shared" si="46"/>
        <v>365</v>
      </c>
      <c r="F125" s="56">
        <f>62/365</f>
        <v>0.16986301369863013</v>
      </c>
      <c r="G125" s="663"/>
      <c r="H125" s="899">
        <v>0</v>
      </c>
      <c r="I125" s="898">
        <f t="shared" si="40"/>
        <v>0</v>
      </c>
      <c r="J125" s="898">
        <f t="shared" si="49"/>
        <v>0</v>
      </c>
      <c r="K125" s="900"/>
      <c r="L125" s="904">
        <f t="shared" si="43"/>
        <v>0</v>
      </c>
      <c r="M125" s="902">
        <f t="shared" si="47"/>
        <v>0</v>
      </c>
      <c r="N125" s="903">
        <f t="shared" si="44"/>
        <v>0</v>
      </c>
      <c r="O125" s="903">
        <f t="shared" si="42"/>
        <v>0</v>
      </c>
      <c r="P125" s="903">
        <f t="shared" si="45"/>
        <v>0</v>
      </c>
      <c r="Q125" s="903">
        <f t="shared" si="48"/>
        <v>0</v>
      </c>
    </row>
    <row r="126" spans="1:17" ht="15">
      <c r="A126" s="665">
        <f t="shared" si="38"/>
        <v>64</v>
      </c>
      <c r="B126" s="677" t="s">
        <v>409</v>
      </c>
      <c r="C126" s="662">
        <v>30</v>
      </c>
      <c r="D126" s="663">
        <f t="shared" si="39"/>
        <v>32</v>
      </c>
      <c r="E126" s="663">
        <f t="shared" si="46"/>
        <v>365</v>
      </c>
      <c r="F126" s="56">
        <f>32/365</f>
        <v>8.7671232876712329E-2</v>
      </c>
      <c r="G126" s="663"/>
      <c r="H126" s="899">
        <v>0</v>
      </c>
      <c r="I126" s="898">
        <f t="shared" si="40"/>
        <v>0</v>
      </c>
      <c r="J126" s="898">
        <f t="shared" si="49"/>
        <v>0</v>
      </c>
      <c r="K126" s="900"/>
      <c r="L126" s="904">
        <f t="shared" si="43"/>
        <v>0</v>
      </c>
      <c r="M126" s="902">
        <f t="shared" si="47"/>
        <v>0</v>
      </c>
      <c r="N126" s="903">
        <f t="shared" si="44"/>
        <v>0</v>
      </c>
      <c r="O126" s="903">
        <f t="shared" si="42"/>
        <v>0</v>
      </c>
      <c r="P126" s="903">
        <f t="shared" si="45"/>
        <v>0</v>
      </c>
      <c r="Q126" s="903">
        <f t="shared" si="48"/>
        <v>0</v>
      </c>
    </row>
    <row r="127" spans="1:17" ht="15">
      <c r="A127" s="665">
        <f t="shared" si="38"/>
        <v>65</v>
      </c>
      <c r="B127" s="677" t="s">
        <v>410</v>
      </c>
      <c r="C127" s="662">
        <v>31</v>
      </c>
      <c r="D127" s="663">
        <v>1</v>
      </c>
      <c r="E127" s="663">
        <f t="shared" si="46"/>
        <v>365</v>
      </c>
      <c r="F127" s="56">
        <f>1/365</f>
        <v>2.7397260273972603E-3</v>
      </c>
      <c r="G127" s="663"/>
      <c r="H127" s="899">
        <v>0</v>
      </c>
      <c r="I127" s="898">
        <f t="shared" si="40"/>
        <v>0</v>
      </c>
      <c r="J127" s="898">
        <f t="shared" si="49"/>
        <v>0</v>
      </c>
      <c r="K127" s="900"/>
      <c r="L127" s="904">
        <f t="shared" si="43"/>
        <v>0</v>
      </c>
      <c r="M127" s="902">
        <f t="shared" si="47"/>
        <v>0</v>
      </c>
      <c r="N127" s="903">
        <f t="shared" si="44"/>
        <v>0</v>
      </c>
      <c r="O127" s="903">
        <f t="shared" si="42"/>
        <v>0</v>
      </c>
      <c r="P127" s="903">
        <f t="shared" si="45"/>
        <v>0</v>
      </c>
      <c r="Q127" s="903">
        <f t="shared" si="48"/>
        <v>0</v>
      </c>
    </row>
    <row r="128" spans="1:17" ht="15">
      <c r="A128" s="665">
        <f t="shared" si="38"/>
        <v>66</v>
      </c>
      <c r="B128" s="678" t="s">
        <v>75</v>
      </c>
      <c r="C128" s="679">
        <f>SUM(C116:C127)</f>
        <v>365</v>
      </c>
      <c r="D128" s="678"/>
      <c r="E128" s="678"/>
      <c r="F128" s="680"/>
      <c r="G128" s="663"/>
      <c r="H128" s="905">
        <f>SUM(H116:H127)</f>
        <v>0</v>
      </c>
      <c r="I128" s="905">
        <f>SUM(I116:I127)</f>
        <v>0</v>
      </c>
      <c r="J128" s="906"/>
      <c r="K128" s="900"/>
      <c r="L128" s="905">
        <f>SUM(L116:L127)</f>
        <v>0</v>
      </c>
      <c r="M128" s="905">
        <f t="shared" ref="M128:P128" si="50">SUM(M116:M127)</f>
        <v>0</v>
      </c>
      <c r="N128" s="907">
        <f t="shared" si="50"/>
        <v>0</v>
      </c>
      <c r="O128" s="907">
        <f t="shared" si="50"/>
        <v>0</v>
      </c>
      <c r="P128" s="907">
        <f t="shared" si="50"/>
        <v>0</v>
      </c>
      <c r="Q128" s="908"/>
    </row>
    <row r="129" spans="1:17" ht="15">
      <c r="A129" s="216"/>
      <c r="B129" s="216"/>
      <c r="C129" s="216"/>
      <c r="D129" s="216"/>
      <c r="E129" s="216"/>
      <c r="F129" s="216"/>
      <c r="G129" s="216"/>
      <c r="H129" s="216"/>
      <c r="I129" s="216"/>
      <c r="J129" s="216"/>
      <c r="K129" s="216"/>
      <c r="L129" s="216"/>
      <c r="M129" s="216"/>
      <c r="N129" s="216"/>
      <c r="O129" s="216"/>
      <c r="P129" s="216"/>
      <c r="Q129" s="216"/>
    </row>
    <row r="130" spans="1:17" ht="15">
      <c r="A130" s="216"/>
      <c r="B130" s="216"/>
      <c r="C130" s="216"/>
      <c r="D130" s="216"/>
      <c r="E130" s="216"/>
      <c r="F130" s="216"/>
      <c r="G130" s="216"/>
      <c r="H130" s="216"/>
      <c r="I130" s="216"/>
      <c r="J130" s="216"/>
      <c r="K130" s="216"/>
      <c r="L130" s="216"/>
      <c r="M130" s="216"/>
      <c r="N130" s="216"/>
      <c r="O130" s="216"/>
      <c r="P130" s="216"/>
      <c r="Q130" s="216"/>
    </row>
    <row r="131" spans="1:17" ht="15">
      <c r="A131" s="216"/>
      <c r="B131" s="216"/>
      <c r="C131" s="216"/>
      <c r="D131" s="216"/>
      <c r="E131" s="216"/>
      <c r="F131" s="651" t="s">
        <v>18</v>
      </c>
      <c r="G131" s="216"/>
      <c r="H131" s="216"/>
      <c r="I131" s="216"/>
      <c r="J131" s="651" t="s">
        <v>465</v>
      </c>
      <c r="K131" s="216"/>
      <c r="L131" s="216"/>
      <c r="M131" s="216"/>
      <c r="N131" s="216"/>
      <c r="O131" s="651" t="s">
        <v>274</v>
      </c>
      <c r="P131" s="216"/>
      <c r="Q131" s="216"/>
    </row>
    <row r="132" spans="1:17" ht="15">
      <c r="A132" s="216"/>
      <c r="B132" s="216"/>
      <c r="C132" s="645" t="str">
        <f>+C81</f>
        <v>Transmission</v>
      </c>
      <c r="D132" s="645"/>
      <c r="E132" s="645" t="str">
        <f>+E81</f>
        <v>Plant Related</v>
      </c>
      <c r="F132" s="684" t="s">
        <v>466</v>
      </c>
      <c r="G132" s="684" t="s">
        <v>75</v>
      </c>
      <c r="H132" s="645"/>
      <c r="I132" s="645" t="str">
        <f>+I81</f>
        <v>Labor Related</v>
      </c>
      <c r="J132" s="684" t="s">
        <v>466</v>
      </c>
      <c r="K132" s="216"/>
      <c r="L132" s="684" t="s">
        <v>75</v>
      </c>
      <c r="M132" s="216"/>
      <c r="N132" s="645" t="str">
        <f>+N81</f>
        <v>Revenue Related</v>
      </c>
      <c r="O132" s="684" t="s">
        <v>466</v>
      </c>
      <c r="P132" s="684" t="s">
        <v>75</v>
      </c>
      <c r="Q132" s="684" t="s">
        <v>467</v>
      </c>
    </row>
    <row r="133" spans="1:17" ht="15">
      <c r="A133" s="216"/>
      <c r="B133" s="216" t="s">
        <v>458</v>
      </c>
      <c r="C133" s="216"/>
      <c r="D133" s="216"/>
      <c r="E133" s="216"/>
      <c r="F133" s="216"/>
      <c r="G133" s="216"/>
      <c r="H133" s="216"/>
      <c r="I133" s="216"/>
      <c r="J133" s="216"/>
      <c r="K133" s="216"/>
      <c r="L133" s="216"/>
      <c r="M133" s="216"/>
      <c r="N133" s="216"/>
      <c r="O133" s="216"/>
      <c r="P133" s="1025"/>
      <c r="Q133" s="216"/>
    </row>
    <row r="134" spans="1:17" ht="15">
      <c r="A134" s="216">
        <f>+A128+1</f>
        <v>67</v>
      </c>
      <c r="B134" s="216" t="s">
        <v>399</v>
      </c>
      <c r="C134" s="909">
        <v>0</v>
      </c>
      <c r="D134" s="575"/>
      <c r="E134" s="909">
        <v>0</v>
      </c>
      <c r="F134" s="747">
        <f>+'Appendix A'!$H$27</f>
        <v>0.20363964961424239</v>
      </c>
      <c r="G134" s="575">
        <f t="shared" ref="G134:G145" si="51">+E134*F134</f>
        <v>0</v>
      </c>
      <c r="H134" s="575"/>
      <c r="I134" s="909">
        <v>0</v>
      </c>
      <c r="J134" s="747">
        <f>+'Appendix A'!$H$16</f>
        <v>0.12146075795343095</v>
      </c>
      <c r="K134" s="216"/>
      <c r="L134" s="575">
        <f>+I134*J134</f>
        <v>0</v>
      </c>
      <c r="M134" s="575"/>
      <c r="N134" s="909">
        <v>0</v>
      </c>
      <c r="O134" s="747">
        <f>+'Appendix A'!$H$33</f>
        <v>0.18298233367566416</v>
      </c>
      <c r="P134" s="575">
        <f>+N134*O134</f>
        <v>0</v>
      </c>
      <c r="Q134" s="575">
        <f>+C134+G134+L134+P134</f>
        <v>0</v>
      </c>
    </row>
    <row r="135" spans="1:17" ht="15">
      <c r="A135" s="216">
        <f>+A134+1</f>
        <v>68</v>
      </c>
      <c r="B135" s="216" t="s">
        <v>400</v>
      </c>
      <c r="C135" s="909">
        <v>0</v>
      </c>
      <c r="D135" s="575"/>
      <c r="E135" s="909">
        <v>0</v>
      </c>
      <c r="F135" s="747">
        <f>+'Appendix A'!$H$27</f>
        <v>0.20363964961424239</v>
      </c>
      <c r="G135" s="575">
        <f t="shared" si="51"/>
        <v>0</v>
      </c>
      <c r="H135" s="575"/>
      <c r="I135" s="909">
        <v>0</v>
      </c>
      <c r="J135" s="747">
        <f>+'Appendix A'!$H$16</f>
        <v>0.12146075795343095</v>
      </c>
      <c r="K135" s="216"/>
      <c r="L135" s="575">
        <f t="shared" ref="L135:L145" si="52">+I135*J135</f>
        <v>0</v>
      </c>
      <c r="M135" s="575"/>
      <c r="N135" s="909">
        <v>0</v>
      </c>
      <c r="O135" s="747">
        <f>+'Appendix A'!$H$33</f>
        <v>0.18298233367566416</v>
      </c>
      <c r="P135" s="575">
        <f t="shared" ref="P135:P138" si="53">+N135*O135</f>
        <v>0</v>
      </c>
      <c r="Q135" s="575">
        <f t="shared" ref="Q135:Q144" si="54">+C135+G135+L135+P135</f>
        <v>0</v>
      </c>
    </row>
    <row r="136" spans="1:17" ht="15">
      <c r="A136" s="216">
        <f t="shared" ref="A136:A145" si="55">+A135+1</f>
        <v>69</v>
      </c>
      <c r="B136" s="216" t="s">
        <v>401</v>
      </c>
      <c r="C136" s="909">
        <v>0</v>
      </c>
      <c r="D136" s="575"/>
      <c r="E136" s="909">
        <v>0</v>
      </c>
      <c r="F136" s="747">
        <f>+'Appendix A'!$H$27</f>
        <v>0.20363964961424239</v>
      </c>
      <c r="G136" s="575">
        <f t="shared" si="51"/>
        <v>0</v>
      </c>
      <c r="H136" s="575"/>
      <c r="I136" s="909">
        <v>0</v>
      </c>
      <c r="J136" s="747">
        <f>+'Appendix A'!$H$16</f>
        <v>0.12146075795343095</v>
      </c>
      <c r="K136" s="216"/>
      <c r="L136" s="575">
        <f t="shared" si="52"/>
        <v>0</v>
      </c>
      <c r="M136" s="575"/>
      <c r="N136" s="909">
        <v>0</v>
      </c>
      <c r="O136" s="747">
        <f>+'Appendix A'!$H$33</f>
        <v>0.18298233367566416</v>
      </c>
      <c r="P136" s="575">
        <f t="shared" si="53"/>
        <v>0</v>
      </c>
      <c r="Q136" s="575">
        <f t="shared" si="54"/>
        <v>0</v>
      </c>
    </row>
    <row r="137" spans="1:17" ht="15">
      <c r="A137" s="216">
        <f t="shared" si="55"/>
        <v>70</v>
      </c>
      <c r="B137" s="216" t="s">
        <v>402</v>
      </c>
      <c r="C137" s="909">
        <v>0</v>
      </c>
      <c r="D137" s="575"/>
      <c r="E137" s="909">
        <v>0</v>
      </c>
      <c r="F137" s="747">
        <f>+'Appendix A'!$H$27</f>
        <v>0.20363964961424239</v>
      </c>
      <c r="G137" s="575">
        <f t="shared" si="51"/>
        <v>0</v>
      </c>
      <c r="H137" s="575"/>
      <c r="I137" s="909">
        <v>0</v>
      </c>
      <c r="J137" s="747">
        <f>+'Appendix A'!$H$16</f>
        <v>0.12146075795343095</v>
      </c>
      <c r="K137" s="216"/>
      <c r="L137" s="575">
        <f t="shared" si="52"/>
        <v>0</v>
      </c>
      <c r="M137" s="575"/>
      <c r="N137" s="909">
        <v>0</v>
      </c>
      <c r="O137" s="747">
        <f>+'Appendix A'!$H$33</f>
        <v>0.18298233367566416</v>
      </c>
      <c r="P137" s="575">
        <f t="shared" si="53"/>
        <v>0</v>
      </c>
      <c r="Q137" s="575">
        <f t="shared" si="54"/>
        <v>0</v>
      </c>
    </row>
    <row r="138" spans="1:17" ht="15">
      <c r="A138" s="216">
        <f t="shared" si="55"/>
        <v>71</v>
      </c>
      <c r="B138" s="216" t="s">
        <v>403</v>
      </c>
      <c r="C138" s="909">
        <v>0</v>
      </c>
      <c r="D138" s="575"/>
      <c r="E138" s="909">
        <v>0</v>
      </c>
      <c r="F138" s="747">
        <f>+'Appendix A'!$H$27</f>
        <v>0.20363964961424239</v>
      </c>
      <c r="G138" s="575">
        <f t="shared" si="51"/>
        <v>0</v>
      </c>
      <c r="H138" s="575"/>
      <c r="I138" s="909">
        <v>0</v>
      </c>
      <c r="J138" s="747">
        <f>+'Appendix A'!$H$16</f>
        <v>0.12146075795343095</v>
      </c>
      <c r="K138" s="216"/>
      <c r="L138" s="575">
        <f t="shared" si="52"/>
        <v>0</v>
      </c>
      <c r="M138" s="575"/>
      <c r="N138" s="909">
        <v>0</v>
      </c>
      <c r="O138" s="747">
        <f>+'Appendix A'!$H$33</f>
        <v>0.18298233367566416</v>
      </c>
      <c r="P138" s="575">
        <f t="shared" si="53"/>
        <v>0</v>
      </c>
      <c r="Q138" s="575">
        <f t="shared" si="54"/>
        <v>0</v>
      </c>
    </row>
    <row r="139" spans="1:17" ht="15">
      <c r="A139" s="216">
        <f t="shared" si="55"/>
        <v>72</v>
      </c>
      <c r="B139" s="216" t="s">
        <v>404</v>
      </c>
      <c r="C139" s="909">
        <v>0</v>
      </c>
      <c r="D139" s="575"/>
      <c r="E139" s="909">
        <v>0</v>
      </c>
      <c r="F139" s="747">
        <f>+'Appendix A'!$H$27</f>
        <v>0.20363964961424239</v>
      </c>
      <c r="G139" s="575">
        <f t="shared" si="51"/>
        <v>0</v>
      </c>
      <c r="H139" s="575"/>
      <c r="I139" s="909">
        <v>0</v>
      </c>
      <c r="J139" s="747">
        <f>+'Appendix A'!$H$16</f>
        <v>0.12146075795343095</v>
      </c>
      <c r="K139" s="216"/>
      <c r="L139" s="575">
        <f t="shared" si="52"/>
        <v>0</v>
      </c>
      <c r="M139" s="575"/>
      <c r="N139" s="909">
        <v>0</v>
      </c>
      <c r="O139" s="747">
        <f>+'Appendix A'!$H$33</f>
        <v>0.18298233367566416</v>
      </c>
      <c r="P139" s="575">
        <f>+N139*O139</f>
        <v>0</v>
      </c>
      <c r="Q139" s="575">
        <f t="shared" si="54"/>
        <v>0</v>
      </c>
    </row>
    <row r="140" spans="1:17" ht="15">
      <c r="A140" s="216">
        <f t="shared" si="55"/>
        <v>73</v>
      </c>
      <c r="B140" s="216" t="s">
        <v>405</v>
      </c>
      <c r="C140" s="909">
        <v>0</v>
      </c>
      <c r="D140" s="575"/>
      <c r="E140" s="909">
        <v>0</v>
      </c>
      <c r="F140" s="747">
        <f>+'Appendix A'!$H$27</f>
        <v>0.20363964961424239</v>
      </c>
      <c r="G140" s="575">
        <f t="shared" si="51"/>
        <v>0</v>
      </c>
      <c r="H140" s="575"/>
      <c r="I140" s="909">
        <v>0</v>
      </c>
      <c r="J140" s="747">
        <f>+'Appendix A'!$H$16</f>
        <v>0.12146075795343095</v>
      </c>
      <c r="K140" s="216"/>
      <c r="L140" s="575">
        <f t="shared" si="52"/>
        <v>0</v>
      </c>
      <c r="M140" s="575"/>
      <c r="N140" s="909">
        <v>0</v>
      </c>
      <c r="O140" s="747">
        <f>+'Appendix A'!$H$33</f>
        <v>0.18298233367566416</v>
      </c>
      <c r="P140" s="575">
        <f t="shared" ref="P140:P141" si="56">+N140*O140</f>
        <v>0</v>
      </c>
      <c r="Q140" s="575">
        <f t="shared" si="54"/>
        <v>0</v>
      </c>
    </row>
    <row r="141" spans="1:17" ht="15">
      <c r="A141" s="216">
        <f t="shared" si="55"/>
        <v>74</v>
      </c>
      <c r="B141" s="216" t="s">
        <v>406</v>
      </c>
      <c r="C141" s="909">
        <v>0</v>
      </c>
      <c r="D141" s="575"/>
      <c r="E141" s="909">
        <v>0</v>
      </c>
      <c r="F141" s="747">
        <f>+'Appendix A'!$H$27</f>
        <v>0.20363964961424239</v>
      </c>
      <c r="G141" s="575">
        <f t="shared" si="51"/>
        <v>0</v>
      </c>
      <c r="H141" s="575"/>
      <c r="I141" s="909">
        <v>0</v>
      </c>
      <c r="J141" s="747">
        <f>+'Appendix A'!$H$16</f>
        <v>0.12146075795343095</v>
      </c>
      <c r="K141" s="216"/>
      <c r="L141" s="575">
        <f t="shared" si="52"/>
        <v>0</v>
      </c>
      <c r="M141" s="575"/>
      <c r="N141" s="909">
        <v>0</v>
      </c>
      <c r="O141" s="747">
        <f>+'Appendix A'!$H$33</f>
        <v>0.18298233367566416</v>
      </c>
      <c r="P141" s="575">
        <f t="shared" si="56"/>
        <v>0</v>
      </c>
      <c r="Q141" s="575">
        <f t="shared" si="54"/>
        <v>0</v>
      </c>
    </row>
    <row r="142" spans="1:17" ht="15">
      <c r="A142" s="216">
        <f t="shared" si="55"/>
        <v>75</v>
      </c>
      <c r="B142" s="216" t="s">
        <v>407</v>
      </c>
      <c r="C142" s="909">
        <v>0</v>
      </c>
      <c r="D142" s="575"/>
      <c r="E142" s="909">
        <v>0</v>
      </c>
      <c r="F142" s="747">
        <f>+'Appendix A'!$H$27</f>
        <v>0.20363964961424239</v>
      </c>
      <c r="G142" s="575">
        <f t="shared" si="51"/>
        <v>0</v>
      </c>
      <c r="H142" s="575"/>
      <c r="I142" s="909">
        <v>0</v>
      </c>
      <c r="J142" s="747">
        <f>+'Appendix A'!$H$16</f>
        <v>0.12146075795343095</v>
      </c>
      <c r="K142" s="216"/>
      <c r="L142" s="575">
        <f t="shared" si="52"/>
        <v>0</v>
      </c>
      <c r="M142" s="575"/>
      <c r="N142" s="909">
        <v>0</v>
      </c>
      <c r="O142" s="747">
        <f>+'Appendix A'!$H$33</f>
        <v>0.18298233367566416</v>
      </c>
      <c r="P142" s="575">
        <f>+N142*O142</f>
        <v>0</v>
      </c>
      <c r="Q142" s="575">
        <f t="shared" si="54"/>
        <v>0</v>
      </c>
    </row>
    <row r="143" spans="1:17" ht="15">
      <c r="A143" s="216">
        <f t="shared" si="55"/>
        <v>76</v>
      </c>
      <c r="B143" s="216" t="s">
        <v>408</v>
      </c>
      <c r="C143" s="909">
        <v>0</v>
      </c>
      <c r="D143" s="575"/>
      <c r="E143" s="909">
        <v>0</v>
      </c>
      <c r="F143" s="747">
        <f>+'Appendix A'!$H$27</f>
        <v>0.20363964961424239</v>
      </c>
      <c r="G143" s="575">
        <f t="shared" si="51"/>
        <v>0</v>
      </c>
      <c r="H143" s="575"/>
      <c r="I143" s="909">
        <v>0</v>
      </c>
      <c r="J143" s="747">
        <f>+'Appendix A'!$H$16</f>
        <v>0.12146075795343095</v>
      </c>
      <c r="K143" s="216"/>
      <c r="L143" s="575">
        <f t="shared" si="52"/>
        <v>0</v>
      </c>
      <c r="M143" s="575"/>
      <c r="N143" s="909">
        <v>0</v>
      </c>
      <c r="O143" s="747">
        <f>+'Appendix A'!$H$33</f>
        <v>0.18298233367566416</v>
      </c>
      <c r="P143" s="575">
        <f t="shared" ref="P143:P145" si="57">+N143*O143</f>
        <v>0</v>
      </c>
      <c r="Q143" s="575">
        <f t="shared" si="54"/>
        <v>0</v>
      </c>
    </row>
    <row r="144" spans="1:17" ht="15">
      <c r="A144" s="216">
        <f t="shared" si="55"/>
        <v>77</v>
      </c>
      <c r="B144" s="216" t="s">
        <v>409</v>
      </c>
      <c r="C144" s="909">
        <v>0</v>
      </c>
      <c r="D144" s="575"/>
      <c r="E144" s="909">
        <v>0</v>
      </c>
      <c r="F144" s="747">
        <f>+'Appendix A'!$H$27</f>
        <v>0.20363964961424239</v>
      </c>
      <c r="G144" s="575">
        <f t="shared" si="51"/>
        <v>0</v>
      </c>
      <c r="H144" s="575"/>
      <c r="I144" s="909">
        <v>0</v>
      </c>
      <c r="J144" s="747">
        <f>+'Appendix A'!$H$16</f>
        <v>0.12146075795343095</v>
      </c>
      <c r="K144" s="216"/>
      <c r="L144" s="575">
        <f t="shared" si="52"/>
        <v>0</v>
      </c>
      <c r="M144" s="575"/>
      <c r="N144" s="909">
        <v>0</v>
      </c>
      <c r="O144" s="747">
        <f>+'Appendix A'!$H$33</f>
        <v>0.18298233367566416</v>
      </c>
      <c r="P144" s="575">
        <f t="shared" si="57"/>
        <v>0</v>
      </c>
      <c r="Q144" s="575">
        <f t="shared" si="54"/>
        <v>0</v>
      </c>
    </row>
    <row r="145" spans="1:17" ht="15">
      <c r="A145" s="216">
        <f t="shared" si="55"/>
        <v>78</v>
      </c>
      <c r="B145" s="216" t="s">
        <v>410</v>
      </c>
      <c r="C145" s="909">
        <v>0</v>
      </c>
      <c r="D145" s="575"/>
      <c r="E145" s="909">
        <v>0</v>
      </c>
      <c r="F145" s="747">
        <f>+'Appendix A'!$H$27</f>
        <v>0.20363964961424239</v>
      </c>
      <c r="G145" s="575">
        <f t="shared" si="51"/>
        <v>0</v>
      </c>
      <c r="H145" s="575"/>
      <c r="I145" s="909">
        <v>0</v>
      </c>
      <c r="J145" s="747">
        <f>+'Appendix A'!$H$16</f>
        <v>0.12146075795343095</v>
      </c>
      <c r="K145" s="216"/>
      <c r="L145" s="575">
        <f t="shared" si="52"/>
        <v>0</v>
      </c>
      <c r="M145" s="575"/>
      <c r="N145" s="909">
        <v>0</v>
      </c>
      <c r="O145" s="747">
        <f>+'Appendix A'!$H$33</f>
        <v>0.18298233367566416</v>
      </c>
      <c r="P145" s="575">
        <f t="shared" si="57"/>
        <v>0</v>
      </c>
      <c r="Q145" s="575">
        <f>+C145+G145+L145+P145</f>
        <v>0</v>
      </c>
    </row>
    <row r="146" spans="1:17" ht="15">
      <c r="A146" s="216"/>
      <c r="B146" s="216"/>
      <c r="C146" s="216"/>
      <c r="D146" s="216"/>
      <c r="E146" s="216"/>
      <c r="F146" s="216"/>
      <c r="G146" s="685"/>
      <c r="H146" s="216"/>
      <c r="I146" s="216"/>
      <c r="J146" s="216"/>
      <c r="K146" s="216"/>
      <c r="L146" s="216"/>
      <c r="M146" s="216"/>
      <c r="N146" s="216"/>
      <c r="O146" s="216"/>
      <c r="P146" s="216"/>
      <c r="Q146" s="216"/>
    </row>
    <row r="147" spans="1:17" ht="15">
      <c r="A147" s="216"/>
      <c r="B147" s="216"/>
      <c r="C147" s="216"/>
      <c r="D147" s="216"/>
      <c r="E147" s="216"/>
      <c r="F147" s="216"/>
      <c r="G147" s="216"/>
      <c r="H147" s="216"/>
      <c r="I147" s="216"/>
      <c r="J147" s="216"/>
      <c r="K147" s="216"/>
      <c r="L147" s="216"/>
      <c r="M147" s="216"/>
      <c r="N147" s="216"/>
      <c r="O147" s="216"/>
      <c r="P147" s="216"/>
      <c r="Q147" s="216"/>
    </row>
    <row r="148" spans="1:17" ht="15">
      <c r="A148" s="216"/>
      <c r="B148" s="58" t="s">
        <v>468</v>
      </c>
      <c r="C148" s="216"/>
      <c r="D148" s="216"/>
      <c r="E148" s="216"/>
      <c r="F148" s="216"/>
      <c r="G148" s="216"/>
      <c r="H148" s="216"/>
      <c r="I148" s="216"/>
      <c r="J148" s="216"/>
      <c r="K148" s="216"/>
      <c r="L148" s="216"/>
      <c r="M148" s="216"/>
      <c r="N148" s="216"/>
      <c r="O148" s="216"/>
      <c r="P148" s="216"/>
      <c r="Q148" s="216"/>
    </row>
    <row r="149" spans="1:17" ht="15">
      <c r="A149" s="216"/>
      <c r="B149" s="58" t="s">
        <v>440</v>
      </c>
      <c r="C149" s="216"/>
      <c r="D149" s="216"/>
      <c r="E149" s="216"/>
      <c r="F149" s="216"/>
      <c r="G149" s="216"/>
      <c r="H149" s="216"/>
      <c r="I149" s="216"/>
      <c r="J149" s="216"/>
      <c r="K149" s="216"/>
      <c r="L149" s="216"/>
      <c r="M149" s="216"/>
      <c r="N149" s="216"/>
      <c r="O149" s="216"/>
      <c r="P149" s="216"/>
      <c r="Q149" s="216"/>
    </row>
    <row r="150" spans="1:17" ht="15">
      <c r="A150" s="216"/>
      <c r="B150" s="58" t="s">
        <v>441</v>
      </c>
      <c r="C150" s="216"/>
      <c r="D150" s="216"/>
      <c r="E150" s="216"/>
      <c r="F150" s="216"/>
      <c r="G150" s="216"/>
      <c r="H150" s="216"/>
      <c r="I150" s="216"/>
      <c r="J150" s="216"/>
      <c r="K150" s="216"/>
      <c r="L150" s="216"/>
      <c r="M150" s="216"/>
      <c r="N150" s="216"/>
      <c r="O150" s="216"/>
      <c r="P150" s="216"/>
      <c r="Q150" s="216"/>
    </row>
    <row r="151" spans="1:17" ht="15">
      <c r="A151" s="216"/>
      <c r="B151" s="58" t="s">
        <v>442</v>
      </c>
      <c r="C151" s="216"/>
      <c r="D151" s="216"/>
      <c r="E151" s="216"/>
      <c r="F151" s="216"/>
      <c r="G151" s="216"/>
      <c r="H151" s="216"/>
      <c r="I151" s="216"/>
      <c r="J151" s="216"/>
      <c r="K151" s="216"/>
      <c r="L151" s="216"/>
      <c r="M151" s="216"/>
      <c r="N151" s="216"/>
      <c r="O151" s="216"/>
      <c r="P151" s="216"/>
      <c r="Q151" s="216"/>
    </row>
    <row r="152" spans="1:17" ht="15">
      <c r="A152" s="1025"/>
      <c r="B152" s="58" t="s">
        <v>443</v>
      </c>
      <c r="C152" s="1025"/>
      <c r="D152" s="1025"/>
      <c r="E152" s="1025"/>
      <c r="F152" s="1025"/>
      <c r="G152" s="1025"/>
      <c r="H152" s="1025"/>
      <c r="I152" s="1025"/>
      <c r="J152" s="1025"/>
      <c r="K152" s="1025"/>
      <c r="L152" s="1025"/>
      <c r="M152" s="1025"/>
      <c r="N152" s="1025"/>
      <c r="O152" s="1025"/>
      <c r="P152" s="1025"/>
      <c r="Q152" s="1025"/>
    </row>
    <row r="153" spans="1:17">
      <c r="A153" s="1025"/>
      <c r="B153" s="1025"/>
      <c r="C153" s="1025"/>
      <c r="D153" s="1025"/>
      <c r="E153" s="1025"/>
      <c r="F153" s="1025"/>
      <c r="G153" s="1025"/>
      <c r="H153" s="1025"/>
      <c r="I153" s="1025"/>
      <c r="J153" s="1025"/>
      <c r="K153" s="1025"/>
      <c r="L153" s="1025"/>
      <c r="M153" s="1025"/>
      <c r="N153" s="1025"/>
      <c r="O153" s="1025"/>
      <c r="P153" s="1025"/>
      <c r="Q153" s="1025"/>
    </row>
    <row r="154" spans="1:17">
      <c r="A154" s="1025"/>
      <c r="B154" s="1025"/>
      <c r="C154" s="1025"/>
      <c r="D154" s="1025"/>
      <c r="E154" s="1025"/>
      <c r="F154" s="1025"/>
      <c r="G154" s="1025"/>
      <c r="H154" s="1025"/>
      <c r="I154" s="1025"/>
      <c r="J154" s="1025"/>
      <c r="K154" s="1025"/>
      <c r="L154" s="1025"/>
      <c r="M154" s="1025"/>
      <c r="N154" s="1025"/>
      <c r="O154" s="1025"/>
      <c r="P154" s="1025"/>
      <c r="Q154" s="1025"/>
    </row>
  </sheetData>
  <mergeCells count="9">
    <mergeCell ref="B111:F111"/>
    <mergeCell ref="H111:J111"/>
    <mergeCell ref="L111:Q111"/>
    <mergeCell ref="B10:F10"/>
    <mergeCell ref="H10:J10"/>
    <mergeCell ref="L10:Q10"/>
    <mergeCell ref="B60:F60"/>
    <mergeCell ref="H60:J60"/>
    <mergeCell ref="L60:Q60"/>
  </mergeCells>
  <pageMargins left="0.7" right="0.7" top="0.75" bottom="0.75" header="0.3" footer="0.3"/>
  <pageSetup scale="43" fitToHeight="3" orientation="landscape" verticalDpi="0" r:id="rId1"/>
  <rowBreaks count="2" manualBreakCount="2">
    <brk id="53" max="16383" man="1"/>
    <brk id="104" max="16383" man="1"/>
  </rowBreaks>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heetViews>
  <sheetFormatPr defaultColWidth="9.28515625" defaultRowHeight="15"/>
  <cols>
    <col min="1" max="2" width="4.7109375" style="32" customWidth="1"/>
    <col min="3" max="3" width="59.7109375" style="32" customWidth="1"/>
    <col min="4" max="4" width="3.28515625" style="32" customWidth="1"/>
    <col min="5" max="5" width="16.5703125" style="38" customWidth="1"/>
    <col min="6" max="6" width="15.28515625" style="32" customWidth="1"/>
    <col min="7" max="8" width="20.28515625" style="32" customWidth="1"/>
    <col min="9" max="9" width="17.28515625" style="32" customWidth="1"/>
    <col min="10" max="10" width="9.28515625" style="32"/>
    <col min="11" max="11" width="18" style="32" bestFit="1" customWidth="1"/>
    <col min="12" max="12" width="9.28515625" style="32" bestFit="1" customWidth="1"/>
    <col min="13" max="13" width="18" style="32" bestFit="1" customWidth="1"/>
    <col min="14" max="16384" width="9.28515625" style="32"/>
  </cols>
  <sheetData>
    <row r="1" spans="1:9" ht="18">
      <c r="A1" s="27"/>
      <c r="B1" s="27"/>
      <c r="C1" s="27"/>
      <c r="D1" s="27"/>
      <c r="E1" s="44"/>
      <c r="F1" s="27"/>
      <c r="G1" s="27"/>
      <c r="H1" s="27"/>
      <c r="I1" s="2"/>
    </row>
    <row r="2" spans="1:9" ht="18">
      <c r="A2" s="1130" t="str">
        <f>+'Appendix A'!A3</f>
        <v>Dayton Power and Light</v>
      </c>
      <c r="B2" s="1130"/>
      <c r="C2" s="1130"/>
      <c r="D2" s="1130"/>
      <c r="E2" s="1130"/>
      <c r="F2" s="1130"/>
      <c r="G2" s="1130"/>
      <c r="H2" s="1130"/>
      <c r="I2" s="967"/>
    </row>
    <row r="3" spans="1:9" ht="18">
      <c r="A3" s="1130" t="str">
        <f>+'Appendix A'!A4</f>
        <v xml:space="preserve">ATTACHMENT H-15A </v>
      </c>
      <c r="B3" s="1130"/>
      <c r="C3" s="1130"/>
      <c r="D3" s="1130"/>
      <c r="E3" s="1130"/>
      <c r="F3" s="1131"/>
      <c r="G3" s="1131"/>
      <c r="H3" s="1131"/>
      <c r="I3" s="690"/>
    </row>
    <row r="4" spans="1:9" s="27" customFormat="1" ht="18">
      <c r="A4" s="1130" t="s">
        <v>475</v>
      </c>
      <c r="B4" s="1130"/>
      <c r="C4" s="1130"/>
      <c r="D4" s="1130"/>
      <c r="E4" s="1130"/>
      <c r="F4" s="1131"/>
      <c r="G4" s="1131"/>
      <c r="H4" s="1131"/>
    </row>
    <row r="5" spans="1:9">
      <c r="A5" s="2" t="s">
        <v>476</v>
      </c>
      <c r="B5" s="2"/>
      <c r="C5" s="2"/>
      <c r="D5" s="2"/>
      <c r="E5" s="6"/>
      <c r="F5" s="2"/>
      <c r="G5" s="2"/>
      <c r="H5" s="2"/>
      <c r="I5" s="2"/>
    </row>
    <row r="6" spans="1:9" s="2" customFormat="1" ht="15.75">
      <c r="A6" s="2" t="s">
        <v>446</v>
      </c>
      <c r="D6" s="33"/>
      <c r="E6" s="6"/>
      <c r="G6" s="4"/>
      <c r="H6" s="4"/>
    </row>
    <row r="7" spans="1:9" s="2" customFormat="1">
      <c r="E7" s="6"/>
    </row>
    <row r="8" spans="1:9">
      <c r="A8" s="2"/>
      <c r="B8" s="2"/>
      <c r="C8" s="2"/>
      <c r="D8" s="11"/>
      <c r="E8" s="11" t="s">
        <v>477</v>
      </c>
      <c r="F8" s="11"/>
      <c r="G8" s="11" t="s">
        <v>478</v>
      </c>
      <c r="H8" s="11"/>
      <c r="I8" s="2"/>
    </row>
    <row r="9" spans="1:9">
      <c r="A9" s="35" t="s">
        <v>479</v>
      </c>
      <c r="B9" s="35"/>
      <c r="C9" s="2"/>
      <c r="D9" s="11"/>
      <c r="E9" s="11" t="s">
        <v>480</v>
      </c>
      <c r="F9" s="11" t="s">
        <v>466</v>
      </c>
      <c r="G9" s="11" t="s">
        <v>481</v>
      </c>
      <c r="H9" s="11"/>
      <c r="I9" s="2"/>
    </row>
    <row r="10" spans="1:9">
      <c r="A10" s="35"/>
      <c r="B10" s="35"/>
      <c r="C10" s="2"/>
      <c r="D10" s="11"/>
      <c r="E10" s="34"/>
      <c r="F10" s="11"/>
      <c r="G10" s="11"/>
      <c r="H10" s="11"/>
      <c r="I10" s="2"/>
    </row>
    <row r="11" spans="1:9">
      <c r="A11" s="35"/>
      <c r="B11" s="35" t="s">
        <v>482</v>
      </c>
      <c r="C11" s="2"/>
      <c r="D11" s="11"/>
      <c r="E11" s="34"/>
      <c r="F11" s="11"/>
      <c r="G11" s="11"/>
      <c r="H11" s="11"/>
      <c r="I11" s="2"/>
    </row>
    <row r="12" spans="1:9">
      <c r="A12" s="7">
        <v>1</v>
      </c>
      <c r="B12" s="2"/>
      <c r="C12" s="4" t="s">
        <v>483</v>
      </c>
      <c r="D12" s="25"/>
      <c r="E12" s="910">
        <f>+'4 - Cost Support'!T111</f>
        <v>14679622.150066407</v>
      </c>
      <c r="F12" s="911" t="s">
        <v>484</v>
      </c>
      <c r="G12" s="693">
        <f>+E12</f>
        <v>14679622.150066407</v>
      </c>
      <c r="H12" s="591" t="str">
        <f>"(Attachment 4, Line "&amp;'4 - Cost Support'!A111&amp;")"</f>
        <v>(Attachment 4, Line 35)</v>
      </c>
      <c r="I12" s="2"/>
    </row>
    <row r="13" spans="1:9">
      <c r="A13" s="7">
        <f>+A12+1</f>
        <v>2</v>
      </c>
      <c r="B13" s="2"/>
      <c r="C13" s="596" t="s">
        <v>485</v>
      </c>
      <c r="D13" s="2"/>
      <c r="E13" s="912">
        <v>0</v>
      </c>
      <c r="F13" s="913" t="s">
        <v>484</v>
      </c>
      <c r="G13" s="914">
        <f t="shared" ref="G13:G14" si="0">+E13</f>
        <v>0</v>
      </c>
      <c r="H13" s="25"/>
      <c r="I13" s="2"/>
    </row>
    <row r="14" spans="1:9">
      <c r="A14" s="7">
        <f>+A13+1</f>
        <v>3</v>
      </c>
      <c r="B14" s="2"/>
      <c r="C14" s="596" t="s">
        <v>485</v>
      </c>
      <c r="D14" s="2"/>
      <c r="E14" s="915">
        <v>0</v>
      </c>
      <c r="F14" s="916" t="s">
        <v>484</v>
      </c>
      <c r="G14" s="917">
        <f t="shared" si="0"/>
        <v>0</v>
      </c>
      <c r="H14" s="25"/>
      <c r="I14" s="2"/>
    </row>
    <row r="15" spans="1:9">
      <c r="A15" s="7">
        <f>+A14+1</f>
        <v>4</v>
      </c>
      <c r="B15" s="35" t="s">
        <v>486</v>
      </c>
      <c r="C15" s="2"/>
      <c r="D15" s="23"/>
      <c r="E15" s="1026">
        <f>+E12+E13+E14</f>
        <v>14679622.150066407</v>
      </c>
      <c r="F15" s="918" t="s">
        <v>484</v>
      </c>
      <c r="G15" s="1027">
        <f>+E15</f>
        <v>14679622.150066407</v>
      </c>
      <c r="H15" s="25"/>
      <c r="I15" s="2"/>
    </row>
    <row r="16" spans="1:9">
      <c r="A16" s="2"/>
      <c r="B16" s="2"/>
      <c r="C16" s="2"/>
      <c r="D16" s="11"/>
      <c r="E16" s="919"/>
      <c r="F16" s="920"/>
      <c r="G16" s="921"/>
      <c r="H16" s="11"/>
      <c r="I16" s="2"/>
    </row>
    <row r="17" spans="1:13">
      <c r="A17" s="7"/>
      <c r="B17" s="35" t="s">
        <v>487</v>
      </c>
      <c r="C17" s="2"/>
      <c r="D17" s="11"/>
      <c r="E17" s="922"/>
      <c r="F17" s="923"/>
      <c r="G17" s="921"/>
      <c r="H17" s="11"/>
      <c r="I17" s="2"/>
      <c r="J17" s="2"/>
      <c r="K17" s="2"/>
      <c r="L17" s="2"/>
      <c r="M17" s="2"/>
    </row>
    <row r="18" spans="1:13" s="2" customFormat="1">
      <c r="A18" s="7"/>
      <c r="D18" s="11"/>
      <c r="E18" s="1028"/>
      <c r="F18" s="923"/>
      <c r="G18" s="923"/>
      <c r="H18" s="1029"/>
    </row>
    <row r="19" spans="1:13" s="2" customFormat="1">
      <c r="A19" s="7">
        <f>+A15+1</f>
        <v>5</v>
      </c>
      <c r="C19" s="595" t="s">
        <v>485</v>
      </c>
      <c r="D19" s="25"/>
      <c r="E19" s="924">
        <v>0</v>
      </c>
      <c r="F19" s="925"/>
      <c r="G19" s="926"/>
      <c r="H19" s="25"/>
      <c r="K19" s="265"/>
      <c r="L19" s="265"/>
      <c r="M19" s="265"/>
    </row>
    <row r="20" spans="1:13" s="2" customFormat="1">
      <c r="A20" s="7">
        <f>+A19+1</f>
        <v>6</v>
      </c>
      <c r="B20" s="35" t="s">
        <v>488</v>
      </c>
      <c r="D20" s="23"/>
      <c r="E20" s="574">
        <f>SUM(E19:E19)</f>
        <v>0</v>
      </c>
      <c r="F20" s="858">
        <f>+'Appendix A'!H27</f>
        <v>0.20363964961424239</v>
      </c>
      <c r="G20" s="574">
        <f>+E20*F20</f>
        <v>0</v>
      </c>
      <c r="H20" s="574"/>
      <c r="K20" s="265"/>
      <c r="L20" s="265"/>
      <c r="M20" s="265"/>
    </row>
    <row r="21" spans="1:13" s="2" customFormat="1" ht="12.75" customHeight="1">
      <c r="A21" s="7"/>
      <c r="D21" s="23"/>
      <c r="E21" s="36"/>
      <c r="F21" s="23"/>
      <c r="G21" s="37"/>
      <c r="H21" s="37"/>
      <c r="K21" s="265"/>
      <c r="L21" s="265"/>
      <c r="M21" s="265"/>
    </row>
    <row r="22" spans="1:13" s="2" customFormat="1" ht="12.75" customHeight="1">
      <c r="A22" s="7"/>
      <c r="B22" s="35" t="s">
        <v>391</v>
      </c>
      <c r="D22" s="23"/>
      <c r="E22" s="36"/>
      <c r="F22" s="1030" t="s">
        <v>489</v>
      </c>
      <c r="G22" s="23"/>
      <c r="H22" s="23"/>
      <c r="K22" s="265"/>
      <c r="L22" s="265"/>
      <c r="M22" s="265"/>
    </row>
    <row r="23" spans="1:13" s="2" customFormat="1" ht="12.75" customHeight="1">
      <c r="A23" s="7"/>
      <c r="D23" s="23"/>
      <c r="E23" s="36"/>
      <c r="F23" s="23"/>
      <c r="G23" s="23"/>
      <c r="H23" s="23"/>
      <c r="K23" s="265"/>
      <c r="L23" s="265"/>
      <c r="M23" s="265"/>
    </row>
    <row r="24" spans="1:13" s="2" customFormat="1">
      <c r="A24" s="7">
        <f>+A20+1</f>
        <v>7</v>
      </c>
      <c r="C24" s="2" t="s">
        <v>490</v>
      </c>
      <c r="E24" s="39">
        <f>+'4 - Cost Support'!S112</f>
        <v>3125054</v>
      </c>
      <c r="K24" s="265"/>
      <c r="L24" s="265"/>
      <c r="M24" s="265"/>
    </row>
    <row r="25" spans="1:13" s="2" customFormat="1">
      <c r="A25" s="7">
        <f>1+A24</f>
        <v>8</v>
      </c>
      <c r="C25" s="2" t="s">
        <v>491</v>
      </c>
      <c r="E25" s="39">
        <f>+'4 - Cost Support'!S113</f>
        <v>0</v>
      </c>
      <c r="K25" s="265"/>
      <c r="L25" s="265"/>
      <c r="M25" s="265"/>
    </row>
    <row r="26" spans="1:13" s="2" customFormat="1">
      <c r="A26" s="7">
        <f>1+A25</f>
        <v>9</v>
      </c>
      <c r="C26" s="595" t="s">
        <v>492</v>
      </c>
      <c r="E26" s="1066">
        <v>1180311.2560634201</v>
      </c>
      <c r="F26" s="10"/>
      <c r="G26" s="10"/>
      <c r="H26" s="536"/>
      <c r="K26" s="265"/>
      <c r="L26" s="265"/>
      <c r="M26" s="265"/>
    </row>
    <row r="27" spans="1:13">
      <c r="A27" s="7">
        <f>1+A26</f>
        <v>10</v>
      </c>
      <c r="B27" s="35" t="s">
        <v>493</v>
      </c>
      <c r="C27" s="2"/>
      <c r="D27" s="2"/>
      <c r="E27" s="574">
        <f>SUM(E24:E26)</f>
        <v>4305365.2560634203</v>
      </c>
      <c r="F27" s="1031">
        <f>+'Appendix A'!H16</f>
        <v>0.12146075795343095</v>
      </c>
      <c r="G27" s="574">
        <f>+E27*F27</f>
        <v>522932.92726783035</v>
      </c>
      <c r="H27" s="574"/>
      <c r="I27" s="2"/>
      <c r="J27" s="2"/>
      <c r="K27" s="265"/>
      <c r="L27" s="265"/>
      <c r="M27" s="265"/>
    </row>
    <row r="28" spans="1:13">
      <c r="A28" s="7"/>
      <c r="B28" s="35"/>
      <c r="C28" s="2"/>
      <c r="D28" s="2"/>
      <c r="E28" s="574"/>
      <c r="F28" s="1032"/>
      <c r="G28" s="574"/>
      <c r="H28" s="574"/>
      <c r="I28" s="2"/>
      <c r="J28" s="2"/>
      <c r="K28" s="265"/>
      <c r="L28" s="265"/>
      <c r="M28" s="265"/>
    </row>
    <row r="29" spans="1:13" s="2" customFormat="1" ht="15.75" thickBot="1">
      <c r="A29" s="7">
        <f>+A27+1</f>
        <v>11</v>
      </c>
      <c r="B29" s="35" t="s">
        <v>494</v>
      </c>
      <c r="E29" s="982">
        <f>+E15+E20+E27</f>
        <v>18984987.40612983</v>
      </c>
      <c r="F29" s="1033"/>
      <c r="G29" s="982">
        <f>+G15+G20+G27</f>
        <v>15202555.077334238</v>
      </c>
      <c r="H29" s="537"/>
      <c r="K29" s="265"/>
      <c r="L29" s="265"/>
      <c r="M29" s="265"/>
    </row>
    <row r="30" spans="1:13" s="2" customFormat="1" ht="15.75" thickTop="1">
      <c r="A30" s="7"/>
      <c r="C30" s="29"/>
      <c r="E30" s="6"/>
      <c r="K30" s="265"/>
      <c r="L30" s="265"/>
      <c r="M30" s="265"/>
    </row>
    <row r="31" spans="1:13" s="2" customFormat="1">
      <c r="A31" s="7"/>
      <c r="C31" s="29"/>
      <c r="E31" s="6"/>
      <c r="F31" s="39"/>
      <c r="K31" s="265"/>
      <c r="L31" s="265"/>
      <c r="M31" s="265"/>
    </row>
    <row r="32" spans="1:13">
      <c r="A32" s="7"/>
      <c r="B32" s="2"/>
      <c r="C32" s="35" t="s">
        <v>292</v>
      </c>
      <c r="D32" s="2"/>
      <c r="E32" s="6"/>
      <c r="F32" s="2"/>
      <c r="G32" s="2"/>
      <c r="H32" s="2"/>
      <c r="I32" s="2"/>
      <c r="J32" s="2"/>
      <c r="K32" s="265"/>
      <c r="L32" s="265"/>
      <c r="M32" s="265"/>
    </row>
    <row r="33" spans="1:13" s="2" customFormat="1">
      <c r="A33" s="7"/>
      <c r="E33" s="6"/>
      <c r="G33" s="1034"/>
      <c r="H33" s="1034"/>
      <c r="K33" s="265"/>
      <c r="L33" s="265"/>
      <c r="M33" s="265"/>
    </row>
    <row r="34" spans="1:13">
      <c r="A34" s="7">
        <f>1+A29</f>
        <v>12</v>
      </c>
      <c r="B34" s="2"/>
      <c r="C34" s="597" t="s">
        <v>495</v>
      </c>
      <c r="D34" s="4"/>
      <c r="E34" s="927">
        <v>0</v>
      </c>
      <c r="F34" s="40"/>
      <c r="G34" s="4"/>
      <c r="H34" s="4"/>
      <c r="I34" s="2"/>
      <c r="J34" s="2"/>
      <c r="K34" s="265"/>
      <c r="L34" s="265"/>
      <c r="M34" s="265"/>
    </row>
    <row r="35" spans="1:13">
      <c r="A35" s="7">
        <f>1+A34</f>
        <v>13</v>
      </c>
      <c r="B35" s="2"/>
      <c r="C35" s="597" t="s">
        <v>496</v>
      </c>
      <c r="D35" s="4"/>
      <c r="E35" s="927">
        <v>0</v>
      </c>
      <c r="F35" s="40"/>
      <c r="G35" s="4"/>
      <c r="H35" s="4"/>
      <c r="I35" s="2"/>
      <c r="J35" s="2"/>
      <c r="K35" s="265"/>
      <c r="L35" s="265"/>
      <c r="M35" s="265"/>
    </row>
    <row r="36" spans="1:13">
      <c r="A36" s="7">
        <f t="shared" ref="A36:A41" si="1">1+A35</f>
        <v>14</v>
      </c>
      <c r="B36" s="2"/>
      <c r="C36" s="597" t="s">
        <v>497</v>
      </c>
      <c r="D36" s="4"/>
      <c r="E36" s="927">
        <v>0</v>
      </c>
      <c r="F36" s="40"/>
      <c r="G36" s="4"/>
      <c r="H36" s="4"/>
      <c r="I36" s="2"/>
      <c r="J36" s="2"/>
      <c r="K36" s="265"/>
      <c r="L36" s="265"/>
      <c r="M36" s="265"/>
    </row>
    <row r="37" spans="1:13">
      <c r="A37" s="7">
        <f t="shared" si="1"/>
        <v>15</v>
      </c>
      <c r="B37" s="2"/>
      <c r="C37" s="597" t="s">
        <v>498</v>
      </c>
      <c r="D37" s="4"/>
      <c r="E37" s="927">
        <v>0</v>
      </c>
      <c r="F37" s="40"/>
      <c r="G37" s="4"/>
      <c r="H37" s="4"/>
      <c r="I37" s="2"/>
      <c r="J37" s="2"/>
      <c r="K37" s="265"/>
      <c r="L37" s="265"/>
      <c r="M37" s="265"/>
    </row>
    <row r="38" spans="1:13">
      <c r="A38" s="7">
        <f t="shared" si="1"/>
        <v>16</v>
      </c>
      <c r="B38" s="2"/>
      <c r="C38" s="595" t="s">
        <v>485</v>
      </c>
      <c r="D38" s="25"/>
      <c r="E38" s="927">
        <v>0</v>
      </c>
      <c r="F38" s="40"/>
      <c r="G38" s="4"/>
      <c r="H38" s="4"/>
      <c r="I38" s="2"/>
      <c r="J38" s="2"/>
      <c r="K38" s="265"/>
      <c r="L38" s="265"/>
      <c r="M38" s="265"/>
    </row>
    <row r="39" spans="1:13">
      <c r="A39" s="7">
        <f t="shared" si="1"/>
        <v>17</v>
      </c>
      <c r="B39" s="2"/>
      <c r="C39" s="595" t="s">
        <v>485</v>
      </c>
      <c r="D39" s="25"/>
      <c r="E39" s="927">
        <v>0</v>
      </c>
      <c r="F39" s="40"/>
      <c r="G39" s="2"/>
      <c r="H39" s="2"/>
      <c r="I39" s="2"/>
      <c r="J39" s="2"/>
      <c r="K39" s="265"/>
      <c r="L39" s="265"/>
      <c r="M39" s="265"/>
    </row>
    <row r="40" spans="1:13">
      <c r="A40" s="7">
        <f t="shared" si="1"/>
        <v>18</v>
      </c>
      <c r="B40" s="2"/>
      <c r="C40" s="595" t="s">
        <v>485</v>
      </c>
      <c r="D40" s="4"/>
      <c r="E40" s="927">
        <v>0</v>
      </c>
      <c r="F40" s="40"/>
      <c r="G40" s="2"/>
      <c r="H40" s="2"/>
      <c r="I40" s="2"/>
      <c r="J40" s="2"/>
      <c r="K40" s="265"/>
      <c r="L40" s="265"/>
      <c r="M40" s="265"/>
    </row>
    <row r="41" spans="1:13" s="2" customFormat="1" ht="15.75">
      <c r="A41" s="7">
        <f t="shared" si="1"/>
        <v>19</v>
      </c>
      <c r="C41" s="727" t="s">
        <v>499</v>
      </c>
      <c r="D41" s="4"/>
      <c r="E41" s="1035">
        <f>SUM(E34:E40)</f>
        <v>0</v>
      </c>
      <c r="K41" s="265"/>
      <c r="L41" s="265"/>
      <c r="M41" s="265"/>
    </row>
    <row r="42" spans="1:13" s="2" customFormat="1">
      <c r="A42" s="7"/>
      <c r="C42" s="4"/>
      <c r="D42" s="4"/>
      <c r="E42" s="928"/>
      <c r="K42" s="265"/>
      <c r="L42" s="265"/>
      <c r="M42" s="265"/>
    </row>
    <row r="43" spans="1:13" ht="15.75">
      <c r="A43" s="7">
        <f>1+A41</f>
        <v>20</v>
      </c>
      <c r="B43" s="727" t="s">
        <v>500</v>
      </c>
      <c r="C43" s="1036"/>
      <c r="D43" s="4"/>
      <c r="E43" s="1037">
        <f>+E29+E41</f>
        <v>18984987.40612983</v>
      </c>
      <c r="F43" s="2"/>
      <c r="G43" s="2"/>
      <c r="H43" s="2"/>
      <c r="I43" s="2"/>
      <c r="J43" s="2"/>
      <c r="K43" s="265"/>
      <c r="L43" s="265"/>
      <c r="M43" s="265"/>
    </row>
    <row r="44" spans="1:13">
      <c r="A44" s="7"/>
      <c r="B44" s="4"/>
      <c r="C44" s="1038"/>
      <c r="D44" s="4"/>
      <c r="E44" s="928"/>
      <c r="F44" s="4"/>
      <c r="G44" s="2"/>
      <c r="H44" s="2"/>
      <c r="I44" s="2"/>
      <c r="J44" s="2"/>
      <c r="K44" s="265"/>
      <c r="L44" s="265"/>
      <c r="M44" s="265"/>
    </row>
    <row r="45" spans="1:13" ht="15.75">
      <c r="A45" s="7">
        <f>1+A43</f>
        <v>21</v>
      </c>
      <c r="B45" s="727" t="s">
        <v>501</v>
      </c>
      <c r="C45" s="1036"/>
      <c r="D45" s="1039"/>
      <c r="E45" s="927">
        <v>0</v>
      </c>
      <c r="F45" s="41"/>
      <c r="G45" s="41"/>
      <c r="H45" s="41"/>
      <c r="I45" s="2"/>
      <c r="J45" s="2"/>
      <c r="K45" s="265"/>
      <c r="L45" s="265"/>
      <c r="M45" s="265"/>
    </row>
    <row r="46" spans="1:13">
      <c r="A46" s="2"/>
      <c r="B46" s="4"/>
      <c r="C46" s="1040"/>
      <c r="D46" s="1040"/>
      <c r="E46" s="1041"/>
      <c r="F46" s="41"/>
      <c r="G46" s="41"/>
      <c r="H46" s="41"/>
      <c r="I46" s="2"/>
      <c r="J46" s="2"/>
      <c r="K46" s="265"/>
      <c r="L46" s="265"/>
      <c r="M46" s="265"/>
    </row>
    <row r="47" spans="1:13">
      <c r="A47" s="7">
        <f>1+A45</f>
        <v>22</v>
      </c>
      <c r="B47" s="4"/>
      <c r="C47" s="1040" t="s">
        <v>502</v>
      </c>
      <c r="D47" s="1040"/>
      <c r="E47" s="1042">
        <f>+E43-E45</f>
        <v>18984987.40612983</v>
      </c>
      <c r="F47" s="2"/>
      <c r="G47" s="41"/>
      <c r="H47" s="41"/>
      <c r="I47" s="2"/>
      <c r="J47" s="2"/>
      <c r="K47" s="265"/>
      <c r="L47" s="265"/>
      <c r="M47" s="265"/>
    </row>
    <row r="48" spans="1:13">
      <c r="A48" s="2"/>
      <c r="B48" s="4"/>
      <c r="C48" s="1040"/>
      <c r="D48" s="1040"/>
      <c r="E48" s="1043"/>
      <c r="F48" s="41"/>
      <c r="G48" s="41"/>
      <c r="H48" s="41"/>
      <c r="I48" s="2"/>
      <c r="J48" s="2"/>
      <c r="K48" s="2"/>
      <c r="L48" s="2"/>
      <c r="M48" s="2"/>
    </row>
    <row r="49" spans="2:8">
      <c r="B49" s="4"/>
      <c r="C49" s="1040"/>
      <c r="D49" s="1040"/>
      <c r="E49" s="1043"/>
      <c r="F49" s="41"/>
      <c r="G49" s="41"/>
      <c r="H49" s="41"/>
    </row>
    <row r="50" spans="2:8">
      <c r="B50" s="4"/>
      <c r="C50" s="1040"/>
      <c r="D50" s="1040"/>
      <c r="E50" s="1043"/>
      <c r="F50" s="41"/>
      <c r="G50" s="41"/>
      <c r="H50" s="41"/>
    </row>
    <row r="51" spans="2:8">
      <c r="B51" s="4"/>
      <c r="C51" s="1040"/>
      <c r="D51" s="1040"/>
      <c r="E51" s="1043"/>
      <c r="F51" s="41"/>
      <c r="G51" s="41"/>
      <c r="H51" s="41"/>
    </row>
    <row r="52" spans="2:8" ht="25.15" customHeight="1">
      <c r="B52" s="4"/>
      <c r="C52" s="4"/>
      <c r="D52" s="4"/>
      <c r="E52" s="39"/>
      <c r="F52" s="40"/>
      <c r="G52" s="40"/>
      <c r="H52" s="40"/>
    </row>
    <row r="53" spans="2:8" ht="25.15" customHeight="1">
      <c r="B53" s="4"/>
      <c r="C53" s="4"/>
      <c r="D53" s="4"/>
      <c r="E53" s="39"/>
      <c r="F53" s="40"/>
      <c r="G53" s="40"/>
      <c r="H53" s="40"/>
    </row>
    <row r="54" spans="2:8" ht="25.15" customHeight="1">
      <c r="B54" s="4"/>
      <c r="C54" s="988"/>
      <c r="D54" s="4"/>
      <c r="E54" s="39"/>
      <c r="F54" s="4"/>
      <c r="G54" s="40"/>
      <c r="H54" s="40"/>
    </row>
    <row r="55" spans="2:8" ht="25.15" customHeight="1">
      <c r="B55" s="4"/>
      <c r="C55" s="4"/>
      <c r="D55" s="4"/>
      <c r="E55" s="39"/>
      <c r="F55" s="4"/>
      <c r="G55" s="40"/>
      <c r="H55" s="40"/>
    </row>
    <row r="56" spans="2:8" ht="25.15" customHeight="1">
      <c r="B56" s="4"/>
      <c r="C56" s="988"/>
      <c r="D56" s="4"/>
      <c r="E56" s="39"/>
      <c r="F56" s="4"/>
      <c r="G56" s="40"/>
      <c r="H56" s="40"/>
    </row>
    <row r="57" spans="2:8" ht="25.15" customHeight="1">
      <c r="B57" s="4"/>
      <c r="C57" s="4"/>
      <c r="D57" s="4"/>
      <c r="E57" s="39"/>
      <c r="F57" s="4"/>
      <c r="G57" s="40"/>
      <c r="H57" s="40"/>
    </row>
    <row r="58" spans="2:8" ht="25.15" customHeight="1">
      <c r="B58" s="4"/>
      <c r="C58" s="988"/>
      <c r="D58" s="4"/>
      <c r="E58" s="39"/>
      <c r="F58" s="4"/>
      <c r="G58" s="40"/>
      <c r="H58" s="40"/>
    </row>
    <row r="59" spans="2:8" ht="25.15" customHeight="1">
      <c r="B59" s="4"/>
      <c r="C59" s="4"/>
      <c r="D59" s="4"/>
      <c r="E59" s="39"/>
      <c r="F59" s="4"/>
      <c r="G59" s="4"/>
      <c r="H59" s="4"/>
    </row>
    <row r="60" spans="2:8" ht="25.15" customHeight="1">
      <c r="B60" s="4"/>
      <c r="C60" s="4"/>
      <c r="D60" s="4"/>
      <c r="E60" s="1044"/>
      <c r="F60" s="4"/>
      <c r="G60" s="4"/>
      <c r="H60" s="4"/>
    </row>
    <row r="61" spans="2:8" ht="25.15" customHeight="1">
      <c r="B61" s="4"/>
      <c r="C61" s="4"/>
      <c r="D61" s="4"/>
      <c r="E61" s="1044"/>
      <c r="F61" s="4"/>
      <c r="G61" s="4"/>
      <c r="H61" s="4"/>
    </row>
    <row r="62" spans="2:8">
      <c r="B62" s="2"/>
      <c r="C62" s="4"/>
      <c r="D62" s="2"/>
      <c r="E62" s="6"/>
      <c r="F62" s="2"/>
      <c r="G62" s="2"/>
      <c r="H62" s="2"/>
    </row>
    <row r="63" spans="2:8">
      <c r="B63" s="2"/>
      <c r="C63" s="4"/>
      <c r="D63" s="2"/>
      <c r="E63" s="6"/>
      <c r="F63" s="2"/>
      <c r="G63" s="2"/>
      <c r="H63" s="2"/>
    </row>
    <row r="64" spans="2:8">
      <c r="B64" s="2"/>
      <c r="C64" s="4"/>
      <c r="D64" s="2"/>
      <c r="E64" s="6"/>
      <c r="F64" s="2"/>
      <c r="G64" s="2"/>
      <c r="H64" s="2"/>
    </row>
    <row r="65" spans="3:3">
      <c r="C65" s="4"/>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51"/>
  <sheetViews>
    <sheetView showGridLines="0" zoomScale="75" zoomScaleNormal="75" workbookViewId="0"/>
  </sheetViews>
  <sheetFormatPr defaultColWidth="9.28515625" defaultRowHeight="15"/>
  <cols>
    <col min="1" max="1" width="7.28515625" style="7" customWidth="1"/>
    <col min="2" max="2" width="120.5703125" style="2" customWidth="1"/>
    <col min="3" max="3" width="23.7109375" style="2" customWidth="1"/>
    <col min="4" max="4" width="17" style="22" bestFit="1" customWidth="1"/>
    <col min="5" max="5" width="17.5703125" style="2" customWidth="1"/>
    <col min="6" max="9" width="9.28515625" style="2"/>
    <col min="10" max="10" width="13.28515625" style="2" bestFit="1" customWidth="1"/>
    <col min="11" max="14" width="9.28515625" style="2"/>
    <col min="15" max="15" width="14.5703125" style="2" bestFit="1" customWidth="1"/>
    <col min="16" max="16384" width="9.28515625" style="2"/>
  </cols>
  <sheetData>
    <row r="1" spans="1:7" ht="18">
      <c r="A1" s="42"/>
      <c r="B1" s="27"/>
      <c r="C1" s="27"/>
      <c r="D1" s="43"/>
    </row>
    <row r="2" spans="1:7" ht="18">
      <c r="A2" s="1130" t="str">
        <f>+'Appendix A'!A3</f>
        <v>Dayton Power and Light</v>
      </c>
      <c r="B2" s="1130"/>
      <c r="C2" s="1130"/>
      <c r="D2" s="1130"/>
    </row>
    <row r="3" spans="1:7" ht="18">
      <c r="A3" s="1130" t="str">
        <f>+'Appendix A'!A4</f>
        <v xml:space="preserve">ATTACHMENT H-15A </v>
      </c>
      <c r="B3" s="1130"/>
      <c r="C3" s="1130"/>
      <c r="D3" s="1130"/>
      <c r="E3" s="967"/>
    </row>
    <row r="4" spans="1:7" ht="18">
      <c r="A4" s="1130" t="s">
        <v>503</v>
      </c>
      <c r="B4" s="1130"/>
      <c r="C4" s="1130"/>
      <c r="D4" s="1130"/>
    </row>
    <row r="5" spans="1:7">
      <c r="B5" s="21"/>
      <c r="C5" s="8"/>
    </row>
    <row r="6" spans="1:7">
      <c r="A6" s="5" t="s">
        <v>446</v>
      </c>
      <c r="B6" s="21"/>
      <c r="C6" s="7"/>
      <c r="D6" s="11"/>
    </row>
    <row r="7" spans="1:7">
      <c r="B7" s="21"/>
      <c r="C7" s="7"/>
      <c r="D7" s="18"/>
    </row>
    <row r="8" spans="1:7">
      <c r="B8" s="21"/>
      <c r="C8" s="7"/>
    </row>
    <row r="9" spans="1:7" ht="30.75">
      <c r="B9" s="690" t="s">
        <v>504</v>
      </c>
      <c r="C9" s="7"/>
      <c r="E9" s="696" t="s">
        <v>505</v>
      </c>
      <c r="G9" s="2" t="s">
        <v>506</v>
      </c>
    </row>
    <row r="10" spans="1:7" ht="15" customHeight="1">
      <c r="A10" s="7">
        <v>1</v>
      </c>
      <c r="B10" s="2" t="s">
        <v>507</v>
      </c>
      <c r="C10" s="7"/>
      <c r="D10" s="87">
        <v>-2933600</v>
      </c>
      <c r="E10" s="2" t="s">
        <v>508</v>
      </c>
    </row>
    <row r="11" spans="1:7" ht="15" customHeight="1">
      <c r="A11" s="7">
        <f>+A10+1</f>
        <v>2</v>
      </c>
      <c r="B11" s="688" t="s">
        <v>23</v>
      </c>
      <c r="C11" s="689"/>
      <c r="D11" s="758">
        <f>+'Appendix A'!H33</f>
        <v>0.18298233367566416</v>
      </c>
      <c r="E11" s="28" t="str">
        <f>"(Appendix A, Line "&amp;'Appendix A'!A33&amp;")"</f>
        <v>(Appendix A, Line 17)</v>
      </c>
    </row>
    <row r="12" spans="1:7" ht="15" customHeight="1">
      <c r="A12" s="7">
        <f>+A11+1</f>
        <v>3</v>
      </c>
      <c r="B12" s="2" t="s">
        <v>509</v>
      </c>
      <c r="C12" s="7"/>
      <c r="D12" s="691">
        <f>+D10*D11</f>
        <v>-536796.97407092841</v>
      </c>
    </row>
    <row r="13" spans="1:7" ht="15" customHeight="1">
      <c r="C13" s="7"/>
      <c r="D13" s="691"/>
    </row>
    <row r="14" spans="1:7" ht="15.75">
      <c r="B14" s="692" t="s">
        <v>510</v>
      </c>
      <c r="C14" s="7"/>
      <c r="D14" s="929"/>
    </row>
    <row r="15" spans="1:7">
      <c r="A15" s="7">
        <f>+A12+1</f>
        <v>4</v>
      </c>
      <c r="B15" s="5" t="s">
        <v>511</v>
      </c>
      <c r="C15" s="7"/>
      <c r="D15" s="87">
        <v>-1868592</v>
      </c>
      <c r="E15" s="562" t="s">
        <v>512</v>
      </c>
    </row>
    <row r="16" spans="1:7">
      <c r="A16" s="7">
        <f>+A15+1</f>
        <v>5</v>
      </c>
      <c r="B16" s="716" t="s">
        <v>513</v>
      </c>
      <c r="C16" s="717"/>
      <c r="D16" s="87">
        <v>-246305</v>
      </c>
      <c r="E16" s="562" t="s">
        <v>512</v>
      </c>
    </row>
    <row r="17" spans="1:39">
      <c r="A17" s="7">
        <f t="shared" ref="A17:A20" si="0">+A16+1</f>
        <v>6</v>
      </c>
      <c r="B17" s="718" t="s">
        <v>514</v>
      </c>
      <c r="C17" s="719"/>
      <c r="D17" s="930">
        <f>+D15-D16</f>
        <v>-1622287</v>
      </c>
    </row>
    <row r="18" spans="1:39">
      <c r="A18" s="7">
        <f t="shared" si="0"/>
        <v>7</v>
      </c>
      <c r="B18" s="688" t="s">
        <v>23</v>
      </c>
      <c r="C18" s="689"/>
      <c r="D18" s="758">
        <f>+'Appendix A'!H33</f>
        <v>0.18298233367566416</v>
      </c>
      <c r="E18" s="28" t="str">
        <f>"(Appendix A, Line "&amp;'Appendix A'!A33&amp;")"</f>
        <v>(Appendix A, Line 17)</v>
      </c>
    </row>
    <row r="19" spans="1:39">
      <c r="A19" s="7">
        <f t="shared" si="0"/>
        <v>8</v>
      </c>
      <c r="B19" s="720" t="s">
        <v>515</v>
      </c>
      <c r="C19" s="721"/>
      <c r="D19" s="722">
        <f>D17*D18</f>
        <v>-296849.86115169217</v>
      </c>
    </row>
    <row r="20" spans="1:39">
      <c r="A20" s="7">
        <f t="shared" si="0"/>
        <v>9</v>
      </c>
      <c r="B20" s="2" t="s">
        <v>516</v>
      </c>
      <c r="C20" s="7"/>
      <c r="D20" s="691">
        <f>+D16+D19</f>
        <v>-543154.86115169222</v>
      </c>
    </row>
    <row r="21" spans="1:39" ht="15.75">
      <c r="B21" s="692"/>
      <c r="C21" s="7"/>
      <c r="D21" s="929"/>
    </row>
    <row r="22" spans="1:39" ht="15.75">
      <c r="B22" s="1045" t="s">
        <v>517</v>
      </c>
      <c r="D22" s="929"/>
    </row>
    <row r="23" spans="1:39">
      <c r="A23" s="7">
        <f>+A20+1</f>
        <v>10</v>
      </c>
      <c r="B23" s="3" t="s">
        <v>518</v>
      </c>
      <c r="C23" s="3"/>
      <c r="D23" s="47">
        <v>0</v>
      </c>
      <c r="E23" s="562" t="s">
        <v>512</v>
      </c>
    </row>
    <row r="24" spans="1:39">
      <c r="A24" s="7">
        <f>+A23+1</f>
        <v>11</v>
      </c>
      <c r="B24" s="3" t="s">
        <v>519</v>
      </c>
      <c r="C24" s="3"/>
      <c r="D24" s="47">
        <v>0</v>
      </c>
      <c r="E24" s="562" t="s">
        <v>512</v>
      </c>
    </row>
    <row r="25" spans="1:39">
      <c r="A25" s="7">
        <f t="shared" ref="A25:A26" si="1">+A24+1</f>
        <v>12</v>
      </c>
      <c r="B25" s="3" t="s">
        <v>520</v>
      </c>
      <c r="C25" s="3"/>
      <c r="D25" s="47">
        <v>0</v>
      </c>
      <c r="E25" s="562" t="s">
        <v>512</v>
      </c>
    </row>
    <row r="26" spans="1:39">
      <c r="A26" s="7">
        <f t="shared" si="1"/>
        <v>13</v>
      </c>
      <c r="B26" s="3" t="s">
        <v>521</v>
      </c>
      <c r="C26" s="3"/>
      <c r="D26" s="1061">
        <v>0</v>
      </c>
      <c r="E26" s="562" t="s">
        <v>512</v>
      </c>
    </row>
    <row r="27" spans="1:39">
      <c r="B27" s="3"/>
      <c r="C27" s="3"/>
      <c r="D27" s="929"/>
      <c r="E27" s="562"/>
    </row>
    <row r="28" spans="1:39" s="24" customFormat="1" ht="15.75">
      <c r="A28" s="8"/>
      <c r="B28" s="694" t="s">
        <v>522</v>
      </c>
      <c r="C28" s="3"/>
      <c r="D28" s="693"/>
      <c r="E28" s="562"/>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s="24" customFormat="1">
      <c r="A29" s="8">
        <f>+A26+1</f>
        <v>14</v>
      </c>
      <c r="B29" s="5" t="s">
        <v>523</v>
      </c>
      <c r="C29" s="23"/>
      <c r="D29" s="1061">
        <v>-1488574</v>
      </c>
      <c r="E29" s="562" t="s">
        <v>512</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s="24" customFormat="1">
      <c r="A30" s="8">
        <f>+A29+1</f>
        <v>15</v>
      </c>
      <c r="B30" s="3" t="s">
        <v>524</v>
      </c>
      <c r="C30" s="3"/>
      <c r="D30" s="1061">
        <v>0</v>
      </c>
      <c r="E30" s="562" t="s">
        <v>512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s="24" customFormat="1">
      <c r="A31" s="8">
        <f>+A30+1</f>
        <v>16</v>
      </c>
      <c r="B31" s="3" t="s">
        <v>525</v>
      </c>
      <c r="C31" s="4"/>
      <c r="D31" s="1061">
        <v>0</v>
      </c>
      <c r="E31" s="562" t="s">
        <v>512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c r="A32" s="8">
        <f>+A31+1</f>
        <v>17</v>
      </c>
      <c r="B32" s="3" t="s">
        <v>526</v>
      </c>
      <c r="C32" s="3"/>
      <c r="D32" s="1061">
        <v>0</v>
      </c>
      <c r="E32" s="562" t="s">
        <v>512</v>
      </c>
    </row>
    <row r="33" spans="1:16">
      <c r="A33" s="8">
        <f>+A32+1</f>
        <v>18</v>
      </c>
      <c r="B33" s="3" t="s">
        <v>527</v>
      </c>
      <c r="C33" s="3"/>
      <c r="D33" s="1061">
        <v>-64973</v>
      </c>
      <c r="E33" s="562" t="s">
        <v>512</v>
      </c>
    </row>
    <row r="34" spans="1:16" ht="30" customHeight="1">
      <c r="A34" s="8"/>
      <c r="B34" s="694" t="s">
        <v>528</v>
      </c>
      <c r="C34" s="3"/>
      <c r="D34" s="693"/>
      <c r="E34" s="562"/>
    </row>
    <row r="35" spans="1:16" ht="45">
      <c r="A35" s="687">
        <f>+A33+1</f>
        <v>19</v>
      </c>
      <c r="B35" s="25" t="s">
        <v>529</v>
      </c>
      <c r="C35" s="23"/>
      <c r="D35" s="87">
        <v>0</v>
      </c>
      <c r="E35" s="562" t="s">
        <v>512</v>
      </c>
    </row>
    <row r="36" spans="1:16">
      <c r="A36" s="8">
        <f>+A35+1</f>
        <v>20</v>
      </c>
      <c r="B36" s="1" t="s">
        <v>530</v>
      </c>
      <c r="C36" s="23"/>
      <c r="D36" s="1061">
        <v>-266042</v>
      </c>
      <c r="E36" s="562" t="s">
        <v>512</v>
      </c>
    </row>
    <row r="37" spans="1:16" ht="30">
      <c r="A37" s="7">
        <f>+A36+1</f>
        <v>21</v>
      </c>
      <c r="B37" s="1" t="s">
        <v>531</v>
      </c>
      <c r="C37" s="695" t="str">
        <f>"(Sum of Lines "&amp;A12&amp;" , "&amp;A20&amp;" and "&amp;A23&amp;" through "&amp;A36&amp;")"</f>
        <v>(Sum of Lines 3 , 9 and 10 through 20)</v>
      </c>
      <c r="D37" s="61">
        <f>SUM(D23:D36)+D12+D20</f>
        <v>-2899540.8352226205</v>
      </c>
    </row>
    <row r="38" spans="1:16">
      <c r="A38" s="8"/>
      <c r="B38" s="4"/>
      <c r="C38" s="4"/>
      <c r="D38" s="931"/>
      <c r="E38" s="562"/>
      <c r="F38" s="562"/>
      <c r="G38" s="562"/>
      <c r="H38" s="562"/>
      <c r="I38" s="562"/>
      <c r="J38" s="562"/>
      <c r="K38" s="562"/>
      <c r="L38" s="562"/>
      <c r="M38" s="562"/>
      <c r="N38" s="562"/>
      <c r="O38" s="562"/>
    </row>
    <row r="39" spans="1:16" ht="15.75">
      <c r="A39" s="8">
        <f>+A37+1</f>
        <v>22</v>
      </c>
      <c r="B39" s="3" t="s">
        <v>532</v>
      </c>
      <c r="C39" s="4"/>
      <c r="D39" s="932">
        <f>+D43</f>
        <v>0</v>
      </c>
      <c r="E39" s="281"/>
      <c r="F39" s="281"/>
      <c r="G39" s="281"/>
      <c r="H39" s="281"/>
      <c r="I39" s="281"/>
      <c r="J39" s="281"/>
      <c r="K39" s="281"/>
      <c r="L39" s="281"/>
      <c r="M39" s="281"/>
      <c r="N39" s="281"/>
      <c r="O39" s="281"/>
    </row>
    <row r="40" spans="1:16" ht="15.75">
      <c r="A40" s="8">
        <f>A39+1</f>
        <v>23</v>
      </c>
      <c r="B40" s="3" t="s">
        <v>533</v>
      </c>
      <c r="C40" s="695" t="str">
        <f>"(Line "&amp;A37&amp;" - "&amp;A39&amp;")"</f>
        <v>(Line 21 - 22)</v>
      </c>
      <c r="D40" s="61">
        <f>+D37-D39</f>
        <v>-2899540.8352226205</v>
      </c>
      <c r="E40" s="282"/>
      <c r="F40" s="281"/>
      <c r="G40" s="281"/>
      <c r="H40" s="281"/>
      <c r="I40" s="281"/>
      <c r="J40" s="282"/>
      <c r="K40" s="281"/>
      <c r="L40" s="281"/>
      <c r="M40" s="281"/>
      <c r="N40" s="281"/>
      <c r="O40" s="281"/>
    </row>
    <row r="41" spans="1:16" ht="15.75">
      <c r="A41" s="8"/>
      <c r="B41" s="19"/>
      <c r="D41" s="931"/>
      <c r="E41" s="9"/>
      <c r="F41" s="9"/>
      <c r="G41" s="9"/>
      <c r="H41" s="9"/>
      <c r="I41" s="9"/>
      <c r="J41" s="9"/>
      <c r="K41" s="562"/>
      <c r="L41" s="562"/>
      <c r="M41" s="562"/>
      <c r="N41" s="562"/>
      <c r="O41" s="562"/>
    </row>
    <row r="42" spans="1:16" ht="28.9" customHeight="1">
      <c r="A42" s="687">
        <f>A40+1</f>
        <v>24</v>
      </c>
      <c r="B42" s="1083" t="s">
        <v>534</v>
      </c>
      <c r="C42" s="695" t="str">
        <f>"(Sum of Lines "&amp;A23&amp;" , "&amp;A24&amp;" , "&amp;A25&amp;", "&amp;A30&amp;" and "&amp;A32&amp;")"</f>
        <v>(Sum of Lines 10 , 11 , 12, 15 and 17)</v>
      </c>
      <c r="D42" s="933">
        <f>+D23+D24+D25+D30+D32</f>
        <v>0</v>
      </c>
      <c r="E42" s="562"/>
      <c r="F42" s="562"/>
      <c r="G42" s="562"/>
      <c r="H42" s="562"/>
      <c r="I42" s="562"/>
      <c r="J42" s="562"/>
      <c r="K42" s="562"/>
      <c r="L42" s="562"/>
      <c r="M42" s="562"/>
      <c r="N42" s="562"/>
      <c r="O42" s="562"/>
      <c r="P42" s="562"/>
    </row>
    <row r="43" spans="1:16" ht="15" customHeight="1">
      <c r="A43" s="687">
        <f>+A42+1</f>
        <v>25</v>
      </c>
      <c r="B43" s="1083" t="s">
        <v>535</v>
      </c>
      <c r="C43" s="695" t="str">
        <f>"(50% of Line "&amp;A42&amp;")"</f>
        <v>(50% of Line 24)</v>
      </c>
      <c r="D43" s="933">
        <f>+D42*0.5</f>
        <v>0</v>
      </c>
      <c r="E43" s="562"/>
      <c r="F43" s="562"/>
      <c r="G43" s="562"/>
      <c r="H43" s="562"/>
      <c r="I43" s="562"/>
      <c r="J43" s="562"/>
      <c r="K43" s="562"/>
      <c r="L43" s="562"/>
      <c r="M43" s="562"/>
      <c r="N43" s="562"/>
      <c r="O43" s="276"/>
    </row>
    <row r="44" spans="1:16">
      <c r="A44" s="687"/>
      <c r="B44" s="3"/>
      <c r="C44" s="4"/>
      <c r="D44" s="932"/>
      <c r="O44" s="280"/>
    </row>
    <row r="46" spans="1:16" s="4" customFormat="1" ht="31.9" customHeight="1">
      <c r="A46" s="687" t="s">
        <v>536</v>
      </c>
      <c r="B46" s="1132" t="s">
        <v>537</v>
      </c>
      <c r="C46" s="1132"/>
      <c r="D46" s="1132"/>
    </row>
    <row r="47" spans="1:16" s="4" customFormat="1" ht="88.9" customHeight="1">
      <c r="A47" s="687" t="s">
        <v>538</v>
      </c>
      <c r="B47" s="1133" t="s">
        <v>539</v>
      </c>
      <c r="C47" s="1134"/>
      <c r="D47" s="1134"/>
    </row>
    <row r="48" spans="1:16">
      <c r="A48" s="7" t="s">
        <v>540</v>
      </c>
      <c r="B48" s="2" t="s">
        <v>541</v>
      </c>
      <c r="O48" s="265"/>
    </row>
    <row r="49" spans="15:15">
      <c r="O49" s="265"/>
    </row>
    <row r="50" spans="15:15">
      <c r="O50" s="265"/>
    </row>
    <row r="51" spans="15:15">
      <c r="O51" s="265"/>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6:D46"/>
    <mergeCell ref="B47:D47"/>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60"/>
  <sheetViews>
    <sheetView showGridLines="0" showWhiteSpace="0" zoomScale="60" zoomScaleNormal="60" zoomScaleSheetLayoutView="40" zoomScalePageLayoutView="50" workbookViewId="0">
      <selection sqref="A1:U1"/>
    </sheetView>
  </sheetViews>
  <sheetFormatPr defaultColWidth="9.28515625" defaultRowHeight="15"/>
  <cols>
    <col min="1" max="1" width="6.28515625" style="88" customWidth="1"/>
    <col min="2" max="2" width="6.42578125" style="88" customWidth="1"/>
    <col min="3" max="3" width="63.140625" style="88" customWidth="1"/>
    <col min="4" max="4" width="41.42578125" style="88" customWidth="1"/>
    <col min="5" max="5" width="26.28515625" style="88" customWidth="1"/>
    <col min="6" max="6" width="12.140625" style="562" customWidth="1"/>
    <col min="7" max="7" width="18.7109375" style="88" customWidth="1"/>
    <col min="8" max="8" width="19.7109375" style="88" customWidth="1"/>
    <col min="9" max="9" width="21.28515625" style="88" customWidth="1"/>
    <col min="10" max="10" width="20.7109375" style="88" customWidth="1"/>
    <col min="11" max="11" width="19" style="88" customWidth="1"/>
    <col min="12" max="12" width="20.42578125" style="88" customWidth="1"/>
    <col min="13" max="13" width="18.28515625" style="88" customWidth="1"/>
    <col min="14" max="14" width="21.7109375" style="88" customWidth="1"/>
    <col min="15" max="15" width="21.42578125" style="88" customWidth="1"/>
    <col min="16" max="16" width="22" style="88" customWidth="1"/>
    <col min="17" max="17" width="20.7109375" style="88" customWidth="1"/>
    <col min="18" max="18" width="21.42578125" style="88" customWidth="1"/>
    <col min="19" max="19" width="21.5703125" style="88" customWidth="1"/>
    <col min="20" max="20" width="20.28515625" style="88" customWidth="1"/>
    <col min="21" max="21" width="18.42578125" style="88" customWidth="1"/>
    <col min="22" max="16384" width="9.28515625" style="88"/>
  </cols>
  <sheetData>
    <row r="1" spans="1:21" s="562" customFormat="1" ht="21" customHeight="1">
      <c r="A1" s="1145" t="s">
        <v>0</v>
      </c>
      <c r="B1" s="1145"/>
      <c r="C1" s="1145"/>
      <c r="D1" s="1145"/>
      <c r="E1" s="1145"/>
      <c r="F1" s="1145"/>
      <c r="G1" s="1145"/>
      <c r="H1" s="1145"/>
      <c r="I1" s="1145"/>
      <c r="J1" s="1145"/>
      <c r="K1" s="1145"/>
      <c r="L1" s="1145"/>
      <c r="M1" s="1145"/>
      <c r="N1" s="1145"/>
      <c r="O1" s="1145"/>
      <c r="P1" s="1145"/>
      <c r="Q1" s="1145"/>
      <c r="R1" s="1145"/>
      <c r="S1" s="1145"/>
      <c r="T1" s="1145"/>
      <c r="U1" s="1145"/>
    </row>
    <row r="2" spans="1:21" ht="21" customHeight="1">
      <c r="A2" s="1145" t="str">
        <f>+'Appendix A'!A4</f>
        <v xml:space="preserve">ATTACHMENT H-15A </v>
      </c>
      <c r="B2" s="1145"/>
      <c r="C2" s="1145"/>
      <c r="D2" s="1145"/>
      <c r="E2" s="1145"/>
      <c r="F2" s="1145"/>
      <c r="G2" s="1145"/>
      <c r="H2" s="1145"/>
      <c r="I2" s="1145"/>
      <c r="J2" s="1145"/>
      <c r="K2" s="1145"/>
      <c r="L2" s="1145"/>
      <c r="M2" s="1145"/>
      <c r="N2" s="1145"/>
      <c r="O2" s="1145"/>
      <c r="P2" s="1145"/>
      <c r="Q2" s="1145"/>
      <c r="R2" s="1145"/>
      <c r="S2" s="1145"/>
      <c r="T2" s="1145"/>
      <c r="U2" s="1145"/>
    </row>
    <row r="3" spans="1:21" ht="21" customHeight="1">
      <c r="A3" s="1145" t="s">
        <v>542</v>
      </c>
      <c r="B3" s="1145"/>
      <c r="C3" s="1145"/>
      <c r="D3" s="1145"/>
      <c r="E3" s="1145"/>
      <c r="F3" s="1145"/>
      <c r="G3" s="1145"/>
      <c r="H3" s="1145"/>
      <c r="I3" s="1145"/>
      <c r="J3" s="1145"/>
      <c r="K3" s="1145"/>
      <c r="L3" s="1145"/>
      <c r="M3" s="1145"/>
      <c r="N3" s="1145"/>
      <c r="O3" s="1145"/>
      <c r="P3" s="1145"/>
      <c r="Q3" s="1145"/>
      <c r="R3" s="1145"/>
      <c r="S3" s="1145"/>
      <c r="T3" s="1145"/>
      <c r="U3" s="1145"/>
    </row>
    <row r="4" spans="1:21" ht="51.6" customHeight="1">
      <c r="A4" s="562" t="s">
        <v>446</v>
      </c>
      <c r="B4" s="713"/>
      <c r="C4" s="713"/>
      <c r="D4" s="713"/>
      <c r="E4" s="713"/>
      <c r="F4" s="713"/>
      <c r="G4" s="713"/>
      <c r="H4" s="713"/>
      <c r="I4" s="713"/>
      <c r="J4" s="713"/>
      <c r="K4" s="713"/>
      <c r="L4" s="713"/>
      <c r="M4" s="713"/>
      <c r="N4" s="713"/>
      <c r="O4" s="713"/>
      <c r="P4" s="713"/>
      <c r="Q4" s="713"/>
      <c r="R4" s="562"/>
      <c r="S4" s="562"/>
      <c r="T4" s="562"/>
      <c r="U4" s="967"/>
    </row>
    <row r="5" spans="1:21" ht="21" customHeight="1">
      <c r="A5" s="95"/>
      <c r="B5" s="96"/>
      <c r="C5" s="96"/>
      <c r="D5" s="96"/>
      <c r="E5" s="96"/>
      <c r="F5" s="96"/>
      <c r="G5" s="263"/>
      <c r="H5" s="98"/>
      <c r="I5" s="98"/>
      <c r="J5" s="98"/>
      <c r="K5" s="99"/>
      <c r="L5" s="98"/>
      <c r="M5" s="98"/>
      <c r="N5" s="263"/>
      <c r="O5" s="261"/>
      <c r="P5" s="89"/>
      <c r="Q5" s="263"/>
      <c r="R5" s="562"/>
      <c r="S5" s="562"/>
      <c r="T5" s="562"/>
      <c r="U5" s="281"/>
    </row>
    <row r="6" spans="1:21" ht="16.5" thickBot="1">
      <c r="A6" s="100" t="s">
        <v>543</v>
      </c>
      <c r="B6" s="101"/>
      <c r="C6" s="562"/>
      <c r="D6" s="102"/>
      <c r="E6" s="98"/>
      <c r="F6" s="98"/>
      <c r="G6" s="847" t="s">
        <v>544</v>
      </c>
      <c r="H6" s="1148" t="s">
        <v>381</v>
      </c>
      <c r="I6" s="1148"/>
      <c r="J6" s="1148"/>
      <c r="K6" s="1148"/>
      <c r="L6" s="1148"/>
      <c r="M6" s="1148"/>
      <c r="N6" s="1148"/>
      <c r="O6" s="1148"/>
      <c r="P6" s="1148"/>
      <c r="Q6" s="1148"/>
      <c r="R6" s="1148"/>
      <c r="S6" s="1149"/>
      <c r="T6" s="91"/>
      <c r="U6" s="91"/>
    </row>
    <row r="7" spans="1:21" ht="32.1" customHeight="1" thickBot="1">
      <c r="A7" s="166" t="s">
        <v>545</v>
      </c>
      <c r="B7" s="167" t="s">
        <v>546</v>
      </c>
      <c r="C7" s="167"/>
      <c r="D7" s="167"/>
      <c r="E7" s="169" t="s">
        <v>547</v>
      </c>
      <c r="F7" s="1090" t="s">
        <v>548</v>
      </c>
      <c r="G7" s="106" t="s">
        <v>549</v>
      </c>
      <c r="H7" s="168" t="s">
        <v>550</v>
      </c>
      <c r="I7" s="168" t="s">
        <v>551</v>
      </c>
      <c r="J7" s="168" t="s">
        <v>552</v>
      </c>
      <c r="K7" s="168" t="s">
        <v>553</v>
      </c>
      <c r="L7" s="168" t="s">
        <v>403</v>
      </c>
      <c r="M7" s="168" t="s">
        <v>554</v>
      </c>
      <c r="N7" s="168" t="s">
        <v>555</v>
      </c>
      <c r="O7" s="168" t="s">
        <v>556</v>
      </c>
      <c r="P7" s="168" t="s">
        <v>557</v>
      </c>
      <c r="Q7" s="168" t="s">
        <v>558</v>
      </c>
      <c r="R7" s="168" t="s">
        <v>559</v>
      </c>
      <c r="S7" s="106" t="s">
        <v>560</v>
      </c>
      <c r="T7" s="1090" t="s">
        <v>561</v>
      </c>
      <c r="U7" s="273" t="s">
        <v>562</v>
      </c>
    </row>
    <row r="8" spans="1:21" ht="15.75">
      <c r="A8" s="108"/>
      <c r="B8" s="109" t="s">
        <v>15</v>
      </c>
      <c r="C8" s="110"/>
      <c r="D8" s="111"/>
      <c r="E8" s="111"/>
      <c r="F8" s="111"/>
      <c r="G8" s="91"/>
      <c r="H8" s="568"/>
      <c r="I8" s="568"/>
      <c r="J8" s="568"/>
      <c r="K8" s="568"/>
      <c r="L8" s="568"/>
      <c r="M8" s="568"/>
      <c r="N8" s="568"/>
      <c r="O8" s="568"/>
      <c r="P8" s="568"/>
      <c r="Q8" s="568"/>
      <c r="R8" s="568"/>
      <c r="S8" s="762"/>
      <c r="T8" s="113"/>
      <c r="U8" s="270"/>
    </row>
    <row r="9" spans="1:21" ht="15.75">
      <c r="A9" s="114">
        <v>1</v>
      </c>
      <c r="B9" s="115"/>
      <c r="C9" s="102" t="s">
        <v>563</v>
      </c>
      <c r="D9" s="91"/>
      <c r="E9" s="116" t="s">
        <v>564</v>
      </c>
      <c r="F9" s="116" t="s">
        <v>565</v>
      </c>
      <c r="G9" s="268">
        <v>2549520818.2914042</v>
      </c>
      <c r="H9" s="268">
        <v>2557014610.0519505</v>
      </c>
      <c r="I9" s="268">
        <v>2566320042.8146667</v>
      </c>
      <c r="J9" s="268">
        <v>2596484438.5379043</v>
      </c>
      <c r="K9" s="268">
        <v>2606045263.5862083</v>
      </c>
      <c r="L9" s="268">
        <v>2615221872.6618533</v>
      </c>
      <c r="M9" s="268">
        <v>2692176248.7905674</v>
      </c>
      <c r="N9" s="268">
        <v>2703156707.4435215</v>
      </c>
      <c r="O9" s="268">
        <v>2713460012.1881065</v>
      </c>
      <c r="P9" s="268">
        <v>2728375390.9770203</v>
      </c>
      <c r="Q9" s="268">
        <v>2737898173.5794725</v>
      </c>
      <c r="R9" s="268">
        <v>2747943779.936996</v>
      </c>
      <c r="S9" s="268">
        <v>2797304243.4309807</v>
      </c>
      <c r="T9" s="848">
        <f>AVERAGE(G9:S9)</f>
        <v>2662378584.7915883</v>
      </c>
      <c r="U9" s="274">
        <v>0</v>
      </c>
    </row>
    <row r="10" spans="1:21" ht="15.75">
      <c r="A10" s="114">
        <f>+A9+1</f>
        <v>2</v>
      </c>
      <c r="B10" s="115"/>
      <c r="C10" s="102" t="s">
        <v>566</v>
      </c>
      <c r="D10" s="91"/>
      <c r="E10" s="96" t="s">
        <v>567</v>
      </c>
      <c r="F10" s="96"/>
      <c r="G10" s="268">
        <v>0</v>
      </c>
      <c r="H10" s="1059">
        <v>0</v>
      </c>
      <c r="I10" s="1059">
        <v>0</v>
      </c>
      <c r="J10" s="1059">
        <v>0</v>
      </c>
      <c r="K10" s="1059">
        <v>0</v>
      </c>
      <c r="L10" s="1059">
        <v>0</v>
      </c>
      <c r="M10" s="1059">
        <v>0</v>
      </c>
      <c r="N10" s="1059">
        <v>0</v>
      </c>
      <c r="O10" s="1059">
        <v>0</v>
      </c>
      <c r="P10" s="1059">
        <v>0</v>
      </c>
      <c r="Q10" s="1059">
        <v>0</v>
      </c>
      <c r="R10" s="1059">
        <v>0</v>
      </c>
      <c r="S10" s="1059">
        <v>0</v>
      </c>
      <c r="T10" s="848">
        <f t="shared" ref="T10:T14" si="0">AVERAGE(G10:S10)</f>
        <v>0</v>
      </c>
      <c r="U10" s="274">
        <v>0</v>
      </c>
    </row>
    <row r="11" spans="1:21" ht="15.75">
      <c r="A11" s="114">
        <f t="shared" ref="A11:A14" si="1">+A10+1</f>
        <v>3</v>
      </c>
      <c r="B11" s="115"/>
      <c r="C11" s="102" t="s">
        <v>17</v>
      </c>
      <c r="D11" s="91"/>
      <c r="E11" s="116" t="s">
        <v>568</v>
      </c>
      <c r="F11" s="116"/>
      <c r="G11" s="268">
        <v>-1241316269</v>
      </c>
      <c r="H11" s="268">
        <v>-1247204725.5739098</v>
      </c>
      <c r="I11" s="268">
        <v>-1253105016.7186089</v>
      </c>
      <c r="J11" s="268">
        <v>-1258755888.4497192</v>
      </c>
      <c r="K11" s="268">
        <v>-1264629356.615068</v>
      </c>
      <c r="L11" s="268">
        <v>-1270560381.4470181</v>
      </c>
      <c r="M11" s="268">
        <v>-1269881300.9071968</v>
      </c>
      <c r="N11" s="268">
        <v>-1275928190.5051022</v>
      </c>
      <c r="O11" s="268">
        <v>-1282055983.8243623</v>
      </c>
      <c r="P11" s="268">
        <v>-1287841448.5703161</v>
      </c>
      <c r="Q11" s="268">
        <v>-1294068240.6736407</v>
      </c>
      <c r="R11" s="268">
        <v>-1300293370.8109434</v>
      </c>
      <c r="S11" s="268">
        <v>-1302739750.8088241</v>
      </c>
      <c r="T11" s="848">
        <f t="shared" si="0"/>
        <v>-1272952301.8388238</v>
      </c>
      <c r="U11" s="274">
        <v>0</v>
      </c>
    </row>
    <row r="12" spans="1:21" ht="15" customHeight="1">
      <c r="A12" s="114">
        <f t="shared" si="1"/>
        <v>4</v>
      </c>
      <c r="B12" s="91"/>
      <c r="C12" s="119" t="s">
        <v>40</v>
      </c>
      <c r="D12" s="102"/>
      <c r="E12" s="96" t="s">
        <v>569</v>
      </c>
      <c r="F12" s="96"/>
      <c r="G12" s="268">
        <v>-30073412.349858128</v>
      </c>
      <c r="H12" s="268">
        <v>-30477484.931820884</v>
      </c>
      <c r="I12" s="268">
        <v>-30888367.489025075</v>
      </c>
      <c r="J12" s="268">
        <v>-31320702.707236268</v>
      </c>
      <c r="K12" s="268">
        <v>-31756468.819358375</v>
      </c>
      <c r="L12" s="268">
        <v>-32194701.603782833</v>
      </c>
      <c r="M12" s="268">
        <v>-32636302.148864441</v>
      </c>
      <c r="N12" s="268">
        <v>-33088817.069574684</v>
      </c>
      <c r="O12" s="268">
        <v>-33551570.549647462</v>
      </c>
      <c r="P12" s="268">
        <v>-34024787.861171477</v>
      </c>
      <c r="Q12" s="268">
        <v>-34503715.763075136</v>
      </c>
      <c r="R12" s="268">
        <v>-34989356.019311495</v>
      </c>
      <c r="S12" s="268">
        <v>-35482159.174057953</v>
      </c>
      <c r="T12" s="848">
        <f t="shared" si="0"/>
        <v>-32691372.80667571</v>
      </c>
      <c r="U12" s="274">
        <v>0</v>
      </c>
    </row>
    <row r="13" spans="1:21">
      <c r="A13" s="114">
        <f t="shared" si="1"/>
        <v>5</v>
      </c>
      <c r="B13" s="102"/>
      <c r="C13" s="119" t="s">
        <v>570</v>
      </c>
      <c r="D13" s="102"/>
      <c r="E13" s="96" t="s">
        <v>567</v>
      </c>
      <c r="F13" s="96"/>
      <c r="G13" s="268">
        <v>0</v>
      </c>
      <c r="H13" s="1059">
        <v>0</v>
      </c>
      <c r="I13" s="1059">
        <v>0</v>
      </c>
      <c r="J13" s="1059">
        <v>0</v>
      </c>
      <c r="K13" s="1059">
        <v>0</v>
      </c>
      <c r="L13" s="1059">
        <v>0</v>
      </c>
      <c r="M13" s="1059">
        <v>0</v>
      </c>
      <c r="N13" s="1059">
        <v>0</v>
      </c>
      <c r="O13" s="1059">
        <v>0</v>
      </c>
      <c r="P13" s="1059">
        <v>0</v>
      </c>
      <c r="Q13" s="1059">
        <v>0</v>
      </c>
      <c r="R13" s="1059">
        <v>0</v>
      </c>
      <c r="S13" s="1059">
        <v>0</v>
      </c>
      <c r="T13" s="848">
        <f t="shared" si="0"/>
        <v>0</v>
      </c>
      <c r="U13" s="274">
        <v>0</v>
      </c>
    </row>
    <row r="14" spans="1:21">
      <c r="A14" s="114">
        <f t="shared" si="1"/>
        <v>6</v>
      </c>
      <c r="B14" s="93"/>
      <c r="C14" s="119" t="s">
        <v>571</v>
      </c>
      <c r="D14" s="102"/>
      <c r="E14" s="96" t="s">
        <v>567</v>
      </c>
      <c r="F14" s="96"/>
      <c r="G14" s="268">
        <v>0</v>
      </c>
      <c r="H14" s="1059">
        <v>0</v>
      </c>
      <c r="I14" s="1059">
        <v>0</v>
      </c>
      <c r="J14" s="1059">
        <v>0</v>
      </c>
      <c r="K14" s="1059">
        <v>0</v>
      </c>
      <c r="L14" s="1059">
        <v>0</v>
      </c>
      <c r="M14" s="1059">
        <v>0</v>
      </c>
      <c r="N14" s="1059">
        <v>0</v>
      </c>
      <c r="O14" s="1059">
        <v>0</v>
      </c>
      <c r="P14" s="1059">
        <v>0</v>
      </c>
      <c r="Q14" s="1059">
        <v>0</v>
      </c>
      <c r="R14" s="1059">
        <v>0</v>
      </c>
      <c r="S14" s="1059">
        <v>0</v>
      </c>
      <c r="T14" s="848">
        <f t="shared" si="0"/>
        <v>0</v>
      </c>
      <c r="U14" s="274">
        <v>0</v>
      </c>
    </row>
    <row r="15" spans="1:21" ht="15.75">
      <c r="A15" s="114"/>
      <c r="B15" s="115"/>
      <c r="C15" s="102"/>
      <c r="D15" s="102"/>
      <c r="E15" s="269"/>
      <c r="F15" s="269"/>
      <c r="G15" s="268"/>
      <c r="H15" s="268"/>
      <c r="I15" s="268"/>
      <c r="J15" s="268"/>
      <c r="K15" s="268"/>
      <c r="L15" s="268"/>
      <c r="M15" s="268"/>
      <c r="N15" s="268"/>
      <c r="O15" s="268"/>
      <c r="P15" s="268"/>
      <c r="Q15" s="268"/>
      <c r="R15" s="268"/>
      <c r="S15" s="268"/>
      <c r="T15" s="848"/>
      <c r="U15" s="287"/>
    </row>
    <row r="16" spans="1:21" s="562" customFormat="1" ht="15.75">
      <c r="A16" s="114"/>
      <c r="B16" s="115" t="s">
        <v>28</v>
      </c>
      <c r="C16" s="102"/>
      <c r="D16" s="102"/>
      <c r="E16" s="269"/>
      <c r="F16" s="269"/>
      <c r="G16" s="268"/>
      <c r="H16" s="268"/>
      <c r="I16" s="268"/>
      <c r="J16" s="268"/>
      <c r="K16" s="268"/>
      <c r="L16" s="268"/>
      <c r="M16" s="268"/>
      <c r="N16" s="268"/>
      <c r="O16" s="268"/>
      <c r="P16" s="268"/>
      <c r="Q16" s="268"/>
      <c r="R16" s="268"/>
      <c r="S16" s="268"/>
      <c r="T16" s="848"/>
      <c r="U16" s="287"/>
    </row>
    <row r="17" spans="1:21" ht="15.75">
      <c r="A17" s="114">
        <f>+A14+1</f>
        <v>7</v>
      </c>
      <c r="B17" s="115"/>
      <c r="C17" s="102" t="s">
        <v>572</v>
      </c>
      <c r="D17" s="102"/>
      <c r="E17" s="121" t="s">
        <v>573</v>
      </c>
      <c r="F17" s="789" t="s">
        <v>574</v>
      </c>
      <c r="G17" s="1072">
        <v>481679262.93599421</v>
      </c>
      <c r="H17" s="1072">
        <v>481679262.93599421</v>
      </c>
      <c r="I17" s="1072">
        <v>481679262.93599421</v>
      </c>
      <c r="J17" s="1072">
        <v>482879262.93599421</v>
      </c>
      <c r="K17" s="1072">
        <v>482879262.93599421</v>
      </c>
      <c r="L17" s="1072">
        <v>482879262.93599421</v>
      </c>
      <c r="M17" s="1072">
        <v>547955500.93599415</v>
      </c>
      <c r="N17" s="1072">
        <v>547955500.93599415</v>
      </c>
      <c r="O17" s="1072">
        <v>547955500.93599415</v>
      </c>
      <c r="P17" s="1072">
        <v>549155500.93599415</v>
      </c>
      <c r="Q17" s="1072">
        <v>549155500.93599415</v>
      </c>
      <c r="R17" s="1072">
        <v>549155500.93599415</v>
      </c>
      <c r="S17" s="1072">
        <v>585300500.93599415</v>
      </c>
      <c r="T17" s="848">
        <f>AVERAGE(G17:S17)</f>
        <v>520793006.47445577</v>
      </c>
      <c r="U17" s="274">
        <v>0</v>
      </c>
    </row>
    <row r="18" spans="1:21" ht="15.75">
      <c r="A18" s="114">
        <f>+A17+1</f>
        <v>8</v>
      </c>
      <c r="B18" s="115"/>
      <c r="C18" s="102" t="s">
        <v>575</v>
      </c>
      <c r="D18" s="102"/>
      <c r="E18" s="96" t="s">
        <v>576</v>
      </c>
      <c r="F18" s="189" t="s">
        <v>577</v>
      </c>
      <c r="G18" s="268">
        <v>32003875</v>
      </c>
      <c r="H18" s="268">
        <v>32020541.666666668</v>
      </c>
      <c r="I18" s="268">
        <v>32037208.333333336</v>
      </c>
      <c r="J18" s="268">
        <v>51121133</v>
      </c>
      <c r="K18" s="268">
        <v>51137799.666666664</v>
      </c>
      <c r="L18" s="268">
        <v>51154466.333333328</v>
      </c>
      <c r="M18" s="268">
        <v>51171132.999999993</v>
      </c>
      <c r="N18" s="268">
        <v>51187799.666666657</v>
      </c>
      <c r="O18" s="268">
        <v>51204466.333333321</v>
      </c>
      <c r="P18" s="268">
        <v>51221132.999999985</v>
      </c>
      <c r="Q18" s="268">
        <v>51244049.666666649</v>
      </c>
      <c r="R18" s="268">
        <v>51266966.333333313</v>
      </c>
      <c r="S18" s="268">
        <v>51289882.999999978</v>
      </c>
      <c r="T18" s="848">
        <f t="shared" ref="T18:T20" si="2">AVERAGE(G18:S18)</f>
        <v>46773881.153846145</v>
      </c>
      <c r="U18" s="274">
        <v>0</v>
      </c>
    </row>
    <row r="19" spans="1:21" ht="15.75">
      <c r="A19" s="114">
        <f t="shared" ref="A19:A20" si="3">+A18+1</f>
        <v>9</v>
      </c>
      <c r="B19" s="115"/>
      <c r="C19" s="102" t="s">
        <v>31</v>
      </c>
      <c r="D19" s="102"/>
      <c r="E19" s="96" t="s">
        <v>578</v>
      </c>
      <c r="F19" s="189" t="s">
        <v>579</v>
      </c>
      <c r="G19" s="268">
        <v>44842726</v>
      </c>
      <c r="H19" s="268">
        <v>45598476</v>
      </c>
      <c r="I19" s="268">
        <v>47979226</v>
      </c>
      <c r="J19" s="268">
        <v>48359976</v>
      </c>
      <c r="K19" s="268">
        <v>48633719.666666664</v>
      </c>
      <c r="L19" s="268">
        <v>49007463.333333328</v>
      </c>
      <c r="M19" s="268">
        <v>50218706.999999993</v>
      </c>
      <c r="N19" s="268">
        <v>51354950.666666657</v>
      </c>
      <c r="O19" s="268">
        <v>52516194.333333321</v>
      </c>
      <c r="P19" s="268">
        <v>53149937.999999985</v>
      </c>
      <c r="Q19" s="268">
        <v>53894854.333333321</v>
      </c>
      <c r="R19" s="268">
        <v>54689770.666666657</v>
      </c>
      <c r="S19" s="268">
        <v>55714686.999999993</v>
      </c>
      <c r="T19" s="848">
        <f t="shared" si="2"/>
        <v>50458514.538461529</v>
      </c>
      <c r="U19" s="274">
        <v>0</v>
      </c>
    </row>
    <row r="20" spans="1:21" ht="15.75">
      <c r="A20" s="114">
        <f t="shared" si="3"/>
        <v>10</v>
      </c>
      <c r="B20" s="115"/>
      <c r="C20" s="102" t="s">
        <v>566</v>
      </c>
      <c r="D20" s="91"/>
      <c r="E20" s="96" t="s">
        <v>567</v>
      </c>
      <c r="F20" s="189"/>
      <c r="G20" s="268">
        <v>0</v>
      </c>
      <c r="H20" s="1059">
        <v>0</v>
      </c>
      <c r="I20" s="1059">
        <v>0</v>
      </c>
      <c r="J20" s="1059">
        <v>0</v>
      </c>
      <c r="K20" s="1059">
        <v>0</v>
      </c>
      <c r="L20" s="1059">
        <v>0</v>
      </c>
      <c r="M20" s="1059">
        <v>0</v>
      </c>
      <c r="N20" s="1059">
        <v>0</v>
      </c>
      <c r="O20" s="1059">
        <v>0</v>
      </c>
      <c r="P20" s="1059">
        <v>0</v>
      </c>
      <c r="Q20" s="1059">
        <v>0</v>
      </c>
      <c r="R20" s="1059">
        <v>0</v>
      </c>
      <c r="S20" s="1059">
        <v>0</v>
      </c>
      <c r="T20" s="848">
        <f t="shared" si="2"/>
        <v>0</v>
      </c>
      <c r="U20" s="274">
        <v>0</v>
      </c>
    </row>
    <row r="21" spans="1:21" s="562" customFormat="1">
      <c r="A21" s="118"/>
      <c r="B21" s="101"/>
      <c r="C21" s="119"/>
      <c r="D21" s="102"/>
      <c r="E21" s="123"/>
      <c r="F21" s="789"/>
      <c r="G21" s="268"/>
      <c r="H21" s="268"/>
      <c r="I21" s="268"/>
      <c r="J21" s="268"/>
      <c r="K21" s="268"/>
      <c r="L21" s="268"/>
      <c r="M21" s="268"/>
      <c r="N21" s="268"/>
      <c r="O21" s="268"/>
      <c r="P21" s="268"/>
      <c r="Q21" s="268"/>
      <c r="R21" s="268"/>
      <c r="S21" s="268"/>
      <c r="T21" s="848"/>
      <c r="U21" s="274"/>
    </row>
    <row r="22" spans="1:21" ht="15.75">
      <c r="A22" s="114"/>
      <c r="B22" s="115" t="s">
        <v>37</v>
      </c>
      <c r="C22" s="102"/>
      <c r="D22" s="102"/>
      <c r="E22" s="269"/>
      <c r="F22" s="790"/>
      <c r="G22" s="268"/>
      <c r="H22" s="268"/>
      <c r="I22" s="268"/>
      <c r="J22" s="268"/>
      <c r="K22" s="268"/>
      <c r="L22" s="268"/>
      <c r="M22" s="268"/>
      <c r="N22" s="268"/>
      <c r="O22" s="268"/>
      <c r="P22" s="268"/>
      <c r="Q22" s="268"/>
      <c r="R22" s="268"/>
      <c r="S22" s="268"/>
      <c r="T22" s="848"/>
      <c r="U22" s="287"/>
    </row>
    <row r="23" spans="1:21">
      <c r="A23" s="118">
        <f>+A20+1</f>
        <v>11</v>
      </c>
      <c r="B23" s="97"/>
      <c r="C23" s="102" t="s">
        <v>38</v>
      </c>
      <c r="D23" s="102"/>
      <c r="E23" s="119" t="s">
        <v>580</v>
      </c>
      <c r="F23" s="189">
        <v>108</v>
      </c>
      <c r="G23" s="268">
        <v>-241900623.91645122</v>
      </c>
      <c r="H23" s="268">
        <v>-242731482.80114442</v>
      </c>
      <c r="I23" s="268">
        <v>-243562341.68583763</v>
      </c>
      <c r="J23" s="268">
        <v>-244273068.55732951</v>
      </c>
      <c r="K23" s="268">
        <v>-245106134.42575371</v>
      </c>
      <c r="L23" s="268">
        <v>-245939200.29417792</v>
      </c>
      <c r="M23" s="268">
        <v>-240257483.2605119</v>
      </c>
      <c r="N23" s="268">
        <v>-241210234.29438806</v>
      </c>
      <c r="O23" s="268">
        <v>-242162985.32826421</v>
      </c>
      <c r="P23" s="268">
        <v>-242995604.34893903</v>
      </c>
      <c r="Q23" s="268">
        <v>-243950562.36654621</v>
      </c>
      <c r="R23" s="268">
        <v>-244905520.3841534</v>
      </c>
      <c r="S23" s="268">
        <v>-242242002.05412582</v>
      </c>
      <c r="T23" s="848">
        <f t="shared" ref="T23:T25" si="4">AVERAGE(G23:S23)</f>
        <v>-243172095.67058638</v>
      </c>
      <c r="U23" s="274">
        <v>0</v>
      </c>
    </row>
    <row r="24" spans="1:21">
      <c r="A24" s="118">
        <f>+A23+1</f>
        <v>12</v>
      </c>
      <c r="B24" s="97"/>
      <c r="C24" s="102" t="s">
        <v>39</v>
      </c>
      <c r="D24" s="97"/>
      <c r="E24" s="119" t="s">
        <v>581</v>
      </c>
      <c r="F24" s="189">
        <v>108</v>
      </c>
      <c r="G24" s="268">
        <v>-19976694.89776697</v>
      </c>
      <c r="H24" s="268">
        <v>-20068694.546272058</v>
      </c>
      <c r="I24" s="268">
        <v>-20160744.641488541</v>
      </c>
      <c r="J24" s="268">
        <v>-20252845.183416422</v>
      </c>
      <c r="K24" s="268">
        <v>-20402708.999742709</v>
      </c>
      <c r="L24" s="268">
        <v>-20552623.262780391</v>
      </c>
      <c r="M24" s="268">
        <v>-20702587.972529467</v>
      </c>
      <c r="N24" s="268">
        <v>-20852603.128989942</v>
      </c>
      <c r="O24" s="268">
        <v>-21002668.732161812</v>
      </c>
      <c r="P24" s="268">
        <v>-21152784.782045081</v>
      </c>
      <c r="Q24" s="268">
        <v>-21302951.278639745</v>
      </c>
      <c r="R24" s="268">
        <v>-21453187.139462579</v>
      </c>
      <c r="S24" s="268">
        <v>-21603492.364513583</v>
      </c>
      <c r="T24" s="848">
        <f t="shared" si="4"/>
        <v>-20729583.609985333</v>
      </c>
      <c r="U24" s="274">
        <v>0</v>
      </c>
    </row>
    <row r="25" spans="1:21" ht="16.5" thickBot="1">
      <c r="A25" s="143">
        <f>+A24+1</f>
        <v>13</v>
      </c>
      <c r="B25" s="127"/>
      <c r="C25" s="131" t="s">
        <v>582</v>
      </c>
      <c r="D25" s="131"/>
      <c r="E25" s="583" t="s">
        <v>567</v>
      </c>
      <c r="F25" s="791">
        <v>111</v>
      </c>
      <c r="G25" s="1073">
        <v>0</v>
      </c>
      <c r="H25" s="1073">
        <v>0</v>
      </c>
      <c r="I25" s="1073">
        <v>0</v>
      </c>
      <c r="J25" s="1073">
        <v>0</v>
      </c>
      <c r="K25" s="1073">
        <v>0</v>
      </c>
      <c r="L25" s="1073">
        <v>0</v>
      </c>
      <c r="M25" s="1073">
        <v>0</v>
      </c>
      <c r="N25" s="1073">
        <v>0</v>
      </c>
      <c r="O25" s="1073">
        <v>0</v>
      </c>
      <c r="P25" s="1073">
        <v>0</v>
      </c>
      <c r="Q25" s="1073">
        <v>0</v>
      </c>
      <c r="R25" s="1073">
        <v>0</v>
      </c>
      <c r="S25" s="1073">
        <v>0</v>
      </c>
      <c r="T25" s="857">
        <f t="shared" si="4"/>
        <v>0</v>
      </c>
      <c r="U25" s="584">
        <v>0</v>
      </c>
    </row>
    <row r="26" spans="1:21" s="89" customFormat="1" ht="15.75">
      <c r="A26" s="206"/>
      <c r="B26" s="125"/>
      <c r="C26" s="116"/>
      <c r="D26" s="93"/>
      <c r="E26" s="133"/>
      <c r="F26" s="133"/>
      <c r="G26" s="20"/>
      <c r="H26" s="20"/>
      <c r="I26" s="20"/>
      <c r="J26" s="20"/>
      <c r="K26" s="20"/>
      <c r="L26" s="20"/>
      <c r="M26" s="20"/>
      <c r="N26" s="20"/>
      <c r="O26" s="20"/>
      <c r="P26" s="20"/>
      <c r="Q26" s="20"/>
      <c r="R26" s="20"/>
      <c r="S26" s="20"/>
      <c r="T26" s="20"/>
      <c r="U26" s="120"/>
    </row>
    <row r="27" spans="1:21" s="89" customFormat="1" ht="15.75">
      <c r="A27" s="206"/>
      <c r="B27" s="125"/>
      <c r="C27" s="116"/>
      <c r="D27" s="93"/>
      <c r="E27" s="133"/>
      <c r="F27" s="133"/>
      <c r="G27" s="20"/>
      <c r="H27" s="20"/>
      <c r="I27" s="20"/>
      <c r="J27" s="20"/>
      <c r="K27" s="20"/>
      <c r="L27" s="20"/>
      <c r="M27" s="20"/>
      <c r="N27" s="20"/>
      <c r="O27" s="20"/>
      <c r="P27" s="20"/>
      <c r="Q27" s="20"/>
      <c r="R27" s="20"/>
      <c r="S27" s="272"/>
      <c r="U27" s="120"/>
    </row>
    <row r="28" spans="1:21" ht="16.5" thickBot="1">
      <c r="A28" s="100" t="s">
        <v>583</v>
      </c>
      <c r="B28" s="91"/>
      <c r="C28" s="134"/>
      <c r="D28" s="91"/>
      <c r="E28" s="136"/>
      <c r="F28" s="136"/>
      <c r="G28" s="137"/>
      <c r="H28" s="137"/>
      <c r="I28" s="137"/>
      <c r="J28" s="137"/>
      <c r="K28" s="137"/>
      <c r="L28" s="137"/>
      <c r="M28" s="137"/>
      <c r="N28" s="137"/>
      <c r="O28" s="20"/>
      <c r="P28" s="20"/>
      <c r="Q28" s="137"/>
      <c r="R28" s="137"/>
      <c r="S28" s="137"/>
      <c r="T28" s="137"/>
      <c r="U28" s="276"/>
    </row>
    <row r="29" spans="1:21" ht="32.25" thickBot="1">
      <c r="A29" s="104" t="s">
        <v>545</v>
      </c>
      <c r="B29" s="105" t="s">
        <v>546</v>
      </c>
      <c r="C29" s="105"/>
      <c r="D29" s="105"/>
      <c r="E29" s="107" t="s">
        <v>547</v>
      </c>
      <c r="F29" s="1088" t="s">
        <v>548</v>
      </c>
      <c r="G29" s="138"/>
      <c r="H29" s="138"/>
      <c r="I29" s="138"/>
      <c r="J29" s="138"/>
      <c r="K29" s="138"/>
      <c r="L29" s="138"/>
      <c r="M29" s="138"/>
      <c r="N29" s="138"/>
      <c r="O29" s="138"/>
      <c r="P29" s="138"/>
      <c r="Q29" s="138"/>
      <c r="R29" s="138"/>
      <c r="S29" s="138"/>
      <c r="T29" s="106" t="s">
        <v>584</v>
      </c>
      <c r="U29" s="139"/>
    </row>
    <row r="30" spans="1:21" s="89" customFormat="1" ht="15.75">
      <c r="A30" s="140"/>
      <c r="B30" s="92"/>
      <c r="C30" s="92"/>
      <c r="D30" s="92"/>
      <c r="E30" s="141"/>
      <c r="F30" s="141"/>
      <c r="G30" s="93"/>
      <c r="H30" s="93"/>
      <c r="I30" s="93"/>
      <c r="J30" s="93"/>
      <c r="K30" s="93"/>
      <c r="L30" s="93"/>
      <c r="M30" s="93"/>
      <c r="N30" s="93"/>
      <c r="O30" s="93"/>
      <c r="P30" s="93"/>
      <c r="Q30" s="93"/>
      <c r="R30" s="93"/>
      <c r="S30" s="93"/>
      <c r="T30" s="209"/>
      <c r="U30" s="142"/>
    </row>
    <row r="31" spans="1:21" ht="15.75">
      <c r="A31" s="118">
        <f>+A25+1</f>
        <v>14</v>
      </c>
      <c r="B31" s="100"/>
      <c r="C31" s="134" t="s">
        <v>585</v>
      </c>
      <c r="D31" s="100"/>
      <c r="E31" s="136" t="s">
        <v>586</v>
      </c>
      <c r="F31" s="136"/>
      <c r="G31" s="135" t="s">
        <v>587</v>
      </c>
      <c r="H31" s="91"/>
      <c r="I31" s="91"/>
      <c r="J31" s="91"/>
      <c r="K31" s="91"/>
      <c r="L31" s="91"/>
      <c r="M31" s="91"/>
      <c r="N31" s="91"/>
      <c r="O31" s="91"/>
      <c r="P31" s="91"/>
      <c r="Q31" s="91"/>
      <c r="R31" s="91"/>
      <c r="S31" s="93"/>
      <c r="T31" s="268">
        <v>38817274</v>
      </c>
      <c r="U31" s="122"/>
    </row>
    <row r="32" spans="1:21" ht="15.75">
      <c r="A32" s="118">
        <f>+A31+1</f>
        <v>15</v>
      </c>
      <c r="B32" s="100"/>
      <c r="C32" s="134" t="s">
        <v>588</v>
      </c>
      <c r="D32" s="100"/>
      <c r="E32" s="136" t="s">
        <v>589</v>
      </c>
      <c r="F32" s="136"/>
      <c r="G32" s="91"/>
      <c r="H32" s="91"/>
      <c r="I32" s="91"/>
      <c r="J32" s="91"/>
      <c r="K32" s="91"/>
      <c r="L32" s="91"/>
      <c r="M32" s="91"/>
      <c r="N32" s="91"/>
      <c r="O32" s="91"/>
      <c r="P32" s="91"/>
      <c r="Q32" s="91"/>
      <c r="R32" s="91"/>
      <c r="S32" s="93"/>
      <c r="T32" s="268">
        <v>4550050</v>
      </c>
      <c r="U32" s="122"/>
    </row>
    <row r="33" spans="1:21">
      <c r="A33" s="118">
        <f>+A32+1</f>
        <v>16</v>
      </c>
      <c r="B33" s="91"/>
      <c r="C33" s="134" t="s">
        <v>590</v>
      </c>
      <c r="D33" s="91"/>
      <c r="E33" s="136" t="s">
        <v>591</v>
      </c>
      <c r="F33" s="136"/>
      <c r="G33" s="91"/>
      <c r="H33" s="91"/>
      <c r="I33" s="91"/>
      <c r="J33" s="91"/>
      <c r="K33" s="91"/>
      <c r="L33" s="91"/>
      <c r="M33" s="91"/>
      <c r="N33" s="91"/>
      <c r="O33" s="91"/>
      <c r="P33" s="91"/>
      <c r="Q33" s="91"/>
      <c r="R33" s="91"/>
      <c r="S33" s="93"/>
      <c r="T33" s="268">
        <v>4162123</v>
      </c>
      <c r="U33" s="122"/>
    </row>
    <row r="34" spans="1:21" ht="15.75" thickBot="1">
      <c r="A34" s="143"/>
      <c r="B34" s="144"/>
      <c r="C34" s="145"/>
      <c r="D34" s="144"/>
      <c r="E34" s="146"/>
      <c r="F34" s="146"/>
      <c r="G34" s="31"/>
      <c r="H34" s="144"/>
      <c r="I34" s="144"/>
      <c r="J34" s="144"/>
      <c r="K34" s="144"/>
      <c r="L34" s="144"/>
      <c r="M34" s="144"/>
      <c r="N34" s="144"/>
      <c r="O34" s="144"/>
      <c r="P34" s="144"/>
      <c r="Q34" s="144"/>
      <c r="R34" s="144"/>
      <c r="S34" s="144"/>
      <c r="T34" s="144"/>
      <c r="U34" s="147"/>
    </row>
    <row r="35" spans="1:21">
      <c r="A35" s="97"/>
      <c r="B35" s="91"/>
      <c r="C35" s="134"/>
      <c r="D35" s="91"/>
      <c r="E35" s="136"/>
      <c r="F35" s="136"/>
      <c r="G35" s="26"/>
      <c r="H35" s="26"/>
      <c r="I35" s="26"/>
      <c r="J35" s="26"/>
      <c r="K35" s="26"/>
      <c r="L35" s="26"/>
      <c r="M35" s="26"/>
      <c r="N35" s="26"/>
      <c r="O35" s="26"/>
      <c r="P35" s="26"/>
      <c r="Q35" s="26"/>
      <c r="R35" s="26"/>
      <c r="S35" s="26"/>
      <c r="T35" s="26"/>
      <c r="U35" s="91"/>
    </row>
    <row r="36" spans="1:21">
      <c r="A36" s="97"/>
      <c r="B36" s="91"/>
      <c r="C36" s="134"/>
      <c r="D36" s="91"/>
      <c r="E36" s="136"/>
      <c r="F36" s="136"/>
      <c r="G36" s="26"/>
      <c r="H36" s="26"/>
      <c r="I36" s="26"/>
      <c r="J36" s="26"/>
      <c r="K36" s="26"/>
      <c r="L36" s="26"/>
      <c r="M36" s="26"/>
      <c r="N36" s="26"/>
      <c r="O36" s="26"/>
      <c r="P36" s="26"/>
      <c r="Q36" s="26"/>
      <c r="R36" s="26"/>
      <c r="S36" s="26"/>
      <c r="T36" s="26"/>
      <c r="U36" s="91"/>
    </row>
    <row r="37" spans="1:21" ht="16.5" thickBot="1">
      <c r="A37" s="100" t="s">
        <v>592</v>
      </c>
      <c r="B37" s="562"/>
      <c r="C37" s="562"/>
      <c r="D37" s="562"/>
      <c r="E37" s="562"/>
      <c r="G37" s="137"/>
      <c r="H37" s="562"/>
      <c r="I37" s="562"/>
      <c r="J37" s="562"/>
      <c r="K37" s="562"/>
      <c r="L37" s="562"/>
      <c r="M37" s="562"/>
      <c r="N37" s="562"/>
      <c r="O37" s="562"/>
      <c r="P37" s="562"/>
      <c r="Q37" s="562"/>
      <c r="R37" s="562"/>
      <c r="S37" s="562"/>
      <c r="T37" s="562"/>
      <c r="U37" s="562"/>
    </row>
    <row r="38" spans="1:21" ht="32.25" thickBot="1">
      <c r="A38" s="104" t="s">
        <v>545</v>
      </c>
      <c r="B38" s="105" t="s">
        <v>546</v>
      </c>
      <c r="C38" s="105"/>
      <c r="D38" s="105"/>
      <c r="E38" s="107" t="s">
        <v>547</v>
      </c>
      <c r="F38" s="1088" t="s">
        <v>548</v>
      </c>
      <c r="G38" s="138"/>
      <c r="H38" s="138"/>
      <c r="I38" s="138"/>
      <c r="J38" s="138"/>
      <c r="K38" s="138"/>
      <c r="L38" s="138"/>
      <c r="M38" s="138"/>
      <c r="N38" s="138"/>
      <c r="O38" s="138"/>
      <c r="P38" s="138"/>
      <c r="Q38" s="138"/>
      <c r="R38" s="1088" t="s">
        <v>593</v>
      </c>
      <c r="S38" s="106" t="s">
        <v>584</v>
      </c>
      <c r="T38" s="1088" t="s">
        <v>561</v>
      </c>
      <c r="U38" s="139"/>
    </row>
    <row r="39" spans="1:21" ht="15.75">
      <c r="A39" s="140"/>
      <c r="B39" s="92"/>
      <c r="C39" s="92"/>
      <c r="D39" s="92"/>
      <c r="E39" s="141"/>
      <c r="F39" s="141"/>
      <c r="G39" s="91"/>
      <c r="H39" s="91"/>
      <c r="I39" s="91"/>
      <c r="J39" s="93"/>
      <c r="K39" s="93"/>
      <c r="L39" s="93"/>
      <c r="M39" s="93"/>
      <c r="N39" s="93"/>
      <c r="O39" s="93"/>
      <c r="P39" s="93"/>
      <c r="Q39" s="26"/>
      <c r="R39" s="26"/>
      <c r="S39" s="26"/>
      <c r="T39" s="1086"/>
      <c r="U39" s="142"/>
    </row>
    <row r="40" spans="1:21" ht="15.75">
      <c r="A40" s="118">
        <f>+A33+1</f>
        <v>17</v>
      </c>
      <c r="B40" s="97"/>
      <c r="C40" s="712" t="s">
        <v>271</v>
      </c>
      <c r="D40" s="133"/>
      <c r="E40" s="119" t="s">
        <v>594</v>
      </c>
      <c r="F40" s="189">
        <v>105</v>
      </c>
      <c r="G40" s="135" t="s">
        <v>587</v>
      </c>
      <c r="H40" s="91"/>
      <c r="I40" s="91"/>
      <c r="J40" s="91"/>
      <c r="K40" s="91"/>
      <c r="L40" s="91"/>
      <c r="M40" s="91"/>
      <c r="N40" s="91"/>
      <c r="O40" s="91"/>
      <c r="P40" s="93"/>
      <c r="Q40" s="26"/>
      <c r="R40" s="268">
        <v>269799</v>
      </c>
      <c r="S40" s="268">
        <v>269799</v>
      </c>
      <c r="T40" s="54">
        <f>+SUM(R40:S40)/2</f>
        <v>269799</v>
      </c>
      <c r="U40" s="122"/>
    </row>
    <row r="41" spans="1:21" ht="16.5" thickBot="1">
      <c r="A41" s="143"/>
      <c r="B41" s="148"/>
      <c r="C41" s="127"/>
      <c r="D41" s="131"/>
      <c r="E41" s="128"/>
      <c r="F41" s="128"/>
      <c r="G41" s="31"/>
      <c r="H41" s="31"/>
      <c r="I41" s="31"/>
      <c r="J41" s="144"/>
      <c r="K41" s="144"/>
      <c r="L41" s="144"/>
      <c r="M41" s="144"/>
      <c r="N41" s="144"/>
      <c r="O41" s="144"/>
      <c r="P41" s="144"/>
      <c r="Q41" s="31"/>
      <c r="R41" s="31"/>
      <c r="S41" s="31"/>
      <c r="T41" s="144"/>
      <c r="U41" s="147"/>
    </row>
    <row r="42" spans="1:21" ht="15.75">
      <c r="A42" s="97"/>
      <c r="B42" s="97"/>
      <c r="C42" s="125"/>
      <c r="D42" s="133"/>
      <c r="E42" s="119"/>
      <c r="F42" s="119"/>
      <c r="G42" s="26"/>
      <c r="H42" s="26"/>
      <c r="I42" s="26"/>
      <c r="J42" s="91"/>
      <c r="K42" s="91"/>
      <c r="L42" s="91"/>
      <c r="M42" s="91"/>
      <c r="N42" s="91"/>
      <c r="O42" s="91"/>
      <c r="P42" s="91"/>
      <c r="Q42" s="91"/>
      <c r="R42" s="91"/>
      <c r="S42" s="91"/>
      <c r="T42" s="91"/>
      <c r="U42" s="91"/>
    </row>
    <row r="43" spans="1:21" ht="15.75">
      <c r="A43" s="97"/>
      <c r="B43" s="97"/>
      <c r="C43" s="125"/>
      <c r="D43" s="133"/>
      <c r="E43" s="119"/>
      <c r="F43" s="119"/>
      <c r="G43" s="26"/>
      <c r="H43" s="26"/>
      <c r="I43" s="26"/>
      <c r="J43" s="91"/>
      <c r="K43" s="91"/>
      <c r="L43" s="91"/>
      <c r="M43" s="91"/>
      <c r="N43" s="91"/>
      <c r="O43" s="91"/>
      <c r="P43" s="91"/>
      <c r="Q43" s="91"/>
      <c r="R43" s="91"/>
      <c r="S43" s="91"/>
      <c r="T43" s="91"/>
      <c r="U43" s="91"/>
    </row>
    <row r="44" spans="1:21" ht="16.5" thickBot="1">
      <c r="A44" s="100" t="s">
        <v>55</v>
      </c>
      <c r="B44" s="562"/>
      <c r="C44" s="562"/>
      <c r="D44" s="562"/>
      <c r="E44" s="562"/>
      <c r="G44" s="562"/>
      <c r="H44" s="562"/>
      <c r="I44" s="562"/>
      <c r="J44" s="562"/>
      <c r="K44" s="562"/>
      <c r="L44" s="562"/>
      <c r="M44" s="562"/>
      <c r="N44" s="562"/>
      <c r="O44" s="562"/>
      <c r="P44" s="562"/>
      <c r="Q44" s="562"/>
      <c r="R44" s="562"/>
      <c r="S44" s="562"/>
      <c r="T44" s="562"/>
      <c r="U44" s="562"/>
    </row>
    <row r="45" spans="1:21" ht="32.25" thickBot="1">
      <c r="A45" s="104" t="s">
        <v>545</v>
      </c>
      <c r="B45" s="105" t="s">
        <v>546</v>
      </c>
      <c r="C45" s="105"/>
      <c r="D45" s="105"/>
      <c r="E45" s="169" t="s">
        <v>547</v>
      </c>
      <c r="F45" s="1088" t="s">
        <v>548</v>
      </c>
      <c r="G45" s="106"/>
      <c r="H45" s="106"/>
      <c r="I45" s="106"/>
      <c r="J45" s="106"/>
      <c r="K45" s="106"/>
      <c r="L45" s="106"/>
      <c r="M45" s="106"/>
      <c r="N45" s="106"/>
      <c r="O45" s="106"/>
      <c r="P45" s="1088"/>
      <c r="Q45" s="149"/>
      <c r="R45" s="1088" t="s">
        <v>593</v>
      </c>
      <c r="S45" s="149" t="s">
        <v>595</v>
      </c>
      <c r="T45" s="1088" t="s">
        <v>596</v>
      </c>
      <c r="U45" s="1089"/>
    </row>
    <row r="46" spans="1:21" s="89" customFormat="1" ht="15.75">
      <c r="A46" s="150"/>
      <c r="B46" s="151"/>
      <c r="C46" s="152"/>
      <c r="D46" s="153"/>
      <c r="E46" s="154"/>
      <c r="F46" s="154"/>
      <c r="G46" s="153"/>
      <c r="H46" s="153"/>
      <c r="I46" s="153"/>
      <c r="J46" s="153"/>
      <c r="K46" s="153"/>
      <c r="L46" s="153"/>
      <c r="M46" s="155"/>
      <c r="N46" s="155"/>
      <c r="O46" s="153"/>
      <c r="P46" s="156"/>
      <c r="Q46" s="157"/>
      <c r="R46" s="156"/>
      <c r="S46" s="157"/>
      <c r="T46" s="153"/>
      <c r="U46" s="158"/>
    </row>
    <row r="47" spans="1:21" s="89" customFormat="1">
      <c r="A47" s="118">
        <f>+A40+1</f>
        <v>18</v>
      </c>
      <c r="B47" s="97"/>
      <c r="C47" s="93" t="s">
        <v>55</v>
      </c>
      <c r="D47" s="93"/>
      <c r="E47" s="119" t="s">
        <v>597</v>
      </c>
      <c r="F47" s="189">
        <v>165</v>
      </c>
      <c r="G47" s="135" t="s">
        <v>587</v>
      </c>
      <c r="H47" s="93"/>
      <c r="I47" s="93"/>
      <c r="J47" s="93"/>
      <c r="K47" s="93"/>
      <c r="L47" s="93"/>
      <c r="M47" s="51"/>
      <c r="N47" s="51"/>
      <c r="O47" s="585"/>
      <c r="P47" s="585"/>
      <c r="Q47" s="585"/>
      <c r="R47" s="268">
        <v>6146242</v>
      </c>
      <c r="S47" s="268">
        <v>41129381</v>
      </c>
      <c r="T47" s="54">
        <f>+SUM(R47:S47)/2</f>
        <v>23637811.5</v>
      </c>
      <c r="U47" s="159"/>
    </row>
    <row r="48" spans="1:21" s="89" customFormat="1" ht="15.75" thickBot="1">
      <c r="A48" s="143"/>
      <c r="B48" s="148"/>
      <c r="C48" s="148"/>
      <c r="D48" s="148"/>
      <c r="E48" s="148"/>
      <c r="F48" s="148"/>
      <c r="G48" s="148"/>
      <c r="H48" s="148"/>
      <c r="I48" s="148"/>
      <c r="J48" s="148"/>
      <c r="K48" s="148"/>
      <c r="L48" s="148"/>
      <c r="M48" s="148"/>
      <c r="N48" s="148"/>
      <c r="O48" s="148"/>
      <c r="P48" s="148"/>
      <c r="Q48" s="148"/>
      <c r="R48" s="148" t="s">
        <v>153</v>
      </c>
      <c r="S48" s="129"/>
      <c r="T48" s="129"/>
      <c r="U48" s="132"/>
    </row>
    <row r="49" spans="1:21" s="89" customFormat="1">
      <c r="A49" s="97"/>
      <c r="B49" s="97"/>
      <c r="C49" s="97"/>
      <c r="D49" s="97"/>
      <c r="E49" s="97"/>
      <c r="F49" s="97"/>
      <c r="G49" s="97"/>
      <c r="H49" s="97"/>
      <c r="I49" s="97"/>
      <c r="J49" s="97"/>
      <c r="K49" s="97"/>
      <c r="L49" s="97"/>
      <c r="M49" s="97"/>
      <c r="N49" s="97"/>
      <c r="O49" s="97"/>
      <c r="P49" s="97"/>
      <c r="Q49" s="97"/>
      <c r="R49" s="97"/>
      <c r="S49" s="93"/>
      <c r="T49" s="93"/>
      <c r="U49" s="93"/>
    </row>
    <row r="50" spans="1:21">
      <c r="A50" s="97"/>
      <c r="B50" s="91"/>
      <c r="C50" s="134"/>
      <c r="D50" s="91"/>
      <c r="E50" s="136"/>
      <c r="F50" s="136"/>
      <c r="G50" s="26"/>
      <c r="H50" s="26"/>
      <c r="I50" s="26"/>
      <c r="J50" s="26"/>
      <c r="K50" s="26"/>
      <c r="L50" s="26"/>
      <c r="M50" s="26"/>
      <c r="N50" s="26"/>
      <c r="O50" s="26"/>
      <c r="P50" s="26"/>
      <c r="Q50" s="26"/>
      <c r="R50" s="26"/>
      <c r="S50" s="26"/>
      <c r="T50" s="26"/>
      <c r="U50" s="91"/>
    </row>
    <row r="51" spans="1:21" ht="16.5" thickBot="1">
      <c r="A51" s="100" t="s">
        <v>58</v>
      </c>
      <c r="B51" s="91"/>
      <c r="C51" s="91"/>
      <c r="D51" s="91"/>
      <c r="E51" s="91"/>
      <c r="F51" s="91"/>
      <c r="G51" s="137"/>
      <c r="H51" s="1140"/>
      <c r="I51" s="1140"/>
      <c r="J51" s="1140"/>
      <c r="K51" s="1140"/>
      <c r="L51" s="1140"/>
      <c r="M51" s="1140"/>
      <c r="N51" s="1140"/>
      <c r="O51" s="1140"/>
      <c r="P51" s="1140"/>
      <c r="Q51" s="1140"/>
      <c r="R51" s="1140"/>
      <c r="S51" s="1140"/>
      <c r="T51" s="91"/>
      <c r="U51" s="91"/>
    </row>
    <row r="52" spans="1:21" ht="32.25" thickBot="1">
      <c r="A52" s="104" t="s">
        <v>545</v>
      </c>
      <c r="B52" s="105" t="s">
        <v>546</v>
      </c>
      <c r="C52" s="105"/>
      <c r="D52" s="105"/>
      <c r="E52" s="107" t="s">
        <v>547</v>
      </c>
      <c r="F52" s="1088" t="s">
        <v>548</v>
      </c>
      <c r="G52" s="138"/>
      <c r="H52" s="138"/>
      <c r="I52" s="138"/>
      <c r="J52" s="138"/>
      <c r="K52" s="138"/>
      <c r="L52" s="138"/>
      <c r="M52" s="138"/>
      <c r="N52" s="138"/>
      <c r="O52" s="138"/>
      <c r="P52" s="138"/>
      <c r="Q52" s="138"/>
      <c r="R52" s="1088" t="s">
        <v>593</v>
      </c>
      <c r="S52" s="1088" t="s">
        <v>598</v>
      </c>
      <c r="T52" s="1088" t="s">
        <v>561</v>
      </c>
      <c r="U52" s="1089"/>
    </row>
    <row r="53" spans="1:21" s="89" customFormat="1">
      <c r="A53" s="118"/>
      <c r="B53" s="93"/>
      <c r="C53" s="116"/>
      <c r="D53" s="93"/>
      <c r="E53" s="123"/>
      <c r="F53" s="123"/>
      <c r="G53" s="93"/>
      <c r="H53" s="93"/>
      <c r="I53" s="93"/>
      <c r="J53" s="93"/>
      <c r="K53" s="93"/>
      <c r="L53" s="93"/>
      <c r="M53" s="93"/>
      <c r="N53" s="93"/>
      <c r="O53" s="93"/>
      <c r="P53" s="93"/>
      <c r="Q53" s="93"/>
      <c r="R53" s="26"/>
      <c r="S53" s="20"/>
      <c r="T53" s="20"/>
      <c r="U53" s="142"/>
    </row>
    <row r="54" spans="1:21" s="89" customFormat="1">
      <c r="A54" s="118"/>
      <c r="B54" s="93"/>
      <c r="C54" s="116"/>
      <c r="D54" s="93"/>
      <c r="E54" s="123"/>
      <c r="F54" s="123"/>
      <c r="G54" s="93"/>
      <c r="H54" s="93"/>
      <c r="I54" s="93"/>
      <c r="J54" s="93"/>
      <c r="K54" s="93"/>
      <c r="L54" s="93"/>
      <c r="M54" s="93"/>
      <c r="N54" s="93"/>
      <c r="O54" s="93"/>
      <c r="P54" s="93"/>
      <c r="Q54" s="93"/>
      <c r="R54" s="26"/>
      <c r="S54" s="20"/>
      <c r="T54" s="20"/>
      <c r="U54" s="142"/>
    </row>
    <row r="55" spans="1:21">
      <c r="A55" s="124">
        <f>+A47+1</f>
        <v>19</v>
      </c>
      <c r="B55" s="93"/>
      <c r="C55" s="116" t="s">
        <v>599</v>
      </c>
      <c r="D55" s="133"/>
      <c r="E55" s="133" t="s">
        <v>600</v>
      </c>
      <c r="F55" s="792">
        <v>163</v>
      </c>
      <c r="G55" s="135" t="s">
        <v>587</v>
      </c>
      <c r="H55" s="91"/>
      <c r="I55" s="91"/>
      <c r="J55" s="26"/>
      <c r="K55" s="91"/>
      <c r="L55" s="91"/>
      <c r="M55" s="91"/>
      <c r="N55" s="91"/>
      <c r="O55" s="91"/>
      <c r="P55" s="91"/>
      <c r="Q55" s="91"/>
      <c r="R55" s="1059">
        <v>537417</v>
      </c>
      <c r="S55" s="1059">
        <v>-315589</v>
      </c>
      <c r="T55" s="54">
        <f>+SUM(R55:S55)/2</f>
        <v>110914</v>
      </c>
      <c r="U55" s="122"/>
    </row>
    <row r="56" spans="1:21">
      <c r="A56" s="124">
        <f>+A55+1</f>
        <v>20</v>
      </c>
      <c r="B56" s="93"/>
      <c r="C56" s="116" t="s">
        <v>61</v>
      </c>
      <c r="D56" s="133"/>
      <c r="E56" s="133" t="s">
        <v>601</v>
      </c>
      <c r="F56" s="792">
        <v>154</v>
      </c>
      <c r="G56" s="90" t="s">
        <v>587</v>
      </c>
      <c r="H56" s="91"/>
      <c r="I56" s="91"/>
      <c r="J56" s="26"/>
      <c r="K56" s="91"/>
      <c r="L56" s="91"/>
      <c r="M56" s="91"/>
      <c r="N56" s="91"/>
      <c r="O56" s="91"/>
      <c r="P56" s="91"/>
      <c r="Q56" s="91"/>
      <c r="R56" s="268">
        <f>188970+1257999</f>
        <v>1446969</v>
      </c>
      <c r="S56" s="268">
        <f>356859+2375652</f>
        <v>2732511</v>
      </c>
      <c r="T56" s="54">
        <f t="shared" ref="T56" si="5">+SUM(R56:S56)/2</f>
        <v>2089740</v>
      </c>
      <c r="U56" s="122"/>
    </row>
    <row r="57" spans="1:21" ht="16.5" thickBot="1">
      <c r="A57" s="143"/>
      <c r="B57" s="148"/>
      <c r="C57" s="127"/>
      <c r="D57" s="148"/>
      <c r="E57" s="128"/>
      <c r="F57" s="128"/>
      <c r="G57" s="144"/>
      <c r="H57" s="144"/>
      <c r="I57" s="165"/>
      <c r="J57" s="128"/>
      <c r="K57" s="128"/>
      <c r="L57" s="128"/>
      <c r="M57" s="128"/>
      <c r="N57" s="128"/>
      <c r="O57" s="128"/>
      <c r="P57" s="128"/>
      <c r="Q57" s="128"/>
      <c r="R57" s="128"/>
      <c r="S57" s="144"/>
      <c r="T57" s="1138"/>
      <c r="U57" s="1139"/>
    </row>
    <row r="58" spans="1:21" s="91" customFormat="1" ht="15.75">
      <c r="A58" s="97"/>
      <c r="B58" s="115"/>
      <c r="C58" s="119"/>
      <c r="D58" s="133"/>
      <c r="E58" s="96"/>
      <c r="F58" s="96"/>
      <c r="G58" s="26"/>
      <c r="H58" s="26"/>
      <c r="I58" s="26"/>
      <c r="J58" s="26"/>
      <c r="K58" s="26"/>
      <c r="L58" s="26"/>
      <c r="M58" s="26"/>
      <c r="N58" s="26"/>
      <c r="O58" s="26"/>
      <c r="P58" s="26"/>
      <c r="Q58" s="26"/>
      <c r="R58" s="26"/>
      <c r="S58" s="26"/>
      <c r="T58" s="46"/>
      <c r="U58" s="162"/>
    </row>
    <row r="59" spans="1:21" s="91" customFormat="1" ht="15.75">
      <c r="A59" s="97"/>
      <c r="B59" s="115"/>
      <c r="C59" s="119"/>
      <c r="D59" s="133"/>
      <c r="E59" s="96"/>
      <c r="F59" s="96"/>
      <c r="G59" s="26"/>
      <c r="H59" s="26"/>
      <c r="I59" s="26"/>
      <c r="J59" s="26"/>
      <c r="K59" s="26"/>
      <c r="L59" s="26"/>
      <c r="M59" s="26"/>
      <c r="N59" s="26"/>
      <c r="O59" s="26"/>
      <c r="P59" s="26"/>
      <c r="Q59" s="26"/>
      <c r="R59" s="26"/>
      <c r="S59" s="26"/>
      <c r="T59" s="46"/>
      <c r="U59" s="162"/>
    </row>
    <row r="60" spans="1:21" ht="16.5" thickBot="1">
      <c r="A60" s="100" t="s">
        <v>602</v>
      </c>
      <c r="B60" s="91"/>
      <c r="C60" s="91"/>
      <c r="D60" s="91"/>
      <c r="E60" s="91"/>
      <c r="F60" s="91"/>
      <c r="G60" s="137"/>
      <c r="H60" s="562"/>
      <c r="I60" s="562"/>
      <c r="J60" s="562"/>
      <c r="K60" s="562"/>
      <c r="L60" s="562"/>
      <c r="M60" s="562"/>
      <c r="N60" s="562"/>
      <c r="O60" s="562"/>
      <c r="P60" s="562"/>
      <c r="Q60" s="562"/>
      <c r="R60" s="562"/>
      <c r="S60" s="562"/>
      <c r="T60" s="562"/>
      <c r="U60" s="562"/>
    </row>
    <row r="61" spans="1:21" ht="32.25" thickBot="1">
      <c r="A61" s="104" t="s">
        <v>545</v>
      </c>
      <c r="B61" s="105" t="s">
        <v>546</v>
      </c>
      <c r="C61" s="105"/>
      <c r="D61" s="105"/>
      <c r="E61" s="107" t="s">
        <v>547</v>
      </c>
      <c r="F61" s="1088" t="s">
        <v>548</v>
      </c>
      <c r="G61" s="138"/>
      <c r="H61" s="138"/>
      <c r="I61" s="138"/>
      <c r="J61" s="138"/>
      <c r="K61" s="138"/>
      <c r="L61" s="138"/>
      <c r="M61" s="138"/>
      <c r="N61" s="138"/>
      <c r="O61" s="138"/>
      <c r="P61" s="138"/>
      <c r="Q61" s="138"/>
      <c r="R61" s="138"/>
      <c r="S61" s="106" t="s">
        <v>584</v>
      </c>
      <c r="T61" s="1021"/>
      <c r="U61" s="139"/>
    </row>
    <row r="62" spans="1:21">
      <c r="A62" s="118">
        <f>+A56+1</f>
        <v>21</v>
      </c>
      <c r="B62" s="91"/>
      <c r="C62" s="134" t="s">
        <v>88</v>
      </c>
      <c r="D62" s="91"/>
      <c r="E62" s="199" t="s">
        <v>603</v>
      </c>
      <c r="F62" s="793" t="s">
        <v>604</v>
      </c>
      <c r="G62" s="135" t="s">
        <v>565</v>
      </c>
      <c r="H62" s="91"/>
      <c r="I62" s="91"/>
      <c r="J62" s="91"/>
      <c r="K62" s="91"/>
      <c r="L62" s="91"/>
      <c r="M62" s="91"/>
      <c r="N62" s="91"/>
      <c r="O62" s="91"/>
      <c r="P62" s="91"/>
      <c r="Q62" s="91"/>
      <c r="R62" s="91"/>
      <c r="S62" s="1070">
        <v>65339750.652602136</v>
      </c>
      <c r="T62" s="562"/>
      <c r="U62" s="122"/>
    </row>
    <row r="63" spans="1:21">
      <c r="A63" s="118">
        <f>+A62+1</f>
        <v>22</v>
      </c>
      <c r="B63" s="91"/>
      <c r="C63" s="134" t="s">
        <v>605</v>
      </c>
      <c r="D63" s="91"/>
      <c r="E63" s="136" t="s">
        <v>606</v>
      </c>
      <c r="F63" s="192">
        <v>565</v>
      </c>
      <c r="G63" s="135" t="s">
        <v>565</v>
      </c>
      <c r="H63" s="93"/>
      <c r="I63" s="93"/>
      <c r="J63" s="91"/>
      <c r="K63" s="91"/>
      <c r="L63" s="91"/>
      <c r="M63" s="91"/>
      <c r="N63" s="91"/>
      <c r="O63" s="91"/>
      <c r="P63" s="91"/>
      <c r="Q63" s="91"/>
      <c r="R63" s="91"/>
      <c r="S63" s="1070">
        <v>46347969.093048342</v>
      </c>
      <c r="T63" s="562"/>
      <c r="U63" s="122"/>
    </row>
    <row r="64" spans="1:21" s="562" customFormat="1">
      <c r="A64" s="118">
        <f>+A63+1</f>
        <v>23</v>
      </c>
      <c r="B64" s="91"/>
      <c r="C64" s="134" t="s">
        <v>607</v>
      </c>
      <c r="D64" s="91"/>
      <c r="E64" s="136" t="s">
        <v>608</v>
      </c>
      <c r="F64" s="192">
        <v>561.4</v>
      </c>
      <c r="G64" s="135" t="s">
        <v>565</v>
      </c>
      <c r="H64" s="93"/>
      <c r="I64" s="93"/>
      <c r="J64" s="91"/>
      <c r="K64" s="91"/>
      <c r="L64" s="91"/>
      <c r="M64" s="91"/>
      <c r="N64" s="91"/>
      <c r="O64" s="91"/>
      <c r="P64" s="91"/>
      <c r="Q64" s="91"/>
      <c r="R64" s="91"/>
      <c r="S64" s="1070">
        <v>10782444.27554401</v>
      </c>
      <c r="U64" s="122"/>
    </row>
    <row r="65" spans="1:21" s="562" customFormat="1">
      <c r="A65" s="118">
        <f>+A64+1</f>
        <v>24</v>
      </c>
      <c r="B65" s="91"/>
      <c r="C65" s="134" t="s">
        <v>609</v>
      </c>
      <c r="D65" s="91"/>
      <c r="E65" s="136"/>
      <c r="F65" s="192"/>
      <c r="G65" s="91"/>
      <c r="H65" s="91"/>
      <c r="I65" s="91"/>
      <c r="J65" s="91"/>
      <c r="K65" s="91"/>
      <c r="L65" s="91"/>
      <c r="M65" s="91"/>
      <c r="N65" s="91"/>
      <c r="O65" s="91"/>
      <c r="P65" s="91"/>
      <c r="Q65" s="91"/>
      <c r="R65" s="91"/>
      <c r="S65" s="585">
        <f>+SUM(S63:S64)</f>
        <v>57130413.368592352</v>
      </c>
      <c r="U65" s="122"/>
    </row>
    <row r="66" spans="1:21" ht="15.75" thickBot="1">
      <c r="A66" s="143"/>
      <c r="B66" s="144"/>
      <c r="C66" s="145"/>
      <c r="D66" s="144"/>
      <c r="E66" s="146"/>
      <c r="F66" s="146"/>
      <c r="G66" s="31"/>
      <c r="H66" s="31"/>
      <c r="I66" s="31"/>
      <c r="J66" s="31"/>
      <c r="K66" s="31"/>
      <c r="L66" s="31"/>
      <c r="M66" s="31"/>
      <c r="N66" s="31"/>
      <c r="O66" s="31"/>
      <c r="P66" s="31"/>
      <c r="Q66" s="31"/>
      <c r="R66" s="31"/>
      <c r="S66" s="31"/>
      <c r="T66" s="31"/>
      <c r="U66" s="147"/>
    </row>
    <row r="67" spans="1:21">
      <c r="A67" s="97"/>
      <c r="B67" s="91"/>
      <c r="C67" s="134"/>
      <c r="D67" s="91"/>
      <c r="E67" s="136"/>
      <c r="F67" s="136"/>
      <c r="G67" s="26"/>
      <c r="H67" s="26"/>
      <c r="I67" s="26"/>
      <c r="J67" s="26"/>
      <c r="K67" s="26"/>
      <c r="L67" s="26"/>
      <c r="M67" s="26"/>
      <c r="N67" s="26"/>
      <c r="O67" s="26"/>
      <c r="P67" s="26"/>
      <c r="Q67" s="26"/>
      <c r="R67" s="26"/>
      <c r="S67" s="26"/>
      <c r="T67" s="26"/>
      <c r="U67" s="91"/>
    </row>
    <row r="68" spans="1:21">
      <c r="A68" s="97"/>
      <c r="B68" s="91"/>
      <c r="C68" s="134"/>
      <c r="D68" s="91"/>
      <c r="E68" s="136"/>
      <c r="F68" s="136"/>
      <c r="G68" s="26"/>
      <c r="H68" s="26"/>
      <c r="I68" s="26"/>
      <c r="J68" s="26"/>
      <c r="K68" s="26"/>
      <c r="L68" s="26"/>
      <c r="M68" s="26"/>
      <c r="N68" s="26"/>
      <c r="O68" s="26"/>
      <c r="P68" s="26"/>
      <c r="Q68" s="26"/>
      <c r="R68" s="26"/>
      <c r="S68" s="26"/>
      <c r="T68" s="26"/>
      <c r="U68" s="91"/>
    </row>
    <row r="69" spans="1:21" s="91" customFormat="1" ht="16.5" thickBot="1">
      <c r="A69" s="100" t="s">
        <v>610</v>
      </c>
      <c r="G69" s="137"/>
      <c r="H69" s="26"/>
      <c r="I69" s="26"/>
      <c r="J69" s="26"/>
      <c r="K69" s="26"/>
      <c r="L69" s="26"/>
      <c r="M69" s="26"/>
      <c r="N69" s="26"/>
      <c r="O69" s="26"/>
      <c r="P69" s="26"/>
      <c r="Q69" s="26"/>
      <c r="R69" s="26"/>
      <c r="S69" s="26"/>
      <c r="T69" s="46"/>
      <c r="U69" s="162"/>
    </row>
    <row r="70" spans="1:21" s="91" customFormat="1" ht="32.25" thickBot="1">
      <c r="A70" s="104" t="s">
        <v>545</v>
      </c>
      <c r="B70" s="105" t="s">
        <v>546</v>
      </c>
      <c r="C70" s="105"/>
      <c r="D70" s="105"/>
      <c r="E70" s="107" t="s">
        <v>547</v>
      </c>
      <c r="F70" s="1088" t="s">
        <v>548</v>
      </c>
      <c r="G70" s="138"/>
      <c r="H70" s="52"/>
      <c r="I70" s="52"/>
      <c r="J70" s="52"/>
      <c r="K70" s="52"/>
      <c r="L70" s="52"/>
      <c r="M70" s="52"/>
      <c r="N70" s="52"/>
      <c r="O70" s="52"/>
      <c r="P70" s="52"/>
      <c r="Q70" s="52"/>
      <c r="R70" s="52"/>
      <c r="S70" s="106" t="s">
        <v>584</v>
      </c>
      <c r="T70" s="1021"/>
      <c r="U70" s="1089"/>
    </row>
    <row r="71" spans="1:21" s="91" customFormat="1">
      <c r="A71" s="114"/>
      <c r="C71" s="126"/>
      <c r="D71" s="102"/>
      <c r="E71" s="102"/>
      <c r="F71" s="102"/>
      <c r="H71" s="26"/>
      <c r="I71" s="26"/>
      <c r="J71" s="26"/>
      <c r="K71" s="26"/>
      <c r="L71" s="26"/>
      <c r="M71" s="26"/>
      <c r="N71" s="26"/>
      <c r="O71" s="26"/>
      <c r="P71" s="26"/>
      <c r="Q71" s="26"/>
      <c r="R71" s="26"/>
      <c r="S71" s="133"/>
      <c r="U71" s="170"/>
    </row>
    <row r="72" spans="1:21" s="91" customFormat="1" ht="15.75">
      <c r="A72" s="114">
        <f>+A65+1</f>
        <v>25</v>
      </c>
      <c r="B72" s="171"/>
      <c r="C72" s="126" t="s">
        <v>611</v>
      </c>
      <c r="D72" s="102"/>
      <c r="E72" s="102" t="s">
        <v>612</v>
      </c>
      <c r="F72" s="794">
        <v>924</v>
      </c>
      <c r="G72" s="135" t="s">
        <v>587</v>
      </c>
      <c r="H72" s="26"/>
      <c r="I72" s="26"/>
      <c r="J72" s="26"/>
      <c r="K72" s="26"/>
      <c r="L72" s="26"/>
      <c r="M72" s="26"/>
      <c r="N72" s="26"/>
      <c r="O72" s="26"/>
      <c r="P72" s="26"/>
      <c r="Q72" s="26"/>
      <c r="R72" s="26"/>
      <c r="S72" s="268">
        <f>4444530</f>
        <v>4444530</v>
      </c>
      <c r="U72" s="170"/>
    </row>
    <row r="73" spans="1:21" s="91" customFormat="1" ht="16.5" thickBot="1">
      <c r="A73" s="143"/>
      <c r="B73" s="161"/>
      <c r="C73" s="128"/>
      <c r="D73" s="131"/>
      <c r="E73" s="172"/>
      <c r="F73" s="172"/>
      <c r="G73" s="31"/>
      <c r="H73" s="31"/>
      <c r="I73" s="31"/>
      <c r="J73" s="31"/>
      <c r="K73" s="31"/>
      <c r="L73" s="31"/>
      <c r="M73" s="31"/>
      <c r="N73" s="31"/>
      <c r="O73" s="31"/>
      <c r="P73" s="31"/>
      <c r="Q73" s="31"/>
      <c r="R73" s="31"/>
      <c r="S73" s="31"/>
      <c r="T73" s="53"/>
      <c r="U73" s="173"/>
    </row>
    <row r="74" spans="1:21" ht="15.75">
      <c r="A74" s="97"/>
      <c r="B74" s="97"/>
      <c r="C74" s="125"/>
      <c r="D74" s="97"/>
      <c r="E74" s="119"/>
      <c r="F74" s="119"/>
      <c r="G74" s="91"/>
      <c r="H74" s="91"/>
      <c r="I74" s="50"/>
      <c r="J74" s="119"/>
      <c r="K74" s="119"/>
      <c r="L74" s="119"/>
      <c r="M74" s="119"/>
      <c r="N74" s="119"/>
      <c r="O74" s="119"/>
      <c r="P74" s="119"/>
      <c r="Q74" s="119"/>
      <c r="R74" s="119"/>
      <c r="S74" s="91"/>
      <c r="T74" s="283"/>
      <c r="U74" s="562"/>
    </row>
    <row r="75" spans="1:21" ht="16.5" thickBot="1">
      <c r="A75" s="100" t="s">
        <v>613</v>
      </c>
      <c r="B75" s="562"/>
      <c r="C75" s="562"/>
      <c r="D75" s="562"/>
      <c r="E75" s="562"/>
      <c r="G75" s="562"/>
      <c r="H75" s="562"/>
      <c r="I75" s="562"/>
      <c r="J75" s="562"/>
      <c r="K75" s="562"/>
      <c r="L75" s="562"/>
      <c r="M75" s="562"/>
      <c r="N75" s="562"/>
      <c r="O75" s="562"/>
      <c r="P75" s="562"/>
      <c r="Q75" s="562"/>
      <c r="R75" s="562"/>
      <c r="S75" s="562"/>
      <c r="T75" s="562"/>
      <c r="U75" s="562"/>
    </row>
    <row r="76" spans="1:21" ht="32.25" thickBot="1">
      <c r="A76" s="104" t="s">
        <v>545</v>
      </c>
      <c r="B76" s="105" t="s">
        <v>546</v>
      </c>
      <c r="C76" s="105"/>
      <c r="D76" s="105"/>
      <c r="E76" s="107" t="s">
        <v>547</v>
      </c>
      <c r="F76" s="1088" t="s">
        <v>548</v>
      </c>
      <c r="G76" s="106"/>
      <c r="H76" s="106"/>
      <c r="I76" s="106"/>
      <c r="J76" s="106"/>
      <c r="K76" s="106"/>
      <c r="L76" s="106"/>
      <c r="M76" s="106"/>
      <c r="N76" s="106"/>
      <c r="O76" s="106"/>
      <c r="P76" s="106"/>
      <c r="Q76" s="106"/>
      <c r="R76" s="106"/>
      <c r="S76" s="1088" t="s">
        <v>584</v>
      </c>
      <c r="T76" s="1143"/>
      <c r="U76" s="1144"/>
    </row>
    <row r="77" spans="1:21" ht="15.75">
      <c r="A77" s="118"/>
      <c r="B77" s="125"/>
      <c r="C77" s="97"/>
      <c r="D77" s="97"/>
      <c r="E77" s="97"/>
      <c r="F77" s="97"/>
      <c r="G77" s="97"/>
      <c r="H77" s="97"/>
      <c r="I77" s="97"/>
      <c r="J77" s="97"/>
      <c r="K77" s="97"/>
      <c r="L77" s="97"/>
      <c r="M77" s="97"/>
      <c r="N77" s="97"/>
      <c r="O77" s="97"/>
      <c r="P77" s="97"/>
      <c r="Q77" s="97"/>
      <c r="R77" s="97"/>
      <c r="S77" s="91"/>
      <c r="T77" s="91"/>
      <c r="U77" s="122"/>
    </row>
    <row r="78" spans="1:21" s="570" customFormat="1" ht="15.75">
      <c r="A78" s="118">
        <f>+A72+1</f>
        <v>26</v>
      </c>
      <c r="B78" s="97"/>
      <c r="C78" s="119" t="s">
        <v>614</v>
      </c>
      <c r="D78" s="97"/>
      <c r="E78" s="119" t="s">
        <v>615</v>
      </c>
      <c r="F78" s="189" t="s">
        <v>616</v>
      </c>
      <c r="G78" s="135" t="s">
        <v>587</v>
      </c>
      <c r="H78" s="569"/>
      <c r="I78" s="569"/>
      <c r="J78" s="569"/>
      <c r="K78" s="569"/>
      <c r="L78" s="569"/>
      <c r="M78" s="569"/>
      <c r="N78" s="569"/>
      <c r="O78" s="569"/>
      <c r="P78" s="569"/>
      <c r="Q78" s="569" t="s">
        <v>617</v>
      </c>
      <c r="R78" s="569"/>
      <c r="S78" s="934">
        <v>64449337</v>
      </c>
      <c r="T78" s="1086"/>
      <c r="U78" s="170"/>
    </row>
    <row r="79" spans="1:21" ht="15.75">
      <c r="A79" s="118">
        <f>+A78+1</f>
        <v>27</v>
      </c>
      <c r="B79" s="97"/>
      <c r="C79" s="96" t="s">
        <v>618</v>
      </c>
      <c r="D79" s="26"/>
      <c r="E79" s="119" t="s">
        <v>619</v>
      </c>
      <c r="F79" s="189" t="s">
        <v>616</v>
      </c>
      <c r="G79" s="119"/>
      <c r="H79" s="119"/>
      <c r="I79" s="119"/>
      <c r="J79" s="119"/>
      <c r="K79" s="119"/>
      <c r="L79" s="119"/>
      <c r="M79" s="119"/>
      <c r="N79" s="119"/>
      <c r="O79" s="119"/>
      <c r="P79" s="119"/>
      <c r="Q79" s="119"/>
      <c r="R79" s="119"/>
      <c r="S79" s="693">
        <v>3225856.250140897</v>
      </c>
      <c r="T79" s="1141"/>
      <c r="U79" s="1142"/>
    </row>
    <row r="80" spans="1:21" s="562" customFormat="1" ht="15.75">
      <c r="A80" s="118">
        <f>+A79+1</f>
        <v>28</v>
      </c>
      <c r="B80" s="97"/>
      <c r="C80" s="96" t="s">
        <v>620</v>
      </c>
      <c r="D80" s="26"/>
      <c r="E80" s="119" t="s">
        <v>619</v>
      </c>
      <c r="F80" s="189" t="s">
        <v>616</v>
      </c>
      <c r="G80" s="119"/>
      <c r="H80" s="119"/>
      <c r="I80" s="119"/>
      <c r="J80" s="119"/>
      <c r="K80" s="119"/>
      <c r="L80" s="119"/>
      <c r="M80" s="119"/>
      <c r="N80" s="119"/>
      <c r="O80" s="119"/>
      <c r="P80" s="119"/>
      <c r="Q80" s="119"/>
      <c r="R80" s="119"/>
      <c r="S80" s="693">
        <v>29159620</v>
      </c>
      <c r="T80" s="1086"/>
      <c r="U80" s="1087"/>
    </row>
    <row r="81" spans="1:21" ht="15.75" thickBot="1">
      <c r="A81" s="143"/>
      <c r="B81" s="148"/>
      <c r="C81" s="148"/>
      <c r="D81" s="148"/>
      <c r="E81" s="148"/>
      <c r="F81" s="148"/>
      <c r="G81" s="148"/>
      <c r="H81" s="148"/>
      <c r="I81" s="148"/>
      <c r="J81" s="148"/>
      <c r="K81" s="148"/>
      <c r="L81" s="148"/>
      <c r="M81" s="148"/>
      <c r="N81" s="148"/>
      <c r="O81" s="148"/>
      <c r="P81" s="148"/>
      <c r="Q81" s="148"/>
      <c r="R81" s="148"/>
      <c r="S81" s="144"/>
      <c r="T81" s="144"/>
      <c r="U81" s="147"/>
    </row>
    <row r="83" spans="1:21">
      <c r="A83" s="562"/>
      <c r="B83" s="562"/>
      <c r="C83" s="562"/>
      <c r="D83" s="562"/>
      <c r="E83" s="562"/>
      <c r="G83" s="562"/>
      <c r="H83" s="562"/>
      <c r="I83" s="562"/>
      <c r="J83" s="562"/>
      <c r="K83" s="562"/>
      <c r="L83" s="562"/>
      <c r="M83" s="562"/>
      <c r="N83" s="562"/>
      <c r="O83" s="562"/>
      <c r="P83" s="562"/>
      <c r="Q83" s="562"/>
      <c r="R83" s="562"/>
      <c r="S83" s="562"/>
      <c r="T83" s="562" t="s">
        <v>153</v>
      </c>
      <c r="U83" s="562"/>
    </row>
    <row r="84" spans="1:21" ht="16.5" thickBot="1">
      <c r="A84" s="100" t="s">
        <v>621</v>
      </c>
      <c r="B84" s="562"/>
      <c r="C84" s="562"/>
      <c r="D84" s="562"/>
      <c r="E84" s="562"/>
      <c r="G84" s="562"/>
      <c r="H84" s="562"/>
      <c r="I84" s="562"/>
      <c r="J84" s="562"/>
      <c r="K84" s="562"/>
      <c r="L84" s="562"/>
      <c r="M84" s="562"/>
      <c r="N84" s="562"/>
      <c r="O84" s="562"/>
      <c r="P84" s="562"/>
      <c r="Q84" s="562"/>
      <c r="R84" s="562"/>
      <c r="S84" s="562"/>
      <c r="T84" s="562"/>
      <c r="U84" s="562"/>
    </row>
    <row r="85" spans="1:21" ht="32.25" thickBot="1">
      <c r="A85" s="104" t="s">
        <v>545</v>
      </c>
      <c r="B85" s="105" t="s">
        <v>546</v>
      </c>
      <c r="C85" s="105"/>
      <c r="D85" s="105"/>
      <c r="E85" s="107" t="s">
        <v>547</v>
      </c>
      <c r="F85" s="1088" t="s">
        <v>548</v>
      </c>
      <c r="G85" s="106"/>
      <c r="H85" s="106"/>
      <c r="I85" s="106"/>
      <c r="J85" s="106"/>
      <c r="K85" s="106"/>
      <c r="L85" s="106"/>
      <c r="M85" s="106"/>
      <c r="N85" s="106"/>
      <c r="O85" s="106"/>
      <c r="P85" s="106"/>
      <c r="Q85" s="106"/>
      <c r="R85" s="106"/>
      <c r="S85" s="1088" t="s">
        <v>584</v>
      </c>
      <c r="T85" s="1088"/>
      <c r="U85" s="1089"/>
    </row>
    <row r="86" spans="1:21" s="89" customFormat="1" ht="15.75">
      <c r="A86" s="174"/>
      <c r="B86" s="175"/>
      <c r="C86" s="175"/>
      <c r="D86" s="175"/>
      <c r="E86" s="177"/>
      <c r="F86" s="177"/>
      <c r="G86" s="176"/>
      <c r="H86" s="176"/>
      <c r="I86" s="176"/>
      <c r="J86" s="176"/>
      <c r="K86" s="176"/>
      <c r="L86" s="176"/>
      <c r="M86" s="176"/>
      <c r="N86" s="176"/>
      <c r="O86" s="176"/>
      <c r="P86" s="176"/>
      <c r="Q86" s="176"/>
      <c r="R86" s="176"/>
      <c r="S86" s="178"/>
      <c r="T86" s="178"/>
      <c r="U86" s="179"/>
    </row>
    <row r="87" spans="1:21">
      <c r="A87" s="118">
        <f>+A80+1</f>
        <v>29</v>
      </c>
      <c r="B87" s="97"/>
      <c r="C87" s="119" t="s">
        <v>622</v>
      </c>
      <c r="D87" s="123"/>
      <c r="E87" s="119" t="s">
        <v>623</v>
      </c>
      <c r="F87" s="189">
        <v>928</v>
      </c>
      <c r="G87" s="135" t="s">
        <v>587</v>
      </c>
      <c r="H87" s="119"/>
      <c r="I87" s="119"/>
      <c r="J87" s="119"/>
      <c r="K87" s="119"/>
      <c r="L87" s="119"/>
      <c r="M87" s="119"/>
      <c r="N87" s="119"/>
      <c r="O87" s="119"/>
      <c r="P87" s="119"/>
      <c r="Q87" s="119"/>
      <c r="R87" s="119"/>
      <c r="S87" s="934">
        <v>2747836</v>
      </c>
      <c r="T87" s="589"/>
      <c r="U87" s="180"/>
    </row>
    <row r="88" spans="1:21">
      <c r="A88" s="118">
        <f>+A87+1</f>
        <v>30</v>
      </c>
      <c r="B88" s="97"/>
      <c r="C88" s="119" t="s">
        <v>624</v>
      </c>
      <c r="D88" s="206"/>
      <c r="E88" s="119" t="s">
        <v>625</v>
      </c>
      <c r="F88" s="189">
        <v>928</v>
      </c>
      <c r="G88" s="135" t="s">
        <v>565</v>
      </c>
      <c r="H88" s="119"/>
      <c r="I88" s="119"/>
      <c r="J88" s="119"/>
      <c r="K88" s="119"/>
      <c r="L88" s="119"/>
      <c r="M88" s="119"/>
      <c r="N88" s="119"/>
      <c r="O88" s="119"/>
      <c r="P88" s="119"/>
      <c r="Q88" s="119"/>
      <c r="R88" s="119"/>
      <c r="S88" s="268">
        <v>150000</v>
      </c>
      <c r="T88" s="26"/>
      <c r="U88" s="182"/>
    </row>
    <row r="89" spans="1:21" ht="15.75" thickBot="1">
      <c r="A89" s="183"/>
      <c r="B89" s="144"/>
      <c r="C89" s="144"/>
      <c r="D89" s="144"/>
      <c r="E89" s="144"/>
      <c r="F89" s="144"/>
      <c r="G89" s="144"/>
      <c r="H89" s="144"/>
      <c r="I89" s="144"/>
      <c r="J89" s="144"/>
      <c r="K89" s="144"/>
      <c r="L89" s="144"/>
      <c r="M89" s="144"/>
      <c r="N89" s="144"/>
      <c r="O89" s="144"/>
      <c r="P89" s="144"/>
      <c r="Q89" s="144"/>
      <c r="R89" s="144"/>
      <c r="S89" s="144"/>
      <c r="T89" s="144"/>
      <c r="U89" s="147"/>
    </row>
    <row r="90" spans="1:21">
      <c r="A90" s="91"/>
      <c r="B90" s="91"/>
      <c r="C90" s="91"/>
      <c r="D90" s="91"/>
      <c r="E90" s="91"/>
      <c r="F90" s="91"/>
      <c r="G90" s="91"/>
      <c r="H90" s="91"/>
      <c r="I90" s="91"/>
      <c r="J90" s="91"/>
      <c r="K90" s="91"/>
      <c r="L90" s="91"/>
      <c r="M90" s="91"/>
      <c r="N90" s="91"/>
      <c r="O90" s="91"/>
      <c r="P90" s="91"/>
      <c r="Q90" s="91"/>
      <c r="R90" s="91"/>
      <c r="S90" s="91"/>
      <c r="T90" s="91"/>
      <c r="U90" s="91"/>
    </row>
    <row r="91" spans="1:21">
      <c r="A91" s="91"/>
      <c r="B91" s="91"/>
      <c r="C91" s="91"/>
      <c r="D91" s="91"/>
      <c r="E91" s="91"/>
      <c r="F91" s="91"/>
      <c r="G91" s="91"/>
      <c r="H91" s="91"/>
      <c r="I91" s="91"/>
      <c r="J91" s="91"/>
      <c r="K91" s="91"/>
      <c r="L91" s="91"/>
      <c r="M91" s="91"/>
      <c r="N91" s="91"/>
      <c r="O91" s="91"/>
      <c r="P91" s="91"/>
      <c r="Q91" s="91"/>
      <c r="R91" s="91"/>
      <c r="S91" s="91"/>
      <c r="T91" s="91"/>
      <c r="U91" s="91"/>
    </row>
    <row r="92" spans="1:21" s="91" customFormat="1" ht="16.5" thickBot="1">
      <c r="A92" s="184" t="s">
        <v>626</v>
      </c>
      <c r="E92" s="119"/>
      <c r="F92" s="119"/>
    </row>
    <row r="93" spans="1:21" ht="32.25" thickBot="1">
      <c r="A93" s="104" t="s">
        <v>545</v>
      </c>
      <c r="B93" s="105" t="s">
        <v>546</v>
      </c>
      <c r="C93" s="105"/>
      <c r="D93" s="105"/>
      <c r="E93" s="107" t="s">
        <v>547</v>
      </c>
      <c r="F93" s="1088" t="s">
        <v>548</v>
      </c>
      <c r="G93" s="106"/>
      <c r="H93" s="106"/>
      <c r="I93" s="106"/>
      <c r="J93" s="106"/>
      <c r="K93" s="106"/>
      <c r="L93" s="106"/>
      <c r="M93" s="106"/>
      <c r="N93" s="106"/>
      <c r="O93" s="106"/>
      <c r="P93" s="106"/>
      <c r="Q93" s="106"/>
      <c r="R93" s="106"/>
      <c r="S93" s="1088" t="s">
        <v>584</v>
      </c>
      <c r="T93" s="1088"/>
      <c r="U93" s="1089"/>
    </row>
    <row r="94" spans="1:21" s="89" customFormat="1" ht="15.75">
      <c r="A94" s="140"/>
      <c r="B94" s="92"/>
      <c r="C94" s="92"/>
      <c r="D94" s="92"/>
      <c r="E94" s="141"/>
      <c r="F94" s="141"/>
      <c r="G94" s="209"/>
      <c r="H94" s="209"/>
      <c r="I94" s="209"/>
      <c r="J94" s="209"/>
      <c r="K94" s="209"/>
      <c r="L94" s="209"/>
      <c r="M94" s="209"/>
      <c r="N94" s="209"/>
      <c r="O94" s="209"/>
      <c r="P94" s="209"/>
      <c r="Q94" s="209"/>
      <c r="R94" s="209"/>
      <c r="S94" s="1086"/>
      <c r="T94" s="1086"/>
      <c r="U94" s="1087"/>
    </row>
    <row r="95" spans="1:21">
      <c r="A95" s="118">
        <f>+A88+1</f>
        <v>31</v>
      </c>
      <c r="B95" s="97"/>
      <c r="C95" s="119" t="s">
        <v>627</v>
      </c>
      <c r="D95" s="91"/>
      <c r="E95" s="136" t="s">
        <v>628</v>
      </c>
      <c r="F95" s="136"/>
      <c r="G95" s="135" t="s">
        <v>587</v>
      </c>
      <c r="H95" s="119"/>
      <c r="I95" s="119"/>
      <c r="J95" s="119"/>
      <c r="K95" s="119"/>
      <c r="L95" s="119"/>
      <c r="M95" s="119"/>
      <c r="N95" s="119"/>
      <c r="O95" s="119"/>
      <c r="P95" s="119"/>
      <c r="Q95" s="119"/>
      <c r="R95" s="119"/>
      <c r="S95" s="567">
        <v>0</v>
      </c>
      <c r="T95" s="589"/>
      <c r="U95" s="185"/>
    </row>
    <row r="96" spans="1:21" ht="15.75" thickBot="1">
      <c r="A96" s="143"/>
      <c r="B96" s="148"/>
      <c r="C96" s="128"/>
      <c r="D96" s="144"/>
      <c r="E96" s="146"/>
      <c r="F96" s="146"/>
      <c r="G96" s="128"/>
      <c r="H96" s="128"/>
      <c r="I96" s="128"/>
      <c r="J96" s="128"/>
      <c r="K96" s="128"/>
      <c r="L96" s="128"/>
      <c r="M96" s="128"/>
      <c r="N96" s="128"/>
      <c r="O96" s="128"/>
      <c r="P96" s="128"/>
      <c r="Q96" s="128"/>
      <c r="R96" s="128"/>
      <c r="S96" s="31"/>
      <c r="T96" s="186"/>
      <c r="U96" s="187"/>
    </row>
    <row r="97" spans="1:21">
      <c r="A97" s="562"/>
      <c r="B97" s="562"/>
      <c r="C97" s="562"/>
      <c r="D97" s="562"/>
      <c r="E97" s="91"/>
      <c r="F97" s="91"/>
      <c r="G97" s="91"/>
      <c r="H97" s="91"/>
      <c r="I97" s="91"/>
      <c r="J97" s="91"/>
      <c r="K97" s="91"/>
      <c r="L97" s="91"/>
      <c r="M97" s="91"/>
      <c r="N97" s="91"/>
      <c r="O97" s="91"/>
      <c r="P97" s="91"/>
      <c r="Q97" s="91"/>
      <c r="R97" s="91"/>
      <c r="S97" s="91"/>
      <c r="T97" s="91"/>
      <c r="U97" s="122"/>
    </row>
    <row r="98" spans="1:21" ht="18">
      <c r="A98" s="562"/>
      <c r="B98" s="562"/>
      <c r="C98" s="562"/>
      <c r="D98" s="562"/>
      <c r="E98" s="91"/>
      <c r="F98" s="91"/>
      <c r="G98" s="91"/>
      <c r="H98" s="91"/>
      <c r="I98" s="91"/>
      <c r="J98" s="91"/>
      <c r="K98" s="91"/>
      <c r="L98" s="91"/>
      <c r="M98" s="91"/>
      <c r="N98" s="91"/>
      <c r="O98" s="91"/>
      <c r="P98" s="91"/>
      <c r="Q98" s="91"/>
      <c r="R98" s="91"/>
      <c r="S98" s="91"/>
      <c r="T98" s="91"/>
      <c r="U98" s="967"/>
    </row>
    <row r="99" spans="1:21" s="91" customFormat="1" ht="16.5" thickBot="1">
      <c r="A99" s="100" t="s">
        <v>629</v>
      </c>
      <c r="G99" s="137"/>
      <c r="H99" s="562"/>
      <c r="I99" s="562"/>
      <c r="J99" s="562"/>
      <c r="K99" s="562"/>
      <c r="L99" s="562"/>
      <c r="M99" s="562"/>
      <c r="N99" s="562"/>
      <c r="O99" s="562"/>
      <c r="P99" s="562"/>
      <c r="Q99" s="562"/>
      <c r="R99" s="562"/>
      <c r="S99" s="562"/>
      <c r="T99" s="562"/>
      <c r="U99" s="562"/>
    </row>
    <row r="100" spans="1:21" s="91" customFormat="1" ht="32.25" thickBot="1">
      <c r="A100" s="104" t="s">
        <v>545</v>
      </c>
      <c r="B100" s="105" t="s">
        <v>546</v>
      </c>
      <c r="C100" s="105"/>
      <c r="D100" s="105"/>
      <c r="E100" s="107" t="s">
        <v>547</v>
      </c>
      <c r="F100" s="1088" t="s">
        <v>548</v>
      </c>
      <c r="G100" s="138"/>
      <c r="H100" s="138"/>
      <c r="I100" s="138"/>
      <c r="J100" s="138"/>
      <c r="K100" s="138"/>
      <c r="L100" s="138"/>
      <c r="M100" s="138"/>
      <c r="N100" s="138"/>
      <c r="O100" s="138"/>
      <c r="P100" s="138"/>
      <c r="Q100" s="138"/>
      <c r="R100" s="138"/>
      <c r="S100" s="106" t="s">
        <v>584</v>
      </c>
      <c r="T100" s="106"/>
      <c r="U100" s="139"/>
    </row>
    <row r="101" spans="1:21">
      <c r="A101" s="108"/>
      <c r="B101" s="111"/>
      <c r="C101" s="208"/>
      <c r="D101" s="110"/>
      <c r="E101" s="110"/>
      <c r="F101" s="110"/>
      <c r="G101" s="111"/>
      <c r="H101" s="111"/>
      <c r="I101" s="111"/>
      <c r="J101" s="111"/>
      <c r="K101" s="111"/>
      <c r="L101" s="111"/>
      <c r="M101" s="111"/>
      <c r="N101" s="111"/>
      <c r="O101" s="111"/>
      <c r="P101" s="111"/>
      <c r="Q101" s="111"/>
      <c r="R101" s="111"/>
      <c r="S101" s="111"/>
      <c r="T101" s="191"/>
      <c r="U101" s="113"/>
    </row>
    <row r="102" spans="1:21" s="89" customFormat="1" ht="15.75">
      <c r="A102" s="124">
        <f>+A95+1</f>
        <v>32</v>
      </c>
      <c r="B102" s="125"/>
      <c r="C102" s="116" t="s">
        <v>630</v>
      </c>
      <c r="D102" s="133"/>
      <c r="E102" s="133" t="s">
        <v>631</v>
      </c>
      <c r="F102" s="792">
        <v>403</v>
      </c>
      <c r="G102" s="135" t="s">
        <v>565</v>
      </c>
      <c r="H102" s="93"/>
      <c r="I102" s="93"/>
      <c r="J102" s="93"/>
      <c r="K102" s="93"/>
      <c r="L102" s="93"/>
      <c r="M102" s="93"/>
      <c r="N102" s="93"/>
      <c r="O102" s="93"/>
      <c r="P102" s="93"/>
      <c r="Q102" s="93"/>
      <c r="R102" s="93"/>
      <c r="S102" s="1070">
        <v>10714901.413802294</v>
      </c>
      <c r="U102" s="142"/>
    </row>
    <row r="103" spans="1:21" s="89" customFormat="1" ht="15.75">
      <c r="A103" s="124">
        <f>+A102+1</f>
        <v>33</v>
      </c>
      <c r="B103" s="125"/>
      <c r="C103" s="116" t="s">
        <v>632</v>
      </c>
      <c r="D103" s="133"/>
      <c r="E103" s="133" t="s">
        <v>633</v>
      </c>
      <c r="F103" s="792">
        <v>403</v>
      </c>
      <c r="G103" s="93"/>
      <c r="H103" s="93"/>
      <c r="I103" s="93"/>
      <c r="J103" s="93"/>
      <c r="K103" s="93"/>
      <c r="L103" s="93"/>
      <c r="M103" s="93"/>
      <c r="N103" s="93"/>
      <c r="O103" s="93"/>
      <c r="P103" s="93"/>
      <c r="Q103" s="93"/>
      <c r="R103" s="93"/>
      <c r="S103" s="1070">
        <v>1626797.4667466106</v>
      </c>
      <c r="U103" s="538"/>
    </row>
    <row r="104" spans="1:21">
      <c r="A104" s="124">
        <f>+A103+1</f>
        <v>34</v>
      </c>
      <c r="B104" s="192"/>
      <c r="C104" s="134" t="s">
        <v>634</v>
      </c>
      <c r="D104" s="133"/>
      <c r="E104" s="133" t="s">
        <v>635</v>
      </c>
      <c r="F104" s="792">
        <v>404</v>
      </c>
      <c r="G104" s="91"/>
      <c r="H104" s="91"/>
      <c r="I104" s="91"/>
      <c r="J104" s="91"/>
      <c r="K104" s="91"/>
      <c r="L104" s="91"/>
      <c r="M104" s="91"/>
      <c r="N104" s="91"/>
      <c r="O104" s="91"/>
      <c r="P104" s="91"/>
      <c r="Q104" s="91"/>
      <c r="R104" s="91"/>
      <c r="S104" s="1070">
        <v>5408746.8241998227</v>
      </c>
      <c r="T104" s="562"/>
      <c r="U104" s="122"/>
    </row>
    <row r="105" spans="1:21" ht="15.75" thickBot="1">
      <c r="A105" s="143"/>
      <c r="B105" s="190"/>
      <c r="C105" s="128"/>
      <c r="D105" s="131"/>
      <c r="E105" s="172"/>
      <c r="F105" s="172"/>
      <c r="G105" s="172"/>
      <c r="H105" s="144"/>
      <c r="I105" s="144"/>
      <c r="J105" s="144"/>
      <c r="K105" s="144"/>
      <c r="L105" s="144"/>
      <c r="M105" s="144"/>
      <c r="N105" s="144"/>
      <c r="O105" s="144"/>
      <c r="P105" s="144"/>
      <c r="Q105" s="144"/>
      <c r="R105" s="144"/>
      <c r="S105" s="144"/>
      <c r="T105" s="144"/>
      <c r="U105" s="147"/>
    </row>
    <row r="106" spans="1:21">
      <c r="A106" s="97"/>
      <c r="B106" s="189"/>
      <c r="C106" s="119"/>
      <c r="D106" s="133"/>
      <c r="E106" s="96"/>
      <c r="F106" s="96"/>
      <c r="G106" s="96"/>
      <c r="H106" s="96"/>
      <c r="I106" s="96"/>
      <c r="J106" s="96"/>
      <c r="K106" s="96"/>
      <c r="L106" s="96"/>
      <c r="M106" s="96"/>
      <c r="N106" s="96"/>
      <c r="O106" s="96"/>
      <c r="P106" s="96"/>
      <c r="Q106" s="96"/>
      <c r="R106" s="96"/>
      <c r="S106" s="162"/>
      <c r="T106" s="120"/>
      <c r="U106" s="162"/>
    </row>
    <row r="107" spans="1:21">
      <c r="A107" s="97"/>
      <c r="B107" s="189"/>
      <c r="C107" s="119"/>
      <c r="D107" s="133"/>
      <c r="E107" s="96"/>
      <c r="F107" s="96"/>
      <c r="G107" s="96"/>
      <c r="H107" s="96"/>
      <c r="I107" s="96"/>
      <c r="J107" s="96"/>
      <c r="K107" s="96"/>
      <c r="L107" s="96"/>
      <c r="M107" s="96"/>
      <c r="N107" s="96"/>
      <c r="O107" s="96"/>
      <c r="P107" s="96"/>
      <c r="Q107" s="96"/>
      <c r="R107" s="96"/>
      <c r="S107" s="162"/>
      <c r="T107" s="120"/>
      <c r="U107" s="162"/>
    </row>
    <row r="108" spans="1:21" ht="16.5" thickBot="1">
      <c r="A108" s="100" t="s">
        <v>636</v>
      </c>
      <c r="B108" s="562"/>
      <c r="C108" s="562"/>
      <c r="D108" s="562"/>
      <c r="E108" s="562"/>
      <c r="G108" s="562"/>
      <c r="H108" s="562"/>
      <c r="I108" s="562"/>
      <c r="J108" s="562"/>
      <c r="K108" s="562"/>
      <c r="L108" s="562"/>
      <c r="M108" s="562"/>
      <c r="N108" s="562"/>
      <c r="O108" s="562"/>
      <c r="P108" s="562"/>
      <c r="Q108" s="562"/>
      <c r="R108" s="562"/>
      <c r="S108" s="562"/>
      <c r="T108" s="562"/>
      <c r="U108" s="562"/>
    </row>
    <row r="109" spans="1:21" ht="32.25" thickBot="1">
      <c r="A109" s="104" t="s">
        <v>545</v>
      </c>
      <c r="B109" s="105" t="s">
        <v>546</v>
      </c>
      <c r="C109" s="105"/>
      <c r="D109" s="105"/>
      <c r="E109" s="107" t="s">
        <v>547</v>
      </c>
      <c r="F109" s="1088" t="s">
        <v>548</v>
      </c>
      <c r="G109" s="106"/>
      <c r="H109" s="106"/>
      <c r="I109" s="106"/>
      <c r="J109" s="106"/>
      <c r="K109" s="106"/>
      <c r="L109" s="106"/>
      <c r="M109" s="106"/>
      <c r="N109" s="106"/>
      <c r="O109" s="106"/>
      <c r="P109" s="106"/>
      <c r="Q109" s="106"/>
      <c r="R109" s="106"/>
      <c r="S109" s="1088" t="s">
        <v>584</v>
      </c>
      <c r="T109" s="1088" t="s">
        <v>637</v>
      </c>
      <c r="U109" s="1089" t="s">
        <v>638</v>
      </c>
    </row>
    <row r="110" spans="1:21" s="562" customFormat="1" ht="15.75">
      <c r="A110" s="140"/>
      <c r="B110" s="92"/>
      <c r="C110" s="92"/>
      <c r="D110" s="92"/>
      <c r="E110" s="141"/>
      <c r="F110" s="141"/>
      <c r="G110" s="209"/>
      <c r="H110" s="209"/>
      <c r="I110" s="209"/>
      <c r="J110" s="209"/>
      <c r="K110" s="209"/>
      <c r="L110" s="209"/>
      <c r="M110" s="209"/>
      <c r="N110" s="209"/>
      <c r="O110" s="209"/>
      <c r="P110" s="209"/>
      <c r="Q110" s="209"/>
      <c r="R110" s="209"/>
      <c r="S110" s="1086"/>
      <c r="T110" s="1086"/>
      <c r="U110" s="1087"/>
    </row>
    <row r="111" spans="1:21">
      <c r="A111" s="118">
        <f>+A104+1</f>
        <v>35</v>
      </c>
      <c r="B111" s="97"/>
      <c r="C111" s="119" t="s">
        <v>639</v>
      </c>
      <c r="D111" s="97"/>
      <c r="E111" s="119" t="s">
        <v>640</v>
      </c>
      <c r="F111" s="189">
        <v>408.1</v>
      </c>
      <c r="G111" s="135" t="s">
        <v>565</v>
      </c>
      <c r="H111" s="119"/>
      <c r="I111" s="119"/>
      <c r="J111" s="119"/>
      <c r="K111" s="119"/>
      <c r="L111" s="119"/>
      <c r="M111" s="119"/>
      <c r="N111" s="119"/>
      <c r="O111" s="91"/>
      <c r="P111" s="119"/>
      <c r="Q111" s="193"/>
      <c r="R111" s="26"/>
      <c r="S111" s="1070">
        <v>14679622.150066407</v>
      </c>
      <c r="T111" s="1070">
        <f>+S111</f>
        <v>14679622.150066407</v>
      </c>
      <c r="U111" s="1047">
        <f>S111-T111</f>
        <v>0</v>
      </c>
    </row>
    <row r="112" spans="1:21" s="562" customFormat="1">
      <c r="A112" s="118">
        <f>+A111+1</f>
        <v>36</v>
      </c>
      <c r="B112" s="97"/>
      <c r="C112" s="119" t="s">
        <v>641</v>
      </c>
      <c r="D112" s="97"/>
      <c r="E112" s="119" t="s">
        <v>642</v>
      </c>
      <c r="F112" s="189">
        <v>408.1</v>
      </c>
      <c r="G112" s="119"/>
      <c r="H112" s="119"/>
      <c r="I112" s="119"/>
      <c r="J112" s="119"/>
      <c r="K112" s="119"/>
      <c r="L112" s="119"/>
      <c r="M112" s="119"/>
      <c r="N112" s="119"/>
      <c r="O112" s="91"/>
      <c r="P112" s="119"/>
      <c r="Q112" s="193"/>
      <c r="R112" s="26"/>
      <c r="S112" s="1070">
        <v>3125054</v>
      </c>
      <c r="T112" s="1048"/>
      <c r="U112" s="1047"/>
    </row>
    <row r="113" spans="1:21" s="562" customFormat="1">
      <c r="A113" s="118">
        <f>+A112+1</f>
        <v>37</v>
      </c>
      <c r="B113" s="97"/>
      <c r="C113" s="119" t="s">
        <v>491</v>
      </c>
      <c r="D113" s="97"/>
      <c r="E113" s="119" t="s">
        <v>643</v>
      </c>
      <c r="F113" s="189">
        <v>408.1</v>
      </c>
      <c r="G113" s="119"/>
      <c r="H113" s="119"/>
      <c r="I113" s="119"/>
      <c r="J113" s="119"/>
      <c r="K113" s="119"/>
      <c r="L113" s="119"/>
      <c r="M113" s="119"/>
      <c r="N113" s="119"/>
      <c r="O113" s="91"/>
      <c r="P113" s="119"/>
      <c r="Q113" s="193"/>
      <c r="R113" s="26"/>
      <c r="S113" s="1046">
        <v>0</v>
      </c>
      <c r="T113" s="1048"/>
      <c r="U113" s="1047"/>
    </row>
    <row r="114" spans="1:21" ht="15.75" thickBot="1">
      <c r="A114" s="183"/>
      <c r="B114" s="144"/>
      <c r="C114" s="144"/>
      <c r="D114" s="144"/>
      <c r="E114" s="144"/>
      <c r="F114" s="144"/>
      <c r="G114" s="144"/>
      <c r="H114" s="144"/>
      <c r="I114" s="144"/>
      <c r="J114" s="144"/>
      <c r="K114" s="144"/>
      <c r="L114" s="144"/>
      <c r="M114" s="144"/>
      <c r="N114" s="144"/>
      <c r="O114" s="144"/>
      <c r="P114" s="144"/>
      <c r="Q114" s="144"/>
      <c r="R114" s="144"/>
      <c r="S114" s="144"/>
      <c r="T114" s="144"/>
      <c r="U114" s="147"/>
    </row>
    <row r="117" spans="1:21" ht="16.5" thickBot="1">
      <c r="A117" s="194" t="s">
        <v>644</v>
      </c>
      <c r="B117" s="562"/>
      <c r="C117" s="562"/>
      <c r="D117" s="562"/>
      <c r="E117" s="562"/>
      <c r="G117" s="562"/>
      <c r="H117" s="562"/>
      <c r="I117" s="562"/>
      <c r="J117" s="562"/>
      <c r="K117" s="562"/>
      <c r="L117" s="562"/>
      <c r="M117" s="562"/>
      <c r="N117" s="562"/>
      <c r="O117" s="562"/>
      <c r="P117" s="562"/>
      <c r="Q117" s="562"/>
      <c r="R117" s="562"/>
      <c r="S117" s="562"/>
      <c r="T117" s="562"/>
      <c r="U117" s="562"/>
    </row>
    <row r="118" spans="1:21" ht="32.25" thickBot="1">
      <c r="A118" s="104" t="s">
        <v>545</v>
      </c>
      <c r="B118" s="105" t="s">
        <v>546</v>
      </c>
      <c r="C118" s="105"/>
      <c r="D118" s="105"/>
      <c r="E118" s="107" t="s">
        <v>547</v>
      </c>
      <c r="F118" s="1088" t="s">
        <v>548</v>
      </c>
      <c r="G118" s="138"/>
      <c r="H118" s="138"/>
      <c r="I118" s="138"/>
      <c r="J118" s="106"/>
      <c r="K118" s="106"/>
      <c r="L118" s="106"/>
      <c r="M118" s="106"/>
      <c r="N118" s="106"/>
      <c r="O118" s="106"/>
      <c r="P118" s="106"/>
      <c r="Q118" s="106"/>
      <c r="R118" s="1088" t="s">
        <v>645</v>
      </c>
      <c r="S118" s="149" t="s">
        <v>584</v>
      </c>
      <c r="T118" s="1088" t="s">
        <v>561</v>
      </c>
      <c r="U118" s="1089"/>
    </row>
    <row r="119" spans="1:21" ht="15.75">
      <c r="A119" s="210"/>
      <c r="B119" s="151"/>
      <c r="C119" s="111"/>
      <c r="D119" s="111"/>
      <c r="E119" s="154"/>
      <c r="F119" s="154"/>
      <c r="G119" s="111"/>
      <c r="H119" s="111"/>
      <c r="I119" s="111"/>
      <c r="J119" s="163"/>
      <c r="K119" s="211"/>
      <c r="L119" s="111"/>
      <c r="M119" s="211"/>
      <c r="N119" s="211"/>
      <c r="O119" s="211"/>
      <c r="P119" s="212"/>
      <c r="Q119" s="212"/>
      <c r="R119" s="153"/>
      <c r="S119" s="153"/>
      <c r="T119" s="111"/>
      <c r="U119" s="113"/>
    </row>
    <row r="120" spans="1:21" s="562" customFormat="1" ht="15.75">
      <c r="A120" s="114">
        <f>+A113+1</f>
        <v>38</v>
      </c>
      <c r="B120" s="125"/>
      <c r="C120" s="91" t="s">
        <v>646</v>
      </c>
      <c r="D120" s="89"/>
      <c r="E120" s="119" t="s">
        <v>647</v>
      </c>
      <c r="F120" s="189">
        <v>427</v>
      </c>
      <c r="G120" s="135" t="s">
        <v>565</v>
      </c>
      <c r="H120" s="91"/>
      <c r="I120" s="91"/>
      <c r="J120" s="162"/>
      <c r="K120" s="590"/>
      <c r="L120" s="91"/>
      <c r="M120" s="590"/>
      <c r="N120" s="590"/>
      <c r="O120" s="590"/>
      <c r="P120" s="585"/>
      <c r="Q120" s="585"/>
      <c r="R120" s="1056"/>
      <c r="S120" s="1070">
        <v>21993155.980608046</v>
      </c>
      <c r="T120" s="762"/>
      <c r="U120" s="122"/>
    </row>
    <row r="121" spans="1:21" s="562" customFormat="1" ht="15.75">
      <c r="A121" s="114">
        <f t="shared" ref="A121:A128" si="6">+A120+1</f>
        <v>39</v>
      </c>
      <c r="B121" s="125"/>
      <c r="C121" s="91" t="s">
        <v>648</v>
      </c>
      <c r="D121" s="91"/>
      <c r="E121" s="119" t="s">
        <v>649</v>
      </c>
      <c r="F121" s="189">
        <v>428</v>
      </c>
      <c r="G121" s="91"/>
      <c r="H121" s="91"/>
      <c r="I121" s="91"/>
      <c r="J121" s="162"/>
      <c r="K121" s="590"/>
      <c r="L121" s="91"/>
      <c r="M121" s="590"/>
      <c r="N121" s="590"/>
      <c r="O121" s="590"/>
      <c r="P121" s="585"/>
      <c r="Q121" s="585"/>
      <c r="R121" s="1056"/>
      <c r="S121" s="1070">
        <v>378041.62666666671</v>
      </c>
      <c r="T121" s="762"/>
      <c r="U121" s="122"/>
    </row>
    <row r="122" spans="1:21" s="562" customFormat="1" ht="15.75">
      <c r="A122" s="114">
        <f t="shared" si="6"/>
        <v>40</v>
      </c>
      <c r="B122" s="125"/>
      <c r="C122" s="91" t="s">
        <v>650</v>
      </c>
      <c r="D122" s="91"/>
      <c r="E122" s="119" t="s">
        <v>651</v>
      </c>
      <c r="F122" s="189">
        <v>428.1</v>
      </c>
      <c r="G122" s="91"/>
      <c r="H122" s="91"/>
      <c r="I122" s="91"/>
      <c r="J122" s="162"/>
      <c r="K122" s="590"/>
      <c r="L122" s="91"/>
      <c r="M122" s="590"/>
      <c r="N122" s="590"/>
      <c r="O122" s="590"/>
      <c r="P122" s="585"/>
      <c r="Q122" s="585"/>
      <c r="R122" s="1056"/>
      <c r="S122" s="1070">
        <v>2820538.4399999995</v>
      </c>
      <c r="T122" s="762"/>
      <c r="U122" s="122"/>
    </row>
    <row r="123" spans="1:21" s="562" customFormat="1" ht="15.75">
      <c r="A123" s="114">
        <f t="shared" si="6"/>
        <v>41</v>
      </c>
      <c r="B123" s="125"/>
      <c r="C123" s="91" t="s">
        <v>652</v>
      </c>
      <c r="D123" s="91"/>
      <c r="E123" s="119" t="s">
        <v>653</v>
      </c>
      <c r="F123" s="189">
        <v>429</v>
      </c>
      <c r="G123" s="91"/>
      <c r="H123" s="91"/>
      <c r="I123" s="91"/>
      <c r="J123" s="162"/>
      <c r="K123" s="590"/>
      <c r="L123" s="91"/>
      <c r="M123" s="590"/>
      <c r="N123" s="590"/>
      <c r="O123" s="590"/>
      <c r="P123" s="585"/>
      <c r="Q123" s="585"/>
      <c r="R123" s="1056"/>
      <c r="S123" s="1070">
        <v>0</v>
      </c>
      <c r="T123" s="762"/>
      <c r="U123" s="122"/>
    </row>
    <row r="124" spans="1:21" s="562" customFormat="1" ht="15.75">
      <c r="A124" s="114">
        <f t="shared" si="6"/>
        <v>42</v>
      </c>
      <c r="B124" s="125"/>
      <c r="C124" s="91" t="s">
        <v>654</v>
      </c>
      <c r="D124" s="91"/>
      <c r="E124" s="119" t="s">
        <v>655</v>
      </c>
      <c r="F124" s="189">
        <v>429.1</v>
      </c>
      <c r="G124" s="91"/>
      <c r="H124" s="91"/>
      <c r="I124" s="91"/>
      <c r="J124" s="162"/>
      <c r="K124" s="590"/>
      <c r="L124" s="91"/>
      <c r="M124" s="590"/>
      <c r="N124" s="590"/>
      <c r="O124" s="590"/>
      <c r="P124" s="585"/>
      <c r="Q124" s="585"/>
      <c r="R124" s="1056"/>
      <c r="S124" s="1070">
        <v>0</v>
      </c>
      <c r="T124" s="762"/>
      <c r="U124" s="122"/>
    </row>
    <row r="125" spans="1:21" s="562" customFormat="1" ht="15.75">
      <c r="A125" s="114">
        <f t="shared" si="6"/>
        <v>43</v>
      </c>
      <c r="B125" s="125"/>
      <c r="C125" s="91" t="s">
        <v>656</v>
      </c>
      <c r="D125" s="91"/>
      <c r="E125" s="119" t="s">
        <v>657</v>
      </c>
      <c r="F125" s="189">
        <v>430</v>
      </c>
      <c r="G125" s="91"/>
      <c r="H125" s="91"/>
      <c r="I125" s="91"/>
      <c r="J125" s="162"/>
      <c r="K125" s="590"/>
      <c r="L125" s="91"/>
      <c r="M125" s="590"/>
      <c r="N125" s="590"/>
      <c r="O125" s="590"/>
      <c r="P125" s="585"/>
      <c r="Q125" s="585"/>
      <c r="R125" s="1056"/>
      <c r="S125" s="1070">
        <v>0</v>
      </c>
      <c r="T125" s="762"/>
      <c r="U125" s="122"/>
    </row>
    <row r="126" spans="1:21" s="562" customFormat="1" ht="15.75">
      <c r="A126" s="114">
        <f>+A125+1</f>
        <v>44</v>
      </c>
      <c r="B126" s="125"/>
      <c r="C126" s="91" t="s">
        <v>658</v>
      </c>
      <c r="D126" s="91"/>
      <c r="E126" s="119"/>
      <c r="F126" s="189"/>
      <c r="G126" s="91"/>
      <c r="H126" s="91"/>
      <c r="I126" s="91"/>
      <c r="J126" s="162"/>
      <c r="K126" s="590"/>
      <c r="L126" s="91"/>
      <c r="M126" s="590"/>
      <c r="N126" s="590"/>
      <c r="O126" s="590"/>
      <c r="P126" s="585"/>
      <c r="Q126" s="585"/>
      <c r="R126" s="1056"/>
      <c r="S126" s="1056">
        <f>+SUM(S120:S125)</f>
        <v>25191736.047274709</v>
      </c>
      <c r="T126" s="762"/>
      <c r="U126" s="122"/>
    </row>
    <row r="127" spans="1:21" s="562" customFormat="1" ht="15.75">
      <c r="A127" s="114">
        <f>+A126+1</f>
        <v>45</v>
      </c>
      <c r="B127" s="125"/>
      <c r="C127" s="91" t="s">
        <v>121</v>
      </c>
      <c r="D127" s="91"/>
      <c r="E127" s="591" t="s">
        <v>659</v>
      </c>
      <c r="F127" s="795" t="s">
        <v>660</v>
      </c>
      <c r="G127" s="91"/>
      <c r="H127" s="91"/>
      <c r="I127" s="91"/>
      <c r="J127" s="162"/>
      <c r="K127" s="590"/>
      <c r="L127" s="91"/>
      <c r="M127" s="590"/>
      <c r="N127" s="590"/>
      <c r="O127" s="590"/>
      <c r="P127" s="585"/>
      <c r="Q127" s="585"/>
      <c r="R127" s="1056"/>
      <c r="S127" s="1070">
        <v>0</v>
      </c>
      <c r="T127" s="762"/>
      <c r="U127" s="122"/>
    </row>
    <row r="128" spans="1:21" s="89" customFormat="1">
      <c r="A128" s="118">
        <f t="shared" si="6"/>
        <v>46</v>
      </c>
      <c r="B128" s="97"/>
      <c r="C128" s="117" t="s">
        <v>124</v>
      </c>
      <c r="D128" s="93"/>
      <c r="E128" s="121" t="s">
        <v>661</v>
      </c>
      <c r="F128" s="789" t="s">
        <v>662</v>
      </c>
      <c r="G128" s="93"/>
      <c r="H128" s="93"/>
      <c r="I128" s="93"/>
      <c r="J128" s="93"/>
      <c r="K128" s="164"/>
      <c r="L128" s="119"/>
      <c r="M128" s="51"/>
      <c r="N128" s="51"/>
      <c r="O128" s="51"/>
      <c r="P128" s="93"/>
      <c r="Q128" s="51"/>
      <c r="R128" s="1070">
        <v>-663462169.9363544</v>
      </c>
      <c r="S128" s="1070">
        <v>-811072976.04633212</v>
      </c>
      <c r="T128" s="585">
        <f>+(S128+R128)/2</f>
        <v>-737267572.99134326</v>
      </c>
      <c r="U128" s="159"/>
    </row>
    <row r="129" spans="1:21" s="89" customFormat="1" ht="15.75">
      <c r="A129" s="118">
        <f t="shared" ref="A129:A136" si="7">+A128+1</f>
        <v>47</v>
      </c>
      <c r="B129" s="97"/>
      <c r="C129" s="117" t="s">
        <v>663</v>
      </c>
      <c r="D129" s="93"/>
      <c r="E129" s="121" t="s">
        <v>664</v>
      </c>
      <c r="F129" s="789">
        <v>219</v>
      </c>
      <c r="G129" s="93"/>
      <c r="H129" s="93"/>
      <c r="I129" s="93"/>
      <c r="J129" s="93"/>
      <c r="K129" s="55"/>
      <c r="L129" s="51"/>
      <c r="M129" s="195"/>
      <c r="N129" s="195"/>
      <c r="O129" s="195"/>
      <c r="P129" s="195"/>
      <c r="Q129" s="26"/>
      <c r="R129" s="1070">
        <v>32628463.876100004</v>
      </c>
      <c r="S129" s="1070">
        <v>28079483.876100004</v>
      </c>
      <c r="T129" s="585">
        <f>+(S129+R129)/2</f>
        <v>30353973.876100004</v>
      </c>
      <c r="U129" s="159"/>
    </row>
    <row r="130" spans="1:21" ht="15.75">
      <c r="A130" s="118">
        <f t="shared" si="7"/>
        <v>48</v>
      </c>
      <c r="B130" s="97"/>
      <c r="C130" s="117" t="s">
        <v>665</v>
      </c>
      <c r="D130" s="93"/>
      <c r="E130" s="121" t="s">
        <v>666</v>
      </c>
      <c r="F130" s="189">
        <v>216.1</v>
      </c>
      <c r="G130" s="91"/>
      <c r="H130" s="91"/>
      <c r="I130" s="91"/>
      <c r="J130" s="91"/>
      <c r="K130" s="160"/>
      <c r="L130" s="51"/>
      <c r="M130" s="91"/>
      <c r="N130" s="91"/>
      <c r="O130" s="91"/>
      <c r="P130" s="91"/>
      <c r="Q130" s="91"/>
      <c r="R130" s="1070">
        <v>0</v>
      </c>
      <c r="S130" s="1070">
        <v>0</v>
      </c>
      <c r="T130" s="585">
        <f>+(R130+S130)/2</f>
        <v>0</v>
      </c>
      <c r="U130" s="122"/>
    </row>
    <row r="131" spans="1:21">
      <c r="A131" s="118">
        <f t="shared" si="7"/>
        <v>49</v>
      </c>
      <c r="B131" s="97"/>
      <c r="C131" s="117" t="s">
        <v>128</v>
      </c>
      <c r="D131" s="93"/>
      <c r="E131" s="121" t="s">
        <v>667</v>
      </c>
      <c r="F131" s="789" t="s">
        <v>668</v>
      </c>
      <c r="G131" s="91"/>
      <c r="H131" s="91"/>
      <c r="I131" s="91"/>
      <c r="J131" s="91"/>
      <c r="K131" s="91"/>
      <c r="L131" s="91"/>
      <c r="M131" s="91"/>
      <c r="N131" s="91"/>
      <c r="O131" s="91"/>
      <c r="P131" s="91"/>
      <c r="Q131" s="91"/>
      <c r="R131" s="1070">
        <v>-582354563.78192401</v>
      </c>
      <c r="S131" s="1070">
        <v>-582185193.45063889</v>
      </c>
      <c r="T131" s="585">
        <f>+(R131+S131)/2</f>
        <v>-582269878.61628151</v>
      </c>
      <c r="U131" s="122"/>
    </row>
    <row r="132" spans="1:21">
      <c r="A132" s="118">
        <f t="shared" si="7"/>
        <v>50</v>
      </c>
      <c r="B132" s="97"/>
      <c r="C132" s="117" t="s">
        <v>669</v>
      </c>
      <c r="D132" s="93"/>
      <c r="E132" s="121" t="s">
        <v>670</v>
      </c>
      <c r="F132" s="789">
        <v>189</v>
      </c>
      <c r="G132" s="91"/>
      <c r="H132" s="91"/>
      <c r="I132" s="91"/>
      <c r="J132" s="91"/>
      <c r="K132" s="91"/>
      <c r="L132" s="91"/>
      <c r="M132" s="91"/>
      <c r="N132" s="91"/>
      <c r="O132" s="91"/>
      <c r="P132" s="91"/>
      <c r="Q132" s="91"/>
      <c r="R132" s="1070">
        <v>7134623.5600000005</v>
      </c>
      <c r="S132" s="1070">
        <v>4314085.120000001</v>
      </c>
      <c r="T132" s="585">
        <f>+(S132+R132)/2</f>
        <v>5724354.3400000008</v>
      </c>
      <c r="U132" s="122"/>
    </row>
    <row r="133" spans="1:21" s="562" customFormat="1">
      <c r="A133" s="118">
        <f t="shared" si="7"/>
        <v>51</v>
      </c>
      <c r="B133" s="97"/>
      <c r="C133" s="117" t="s">
        <v>671</v>
      </c>
      <c r="D133" s="93"/>
      <c r="E133" s="121" t="s">
        <v>672</v>
      </c>
      <c r="F133" s="789">
        <v>225</v>
      </c>
      <c r="G133" s="91"/>
      <c r="H133" s="91"/>
      <c r="I133" s="91"/>
      <c r="J133" s="91"/>
      <c r="K133" s="91"/>
      <c r="L133" s="91"/>
      <c r="M133" s="91"/>
      <c r="N133" s="91"/>
      <c r="O133" s="91"/>
      <c r="P133" s="91"/>
      <c r="Q133" s="91"/>
      <c r="R133" s="1070">
        <v>0</v>
      </c>
      <c r="S133" s="1070">
        <v>0</v>
      </c>
      <c r="T133" s="585">
        <f t="shared" ref="T133:T134" si="8">+(S133+R133)/2</f>
        <v>0</v>
      </c>
      <c r="U133" s="122"/>
    </row>
    <row r="134" spans="1:21" s="562" customFormat="1">
      <c r="A134" s="118">
        <f t="shared" si="7"/>
        <v>52</v>
      </c>
      <c r="B134" s="97"/>
      <c r="C134" s="117" t="s">
        <v>673</v>
      </c>
      <c r="D134" s="93"/>
      <c r="E134" s="121" t="s">
        <v>674</v>
      </c>
      <c r="F134" s="789">
        <v>226</v>
      </c>
      <c r="G134" s="91"/>
      <c r="H134" s="91"/>
      <c r="I134" s="91"/>
      <c r="J134" s="91"/>
      <c r="K134" s="91"/>
      <c r="L134" s="91"/>
      <c r="M134" s="91"/>
      <c r="N134" s="91"/>
      <c r="O134" s="91"/>
      <c r="P134" s="91"/>
      <c r="Q134" s="91"/>
      <c r="R134" s="1070">
        <v>2596573.04</v>
      </c>
      <c r="S134" s="1070">
        <v>2505198.08</v>
      </c>
      <c r="T134" s="585">
        <f t="shared" si="8"/>
        <v>2550885.56</v>
      </c>
      <c r="U134" s="122"/>
    </row>
    <row r="135" spans="1:21">
      <c r="A135" s="118">
        <f t="shared" si="7"/>
        <v>53</v>
      </c>
      <c r="B135" s="97"/>
      <c r="C135" s="117" t="s">
        <v>675</v>
      </c>
      <c r="D135" s="93"/>
      <c r="E135" s="121" t="s">
        <v>676</v>
      </c>
      <c r="F135" s="789">
        <v>257</v>
      </c>
      <c r="G135" s="91"/>
      <c r="H135" s="91"/>
      <c r="I135" s="91"/>
      <c r="J135" s="91"/>
      <c r="K135" s="91"/>
      <c r="L135" s="91"/>
      <c r="M135" s="91"/>
      <c r="N135" s="91"/>
      <c r="O135" s="91"/>
      <c r="P135" s="91"/>
      <c r="Q135" s="91"/>
      <c r="R135" s="1070">
        <v>0</v>
      </c>
      <c r="S135" s="1070">
        <v>0</v>
      </c>
      <c r="T135" s="585">
        <f>+(R135+S135)/2</f>
        <v>0</v>
      </c>
      <c r="U135" s="122"/>
    </row>
    <row r="136" spans="1:21">
      <c r="A136" s="118">
        <f t="shared" si="7"/>
        <v>54</v>
      </c>
      <c r="B136" s="97"/>
      <c r="C136" s="117" t="s">
        <v>677</v>
      </c>
      <c r="D136" s="93"/>
      <c r="E136" s="715" t="s">
        <v>678</v>
      </c>
      <c r="F136" s="789" t="s">
        <v>679</v>
      </c>
      <c r="G136" s="91"/>
      <c r="H136" s="91"/>
      <c r="I136" s="91"/>
      <c r="J136" s="91"/>
      <c r="K136" s="91"/>
      <c r="L136" s="91"/>
      <c r="M136" s="91"/>
      <c r="N136" s="91"/>
      <c r="O136" s="91"/>
      <c r="P136" s="91"/>
      <c r="Q136" s="91"/>
      <c r="R136" s="1057">
        <f>+'1C - ADIT Prior Year'!C79</f>
        <v>-2045670</v>
      </c>
      <c r="S136" s="1057">
        <f>+'1A - ADIT'!C87</f>
        <v>-3003279</v>
      </c>
      <c r="T136" s="585">
        <f>+(R136+S136)/2</f>
        <v>-2524474.5</v>
      </c>
      <c r="U136" s="122"/>
    </row>
    <row r="137" spans="1:21" s="562" customFormat="1">
      <c r="A137" s="118">
        <f>+A136+1</f>
        <v>55</v>
      </c>
      <c r="B137" s="97"/>
      <c r="C137" s="117" t="s">
        <v>680</v>
      </c>
      <c r="D137" s="93"/>
      <c r="E137" s="715" t="s">
        <v>681</v>
      </c>
      <c r="F137" s="789">
        <v>176</v>
      </c>
      <c r="G137" s="91"/>
      <c r="H137" s="91"/>
      <c r="I137" s="91"/>
      <c r="J137" s="91"/>
      <c r="K137" s="91"/>
      <c r="L137" s="91"/>
      <c r="M137" s="91"/>
      <c r="N137" s="91"/>
      <c r="O137" s="91"/>
      <c r="P137" s="91"/>
      <c r="Q137" s="91"/>
      <c r="R137" s="1070">
        <v>0</v>
      </c>
      <c r="S137" s="1070">
        <v>0</v>
      </c>
      <c r="T137" s="585">
        <f t="shared" ref="T137:T138" si="9">+(R137+S137)/2</f>
        <v>0</v>
      </c>
      <c r="U137" s="122"/>
    </row>
    <row r="138" spans="1:21" s="562" customFormat="1">
      <c r="A138" s="118">
        <f>+A137+1</f>
        <v>56</v>
      </c>
      <c r="B138" s="97"/>
      <c r="C138" s="117" t="s">
        <v>682</v>
      </c>
      <c r="D138" s="93"/>
      <c r="E138" s="715" t="s">
        <v>683</v>
      </c>
      <c r="F138" s="789">
        <v>245</v>
      </c>
      <c r="G138" s="91"/>
      <c r="H138" s="91"/>
      <c r="I138" s="91"/>
      <c r="J138" s="91"/>
      <c r="K138" s="91"/>
      <c r="L138" s="91"/>
      <c r="M138" s="91"/>
      <c r="N138" s="91"/>
      <c r="O138" s="91"/>
      <c r="P138" s="91"/>
      <c r="Q138" s="91"/>
      <c r="R138" s="1070">
        <v>0</v>
      </c>
      <c r="S138" s="1070">
        <v>0</v>
      </c>
      <c r="T138" s="585">
        <f t="shared" si="9"/>
        <v>0</v>
      </c>
      <c r="U138" s="122"/>
    </row>
    <row r="139" spans="1:21" ht="15.75" thickBot="1">
      <c r="A139" s="118">
        <f>+A138+1</f>
        <v>57</v>
      </c>
      <c r="B139" s="148"/>
      <c r="C139" s="196" t="s">
        <v>136</v>
      </c>
      <c r="D139" s="129"/>
      <c r="E139" s="197" t="s">
        <v>684</v>
      </c>
      <c r="F139" s="796">
        <v>204</v>
      </c>
      <c r="G139" s="144"/>
      <c r="H139" s="144"/>
      <c r="I139" s="144"/>
      <c r="J139" s="144"/>
      <c r="K139" s="144"/>
      <c r="L139" s="144"/>
      <c r="M139" s="144"/>
      <c r="N139" s="144"/>
      <c r="O139" s="144"/>
      <c r="P139" s="144"/>
      <c r="Q139" s="144"/>
      <c r="R139" s="1071">
        <v>0</v>
      </c>
      <c r="S139" s="1071">
        <v>0</v>
      </c>
      <c r="T139" s="935">
        <v>0</v>
      </c>
      <c r="U139" s="147"/>
    </row>
    <row r="140" spans="1:21">
      <c r="A140" s="562"/>
      <c r="B140" s="562"/>
      <c r="C140" s="562"/>
      <c r="D140" s="562"/>
      <c r="E140" s="562"/>
      <c r="G140" s="562"/>
      <c r="H140" s="562"/>
      <c r="I140" s="562"/>
      <c r="J140" s="562"/>
      <c r="K140" s="562"/>
      <c r="L140" s="562"/>
      <c r="M140" s="562"/>
      <c r="N140" s="562"/>
      <c r="O140" s="562"/>
      <c r="P140" s="562"/>
      <c r="Q140" s="562"/>
      <c r="R140" s="562"/>
      <c r="S140" s="89"/>
      <c r="T140" s="89"/>
      <c r="U140" s="89"/>
    </row>
    <row r="141" spans="1:21" ht="15.75">
      <c r="A141" s="115"/>
      <c r="B141" s="562"/>
      <c r="C141" s="562"/>
      <c r="D141" s="562"/>
      <c r="E141" s="562"/>
      <c r="G141" s="562"/>
      <c r="H141" s="562"/>
      <c r="I141" s="562"/>
      <c r="J141" s="562"/>
      <c r="K141" s="562"/>
      <c r="L141" s="562"/>
      <c r="M141" s="562"/>
      <c r="N141" s="562"/>
      <c r="O141" s="562"/>
      <c r="P141" s="562"/>
      <c r="Q141" s="562"/>
      <c r="R141" s="562"/>
      <c r="S141" s="89"/>
      <c r="T141" s="89"/>
      <c r="U141" s="89"/>
    </row>
    <row r="142" spans="1:21" ht="16.5" thickBot="1">
      <c r="A142" s="100" t="s">
        <v>685</v>
      </c>
      <c r="B142" s="562"/>
      <c r="C142" s="562"/>
      <c r="D142" s="562"/>
      <c r="E142" s="562"/>
      <c r="G142" s="562"/>
      <c r="H142" s="562"/>
      <c r="I142" s="562"/>
      <c r="J142" s="562"/>
      <c r="K142" s="562"/>
      <c r="L142" s="562"/>
      <c r="M142" s="562"/>
      <c r="N142" s="562"/>
      <c r="O142" s="562"/>
      <c r="P142" s="562"/>
      <c r="Q142" s="562"/>
      <c r="R142" s="562"/>
      <c r="S142" s="562"/>
      <c r="T142" s="562"/>
      <c r="U142" s="562"/>
    </row>
    <row r="143" spans="1:21" ht="32.25" thickBot="1">
      <c r="A143" s="104" t="s">
        <v>545</v>
      </c>
      <c r="B143" s="105" t="s">
        <v>546</v>
      </c>
      <c r="C143" s="105"/>
      <c r="D143" s="105"/>
      <c r="E143" s="107" t="s">
        <v>547</v>
      </c>
      <c r="F143" s="1088" t="s">
        <v>548</v>
      </c>
      <c r="G143" s="106"/>
      <c r="H143" s="106"/>
      <c r="I143" s="106"/>
      <c r="J143" s="106"/>
      <c r="K143" s="106"/>
      <c r="L143" s="106"/>
      <c r="M143" s="106"/>
      <c r="N143" s="106"/>
      <c r="O143" s="106"/>
      <c r="P143" s="106"/>
      <c r="Q143" s="106"/>
      <c r="R143" s="106"/>
      <c r="S143" s="1088" t="s">
        <v>686</v>
      </c>
      <c r="T143" s="1088" t="s">
        <v>687</v>
      </c>
      <c r="U143" s="1089" t="s">
        <v>688</v>
      </c>
    </row>
    <row r="144" spans="1:21" ht="15.75">
      <c r="A144" s="188" t="s">
        <v>153</v>
      </c>
      <c r="B144" s="198" t="s">
        <v>154</v>
      </c>
      <c r="C144" s="102"/>
      <c r="D144" s="102"/>
      <c r="E144" s="199"/>
      <c r="F144" s="199"/>
      <c r="G144" s="91"/>
      <c r="H144" s="91"/>
      <c r="I144" s="91"/>
      <c r="J144" s="91"/>
      <c r="K144" s="91"/>
      <c r="L144" s="91"/>
      <c r="M144" s="91"/>
      <c r="N144" s="91"/>
      <c r="O144" s="91"/>
      <c r="P144" s="91"/>
      <c r="Q144" s="91"/>
      <c r="R144" s="91"/>
      <c r="S144" s="91"/>
      <c r="T144" s="91"/>
      <c r="U144" s="122"/>
    </row>
    <row r="145" spans="1:21" ht="15.75">
      <c r="A145" s="188"/>
      <c r="B145" s="198"/>
      <c r="C145" s="102"/>
      <c r="D145" s="102"/>
      <c r="E145" s="199"/>
      <c r="F145" s="199"/>
      <c r="G145" s="162" t="s">
        <v>565</v>
      </c>
      <c r="H145" s="199"/>
      <c r="I145" s="199"/>
      <c r="J145" s="199"/>
      <c r="K145" s="199"/>
      <c r="L145" s="199"/>
      <c r="M145" s="199"/>
      <c r="N145" s="199"/>
      <c r="O145" s="199"/>
      <c r="P145" s="199"/>
      <c r="Q145" s="199"/>
      <c r="R145" s="199"/>
      <c r="S145" s="103" t="s">
        <v>689</v>
      </c>
      <c r="T145" s="103"/>
      <c r="U145" s="181"/>
    </row>
    <row r="146" spans="1:21">
      <c r="A146" s="188">
        <f>+A139+1</f>
        <v>58</v>
      </c>
      <c r="B146" s="101"/>
      <c r="C146" s="134" t="str">
        <f>+'Appendix A'!C232</f>
        <v>SIT=State Income Tax Rate or Composite</v>
      </c>
      <c r="D146" s="200"/>
      <c r="E146" s="134"/>
      <c r="F146" s="134"/>
      <c r="G146" s="134"/>
      <c r="H146" s="134"/>
      <c r="I146" s="134"/>
      <c r="J146" s="134"/>
      <c r="K146" s="134"/>
      <c r="L146" s="134"/>
      <c r="M146" s="134"/>
      <c r="N146" s="134"/>
      <c r="O146" s="134"/>
      <c r="P146" s="134"/>
      <c r="Q146" s="134"/>
      <c r="R146" s="134"/>
      <c r="S146" s="1067">
        <v>0</v>
      </c>
      <c r="T146" s="201"/>
      <c r="U146" s="202"/>
    </row>
    <row r="147" spans="1:21" ht="15.75" thickBot="1">
      <c r="A147" s="723">
        <f>+A146+1</f>
        <v>59</v>
      </c>
      <c r="B147" s="144"/>
      <c r="C147" s="144" t="s">
        <v>690</v>
      </c>
      <c r="D147" s="144"/>
      <c r="E147" s="144"/>
      <c r="F147" s="144"/>
      <c r="G147" s="144"/>
      <c r="H147" s="144"/>
      <c r="I147" s="144"/>
      <c r="J147" s="144"/>
      <c r="K147" s="144"/>
      <c r="L147" s="144"/>
      <c r="M147" s="144"/>
      <c r="N147" s="144"/>
      <c r="O147" s="144"/>
      <c r="P147" s="144"/>
      <c r="Q147" s="144"/>
      <c r="R147" s="144"/>
      <c r="S147" s="1068">
        <v>1.6899999999999998E-2</v>
      </c>
      <c r="T147" s="144"/>
      <c r="U147" s="147"/>
    </row>
    <row r="150" spans="1:21" s="89" customFormat="1" ht="16.5" thickBot="1">
      <c r="A150" s="100" t="s">
        <v>691</v>
      </c>
    </row>
    <row r="151" spans="1:21" s="89" customFormat="1" ht="32.25" thickBot="1">
      <c r="A151" s="104" t="s">
        <v>545</v>
      </c>
      <c r="B151" s="105" t="s">
        <v>546</v>
      </c>
      <c r="C151" s="105"/>
      <c r="D151" s="105"/>
      <c r="E151" s="107" t="s">
        <v>547</v>
      </c>
      <c r="F151" s="1088" t="s">
        <v>548</v>
      </c>
      <c r="G151" s="138"/>
      <c r="H151" s="106"/>
      <c r="I151" s="106"/>
      <c r="J151" s="106"/>
      <c r="K151" s="106"/>
      <c r="L151" s="106"/>
      <c r="M151" s="106"/>
      <c r="N151" s="106"/>
      <c r="O151" s="106"/>
      <c r="P151" s="106"/>
      <c r="Q151" s="106"/>
      <c r="R151" s="106"/>
      <c r="S151" s="149" t="s">
        <v>584</v>
      </c>
      <c r="T151" s="1143"/>
      <c r="U151" s="1144"/>
    </row>
    <row r="152" spans="1:21" s="89" customFormat="1" ht="15.75">
      <c r="A152" s="118"/>
      <c r="B152" s="125"/>
      <c r="C152" s="97"/>
      <c r="D152" s="97"/>
      <c r="E152" s="97"/>
      <c r="F152" s="97"/>
      <c r="G152" s="93"/>
      <c r="H152" s="97"/>
      <c r="I152" s="97"/>
      <c r="J152" s="97"/>
      <c r="K152" s="97"/>
      <c r="L152" s="97"/>
      <c r="M152" s="97"/>
      <c r="N152" s="97"/>
      <c r="O152" s="97"/>
      <c r="P152" s="97"/>
      <c r="Q152" s="97"/>
      <c r="R152" s="97"/>
      <c r="S152" s="97"/>
      <c r="T152" s="93"/>
      <c r="U152" s="142"/>
    </row>
    <row r="153" spans="1:21" s="89" customFormat="1" ht="15.75">
      <c r="A153" s="118">
        <f>+A147+1</f>
        <v>60</v>
      </c>
      <c r="B153" s="97"/>
      <c r="C153" s="119" t="s">
        <v>692</v>
      </c>
      <c r="D153" s="97"/>
      <c r="E153" s="119" t="s">
        <v>693</v>
      </c>
      <c r="F153" s="189">
        <v>411.4</v>
      </c>
      <c r="G153" s="135" t="s">
        <v>565</v>
      </c>
      <c r="H153" s="119"/>
      <c r="I153" s="119"/>
      <c r="J153" s="119"/>
      <c r="K153" s="119"/>
      <c r="L153" s="119"/>
      <c r="M153" s="119"/>
      <c r="N153" s="119"/>
      <c r="O153" s="119"/>
      <c r="P153" s="119"/>
      <c r="Q153" s="119"/>
      <c r="R153" s="119"/>
      <c r="S153" s="1069">
        <v>-102595</v>
      </c>
      <c r="T153" s="1141"/>
      <c r="U153" s="1142"/>
    </row>
    <row r="154" spans="1:21" s="89" customFormat="1" ht="15.75">
      <c r="A154" s="118">
        <f>+A153+1</f>
        <v>61</v>
      </c>
      <c r="B154" s="97"/>
      <c r="C154" s="119" t="s">
        <v>694</v>
      </c>
      <c r="D154" s="97"/>
      <c r="E154" s="119" t="s">
        <v>693</v>
      </c>
      <c r="F154" s="189">
        <v>411.4</v>
      </c>
      <c r="G154" s="135" t="s">
        <v>565</v>
      </c>
      <c r="H154" s="119"/>
      <c r="I154" s="119"/>
      <c r="J154" s="119"/>
      <c r="K154" s="119"/>
      <c r="L154" s="119"/>
      <c r="M154" s="119"/>
      <c r="N154" s="119"/>
      <c r="O154" s="119"/>
      <c r="P154" s="119"/>
      <c r="Q154" s="119"/>
      <c r="R154" s="119"/>
      <c r="S154" s="1069">
        <v>-80311</v>
      </c>
      <c r="T154" s="1086"/>
      <c r="U154" s="1087"/>
    </row>
    <row r="155" spans="1:21" s="89" customFormat="1" ht="15.75">
      <c r="A155" s="143">
        <f>+A154+1</f>
        <v>62</v>
      </c>
      <c r="B155" s="148"/>
      <c r="C155" s="128" t="s">
        <v>695</v>
      </c>
      <c r="D155" s="148"/>
      <c r="E155" s="128" t="s">
        <v>696</v>
      </c>
      <c r="F155" s="190"/>
      <c r="G155" s="148" t="s">
        <v>587</v>
      </c>
      <c r="H155" s="148"/>
      <c r="I155" s="148"/>
      <c r="J155" s="148"/>
      <c r="K155" s="148"/>
      <c r="L155" s="148"/>
      <c r="M155" s="148"/>
      <c r="N155" s="148"/>
      <c r="O155" s="148"/>
      <c r="P155" s="148"/>
      <c r="Q155" s="148"/>
      <c r="R155" s="148"/>
      <c r="S155" s="1095">
        <v>274000</v>
      </c>
      <c r="T155" s="1084"/>
      <c r="U155" s="1085"/>
    </row>
    <row r="156" spans="1:21" s="89" customFormat="1" ht="15.75">
      <c r="A156" s="97"/>
      <c r="B156" s="97"/>
      <c r="C156" s="119"/>
      <c r="D156" s="97"/>
      <c r="E156" s="119"/>
      <c r="F156" s="189"/>
      <c r="G156" s="119"/>
      <c r="H156" s="97"/>
      <c r="I156" s="97"/>
      <c r="J156" s="97"/>
      <c r="K156" s="97"/>
      <c r="L156" s="97"/>
      <c r="M156" s="97"/>
      <c r="N156" s="97"/>
      <c r="O156" s="97"/>
      <c r="P156" s="97"/>
      <c r="Q156" s="97"/>
      <c r="R156" s="97"/>
      <c r="S156" s="1022"/>
      <c r="T156" s="1086"/>
      <c r="U156" s="1086"/>
    </row>
    <row r="157" spans="1:21" ht="15.75">
      <c r="A157" s="97"/>
      <c r="B157" s="97"/>
      <c r="C157" s="713"/>
      <c r="D157" s="97"/>
      <c r="E157" s="97"/>
      <c r="F157" s="97"/>
      <c r="G157" s="97"/>
      <c r="H157" s="97"/>
      <c r="I157" s="97"/>
      <c r="J157" s="97"/>
      <c r="K157" s="97"/>
      <c r="L157" s="97"/>
      <c r="M157" s="97"/>
      <c r="N157" s="97"/>
      <c r="O157" s="97"/>
      <c r="P157" s="97"/>
      <c r="Q157" s="97"/>
      <c r="R157" s="97"/>
      <c r="S157" s="91"/>
      <c r="T157" s="91"/>
      <c r="U157" s="91"/>
    </row>
    <row r="158" spans="1:21" ht="16.5" thickBot="1">
      <c r="A158" s="171" t="s">
        <v>697</v>
      </c>
      <c r="B158" s="562"/>
      <c r="C158" s="562"/>
      <c r="D158" s="562"/>
      <c r="E158" s="562"/>
      <c r="G158" s="562"/>
      <c r="H158" s="562"/>
      <c r="I158" s="562"/>
      <c r="J158" s="562"/>
      <c r="K158" s="562"/>
      <c r="L158" s="562"/>
      <c r="M158" s="562"/>
      <c r="N158" s="562"/>
      <c r="O158" s="562"/>
      <c r="P158" s="562"/>
      <c r="Q158" s="562"/>
      <c r="R158" s="562"/>
      <c r="S158" s="562"/>
      <c r="T158" s="562"/>
      <c r="U158" s="562"/>
    </row>
    <row r="159" spans="1:21" ht="32.25" thickBot="1">
      <c r="A159" s="166" t="s">
        <v>545</v>
      </c>
      <c r="B159" s="167" t="s">
        <v>546</v>
      </c>
      <c r="C159" s="167"/>
      <c r="D159" s="167"/>
      <c r="E159" s="107" t="s">
        <v>547</v>
      </c>
      <c r="F159" s="1088" t="s">
        <v>548</v>
      </c>
      <c r="G159" s="168" t="s">
        <v>698</v>
      </c>
      <c r="H159" s="168" t="s">
        <v>550</v>
      </c>
      <c r="I159" s="168" t="s">
        <v>551</v>
      </c>
      <c r="J159" s="168" t="s">
        <v>552</v>
      </c>
      <c r="K159" s="168" t="s">
        <v>553</v>
      </c>
      <c r="L159" s="168" t="s">
        <v>403</v>
      </c>
      <c r="M159" s="168" t="s">
        <v>554</v>
      </c>
      <c r="N159" s="168" t="s">
        <v>555</v>
      </c>
      <c r="O159" s="168" t="s">
        <v>556</v>
      </c>
      <c r="P159" s="168" t="s">
        <v>557</v>
      </c>
      <c r="Q159" s="168" t="s">
        <v>558</v>
      </c>
      <c r="R159" s="168" t="s">
        <v>559</v>
      </c>
      <c r="S159" s="1090" t="s">
        <v>560</v>
      </c>
      <c r="T159" s="1090" t="s">
        <v>561</v>
      </c>
      <c r="U159" s="1091"/>
    </row>
    <row r="160" spans="1:21" s="89" customFormat="1" ht="15.75">
      <c r="A160" s="174"/>
      <c r="B160" s="175"/>
      <c r="C160" s="175"/>
      <c r="D160" s="175"/>
      <c r="E160" s="978" t="s">
        <v>587</v>
      </c>
      <c r="F160" s="177"/>
      <c r="G160" s="176"/>
      <c r="H160" s="176"/>
      <c r="I160" s="176"/>
      <c r="J160" s="176"/>
      <c r="K160" s="176"/>
      <c r="L160" s="176"/>
      <c r="M160" s="176"/>
      <c r="N160" s="176"/>
      <c r="O160" s="176"/>
      <c r="P160" s="176"/>
      <c r="Q160" s="176"/>
      <c r="R160" s="176"/>
      <c r="S160" s="178"/>
      <c r="T160" s="178"/>
      <c r="U160" s="204"/>
    </row>
    <row r="161" spans="1:21" s="91" customFormat="1">
      <c r="A161" s="114">
        <f>+A155+1</f>
        <v>63</v>
      </c>
      <c r="C161" s="91" t="str">
        <f>+'Appendix A'!C278</f>
        <v>Excluded Transmission Facilities</v>
      </c>
      <c r="E161" s="116">
        <v>206</v>
      </c>
      <c r="F161" s="794" t="s">
        <v>574</v>
      </c>
      <c r="G161" s="1060">
        <v>2469683.44</v>
      </c>
      <c r="H161" s="1060">
        <v>2469683.44</v>
      </c>
      <c r="I161" s="1060">
        <v>2469683.44</v>
      </c>
      <c r="J161" s="1060">
        <v>2469683.44</v>
      </c>
      <c r="K161" s="1060">
        <v>2469683.44</v>
      </c>
      <c r="L161" s="1060">
        <v>2469683.44</v>
      </c>
      <c r="M161" s="1060">
        <v>2469683.44</v>
      </c>
      <c r="N161" s="1060">
        <v>2469683.44</v>
      </c>
      <c r="O161" s="1060">
        <v>2469683.44</v>
      </c>
      <c r="P161" s="1060">
        <v>2469683.44</v>
      </c>
      <c r="Q161" s="1060">
        <v>2469683.44</v>
      </c>
      <c r="R161" s="1060">
        <v>2469683.44</v>
      </c>
      <c r="S161" s="1060">
        <v>2469683.44</v>
      </c>
      <c r="T161" s="54">
        <f>+(R161+S161)/2</f>
        <v>2469683.44</v>
      </c>
      <c r="U161" s="122"/>
    </row>
    <row r="162" spans="1:21" s="91" customFormat="1" ht="15.75" thickBot="1">
      <c r="A162" s="183"/>
      <c r="B162" s="144"/>
      <c r="C162" s="144"/>
      <c r="D162" s="144"/>
      <c r="E162" s="144"/>
      <c r="F162" s="144"/>
      <c r="G162" s="144"/>
      <c r="H162" s="144"/>
      <c r="I162" s="144"/>
      <c r="J162" s="144"/>
      <c r="K162" s="144"/>
      <c r="L162" s="144"/>
      <c r="M162" s="144"/>
      <c r="N162" s="144"/>
      <c r="O162" s="144"/>
      <c r="P162" s="144"/>
      <c r="Q162" s="144"/>
      <c r="R162" s="144"/>
      <c r="S162" s="144"/>
      <c r="T162" s="144"/>
      <c r="U162" s="147"/>
    </row>
    <row r="163" spans="1:21" s="91" customFormat="1"/>
    <row r="164" spans="1:21">
      <c r="A164" s="97"/>
      <c r="B164" s="97"/>
      <c r="C164" s="97"/>
      <c r="D164" s="97"/>
      <c r="E164" s="97"/>
      <c r="F164" s="97"/>
      <c r="G164" s="97"/>
      <c r="H164" s="97"/>
      <c r="I164" s="97"/>
      <c r="J164" s="97"/>
      <c r="K164" s="97"/>
      <c r="L164" s="97"/>
      <c r="M164" s="97"/>
      <c r="N164" s="97"/>
      <c r="O164" s="97"/>
      <c r="P164" s="97"/>
      <c r="Q164" s="97"/>
      <c r="R164" s="97"/>
      <c r="S164" s="91"/>
      <c r="T164" s="91"/>
      <c r="U164" s="91"/>
    </row>
    <row r="165" spans="1:21" ht="16.5" thickBot="1">
      <c r="A165" s="100" t="s">
        <v>207</v>
      </c>
      <c r="B165" s="562"/>
      <c r="C165" s="562"/>
      <c r="D165" s="562"/>
      <c r="E165" s="562"/>
      <c r="G165" s="562"/>
      <c r="H165" s="562"/>
      <c r="I165" s="562"/>
      <c r="J165" s="562"/>
      <c r="K165" s="562"/>
      <c r="L165" s="562"/>
      <c r="M165" s="562"/>
      <c r="N165" s="562"/>
      <c r="O165" s="562"/>
      <c r="P165" s="562"/>
      <c r="Q165" s="562"/>
      <c r="R165" s="562"/>
      <c r="S165" s="562"/>
      <c r="T165" s="562"/>
      <c r="U165" s="562"/>
    </row>
    <row r="166" spans="1:21" ht="32.25" thickBot="1">
      <c r="A166" s="166" t="s">
        <v>545</v>
      </c>
      <c r="B166" s="167" t="s">
        <v>546</v>
      </c>
      <c r="C166" s="167"/>
      <c r="D166" s="167"/>
      <c r="E166" s="107" t="s">
        <v>547</v>
      </c>
      <c r="F166" s="1088" t="s">
        <v>548</v>
      </c>
      <c r="G166" s="168"/>
      <c r="H166" s="168"/>
      <c r="I166" s="168"/>
      <c r="J166" s="168"/>
      <c r="K166" s="168"/>
      <c r="L166" s="168"/>
      <c r="M166" s="168"/>
      <c r="N166" s="168"/>
      <c r="O166" s="168"/>
      <c r="P166" s="168"/>
      <c r="Q166" s="168"/>
      <c r="R166" s="168"/>
      <c r="S166" s="1090" t="s">
        <v>584</v>
      </c>
      <c r="T166" s="1146"/>
      <c r="U166" s="1147"/>
    </row>
    <row r="167" spans="1:21" s="89" customFormat="1" ht="15.75">
      <c r="A167" s="174"/>
      <c r="B167" s="175"/>
      <c r="C167" s="175"/>
      <c r="D167" s="175"/>
      <c r="E167" s="177"/>
      <c r="F167" s="177"/>
      <c r="G167" s="176"/>
      <c r="H167" s="176"/>
      <c r="I167" s="176"/>
      <c r="J167" s="176"/>
      <c r="K167" s="176"/>
      <c r="L167" s="176"/>
      <c r="M167" s="176"/>
      <c r="N167" s="176"/>
      <c r="O167" s="176"/>
      <c r="P167" s="176"/>
      <c r="Q167" s="176"/>
      <c r="R167" s="176"/>
      <c r="S167" s="178"/>
      <c r="T167" s="178"/>
      <c r="U167" s="179"/>
    </row>
    <row r="168" spans="1:21" ht="15.75">
      <c r="A168" s="118">
        <f>+A161+1</f>
        <v>64</v>
      </c>
      <c r="B168" s="101"/>
      <c r="C168" s="119" t="str">
        <f>+'Appendix A'!C303</f>
        <v>Facility Credits under Section 30.9 of the PJM OATT</v>
      </c>
      <c r="D168" s="133"/>
      <c r="E168" s="97" t="s">
        <v>565</v>
      </c>
      <c r="F168" s="973" t="str">
        <f>"(Appendix A, Note "&amp;'Appendix A'!B344&amp;")"</f>
        <v>(Appendix A, Note S)</v>
      </c>
      <c r="G168" s="189"/>
      <c r="H168" s="97"/>
      <c r="I168" s="97"/>
      <c r="J168" s="97"/>
      <c r="K168" s="97"/>
      <c r="L168" s="97"/>
      <c r="M168" s="97"/>
      <c r="N168" s="97"/>
      <c r="O168" s="97"/>
      <c r="P168" s="97"/>
      <c r="Q168" s="97"/>
      <c r="R168" s="97"/>
      <c r="S168" s="567">
        <v>0</v>
      </c>
      <c r="T168" s="1141"/>
      <c r="U168" s="1142"/>
    </row>
    <row r="169" spans="1:21" ht="15.75" thickBot="1">
      <c r="A169" s="143"/>
      <c r="B169" s="148"/>
      <c r="C169" s="148"/>
      <c r="D169" s="148"/>
      <c r="E169" s="148"/>
      <c r="F169" s="148"/>
      <c r="G169" s="148"/>
      <c r="H169" s="148"/>
      <c r="I169" s="148"/>
      <c r="J169" s="148"/>
      <c r="K169" s="148"/>
      <c r="L169" s="148"/>
      <c r="M169" s="148"/>
      <c r="N169" s="148"/>
      <c r="O169" s="148"/>
      <c r="P169" s="148"/>
      <c r="Q169" s="148"/>
      <c r="R169" s="148"/>
      <c r="S169" s="144"/>
      <c r="T169" s="144"/>
      <c r="U169" s="147"/>
    </row>
    <row r="172" spans="1:21" ht="16.5" thickBot="1">
      <c r="A172" s="100" t="s">
        <v>699</v>
      </c>
      <c r="B172" s="562"/>
      <c r="C172" s="562"/>
      <c r="D172" s="562"/>
      <c r="E172" s="562"/>
      <c r="G172" s="562"/>
      <c r="H172" s="562"/>
      <c r="I172" s="562"/>
      <c r="J172" s="562"/>
      <c r="K172" s="562"/>
      <c r="L172" s="562"/>
      <c r="M172" s="562"/>
      <c r="N172" s="562"/>
      <c r="O172" s="562"/>
      <c r="P172" s="562"/>
      <c r="Q172" s="562"/>
      <c r="R172" s="562"/>
      <c r="S172" s="562"/>
      <c r="T172" s="562"/>
      <c r="U172" s="562"/>
    </row>
    <row r="173" spans="1:21" ht="32.25" thickBot="1">
      <c r="A173" s="166" t="s">
        <v>545</v>
      </c>
      <c r="B173" s="167" t="s">
        <v>546</v>
      </c>
      <c r="C173" s="167"/>
      <c r="D173" s="167"/>
      <c r="E173" s="107" t="s">
        <v>547</v>
      </c>
      <c r="F173" s="1088" t="s">
        <v>548</v>
      </c>
      <c r="G173" s="168"/>
      <c r="H173" s="168"/>
      <c r="I173" s="168"/>
      <c r="J173" s="168"/>
      <c r="K173" s="168"/>
      <c r="L173" s="168"/>
      <c r="M173" s="168"/>
      <c r="N173" s="168"/>
      <c r="O173" s="168"/>
      <c r="P173" s="168"/>
      <c r="Q173" s="168"/>
      <c r="R173" s="168"/>
      <c r="S173" s="1090" t="s">
        <v>700</v>
      </c>
      <c r="T173" s="1143"/>
      <c r="U173" s="1144"/>
    </row>
    <row r="174" spans="1:21" s="89" customFormat="1" ht="15.75">
      <c r="A174" s="174"/>
      <c r="B174" s="175"/>
      <c r="C174" s="175"/>
      <c r="D174" s="175"/>
      <c r="E174" s="177"/>
      <c r="F174" s="177"/>
      <c r="G174" s="176"/>
      <c r="H174" s="176"/>
      <c r="I174" s="176"/>
      <c r="J174" s="176"/>
      <c r="K174" s="176"/>
      <c r="L174" s="176"/>
      <c r="M174" s="176"/>
      <c r="N174" s="176"/>
      <c r="O174" s="176"/>
      <c r="P174" s="176"/>
      <c r="Q174" s="176"/>
      <c r="R174" s="176"/>
      <c r="S174" s="178"/>
      <c r="T174" s="178"/>
      <c r="U174" s="179"/>
    </row>
    <row r="175" spans="1:21" ht="15.75">
      <c r="A175" s="118"/>
      <c r="B175" s="171" t="s">
        <v>701</v>
      </c>
      <c r="C175" s="93"/>
      <c r="D175" s="93"/>
      <c r="E175" s="102"/>
      <c r="F175" s="102"/>
      <c r="G175" s="135" t="s">
        <v>702</v>
      </c>
      <c r="H175" s="102"/>
      <c r="I175" s="102"/>
      <c r="J175" s="102"/>
      <c r="K175" s="102"/>
      <c r="L175" s="102"/>
      <c r="M175" s="102"/>
      <c r="N175" s="102"/>
      <c r="O175" s="102"/>
      <c r="P175" s="102"/>
      <c r="Q175" s="102"/>
      <c r="R175" s="102"/>
      <c r="S175" s="91"/>
      <c r="T175" s="91"/>
      <c r="U175" s="122"/>
    </row>
    <row r="176" spans="1:21" ht="15.75">
      <c r="A176" s="118">
        <f>+A168+1</f>
        <v>65</v>
      </c>
      <c r="B176" s="101"/>
      <c r="C176" s="119" t="s">
        <v>703</v>
      </c>
      <c r="D176" s="119"/>
      <c r="E176" s="119" t="s">
        <v>704</v>
      </c>
      <c r="F176" s="189" t="s">
        <v>660</v>
      </c>
      <c r="G176" s="562"/>
      <c r="H176" s="119"/>
      <c r="I176" s="119"/>
      <c r="J176" s="119"/>
      <c r="K176" s="119"/>
      <c r="L176" s="119"/>
      <c r="M176" s="119"/>
      <c r="N176" s="119"/>
      <c r="O176" s="119"/>
      <c r="P176" s="119"/>
      <c r="Q176" s="119"/>
      <c r="R176" s="119"/>
      <c r="S176" s="567">
        <v>3258.6</v>
      </c>
      <c r="T176" s="1141"/>
      <c r="U176" s="1142"/>
    </row>
    <row r="177" spans="1:21" ht="15.75" thickBot="1">
      <c r="A177" s="183"/>
      <c r="B177" s="144"/>
      <c r="C177" s="144"/>
      <c r="D177" s="144"/>
      <c r="E177" s="144"/>
      <c r="F177" s="144"/>
      <c r="G177" s="144"/>
      <c r="H177" s="144"/>
      <c r="I177" s="144"/>
      <c r="J177" s="144"/>
      <c r="K177" s="144"/>
      <c r="L177" s="144"/>
      <c r="M177" s="144"/>
      <c r="N177" s="144"/>
      <c r="O177" s="144"/>
      <c r="P177" s="144"/>
      <c r="Q177" s="144"/>
      <c r="R177" s="144"/>
      <c r="S177" s="144"/>
      <c r="T177" s="144"/>
      <c r="U177" s="147"/>
    </row>
    <row r="178" spans="1:21">
      <c r="A178" s="91"/>
      <c r="B178" s="91"/>
      <c r="C178" s="91"/>
      <c r="D178" s="205"/>
      <c r="E178" s="91"/>
      <c r="F178" s="91"/>
      <c r="G178" s="91"/>
      <c r="H178" s="91"/>
      <c r="I178" s="91"/>
      <c r="J178" s="91"/>
      <c r="K178" s="91"/>
      <c r="L178" s="91"/>
      <c r="M178" s="91"/>
      <c r="N178" s="91"/>
      <c r="O178" s="91"/>
      <c r="P178" s="91"/>
      <c r="Q178" s="91"/>
      <c r="R178" s="91"/>
      <c r="S178" s="91"/>
      <c r="T178" s="91"/>
      <c r="U178" s="91"/>
    </row>
    <row r="179" spans="1:21" ht="15.75">
      <c r="A179" s="100"/>
      <c r="B179" s="562"/>
      <c r="C179" s="562"/>
      <c r="D179" s="562"/>
      <c r="E179" s="562"/>
      <c r="G179" s="562"/>
      <c r="H179" s="562"/>
      <c r="I179" s="562"/>
      <c r="J179" s="562"/>
      <c r="K179" s="562"/>
      <c r="L179" s="562"/>
      <c r="M179" s="562"/>
      <c r="N179" s="562"/>
      <c r="O179" s="562"/>
      <c r="P179" s="562"/>
      <c r="Q179" s="562"/>
      <c r="R179" s="562"/>
      <c r="S179" s="562"/>
      <c r="T179" s="562"/>
      <c r="U179" s="846"/>
    </row>
    <row r="180" spans="1:21" s="89" customFormat="1" ht="16.5" thickBot="1">
      <c r="A180" s="72" t="s">
        <v>52</v>
      </c>
      <c r="B180" s="70"/>
      <c r="C180" s="70"/>
      <c r="D180" s="70"/>
      <c r="E180" s="70"/>
      <c r="F180" s="70"/>
      <c r="G180" s="70"/>
      <c r="H180" s="70"/>
      <c r="I180" s="70"/>
      <c r="J180" s="70"/>
      <c r="K180" s="84"/>
      <c r="L180" s="84"/>
      <c r="M180" s="84"/>
      <c r="N180" s="84"/>
      <c r="O180" s="84"/>
      <c r="P180" s="84"/>
      <c r="Q180" s="84"/>
      <c r="R180" s="84"/>
      <c r="S180" s="58"/>
      <c r="T180" s="58"/>
      <c r="U180" s="58"/>
    </row>
    <row r="181" spans="1:21" ht="32.25" thickBot="1">
      <c r="A181" s="104" t="s">
        <v>545</v>
      </c>
      <c r="B181" s="105" t="s">
        <v>546</v>
      </c>
      <c r="C181" s="105"/>
      <c r="D181" s="105"/>
      <c r="E181" s="107" t="s">
        <v>547</v>
      </c>
      <c r="F181" s="1088" t="s">
        <v>548</v>
      </c>
      <c r="G181" s="106"/>
      <c r="H181" s="106" t="s">
        <v>705</v>
      </c>
      <c r="I181" s="106" t="s">
        <v>706</v>
      </c>
      <c r="J181" s="106" t="s">
        <v>707</v>
      </c>
      <c r="K181" s="106" t="s">
        <v>75</v>
      </c>
      <c r="L181" s="106"/>
      <c r="M181" s="106"/>
      <c r="N181" s="106"/>
      <c r="O181" s="106"/>
      <c r="P181" s="106"/>
      <c r="Q181" s="106"/>
      <c r="R181" s="106"/>
      <c r="S181" s="1088"/>
      <c r="T181" s="1143"/>
      <c r="U181" s="1144"/>
    </row>
    <row r="182" spans="1:21">
      <c r="A182" s="67"/>
      <c r="B182" s="65"/>
      <c r="C182" s="65"/>
      <c r="D182" s="65"/>
      <c r="E182" s="71" t="s">
        <v>708</v>
      </c>
      <c r="F182" s="71"/>
      <c r="G182" s="65"/>
      <c r="H182" s="66"/>
      <c r="I182" s="66"/>
      <c r="J182" s="66"/>
      <c r="K182" s="62"/>
      <c r="L182" s="62"/>
      <c r="M182" s="62"/>
      <c r="N182" s="62"/>
      <c r="O182" s="62"/>
      <c r="P182" s="62"/>
      <c r="Q182" s="62"/>
      <c r="R182" s="62"/>
      <c r="S182" s="57"/>
      <c r="T182" s="63"/>
      <c r="U182" s="64"/>
    </row>
    <row r="183" spans="1:21" ht="15.75">
      <c r="A183" s="588">
        <f>+A176+1</f>
        <v>66</v>
      </c>
      <c r="B183" s="70"/>
      <c r="C183" s="70" t="s">
        <v>709</v>
      </c>
      <c r="D183" s="65"/>
      <c r="E183" s="70" t="s">
        <v>710</v>
      </c>
      <c r="F183" s="70">
        <v>182.1</v>
      </c>
      <c r="G183" s="65"/>
      <c r="H183" s="936">
        <v>0</v>
      </c>
      <c r="I183" s="936">
        <v>0</v>
      </c>
      <c r="J183" s="936">
        <v>0</v>
      </c>
      <c r="K183" s="937">
        <f>+H183+I183+J183</f>
        <v>0</v>
      </c>
      <c r="L183" s="74"/>
      <c r="M183" s="74"/>
      <c r="N183" s="74"/>
      <c r="O183" s="74"/>
      <c r="P183" s="74"/>
      <c r="Q183" s="74"/>
      <c r="R183" s="74"/>
      <c r="S183" s="1079"/>
      <c r="T183" s="75"/>
      <c r="U183" s="77"/>
    </row>
    <row r="184" spans="1:21" ht="15.75">
      <c r="A184" s="588">
        <f>+A183+1</f>
        <v>67</v>
      </c>
      <c r="B184" s="70"/>
      <c r="C184" s="70" t="s">
        <v>711</v>
      </c>
      <c r="D184" s="66"/>
      <c r="E184" s="70" t="str">
        <f>+E183</f>
        <v>Per FERC Order</v>
      </c>
      <c r="F184" s="70"/>
      <c r="G184" s="65"/>
      <c r="H184" s="936">
        <v>0</v>
      </c>
      <c r="I184" s="936">
        <v>0</v>
      </c>
      <c r="J184" s="936">
        <v>0</v>
      </c>
      <c r="K184" s="937"/>
      <c r="L184" s="74"/>
      <c r="M184" s="74"/>
      <c r="N184" s="74"/>
      <c r="O184" s="74"/>
      <c r="P184" s="74"/>
      <c r="Q184" s="74"/>
      <c r="R184" s="74"/>
      <c r="S184" s="1079"/>
      <c r="T184" s="75"/>
      <c r="U184" s="77"/>
    </row>
    <row r="185" spans="1:21" ht="15.75">
      <c r="A185" s="588">
        <f>+A184+1</f>
        <v>68</v>
      </c>
      <c r="B185" s="70"/>
      <c r="C185" s="70" t="s">
        <v>712</v>
      </c>
      <c r="D185" s="66"/>
      <c r="E185" s="70" t="str">
        <f>"(Line "&amp;A183&amp;") / (Line "&amp;A184&amp;")"</f>
        <v>(Line 66) / (Line 67)</v>
      </c>
      <c r="F185" s="70">
        <v>407</v>
      </c>
      <c r="G185" s="65"/>
      <c r="H185" s="938">
        <v>0</v>
      </c>
      <c r="I185" s="939">
        <v>0</v>
      </c>
      <c r="J185" s="938">
        <v>0</v>
      </c>
      <c r="K185" s="937">
        <f>+H185+I185+J185</f>
        <v>0</v>
      </c>
      <c r="L185" s="74"/>
      <c r="M185" s="74"/>
      <c r="N185" s="74"/>
      <c r="O185" s="74"/>
      <c r="P185" s="74"/>
      <c r="Q185" s="74"/>
      <c r="R185" s="74"/>
      <c r="S185" s="1079"/>
      <c r="T185" s="75"/>
      <c r="U185" s="77"/>
    </row>
    <row r="186" spans="1:21" ht="15.75">
      <c r="A186" s="588"/>
      <c r="B186" s="70"/>
      <c r="C186" s="70"/>
      <c r="D186" s="66"/>
      <c r="E186" s="70"/>
      <c r="F186" s="70"/>
      <c r="G186" s="65"/>
      <c r="H186" s="939"/>
      <c r="I186" s="939"/>
      <c r="J186" s="939"/>
      <c r="K186" s="937"/>
      <c r="L186" s="74"/>
      <c r="M186" s="74"/>
      <c r="N186" s="74"/>
      <c r="O186" s="74"/>
      <c r="P186" s="74"/>
      <c r="Q186" s="74"/>
      <c r="R186" s="74"/>
      <c r="S186" s="1079"/>
      <c r="T186" s="75"/>
      <c r="U186" s="77"/>
    </row>
    <row r="187" spans="1:21" ht="15.75">
      <c r="A187" s="588">
        <f>+A185+1</f>
        <v>69</v>
      </c>
      <c r="B187" s="70"/>
      <c r="C187" s="70" t="s">
        <v>713</v>
      </c>
      <c r="D187" s="66"/>
      <c r="E187" s="70" t="str">
        <f>"(Line "&amp;A183&amp;") - (Line "&amp;A185&amp;")"</f>
        <v>(Line 66) - (Line 68)</v>
      </c>
      <c r="F187" s="70">
        <v>182.1</v>
      </c>
      <c r="G187" s="68"/>
      <c r="H187" s="940">
        <f>+H183-H185</f>
        <v>0</v>
      </c>
      <c r="I187" s="940">
        <f>+I183-I185</f>
        <v>0</v>
      </c>
      <c r="J187" s="940">
        <f>+J183-J185</f>
        <v>0</v>
      </c>
      <c r="K187" s="937">
        <f>+H187+I187+J187</f>
        <v>0</v>
      </c>
      <c r="L187" s="74"/>
      <c r="M187" s="74"/>
      <c r="N187" s="74"/>
      <c r="O187" s="74"/>
      <c r="P187" s="74"/>
      <c r="Q187" s="74"/>
      <c r="R187" s="74"/>
      <c r="S187" s="1079"/>
      <c r="T187" s="75"/>
      <c r="U187" s="77"/>
    </row>
    <row r="188" spans="1:21" ht="15.75">
      <c r="A188" s="588">
        <f>+A187+1</f>
        <v>70</v>
      </c>
      <c r="B188" s="70"/>
      <c r="C188" s="70" t="s">
        <v>714</v>
      </c>
      <c r="D188" s="66"/>
      <c r="E188" s="70" t="str">
        <f>"(Line "&amp;A183&amp;") + (Line "&amp;A187&amp;") / 2"</f>
        <v>(Line 66) + (Line 69) / 2</v>
      </c>
      <c r="F188" s="70"/>
      <c r="G188" s="65"/>
      <c r="H188" s="941">
        <f>+H183/2+H187/2</f>
        <v>0</v>
      </c>
      <c r="I188" s="940">
        <f>+I183/2+I187/2</f>
        <v>0</v>
      </c>
      <c r="J188" s="941">
        <f>+J183/2+J187/2</f>
        <v>0</v>
      </c>
      <c r="K188" s="937">
        <f>+H188+I188+J188</f>
        <v>0</v>
      </c>
      <c r="L188" s="74"/>
      <c r="M188" s="74"/>
      <c r="N188" s="74"/>
      <c r="O188" s="74"/>
      <c r="P188" s="74"/>
      <c r="Q188" s="74"/>
      <c r="R188" s="74"/>
      <c r="S188" s="1079"/>
      <c r="T188" s="75"/>
      <c r="U188" s="77"/>
    </row>
    <row r="189" spans="1:21">
      <c r="A189" s="586"/>
      <c r="B189" s="70"/>
      <c r="C189" s="65"/>
      <c r="D189" s="66"/>
      <c r="E189" s="70"/>
      <c r="F189" s="70"/>
      <c r="G189" s="65"/>
      <c r="H189" s="65"/>
      <c r="I189" s="65"/>
      <c r="J189" s="65"/>
      <c r="K189" s="65"/>
      <c r="L189" s="76"/>
      <c r="M189" s="76"/>
      <c r="N189" s="76"/>
      <c r="O189" s="76"/>
      <c r="P189" s="76"/>
      <c r="Q189" s="76"/>
      <c r="R189" s="76"/>
      <c r="S189" s="70"/>
      <c r="T189" s="58"/>
      <c r="U189" s="78"/>
    </row>
    <row r="190" spans="1:21" ht="15.75" thickBot="1">
      <c r="A190" s="587"/>
      <c r="B190" s="79"/>
      <c r="C190" s="79" t="s">
        <v>715</v>
      </c>
      <c r="D190" s="80"/>
      <c r="E190" s="79"/>
      <c r="F190" s="79"/>
      <c r="G190" s="69"/>
      <c r="H190" s="80" t="s">
        <v>716</v>
      </c>
      <c r="I190" s="80" t="s">
        <v>717</v>
      </c>
      <c r="J190" s="80" t="s">
        <v>716</v>
      </c>
      <c r="K190" s="80"/>
      <c r="L190" s="81"/>
      <c r="M190" s="82"/>
      <c r="N190" s="82"/>
      <c r="O190" s="82"/>
      <c r="P190" s="82"/>
      <c r="Q190" s="82"/>
      <c r="R190" s="82"/>
      <c r="S190" s="69"/>
      <c r="T190" s="69"/>
      <c r="U190" s="83"/>
    </row>
    <row r="191" spans="1:21">
      <c r="A191" s="562"/>
      <c r="B191" s="562"/>
      <c r="C191" s="562"/>
      <c r="D191" s="562"/>
      <c r="E191" s="562"/>
      <c r="G191" s="562"/>
      <c r="H191" s="562"/>
      <c r="I191" s="562"/>
      <c r="J191" s="562"/>
      <c r="K191" s="93"/>
      <c r="L191" s="93"/>
      <c r="M191" s="93"/>
      <c r="N191" s="93"/>
      <c r="O191" s="93"/>
      <c r="P191" s="93"/>
      <c r="Q191" s="93"/>
      <c r="R191" s="93"/>
      <c r="S191" s="93"/>
      <c r="T191" s="93"/>
      <c r="U191" s="93"/>
    </row>
    <row r="192" spans="1:21">
      <c r="A192" s="562"/>
      <c r="B192" s="562"/>
      <c r="C192" s="562"/>
      <c r="D192" s="562"/>
      <c r="E192" s="562"/>
      <c r="G192" s="562"/>
      <c r="H192" s="562"/>
      <c r="I192" s="562"/>
      <c r="J192" s="562"/>
      <c r="K192" s="93"/>
      <c r="L192" s="93"/>
      <c r="M192" s="93"/>
      <c r="N192" s="93"/>
      <c r="O192" s="93"/>
      <c r="P192" s="93"/>
      <c r="Q192" s="93"/>
      <c r="R192" s="93"/>
      <c r="S192" s="93"/>
      <c r="T192" s="93"/>
      <c r="U192" s="93"/>
    </row>
    <row r="193" spans="1:21" ht="16.5" thickBot="1">
      <c r="A193" s="100" t="s">
        <v>718</v>
      </c>
      <c r="B193" s="91"/>
      <c r="C193" s="91"/>
      <c r="D193" s="91"/>
      <c r="E193" s="91"/>
      <c r="F193" s="91"/>
      <c r="G193" s="137"/>
      <c r="H193" s="1140"/>
      <c r="I193" s="1140"/>
      <c r="J193" s="1140"/>
      <c r="K193" s="1140"/>
      <c r="L193" s="1140"/>
      <c r="M193" s="1140"/>
      <c r="N193" s="1140"/>
      <c r="O193" s="1140"/>
      <c r="P193" s="1140"/>
      <c r="Q193" s="1140"/>
      <c r="R193" s="1140"/>
      <c r="S193" s="1140"/>
      <c r="T193" s="91"/>
      <c r="U193" s="91"/>
    </row>
    <row r="194" spans="1:21" ht="32.25" thickBot="1">
      <c r="A194" s="104" t="s">
        <v>545</v>
      </c>
      <c r="B194" s="105" t="s">
        <v>546</v>
      </c>
      <c r="C194" s="105"/>
      <c r="D194" s="105"/>
      <c r="E194" s="107" t="s">
        <v>547</v>
      </c>
      <c r="F194" s="1088" t="s">
        <v>548</v>
      </c>
      <c r="G194" s="138"/>
      <c r="H194" s="138"/>
      <c r="I194" s="138"/>
      <c r="J194" s="138"/>
      <c r="K194" s="138"/>
      <c r="L194" s="138"/>
      <c r="M194" s="138"/>
      <c r="N194" s="138"/>
      <c r="O194" s="138"/>
      <c r="P194" s="138"/>
      <c r="Q194" s="1088" t="s">
        <v>593</v>
      </c>
      <c r="R194" s="1088" t="s">
        <v>719</v>
      </c>
      <c r="S194" s="1088" t="s">
        <v>598</v>
      </c>
      <c r="T194" s="1088" t="s">
        <v>561</v>
      </c>
      <c r="U194" s="1089"/>
    </row>
    <row r="195" spans="1:21">
      <c r="A195" s="118"/>
      <c r="B195" s="93"/>
      <c r="C195" s="116"/>
      <c r="D195" s="93"/>
      <c r="E195" s="123"/>
      <c r="F195" s="123"/>
      <c r="G195" s="93"/>
      <c r="H195" s="93"/>
      <c r="I195" s="93"/>
      <c r="J195" s="93"/>
      <c r="K195" s="93"/>
      <c r="L195" s="93"/>
      <c r="M195" s="93"/>
      <c r="N195" s="93"/>
      <c r="O195" s="93"/>
      <c r="P195" s="93"/>
      <c r="Q195" s="26"/>
      <c r="R195" s="26"/>
      <c r="S195" s="20"/>
      <c r="T195" s="20"/>
      <c r="U195" s="142"/>
    </row>
    <row r="196" spans="1:21">
      <c r="A196" s="124">
        <f>+A188+1</f>
        <v>71</v>
      </c>
      <c r="B196" s="93"/>
      <c r="C196" s="116" t="s">
        <v>49</v>
      </c>
      <c r="D196" s="133"/>
      <c r="E196" s="133" t="s">
        <v>999</v>
      </c>
      <c r="F196" s="789">
        <v>254</v>
      </c>
      <c r="G196" s="91" t="s">
        <v>565</v>
      </c>
      <c r="H196" s="91"/>
      <c r="I196" s="91"/>
      <c r="J196" s="26"/>
      <c r="K196" s="91"/>
      <c r="L196" s="91"/>
      <c r="M196" s="91"/>
      <c r="N196" s="91"/>
      <c r="O196" s="91"/>
      <c r="P196" s="91"/>
      <c r="Q196" s="1058">
        <f>'9 - Excess ADIT'!K36</f>
        <v>-31172307.154267777</v>
      </c>
      <c r="R196" s="1058">
        <f>'9 - Excess ADIT'!L36</f>
        <v>-2781699.3565477408</v>
      </c>
      <c r="S196" s="1058">
        <f>'9 - Excess ADIT'!M36</f>
        <v>-28390607.797720041</v>
      </c>
      <c r="T196" s="54">
        <f>+(S196+Q196)/2</f>
        <v>-29781457.475993909</v>
      </c>
      <c r="U196" s="122"/>
    </row>
    <row r="197" spans="1:21" ht="16.5" thickBot="1">
      <c r="A197" s="143"/>
      <c r="B197" s="148"/>
      <c r="C197" s="127"/>
      <c r="D197" s="148"/>
      <c r="E197" s="128"/>
      <c r="F197" s="128"/>
      <c r="G197" s="144"/>
      <c r="H197" s="144"/>
      <c r="I197" s="165"/>
      <c r="J197" s="128"/>
      <c r="K197" s="128"/>
      <c r="L197" s="128"/>
      <c r="M197" s="128"/>
      <c r="N197" s="128"/>
      <c r="O197" s="128"/>
      <c r="P197" s="128"/>
      <c r="Q197" s="128"/>
      <c r="R197" s="128"/>
      <c r="S197" s="144"/>
      <c r="T197" s="1138"/>
      <c r="U197" s="1139"/>
    </row>
    <row r="199" spans="1:21" ht="18">
      <c r="A199" s="562"/>
      <c r="B199" s="562"/>
      <c r="C199" s="562"/>
      <c r="D199" s="562"/>
      <c r="E199" s="562"/>
      <c r="G199" s="562"/>
      <c r="H199" s="562"/>
      <c r="I199" s="562"/>
      <c r="J199" s="562"/>
      <c r="K199" s="562"/>
      <c r="L199" s="562"/>
      <c r="M199" s="562"/>
      <c r="N199" s="562"/>
      <c r="O199" s="562"/>
      <c r="P199" s="562"/>
      <c r="Q199" s="562"/>
      <c r="R199" s="562"/>
      <c r="S199" s="562"/>
      <c r="T199" s="562"/>
      <c r="U199" s="967"/>
    </row>
    <row r="200" spans="1:21" ht="16.5" thickBot="1">
      <c r="A200" s="100" t="s">
        <v>71</v>
      </c>
      <c r="B200" s="91"/>
      <c r="C200" s="91"/>
      <c r="D200" s="91"/>
      <c r="E200" s="91"/>
      <c r="F200" s="91"/>
      <c r="G200" s="137"/>
      <c r="H200" s="1140"/>
      <c r="I200" s="1140"/>
      <c r="J200" s="1140"/>
      <c r="K200" s="1140"/>
      <c r="L200" s="1140"/>
      <c r="M200" s="1140"/>
      <c r="N200" s="1140"/>
      <c r="O200" s="1140"/>
      <c r="P200" s="1140"/>
      <c r="Q200" s="1140"/>
      <c r="R200" s="1140"/>
      <c r="S200" s="1140"/>
      <c r="T200" s="91"/>
      <c r="U200" s="846"/>
    </row>
    <row r="201" spans="1:21" ht="32.25" thickBot="1">
      <c r="A201" s="104" t="s">
        <v>545</v>
      </c>
      <c r="B201" s="105" t="s">
        <v>546</v>
      </c>
      <c r="C201" s="105"/>
      <c r="D201" s="105"/>
      <c r="E201" s="107" t="s">
        <v>547</v>
      </c>
      <c r="F201" s="1088" t="s">
        <v>548</v>
      </c>
      <c r="G201" s="138"/>
      <c r="H201" s="138"/>
      <c r="I201" s="138"/>
      <c r="J201" s="138"/>
      <c r="K201" s="138"/>
      <c r="L201" s="138"/>
      <c r="M201" s="138"/>
      <c r="N201" s="138"/>
      <c r="O201" s="138"/>
      <c r="P201" s="138"/>
      <c r="Q201" s="1088"/>
      <c r="R201" s="1088" t="s">
        <v>593</v>
      </c>
      <c r="S201" s="1088" t="s">
        <v>595</v>
      </c>
      <c r="T201" s="1088" t="s">
        <v>561</v>
      </c>
      <c r="U201" s="1089"/>
    </row>
    <row r="202" spans="1:21">
      <c r="A202" s="118"/>
      <c r="B202" s="93"/>
      <c r="C202" s="116"/>
      <c r="D202" s="93"/>
      <c r="E202" s="123"/>
      <c r="F202" s="123"/>
      <c r="G202" s="93"/>
      <c r="H202" s="93"/>
      <c r="I202" s="93"/>
      <c r="J202" s="93"/>
      <c r="K202" s="93"/>
      <c r="L202" s="93"/>
      <c r="M202" s="93"/>
      <c r="N202" s="93"/>
      <c r="O202" s="93"/>
      <c r="P202" s="93"/>
      <c r="Q202" s="26"/>
      <c r="R202" s="26"/>
      <c r="S202" s="20"/>
      <c r="T202" s="20"/>
      <c r="U202" s="142"/>
    </row>
    <row r="203" spans="1:21" ht="15.75">
      <c r="A203" s="118"/>
      <c r="B203" s="125" t="s">
        <v>71</v>
      </c>
      <c r="C203" s="116"/>
      <c r="D203" s="93"/>
      <c r="E203" s="123"/>
      <c r="F203" s="123"/>
      <c r="G203" s="135" t="s">
        <v>587</v>
      </c>
      <c r="H203" s="93"/>
      <c r="I203" s="93"/>
      <c r="J203" s="93"/>
      <c r="K203" s="93"/>
      <c r="L203" s="93"/>
      <c r="M203" s="93"/>
      <c r="N203" s="93"/>
      <c r="O203" s="93"/>
      <c r="P203" s="93"/>
      <c r="Q203" s="26"/>
      <c r="R203" s="26"/>
      <c r="S203" s="20"/>
      <c r="T203" s="20"/>
      <c r="U203" s="142"/>
    </row>
    <row r="204" spans="1:21">
      <c r="A204" s="118"/>
      <c r="B204" s="93"/>
      <c r="C204" s="116"/>
      <c r="D204" s="93"/>
      <c r="E204" s="123"/>
      <c r="F204" s="123"/>
      <c r="G204" s="93"/>
      <c r="H204" s="93"/>
      <c r="I204" s="93"/>
      <c r="J204" s="93"/>
      <c r="K204" s="93"/>
      <c r="L204" s="93"/>
      <c r="M204" s="93"/>
      <c r="N204" s="93"/>
      <c r="O204" s="93"/>
      <c r="P204" s="93"/>
      <c r="Q204" s="26"/>
      <c r="R204" s="26"/>
      <c r="S204" s="20"/>
      <c r="T204" s="20"/>
      <c r="U204" s="142"/>
    </row>
    <row r="205" spans="1:21">
      <c r="A205" s="124">
        <f>+A196+1</f>
        <v>72</v>
      </c>
      <c r="B205" s="93"/>
      <c r="C205" s="116" t="s">
        <v>720</v>
      </c>
      <c r="D205" s="133"/>
      <c r="E205" s="133" t="s">
        <v>721</v>
      </c>
      <c r="F205" s="792">
        <v>228.1</v>
      </c>
      <c r="G205" s="562"/>
      <c r="H205" s="91"/>
      <c r="I205" s="91"/>
      <c r="J205" s="26"/>
      <c r="K205" s="91"/>
      <c r="L205" s="91"/>
      <c r="M205" s="91"/>
      <c r="N205" s="91"/>
      <c r="O205" s="91"/>
      <c r="P205" s="91"/>
      <c r="Q205" s="50"/>
      <c r="R205" s="942">
        <v>0</v>
      </c>
      <c r="S205" s="942">
        <v>0</v>
      </c>
      <c r="T205" s="54">
        <f>+(R205+S205)/2</f>
        <v>0</v>
      </c>
      <c r="U205" s="122"/>
    </row>
    <row r="206" spans="1:21" s="562" customFormat="1">
      <c r="A206" s="124">
        <f>+A205+1</f>
        <v>73</v>
      </c>
      <c r="B206" s="93"/>
      <c r="C206" s="116" t="s">
        <v>722</v>
      </c>
      <c r="D206" s="133"/>
      <c r="E206" s="133" t="s">
        <v>723</v>
      </c>
      <c r="F206" s="792">
        <v>228.2</v>
      </c>
      <c r="G206" s="135"/>
      <c r="H206" s="91"/>
      <c r="I206" s="91"/>
      <c r="J206" s="26"/>
      <c r="K206" s="91"/>
      <c r="L206" s="91"/>
      <c r="M206" s="91"/>
      <c r="N206" s="91"/>
      <c r="O206" s="91"/>
      <c r="P206" s="91"/>
      <c r="Q206" s="50"/>
      <c r="R206" s="942">
        <v>-1596645</v>
      </c>
      <c r="S206" s="942">
        <v>-1562939</v>
      </c>
      <c r="T206" s="54">
        <f t="shared" ref="T206:T208" si="10">+(R206+S206)/2</f>
        <v>-1579792</v>
      </c>
      <c r="U206" s="122"/>
    </row>
    <row r="207" spans="1:21" s="562" customFormat="1">
      <c r="A207" s="124">
        <f>+A206+1</f>
        <v>74</v>
      </c>
      <c r="B207" s="93"/>
      <c r="C207" s="116" t="s">
        <v>724</v>
      </c>
      <c r="D207" s="133"/>
      <c r="E207" s="133" t="s">
        <v>725</v>
      </c>
      <c r="F207" s="792">
        <v>228.3</v>
      </c>
      <c r="G207" s="135" t="s">
        <v>565</v>
      </c>
      <c r="H207" s="91"/>
      <c r="I207" s="91"/>
      <c r="J207" s="26"/>
      <c r="K207" s="91"/>
      <c r="L207" s="91"/>
      <c r="M207" s="91"/>
      <c r="N207" s="91"/>
      <c r="O207" s="91"/>
      <c r="P207" s="91"/>
      <c r="Q207" s="50"/>
      <c r="R207" s="942">
        <v>-70932305</v>
      </c>
      <c r="S207" s="942">
        <v>-59232305</v>
      </c>
      <c r="T207" s="54">
        <f t="shared" si="10"/>
        <v>-65082305</v>
      </c>
      <c r="U207" s="122"/>
    </row>
    <row r="208" spans="1:21" s="562" customFormat="1">
      <c r="A208" s="124">
        <f>+A207+1</f>
        <v>75</v>
      </c>
      <c r="B208" s="93"/>
      <c r="C208" s="116" t="s">
        <v>726</v>
      </c>
      <c r="D208" s="133"/>
      <c r="E208" s="133" t="s">
        <v>727</v>
      </c>
      <c r="F208" s="792">
        <v>228.4</v>
      </c>
      <c r="G208" s="135"/>
      <c r="H208" s="91"/>
      <c r="I208" s="91"/>
      <c r="J208" s="26"/>
      <c r="K208" s="91"/>
      <c r="L208" s="91"/>
      <c r="M208" s="91"/>
      <c r="N208" s="91"/>
      <c r="O208" s="91"/>
      <c r="P208" s="91"/>
      <c r="Q208" s="50"/>
      <c r="R208" s="942">
        <v>0</v>
      </c>
      <c r="S208" s="942">
        <v>0</v>
      </c>
      <c r="T208" s="54">
        <f t="shared" si="10"/>
        <v>0</v>
      </c>
      <c r="U208" s="122"/>
    </row>
    <row r="209" spans="1:21" s="562" customFormat="1">
      <c r="A209" s="124"/>
      <c r="B209" s="93"/>
      <c r="C209" s="116"/>
      <c r="D209" s="133"/>
      <c r="E209" s="133"/>
      <c r="F209" s="133"/>
      <c r="G209" s="91"/>
      <c r="H209" s="91"/>
      <c r="I209" s="91"/>
      <c r="J209" s="26"/>
      <c r="K209" s="91"/>
      <c r="L209" s="91"/>
      <c r="M209" s="91"/>
      <c r="N209" s="91"/>
      <c r="O209" s="91"/>
      <c r="P209" s="91"/>
      <c r="Q209" s="50"/>
      <c r="R209" s="50"/>
      <c r="S209" s="50"/>
      <c r="T209" s="50"/>
      <c r="U209" s="122"/>
    </row>
    <row r="210" spans="1:21" ht="16.5" thickBot="1">
      <c r="A210" s="627" t="s">
        <v>728</v>
      </c>
      <c r="B210" s="148"/>
      <c r="C210" s="127"/>
      <c r="D210" s="148"/>
      <c r="E210" s="128"/>
      <c r="F210" s="128"/>
      <c r="G210" s="144"/>
      <c r="H210" s="144"/>
      <c r="I210" s="165"/>
      <c r="J210" s="128"/>
      <c r="K210" s="128"/>
      <c r="L210" s="128"/>
      <c r="M210" s="128"/>
      <c r="N210" s="128"/>
      <c r="O210" s="128"/>
      <c r="P210" s="128"/>
      <c r="Q210" s="128"/>
      <c r="R210" s="128"/>
      <c r="S210" s="144"/>
      <c r="T210" s="1138"/>
      <c r="U210" s="1139"/>
    </row>
    <row r="212" spans="1:21" ht="16.5" thickBot="1">
      <c r="A212" s="100" t="s">
        <v>83</v>
      </c>
      <c r="B212" s="91"/>
      <c r="C212" s="91"/>
      <c r="D212" s="91"/>
      <c r="E212" s="91"/>
      <c r="F212" s="91"/>
      <c r="G212" s="137"/>
      <c r="H212" s="1140"/>
      <c r="I212" s="1140"/>
      <c r="J212" s="1140"/>
      <c r="K212" s="1140"/>
      <c r="L212" s="1140"/>
      <c r="M212" s="1140"/>
      <c r="N212" s="1140"/>
      <c r="O212" s="1140"/>
      <c r="P212" s="1140"/>
      <c r="Q212" s="1140"/>
      <c r="R212" s="1140"/>
      <c r="S212" s="1140"/>
      <c r="T212" s="91"/>
      <c r="U212" s="91"/>
    </row>
    <row r="213" spans="1:21" ht="32.25" thickBot="1">
      <c r="A213" s="104" t="s">
        <v>545</v>
      </c>
      <c r="B213" s="105" t="s">
        <v>546</v>
      </c>
      <c r="C213" s="105"/>
      <c r="D213" s="105"/>
      <c r="E213" s="107" t="s">
        <v>547</v>
      </c>
      <c r="F213" s="1088" t="s">
        <v>548</v>
      </c>
      <c r="G213" s="138"/>
      <c r="H213" s="138"/>
      <c r="I213" s="138"/>
      <c r="J213" s="138"/>
      <c r="K213" s="138"/>
      <c r="L213" s="138"/>
      <c r="M213" s="138"/>
      <c r="N213" s="138"/>
      <c r="O213" s="138"/>
      <c r="P213" s="138"/>
      <c r="Q213" s="1088"/>
      <c r="R213" s="1088" t="s">
        <v>593</v>
      </c>
      <c r="S213" s="1088" t="s">
        <v>595</v>
      </c>
      <c r="T213" s="1088" t="s">
        <v>561</v>
      </c>
      <c r="U213" s="1089"/>
    </row>
    <row r="214" spans="1:21">
      <c r="A214" s="118"/>
      <c r="B214" s="93"/>
      <c r="C214" s="116"/>
      <c r="D214" s="93"/>
      <c r="E214" s="123"/>
      <c r="F214" s="123"/>
      <c r="G214" s="93"/>
      <c r="H214" s="93"/>
      <c r="I214" s="93"/>
      <c r="J214" s="93"/>
      <c r="K214" s="93"/>
      <c r="L214" s="93"/>
      <c r="M214" s="93"/>
      <c r="N214" s="93"/>
      <c r="O214" s="93"/>
      <c r="P214" s="93"/>
      <c r="Q214" s="26"/>
      <c r="R214" s="26"/>
      <c r="S214" s="20"/>
      <c r="T214" s="20"/>
      <c r="U214" s="142"/>
    </row>
    <row r="215" spans="1:21">
      <c r="A215" s="124">
        <f>+A208+1</f>
        <v>76</v>
      </c>
      <c r="B215" s="93"/>
      <c r="C215" s="116" t="s">
        <v>729</v>
      </c>
      <c r="D215" s="133"/>
      <c r="E215" s="133" t="s">
        <v>730</v>
      </c>
      <c r="F215" s="133">
        <v>253</v>
      </c>
      <c r="G215" s="135" t="s">
        <v>587</v>
      </c>
      <c r="H215" s="91"/>
      <c r="I215" s="91"/>
      <c r="J215" s="26"/>
      <c r="K215" s="91"/>
      <c r="L215" s="91"/>
      <c r="M215" s="91"/>
      <c r="N215" s="91"/>
      <c r="O215" s="91"/>
      <c r="P215" s="91"/>
      <c r="Q215" s="50"/>
      <c r="R215" s="942">
        <v>0</v>
      </c>
      <c r="S215" s="942">
        <v>-3893</v>
      </c>
      <c r="T215" s="54">
        <f>+(S215+Q215)/2</f>
        <v>-1946.5</v>
      </c>
      <c r="U215" s="122"/>
    </row>
    <row r="216" spans="1:21" ht="16.5" thickBot="1">
      <c r="A216" s="627"/>
      <c r="B216" s="148"/>
      <c r="C216" s="127"/>
      <c r="D216" s="148"/>
      <c r="E216" s="128"/>
      <c r="F216" s="128"/>
      <c r="G216" s="144"/>
      <c r="H216" s="144"/>
      <c r="I216" s="165"/>
      <c r="J216" s="128"/>
      <c r="K216" s="128"/>
      <c r="L216" s="128"/>
      <c r="M216" s="128"/>
      <c r="N216" s="128"/>
      <c r="O216" s="128"/>
      <c r="P216" s="128"/>
      <c r="Q216" s="128"/>
      <c r="R216" s="128"/>
      <c r="S216" s="144"/>
      <c r="T216" s="1138"/>
      <c r="U216" s="1139"/>
    </row>
    <row r="218" spans="1:21" ht="16.5" thickBot="1">
      <c r="A218" s="281" t="s">
        <v>731</v>
      </c>
      <c r="B218" s="562"/>
      <c r="C218" s="562"/>
      <c r="D218" s="562"/>
      <c r="E218" s="562"/>
      <c r="G218" s="562"/>
      <c r="H218" s="562"/>
      <c r="I218" s="562"/>
      <c r="J218" s="562"/>
      <c r="K218" s="562"/>
      <c r="L218" s="562"/>
      <c r="M218" s="562"/>
      <c r="N218" s="562"/>
      <c r="O218" s="562"/>
      <c r="P218" s="562"/>
      <c r="Q218" s="562"/>
      <c r="R218" s="562"/>
      <c r="S218" s="562"/>
      <c r="T218" s="562"/>
      <c r="U218" s="562"/>
    </row>
    <row r="219" spans="1:21" ht="32.25" thickBot="1">
      <c r="A219" s="104" t="s">
        <v>545</v>
      </c>
      <c r="B219" s="105" t="s">
        <v>546</v>
      </c>
      <c r="C219" s="105"/>
      <c r="D219" s="105"/>
      <c r="E219" s="107" t="s">
        <v>547</v>
      </c>
      <c r="F219" s="1088" t="s">
        <v>548</v>
      </c>
      <c r="G219" s="138"/>
      <c r="H219" s="138"/>
      <c r="I219" s="138"/>
      <c r="J219" s="138"/>
      <c r="K219" s="138"/>
      <c r="L219" s="138"/>
      <c r="M219" s="138"/>
      <c r="N219" s="138"/>
      <c r="O219" s="138"/>
      <c r="P219" s="138"/>
      <c r="Q219" s="138"/>
      <c r="R219" s="138"/>
      <c r="S219" s="138"/>
      <c r="T219" s="106" t="s">
        <v>584</v>
      </c>
      <c r="U219" s="139"/>
    </row>
    <row r="220" spans="1:21">
      <c r="A220" s="118">
        <f>+A215+1</f>
        <v>77</v>
      </c>
      <c r="B220" s="91"/>
      <c r="C220" s="134" t="s">
        <v>732</v>
      </c>
      <c r="D220" s="91"/>
      <c r="E220" s="199" t="s">
        <v>733</v>
      </c>
      <c r="F220" s="793" t="s">
        <v>734</v>
      </c>
      <c r="G220" s="135" t="s">
        <v>587</v>
      </c>
      <c r="H220" s="91"/>
      <c r="I220" s="91"/>
      <c r="J220" s="91"/>
      <c r="K220" s="91"/>
      <c r="L220" s="91"/>
      <c r="M220" s="91"/>
      <c r="N220" s="91"/>
      <c r="O220" s="91"/>
      <c r="P220" s="91"/>
      <c r="Q220" s="91"/>
      <c r="R220" s="91"/>
      <c r="S220" s="91"/>
      <c r="T220" s="943">
        <v>27774773</v>
      </c>
      <c r="U220" s="122"/>
    </row>
    <row r="221" spans="1:21">
      <c r="A221" s="118">
        <f>+A220+1</f>
        <v>78</v>
      </c>
      <c r="B221" s="91"/>
      <c r="C221" s="134" t="s">
        <v>735</v>
      </c>
      <c r="D221" s="91"/>
      <c r="E221" s="136" t="s">
        <v>736</v>
      </c>
      <c r="F221" s="192" t="s">
        <v>737</v>
      </c>
      <c r="G221" s="91"/>
      <c r="H221" s="91"/>
      <c r="I221" s="91"/>
      <c r="J221" s="91"/>
      <c r="K221" s="91"/>
      <c r="L221" s="91"/>
      <c r="M221" s="91"/>
      <c r="N221" s="91"/>
      <c r="O221" s="91"/>
      <c r="P221" s="91"/>
      <c r="Q221" s="91"/>
      <c r="R221" s="91"/>
      <c r="S221" s="91"/>
      <c r="T221" s="943">
        <v>28254644</v>
      </c>
      <c r="U221" s="122"/>
    </row>
    <row r="222" spans="1:21" s="562" customFormat="1">
      <c r="A222" s="118">
        <f>+A221+1</f>
        <v>79</v>
      </c>
      <c r="B222" s="91"/>
      <c r="C222" s="134" t="s">
        <v>738</v>
      </c>
      <c r="D222" s="91"/>
      <c r="E222" s="136" t="s">
        <v>739</v>
      </c>
      <c r="F222" s="192" t="s">
        <v>740</v>
      </c>
      <c r="G222" s="91"/>
      <c r="H222" s="91"/>
      <c r="I222" s="91"/>
      <c r="J222" s="91"/>
      <c r="K222" s="91"/>
      <c r="L222" s="91"/>
      <c r="M222" s="91"/>
      <c r="N222" s="91"/>
      <c r="O222" s="91"/>
      <c r="P222" s="91"/>
      <c r="Q222" s="91"/>
      <c r="R222" s="91"/>
      <c r="S222" s="91"/>
      <c r="T222" s="943">
        <v>0</v>
      </c>
      <c r="U222" s="122"/>
    </row>
    <row r="223" spans="1:21" s="562" customFormat="1">
      <c r="A223" s="118">
        <f>+A222+1</f>
        <v>80</v>
      </c>
      <c r="B223" s="91"/>
      <c r="C223" s="134" t="s">
        <v>741</v>
      </c>
      <c r="D223" s="91"/>
      <c r="E223" s="136" t="s">
        <v>742</v>
      </c>
      <c r="F223" s="192" t="s">
        <v>737</v>
      </c>
      <c r="G223" s="91"/>
      <c r="H223" s="91"/>
      <c r="I223" s="91"/>
      <c r="J223" s="91"/>
      <c r="K223" s="91"/>
      <c r="L223" s="91"/>
      <c r="M223" s="91"/>
      <c r="N223" s="91"/>
      <c r="O223" s="91"/>
      <c r="P223" s="91"/>
      <c r="Q223" s="91"/>
      <c r="R223" s="91"/>
      <c r="S223" s="91"/>
      <c r="T223" s="943">
        <v>26842106.059999999</v>
      </c>
      <c r="U223" s="122"/>
    </row>
    <row r="224" spans="1:21" ht="15.75" thickBot="1">
      <c r="A224" s="143"/>
      <c r="B224" s="144"/>
      <c r="C224" s="145"/>
      <c r="D224" s="144"/>
      <c r="E224" s="146"/>
      <c r="F224" s="146"/>
      <c r="G224" s="31"/>
      <c r="H224" s="31"/>
      <c r="I224" s="31"/>
      <c r="J224" s="31"/>
      <c r="K224" s="31"/>
      <c r="L224" s="31"/>
      <c r="M224" s="31"/>
      <c r="N224" s="31"/>
      <c r="O224" s="31"/>
      <c r="P224" s="31"/>
      <c r="Q224" s="31"/>
      <c r="R224" s="31"/>
      <c r="S224" s="31"/>
      <c r="T224" s="31"/>
      <c r="U224" s="147"/>
    </row>
    <row r="226" spans="1:21" ht="16.5" thickBot="1">
      <c r="A226" s="281" t="s">
        <v>23</v>
      </c>
      <c r="B226" s="562"/>
      <c r="C226" s="562"/>
      <c r="D226" s="562"/>
      <c r="E226" s="562"/>
      <c r="G226" s="562"/>
      <c r="H226" s="562"/>
      <c r="I226" s="562"/>
      <c r="J226" s="562"/>
      <c r="K226" s="562"/>
      <c r="L226" s="562"/>
      <c r="M226" s="562"/>
      <c r="N226" s="562"/>
      <c r="O226" s="562"/>
      <c r="P226" s="562"/>
      <c r="Q226" s="562"/>
      <c r="R226" s="562"/>
      <c r="S226" s="562"/>
      <c r="T226" s="562"/>
      <c r="U226" s="562"/>
    </row>
    <row r="227" spans="1:21" ht="32.25" thickBot="1">
      <c r="A227" s="104" t="s">
        <v>545</v>
      </c>
      <c r="B227" s="105" t="s">
        <v>546</v>
      </c>
      <c r="C227" s="105"/>
      <c r="D227" s="105"/>
      <c r="E227" s="107" t="s">
        <v>547</v>
      </c>
      <c r="F227" s="1088" t="s">
        <v>548</v>
      </c>
      <c r="G227" s="138"/>
      <c r="H227" s="138"/>
      <c r="I227" s="138"/>
      <c r="J227" s="138"/>
      <c r="K227" s="138"/>
      <c r="L227" s="138"/>
      <c r="M227" s="138"/>
      <c r="N227" s="138"/>
      <c r="O227" s="138"/>
      <c r="P227" s="138"/>
      <c r="Q227" s="138"/>
      <c r="R227" s="138"/>
      <c r="S227" s="138"/>
      <c r="T227" s="106" t="s">
        <v>584</v>
      </c>
      <c r="U227" s="139"/>
    </row>
    <row r="228" spans="1:21">
      <c r="A228" s="118">
        <f>+A223+1</f>
        <v>81</v>
      </c>
      <c r="B228" s="91"/>
      <c r="C228" s="134" t="s">
        <v>24</v>
      </c>
      <c r="D228" s="91"/>
      <c r="E228" s="199" t="s">
        <v>696</v>
      </c>
      <c r="F228" s="199"/>
      <c r="G228" s="135" t="s">
        <v>565</v>
      </c>
      <c r="H228" s="91"/>
      <c r="I228" s="91"/>
      <c r="J228" s="91"/>
      <c r="K228" s="91"/>
      <c r="L228" s="91"/>
      <c r="M228" s="91"/>
      <c r="N228" s="91"/>
      <c r="O228" s="91"/>
      <c r="P228" s="91"/>
      <c r="Q228" s="91"/>
      <c r="R228" s="91"/>
      <c r="S228" s="91"/>
      <c r="T228" s="1074">
        <v>-62600000</v>
      </c>
      <c r="U228" s="122"/>
    </row>
    <row r="229" spans="1:21">
      <c r="A229" s="118">
        <f>+A228+1</f>
        <v>82</v>
      </c>
      <c r="B229" s="91"/>
      <c r="C229" s="134" t="s">
        <v>25</v>
      </c>
      <c r="D229" s="91"/>
      <c r="E229" s="136" t="s">
        <v>696</v>
      </c>
      <c r="F229" s="136"/>
      <c r="G229" s="91"/>
      <c r="H229" s="91"/>
      <c r="I229" s="91"/>
      <c r="J229" s="91"/>
      <c r="K229" s="91"/>
      <c r="L229" s="91"/>
      <c r="M229" s="91"/>
      <c r="N229" s="91"/>
      <c r="O229" s="91"/>
      <c r="P229" s="91"/>
      <c r="Q229" s="91"/>
      <c r="R229" s="91"/>
      <c r="S229" s="91"/>
      <c r="T229" s="268">
        <v>-279509529.05955601</v>
      </c>
      <c r="U229" s="122"/>
    </row>
    <row r="230" spans="1:21" s="562" customFormat="1">
      <c r="A230" s="118"/>
      <c r="B230" s="91"/>
      <c r="C230" s="134"/>
      <c r="D230" s="91"/>
      <c r="E230" s="136"/>
      <c r="F230" s="136"/>
      <c r="G230" s="91"/>
      <c r="H230" s="91"/>
      <c r="I230" s="91"/>
      <c r="J230" s="91"/>
      <c r="K230" s="91"/>
      <c r="L230" s="91"/>
      <c r="M230" s="91"/>
      <c r="N230" s="91"/>
      <c r="O230" s="91"/>
      <c r="P230" s="91"/>
      <c r="Q230" s="91"/>
      <c r="R230" s="91"/>
      <c r="S230" s="91"/>
      <c r="T230" s="589"/>
      <c r="U230" s="122"/>
    </row>
    <row r="231" spans="1:21" ht="15.75" thickBot="1">
      <c r="A231" s="627" t="s">
        <v>743</v>
      </c>
      <c r="B231" s="144"/>
      <c r="C231" s="145"/>
      <c r="D231" s="144"/>
      <c r="E231" s="146"/>
      <c r="F231" s="146"/>
      <c r="G231" s="31"/>
      <c r="H231" s="31"/>
      <c r="I231" s="31"/>
      <c r="J231" s="31"/>
      <c r="K231" s="31"/>
      <c r="L231" s="31"/>
      <c r="M231" s="31"/>
      <c r="N231" s="31"/>
      <c r="O231" s="31"/>
      <c r="P231" s="31"/>
      <c r="Q231" s="31"/>
      <c r="R231" s="31"/>
      <c r="S231" s="31"/>
      <c r="T231" s="31"/>
      <c r="U231" s="147"/>
    </row>
    <row r="233" spans="1:21" ht="16.5" thickBot="1">
      <c r="A233" s="281" t="s">
        <v>79</v>
      </c>
      <c r="B233" s="562"/>
      <c r="C233" s="562"/>
      <c r="D233" s="562"/>
      <c r="E233" s="562"/>
      <c r="G233" s="562"/>
      <c r="H233" s="562"/>
      <c r="I233" s="562"/>
      <c r="J233" s="562"/>
      <c r="K233" s="562"/>
      <c r="L233" s="562"/>
      <c r="M233" s="562"/>
      <c r="N233" s="562"/>
      <c r="O233" s="562"/>
      <c r="P233" s="562"/>
      <c r="Q233" s="562"/>
      <c r="R233" s="562"/>
      <c r="S233" s="562"/>
      <c r="T233" s="562"/>
      <c r="U233" s="562"/>
    </row>
    <row r="234" spans="1:21" ht="32.25" thickBot="1">
      <c r="A234" s="104" t="s">
        <v>545</v>
      </c>
      <c r="B234" s="105" t="s">
        <v>546</v>
      </c>
      <c r="C234" s="105"/>
      <c r="D234" s="105"/>
      <c r="E234" s="107" t="s">
        <v>547</v>
      </c>
      <c r="F234" s="1088" t="s">
        <v>548</v>
      </c>
      <c r="G234" s="138"/>
      <c r="H234" s="138"/>
      <c r="I234" s="138"/>
      <c r="J234" s="138"/>
      <c r="K234" s="138"/>
      <c r="L234" s="138"/>
      <c r="M234" s="138"/>
      <c r="N234" s="138"/>
      <c r="O234" s="138"/>
      <c r="P234" s="138"/>
      <c r="Q234" s="138"/>
      <c r="R234" s="1088" t="s">
        <v>593</v>
      </c>
      <c r="S234" s="1088" t="s">
        <v>595</v>
      </c>
      <c r="T234" s="1088" t="s">
        <v>561</v>
      </c>
      <c r="U234" s="139"/>
    </row>
    <row r="235" spans="1:21">
      <c r="A235" s="118">
        <f>+A229+1</f>
        <v>83</v>
      </c>
      <c r="B235" s="91"/>
      <c r="C235" s="134" t="s">
        <v>744</v>
      </c>
      <c r="D235" s="91"/>
      <c r="E235" s="199" t="s">
        <v>745</v>
      </c>
      <c r="F235" s="793">
        <v>235</v>
      </c>
      <c r="G235" s="135" t="s">
        <v>587</v>
      </c>
      <c r="H235" s="91"/>
      <c r="I235" s="91"/>
      <c r="J235" s="91"/>
      <c r="K235" s="91"/>
      <c r="L235" s="91"/>
      <c r="M235" s="91"/>
      <c r="N235" s="91"/>
      <c r="O235" s="91"/>
      <c r="P235" s="91"/>
      <c r="Q235" s="91"/>
      <c r="R235" s="942">
        <v>-21318217</v>
      </c>
      <c r="S235" s="942">
        <v>-20611422</v>
      </c>
      <c r="T235" s="54">
        <f>+(S235+R235)/2</f>
        <v>-20964819.5</v>
      </c>
      <c r="U235" s="122"/>
    </row>
    <row r="236" spans="1:21" s="562" customFormat="1">
      <c r="A236" s="118">
        <f>+A235+1</f>
        <v>84</v>
      </c>
      <c r="B236" s="91"/>
      <c r="C236" s="134" t="s">
        <v>746</v>
      </c>
      <c r="D236" s="91"/>
      <c r="E236" s="199" t="s">
        <v>747</v>
      </c>
      <c r="F236" s="793">
        <v>252</v>
      </c>
      <c r="G236" s="91"/>
      <c r="H236" s="91"/>
      <c r="I236" s="91"/>
      <c r="J236" s="91"/>
      <c r="K236" s="91"/>
      <c r="L236" s="91"/>
      <c r="M236" s="91"/>
      <c r="N236" s="91"/>
      <c r="O236" s="91"/>
      <c r="P236" s="91"/>
      <c r="Q236" s="91"/>
      <c r="R236" s="942">
        <v>-56943</v>
      </c>
      <c r="S236" s="942">
        <v>0</v>
      </c>
      <c r="T236" s="54">
        <f>+(S236+R236)/2</f>
        <v>-28471.5</v>
      </c>
      <c r="U236" s="122"/>
    </row>
    <row r="237" spans="1:21" s="562" customFormat="1">
      <c r="A237" s="118">
        <f>+A236+1</f>
        <v>85</v>
      </c>
      <c r="B237" s="91"/>
      <c r="C237" s="134" t="s">
        <v>75</v>
      </c>
      <c r="D237" s="91"/>
      <c r="E237" s="199"/>
      <c r="F237" s="199"/>
      <c r="G237" s="91"/>
      <c r="H237" s="91"/>
      <c r="I237" s="91"/>
      <c r="J237" s="91"/>
      <c r="K237" s="91"/>
      <c r="L237" s="91"/>
      <c r="M237" s="91"/>
      <c r="N237" s="91"/>
      <c r="O237" s="91"/>
      <c r="P237" s="91"/>
      <c r="Q237" s="91"/>
      <c r="R237" s="54"/>
      <c r="S237" s="54"/>
      <c r="T237" s="54">
        <f>+T235+T236</f>
        <v>-20993291</v>
      </c>
      <c r="U237" s="122"/>
    </row>
    <row r="238" spans="1:21" ht="15.75" thickBot="1">
      <c r="A238" s="627"/>
      <c r="B238" s="144"/>
      <c r="C238" s="145"/>
      <c r="D238" s="144"/>
      <c r="E238" s="146"/>
      <c r="F238" s="146"/>
      <c r="G238" s="31"/>
      <c r="H238" s="31"/>
      <c r="I238" s="31"/>
      <c r="J238" s="31"/>
      <c r="K238" s="31"/>
      <c r="L238" s="31"/>
      <c r="M238" s="31"/>
      <c r="N238" s="31"/>
      <c r="O238" s="31"/>
      <c r="P238" s="31"/>
      <c r="Q238" s="31"/>
      <c r="R238" s="31"/>
      <c r="S238" s="31"/>
      <c r="T238" s="31"/>
      <c r="U238" s="147"/>
    </row>
    <row r="240" spans="1:21" ht="16.5" thickBot="1">
      <c r="A240" s="281" t="s">
        <v>63</v>
      </c>
      <c r="B240" s="562"/>
      <c r="C240" s="562"/>
      <c r="D240" s="562"/>
      <c r="E240" s="562"/>
      <c r="G240" s="562"/>
      <c r="H240" s="562"/>
      <c r="I240" s="562"/>
      <c r="J240" s="562"/>
      <c r="K240" s="562"/>
      <c r="L240" s="562"/>
      <c r="M240" s="562"/>
      <c r="N240" s="562"/>
      <c r="O240" s="562"/>
      <c r="P240" s="562"/>
      <c r="Q240" s="562"/>
      <c r="R240" s="562"/>
      <c r="S240" s="562"/>
      <c r="T240" s="562"/>
      <c r="U240" s="562"/>
    </row>
    <row r="241" spans="1:21" ht="32.25" thickBot="1">
      <c r="A241" s="104" t="s">
        <v>545</v>
      </c>
      <c r="B241" s="105" t="s">
        <v>546</v>
      </c>
      <c r="C241" s="105"/>
      <c r="D241" s="105"/>
      <c r="E241" s="107" t="s">
        <v>547</v>
      </c>
      <c r="F241" s="1088" t="s">
        <v>548</v>
      </c>
      <c r="G241" s="714"/>
      <c r="H241" s="138"/>
      <c r="I241" s="138"/>
      <c r="J241" s="138"/>
      <c r="K241" s="138"/>
      <c r="L241" s="138"/>
      <c r="M241" s="138"/>
      <c r="N241" s="138"/>
      <c r="O241" s="138"/>
      <c r="P241" s="138"/>
      <c r="Q241" s="138"/>
      <c r="R241" s="1088" t="s">
        <v>593</v>
      </c>
      <c r="S241" s="1088" t="s">
        <v>595</v>
      </c>
      <c r="T241" s="1088" t="s">
        <v>561</v>
      </c>
      <c r="U241" s="139"/>
    </row>
    <row r="242" spans="1:21">
      <c r="A242" s="118">
        <f>+A237+1</f>
        <v>86</v>
      </c>
      <c r="B242" s="91"/>
      <c r="C242" s="134" t="s">
        <v>748</v>
      </c>
      <c r="D242" s="91"/>
      <c r="E242" s="199" t="s">
        <v>749</v>
      </c>
      <c r="F242" s="192">
        <v>182.3</v>
      </c>
      <c r="G242" s="135" t="s">
        <v>565</v>
      </c>
      <c r="H242" s="91"/>
      <c r="I242" s="91"/>
      <c r="J242" s="91"/>
      <c r="K242" s="91"/>
      <c r="L242" s="91"/>
      <c r="M242" s="91"/>
      <c r="N242" s="91"/>
      <c r="O242" s="91"/>
      <c r="P242" s="91"/>
      <c r="Q242" s="91"/>
      <c r="R242" s="942">
        <v>78182807.123900011</v>
      </c>
      <c r="S242" s="942">
        <v>72131787.123900011</v>
      </c>
      <c r="T242" s="54">
        <f>+(S242+R242)/2</f>
        <v>75157297.123900011</v>
      </c>
      <c r="U242" s="122"/>
    </row>
    <row r="243" spans="1:21" ht="15.75" thickBot="1">
      <c r="A243" s="627"/>
      <c r="B243" s="144"/>
      <c r="C243" s="145"/>
      <c r="D243" s="144"/>
      <c r="E243" s="146"/>
      <c r="F243" s="146"/>
      <c r="G243" s="31"/>
      <c r="H243" s="31"/>
      <c r="I243" s="31"/>
      <c r="J243" s="31"/>
      <c r="K243" s="31"/>
      <c r="L243" s="31"/>
      <c r="M243" s="31"/>
      <c r="N243" s="31"/>
      <c r="O243" s="31"/>
      <c r="P243" s="31"/>
      <c r="Q243" s="31"/>
      <c r="R243" s="31"/>
      <c r="S243" s="31"/>
      <c r="T243" s="31"/>
      <c r="U243" s="147"/>
    </row>
    <row r="245" spans="1:21" ht="16.5" thickBot="1">
      <c r="A245" s="281" t="s">
        <v>81</v>
      </c>
      <c r="B245" s="562"/>
      <c r="C245" s="562"/>
      <c r="D245" s="562"/>
      <c r="E245" s="562"/>
      <c r="G245" s="562"/>
      <c r="H245" s="562"/>
      <c r="I245" s="562"/>
      <c r="J245" s="562"/>
      <c r="K245" s="562"/>
      <c r="L245" s="562"/>
      <c r="M245" s="562"/>
      <c r="N245" s="562"/>
      <c r="O245" s="562"/>
      <c r="P245" s="562"/>
      <c r="Q245" s="562"/>
      <c r="R245" s="562"/>
      <c r="S245" s="562"/>
      <c r="T245" s="562"/>
      <c r="U245" s="562"/>
    </row>
    <row r="246" spans="1:21" ht="32.25" thickBot="1">
      <c r="A246" s="104" t="s">
        <v>545</v>
      </c>
      <c r="B246" s="105" t="s">
        <v>546</v>
      </c>
      <c r="C246" s="105"/>
      <c r="D246" s="105"/>
      <c r="E246" s="107" t="s">
        <v>547</v>
      </c>
      <c r="F246" s="1088" t="s">
        <v>548</v>
      </c>
      <c r="G246" s="714"/>
      <c r="H246" s="138"/>
      <c r="I246" s="138"/>
      <c r="J246" s="138"/>
      <c r="K246" s="138"/>
      <c r="L246" s="138"/>
      <c r="M246" s="138"/>
      <c r="N246" s="138"/>
      <c r="O246" s="138"/>
      <c r="P246" s="138"/>
      <c r="Q246" s="138"/>
      <c r="R246" s="1088" t="s">
        <v>593</v>
      </c>
      <c r="S246" s="1088" t="s">
        <v>595</v>
      </c>
      <c r="T246" s="1088" t="s">
        <v>561</v>
      </c>
      <c r="U246" s="139"/>
    </row>
    <row r="247" spans="1:21">
      <c r="A247" s="118">
        <f>+A242+1</f>
        <v>87</v>
      </c>
      <c r="B247" s="91"/>
      <c r="C247" s="134" t="s">
        <v>748</v>
      </c>
      <c r="D247" s="91"/>
      <c r="E247" s="199" t="s">
        <v>750</v>
      </c>
      <c r="F247" s="793">
        <v>254</v>
      </c>
      <c r="G247" s="135" t="s">
        <v>565</v>
      </c>
      <c r="H247" s="91"/>
      <c r="I247" s="91"/>
      <c r="J247" s="91"/>
      <c r="K247" s="91"/>
      <c r="L247" s="91"/>
      <c r="M247" s="91"/>
      <c r="N247" s="91"/>
      <c r="O247" s="91"/>
      <c r="P247" s="91"/>
      <c r="Q247" s="91"/>
      <c r="R247" s="942">
        <v>-4052102.12</v>
      </c>
      <c r="S247" s="942">
        <v>-3548628.24</v>
      </c>
      <c r="T247" s="54">
        <f>+(S247+R247)/2</f>
        <v>-3800365.18</v>
      </c>
      <c r="U247" s="122"/>
    </row>
    <row r="248" spans="1:21" ht="15.75" thickBot="1">
      <c r="A248" s="627"/>
      <c r="B248" s="144"/>
      <c r="C248" s="145"/>
      <c r="D248" s="144"/>
      <c r="E248" s="146"/>
      <c r="F248" s="146"/>
      <c r="G248" s="31"/>
      <c r="H248" s="31"/>
      <c r="I248" s="31"/>
      <c r="J248" s="31"/>
      <c r="K248" s="31"/>
      <c r="L248" s="31"/>
      <c r="M248" s="31"/>
      <c r="N248" s="31"/>
      <c r="O248" s="31"/>
      <c r="P248" s="31"/>
      <c r="Q248" s="31"/>
      <c r="R248" s="31"/>
      <c r="S248" s="31"/>
      <c r="T248" s="31"/>
      <c r="U248" s="147"/>
    </row>
    <row r="250" spans="1:21" ht="16.5" thickBot="1">
      <c r="A250" s="281" t="s">
        <v>751</v>
      </c>
      <c r="B250" s="562"/>
      <c r="C250" s="562"/>
      <c r="D250" s="562"/>
      <c r="E250" s="562"/>
      <c r="G250" s="562"/>
      <c r="H250" s="562"/>
      <c r="I250" s="562"/>
      <c r="J250" s="562"/>
      <c r="K250" s="562"/>
      <c r="L250" s="562"/>
      <c r="M250" s="562"/>
      <c r="N250" s="562"/>
      <c r="O250" s="562"/>
      <c r="P250" s="562"/>
      <c r="Q250" s="562"/>
      <c r="R250" s="562"/>
      <c r="S250" s="562"/>
      <c r="T250" s="562"/>
      <c r="U250" s="562"/>
    </row>
    <row r="251" spans="1:21" ht="32.25" thickBot="1">
      <c r="A251" s="104" t="s">
        <v>545</v>
      </c>
      <c r="B251" s="105" t="s">
        <v>546</v>
      </c>
      <c r="C251" s="105"/>
      <c r="D251" s="105"/>
      <c r="E251" s="107" t="s">
        <v>547</v>
      </c>
      <c r="F251" s="1088" t="s">
        <v>548</v>
      </c>
      <c r="G251" s="714"/>
      <c r="H251" s="138"/>
      <c r="I251" s="138"/>
      <c r="J251" s="138"/>
      <c r="K251" s="138"/>
      <c r="L251" s="138"/>
      <c r="M251" s="138"/>
      <c r="N251" s="138"/>
      <c r="O251" s="138"/>
      <c r="P251" s="138"/>
      <c r="Q251" s="138"/>
      <c r="R251" s="1088" t="s">
        <v>593</v>
      </c>
      <c r="S251" s="1088" t="s">
        <v>595</v>
      </c>
      <c r="T251" s="1088" t="s">
        <v>561</v>
      </c>
      <c r="U251" s="139"/>
    </row>
    <row r="252" spans="1:21">
      <c r="A252" s="118">
        <f>+A247+1</f>
        <v>88</v>
      </c>
      <c r="B252" s="91"/>
      <c r="C252" s="134" t="s">
        <v>752</v>
      </c>
      <c r="D252" s="91"/>
      <c r="E252" s="562" t="s">
        <v>753</v>
      </c>
      <c r="F252" s="793">
        <v>242</v>
      </c>
      <c r="G252" s="135" t="s">
        <v>587</v>
      </c>
      <c r="H252" s="91"/>
      <c r="I252" s="91"/>
      <c r="J252" s="91"/>
      <c r="K252" s="91"/>
      <c r="L252" s="91"/>
      <c r="M252" s="91"/>
      <c r="N252" s="91"/>
      <c r="O252" s="91"/>
      <c r="P252" s="91"/>
      <c r="Q252" s="91"/>
      <c r="R252" s="54">
        <f>+'10 - Misc. Liabilities'!N44</f>
        <v>-1502793.6331861606</v>
      </c>
      <c r="S252" s="54">
        <f>+'10 - Misc. Liabilities'!N23</f>
        <v>-1538654.1919927557</v>
      </c>
      <c r="T252" s="54">
        <f>+(S252+R252)/2</f>
        <v>-1520723.9125894583</v>
      </c>
      <c r="U252" s="122"/>
    </row>
    <row r="253" spans="1:21" ht="15.75" thickBot="1">
      <c r="A253" s="183"/>
      <c r="B253" s="144"/>
      <c r="C253" s="144"/>
      <c r="D253" s="144"/>
      <c r="E253" s="144"/>
      <c r="F253" s="144"/>
      <c r="G253" s="144"/>
      <c r="H253" s="144"/>
      <c r="I253" s="144"/>
      <c r="J253" s="144"/>
      <c r="K253" s="144"/>
      <c r="L253" s="144"/>
      <c r="M253" s="144"/>
      <c r="N253" s="144"/>
      <c r="O253" s="144"/>
      <c r="P253" s="144"/>
      <c r="Q253" s="144"/>
      <c r="R253" s="144"/>
      <c r="S253" s="144"/>
      <c r="T253" s="144"/>
      <c r="U253" s="147"/>
    </row>
    <row r="254" spans="1:21" ht="15.75" thickBot="1">
      <c r="A254" s="562"/>
      <c r="B254" s="562"/>
      <c r="C254" s="562"/>
      <c r="D254" s="562"/>
      <c r="E254" s="562"/>
      <c r="G254" s="562"/>
      <c r="H254" s="562"/>
      <c r="I254" s="562"/>
      <c r="J254" s="562"/>
      <c r="K254" s="562"/>
      <c r="L254" s="562"/>
      <c r="M254" s="562"/>
      <c r="N254" s="562"/>
      <c r="O254" s="562"/>
      <c r="P254" s="562"/>
      <c r="Q254" s="562"/>
      <c r="R254" s="562"/>
      <c r="S254" s="562"/>
      <c r="T254" s="562"/>
      <c r="U254" s="562"/>
    </row>
    <row r="255" spans="1:21" ht="16.5" thickBot="1">
      <c r="A255" s="281" t="s">
        <v>754</v>
      </c>
      <c r="B255" s="562"/>
      <c r="C255" s="562"/>
      <c r="D255" s="562"/>
      <c r="E255" s="562"/>
      <c r="G255" s="275" t="s">
        <v>544</v>
      </c>
      <c r="H255" s="1135" t="s">
        <v>755</v>
      </c>
      <c r="I255" s="1136"/>
      <c r="J255" s="1136"/>
      <c r="K255" s="1136"/>
      <c r="L255" s="1136"/>
      <c r="M255" s="1136"/>
      <c r="N255" s="1136"/>
      <c r="O255" s="1136"/>
      <c r="P255" s="1136"/>
      <c r="Q255" s="1136"/>
      <c r="R255" s="1136"/>
      <c r="S255" s="1137"/>
      <c r="T255" s="91"/>
      <c r="U255" s="91"/>
    </row>
    <row r="256" spans="1:21" ht="32.25" thickBot="1">
      <c r="A256" s="104" t="s">
        <v>545</v>
      </c>
      <c r="B256" s="105" t="s">
        <v>546</v>
      </c>
      <c r="C256" s="105"/>
      <c r="D256" s="105"/>
      <c r="E256" s="107" t="s">
        <v>547</v>
      </c>
      <c r="F256" s="1088" t="s">
        <v>548</v>
      </c>
      <c r="G256" s="803" t="s">
        <v>549</v>
      </c>
      <c r="H256" s="106" t="s">
        <v>550</v>
      </c>
      <c r="I256" s="106" t="s">
        <v>551</v>
      </c>
      <c r="J256" s="106" t="s">
        <v>552</v>
      </c>
      <c r="K256" s="106" t="s">
        <v>553</v>
      </c>
      <c r="L256" s="106" t="s">
        <v>403</v>
      </c>
      <c r="M256" s="106" t="s">
        <v>554</v>
      </c>
      <c r="N256" s="106" t="s">
        <v>555</v>
      </c>
      <c r="O256" s="106" t="s">
        <v>556</v>
      </c>
      <c r="P256" s="106" t="s">
        <v>557</v>
      </c>
      <c r="Q256" s="106" t="s">
        <v>558</v>
      </c>
      <c r="R256" s="106" t="s">
        <v>559</v>
      </c>
      <c r="S256" s="106" t="s">
        <v>560</v>
      </c>
      <c r="T256" s="1089" t="s">
        <v>561</v>
      </c>
      <c r="U256" s="1086"/>
    </row>
    <row r="257" spans="1:21">
      <c r="A257" s="118"/>
      <c r="B257" s="91" t="str">
        <f>+'7A - Project ROE Adder'!G8</f>
        <v>Name</v>
      </c>
      <c r="C257" s="134"/>
      <c r="D257" s="91"/>
      <c r="E257" s="562"/>
      <c r="F257" s="793"/>
      <c r="G257" s="562"/>
      <c r="H257" s="562"/>
      <c r="I257" s="562"/>
      <c r="J257" s="562"/>
      <c r="K257" s="562"/>
      <c r="L257" s="562"/>
      <c r="M257" s="562"/>
      <c r="N257" s="562"/>
      <c r="O257" s="562"/>
      <c r="P257" s="562"/>
      <c r="Q257" s="562"/>
      <c r="R257" s="562"/>
      <c r="S257" s="562"/>
      <c r="T257" s="849"/>
      <c r="U257" s="91"/>
    </row>
    <row r="258" spans="1:21" s="562" customFormat="1">
      <c r="A258" s="118">
        <f>+A252+1</f>
        <v>89</v>
      </c>
      <c r="B258" s="91" t="s">
        <v>756</v>
      </c>
      <c r="C258" s="134"/>
      <c r="D258" s="91"/>
      <c r="E258" s="262">
        <v>206</v>
      </c>
      <c r="F258" s="793"/>
      <c r="G258" s="944">
        <v>0</v>
      </c>
      <c r="H258" s="945">
        <v>0</v>
      </c>
      <c r="I258" s="945">
        <v>0</v>
      </c>
      <c r="J258" s="945">
        <v>0</v>
      </c>
      <c r="K258" s="945">
        <v>0</v>
      </c>
      <c r="L258" s="945">
        <v>0</v>
      </c>
      <c r="M258" s="945">
        <v>0</v>
      </c>
      <c r="N258" s="945">
        <v>0</v>
      </c>
      <c r="O258" s="945">
        <v>0</v>
      </c>
      <c r="P258" s="945">
        <v>0</v>
      </c>
      <c r="Q258" s="945">
        <v>0</v>
      </c>
      <c r="R258" s="942">
        <v>0</v>
      </c>
      <c r="S258" s="942">
        <v>0</v>
      </c>
      <c r="T258" s="946">
        <f>+SUM(G258:S258)/13</f>
        <v>0</v>
      </c>
      <c r="U258" s="91"/>
    </row>
    <row r="259" spans="1:21" s="562" customFormat="1">
      <c r="A259" s="118">
        <f>+A258+1</f>
        <v>90</v>
      </c>
      <c r="B259" s="91" t="s">
        <v>37</v>
      </c>
      <c r="C259" s="134"/>
      <c r="D259" s="91"/>
      <c r="E259" s="262">
        <v>219</v>
      </c>
      <c r="F259" s="793"/>
      <c r="G259" s="944">
        <v>0</v>
      </c>
      <c r="H259" s="945">
        <v>0</v>
      </c>
      <c r="I259" s="945">
        <v>0</v>
      </c>
      <c r="J259" s="945">
        <v>0</v>
      </c>
      <c r="K259" s="945">
        <v>0</v>
      </c>
      <c r="L259" s="945">
        <v>0</v>
      </c>
      <c r="M259" s="945">
        <v>0</v>
      </c>
      <c r="N259" s="945">
        <v>0</v>
      </c>
      <c r="O259" s="945">
        <v>0</v>
      </c>
      <c r="P259" s="945">
        <v>0</v>
      </c>
      <c r="Q259" s="945">
        <v>0</v>
      </c>
      <c r="R259" s="942">
        <v>0</v>
      </c>
      <c r="S259" s="942">
        <v>0</v>
      </c>
      <c r="T259" s="946">
        <f t="shared" ref="T259" si="11">+SUM(G259:S259)/13</f>
        <v>0</v>
      </c>
      <c r="U259" s="91"/>
    </row>
    <row r="260" spans="1:21" s="562" customFormat="1">
      <c r="A260" s="118">
        <f>+A259+1</f>
        <v>91</v>
      </c>
      <c r="B260" s="91" t="s">
        <v>47</v>
      </c>
      <c r="C260" s="134"/>
      <c r="D260" s="91"/>
      <c r="E260" s="262">
        <v>274</v>
      </c>
      <c r="F260" s="793"/>
      <c r="G260" s="944">
        <v>0</v>
      </c>
      <c r="H260" s="117"/>
      <c r="I260" s="117"/>
      <c r="J260" s="117"/>
      <c r="K260" s="117"/>
      <c r="L260" s="117"/>
      <c r="M260" s="117"/>
      <c r="N260" s="117"/>
      <c r="O260" s="117"/>
      <c r="P260" s="117"/>
      <c r="Q260" s="117"/>
      <c r="R260" s="54"/>
      <c r="S260" s="942">
        <v>0</v>
      </c>
      <c r="T260" s="946">
        <f>+(G260+S260)/2</f>
        <v>0</v>
      </c>
      <c r="U260" s="91"/>
    </row>
    <row r="261" spans="1:21" s="562" customFormat="1">
      <c r="A261" s="118"/>
      <c r="B261" s="91"/>
      <c r="C261" s="134"/>
      <c r="D261" s="91"/>
      <c r="E261" s="262"/>
      <c r="F261" s="793"/>
      <c r="G261" s="162"/>
      <c r="H261" s="762"/>
      <c r="I261" s="762"/>
      <c r="J261" s="762"/>
      <c r="K261" s="762"/>
      <c r="L261" s="762"/>
      <c r="M261" s="762"/>
      <c r="N261" s="762"/>
      <c r="O261" s="762"/>
      <c r="P261" s="762"/>
      <c r="Q261" s="762"/>
      <c r="R261" s="54"/>
      <c r="S261" s="54"/>
      <c r="T261" s="946"/>
      <c r="U261" s="91"/>
    </row>
    <row r="262" spans="1:21" s="562" customFormat="1">
      <c r="A262" s="118"/>
      <c r="B262" s="91" t="str">
        <f>+'7A - Project ROE Adder'!I8</f>
        <v>Name</v>
      </c>
      <c r="C262" s="134"/>
      <c r="D262" s="91"/>
      <c r="E262" s="262"/>
      <c r="F262" s="793"/>
      <c r="G262" s="546"/>
      <c r="H262" s="546"/>
      <c r="I262" s="546"/>
      <c r="J262" s="546"/>
      <c r="K262" s="546"/>
      <c r="L262" s="546"/>
      <c r="M262" s="546"/>
      <c r="N262" s="546"/>
      <c r="O262" s="546"/>
      <c r="P262" s="546"/>
      <c r="Q262" s="546"/>
      <c r="R262" s="546"/>
      <c r="S262" s="546"/>
      <c r="T262" s="947"/>
      <c r="U262" s="91"/>
    </row>
    <row r="263" spans="1:21">
      <c r="A263" s="118">
        <f>+A260+1</f>
        <v>92</v>
      </c>
      <c r="B263" s="91" t="s">
        <v>756</v>
      </c>
      <c r="C263" s="134"/>
      <c r="D263" s="91"/>
      <c r="E263" s="262">
        <v>206</v>
      </c>
      <c r="F263" s="793"/>
      <c r="G263" s="944">
        <v>0</v>
      </c>
      <c r="H263" s="945">
        <v>0</v>
      </c>
      <c r="I263" s="945">
        <v>0</v>
      </c>
      <c r="J263" s="945">
        <v>0</v>
      </c>
      <c r="K263" s="945">
        <v>0</v>
      </c>
      <c r="L263" s="945">
        <v>0</v>
      </c>
      <c r="M263" s="945">
        <v>0</v>
      </c>
      <c r="N263" s="945">
        <v>0</v>
      </c>
      <c r="O263" s="945">
        <v>0</v>
      </c>
      <c r="P263" s="945">
        <v>0</v>
      </c>
      <c r="Q263" s="945">
        <v>0</v>
      </c>
      <c r="R263" s="942">
        <v>0</v>
      </c>
      <c r="S263" s="942">
        <v>0</v>
      </c>
      <c r="T263" s="946">
        <f>+SUM(G263:S263)/13</f>
        <v>0</v>
      </c>
      <c r="U263" s="91"/>
    </row>
    <row r="264" spans="1:21">
      <c r="A264" s="118">
        <f>+A263+1</f>
        <v>93</v>
      </c>
      <c r="B264" s="91" t="s">
        <v>37</v>
      </c>
      <c r="C264" s="134"/>
      <c r="D264" s="91"/>
      <c r="E264" s="262">
        <v>219</v>
      </c>
      <c r="F264" s="793"/>
      <c r="G264" s="944">
        <v>0</v>
      </c>
      <c r="H264" s="945">
        <v>0</v>
      </c>
      <c r="I264" s="945">
        <v>0</v>
      </c>
      <c r="J264" s="945">
        <v>0</v>
      </c>
      <c r="K264" s="945">
        <v>0</v>
      </c>
      <c r="L264" s="945">
        <v>0</v>
      </c>
      <c r="M264" s="945">
        <v>0</v>
      </c>
      <c r="N264" s="945">
        <v>0</v>
      </c>
      <c r="O264" s="945">
        <v>0</v>
      </c>
      <c r="P264" s="945">
        <v>0</v>
      </c>
      <c r="Q264" s="945">
        <v>0</v>
      </c>
      <c r="R264" s="942">
        <v>0</v>
      </c>
      <c r="S264" s="942">
        <v>0</v>
      </c>
      <c r="T264" s="946">
        <f t="shared" ref="T264" si="12">+SUM(G264:S264)/13</f>
        <v>0</v>
      </c>
      <c r="U264" s="562"/>
    </row>
    <row r="265" spans="1:21">
      <c r="A265" s="118">
        <f>+A264+1</f>
        <v>94</v>
      </c>
      <c r="B265" s="91" t="s">
        <v>47</v>
      </c>
      <c r="C265" s="134"/>
      <c r="D265" s="91"/>
      <c r="E265" s="262">
        <v>274</v>
      </c>
      <c r="F265" s="793"/>
      <c r="G265" s="944">
        <v>0</v>
      </c>
      <c r="H265" s="117"/>
      <c r="I265" s="117"/>
      <c r="J265" s="117"/>
      <c r="K265" s="117"/>
      <c r="L265" s="117"/>
      <c r="M265" s="117"/>
      <c r="N265" s="117"/>
      <c r="O265" s="117"/>
      <c r="P265" s="117"/>
      <c r="Q265" s="117"/>
      <c r="R265" s="54"/>
      <c r="S265" s="942">
        <v>0</v>
      </c>
      <c r="T265" s="946">
        <f>+(G265+S265)/2</f>
        <v>0</v>
      </c>
      <c r="U265" s="562"/>
    </row>
    <row r="266" spans="1:21">
      <c r="A266" s="562"/>
      <c r="B266" s="562"/>
      <c r="C266" s="562"/>
      <c r="D266" s="562"/>
      <c r="E266" s="262"/>
      <c r="G266" s="546"/>
      <c r="H266" s="546"/>
      <c r="I266" s="546"/>
      <c r="J266" s="546"/>
      <c r="K266" s="546"/>
      <c r="L266" s="546"/>
      <c r="M266" s="546"/>
      <c r="N266" s="546"/>
      <c r="O266" s="546"/>
      <c r="P266" s="546"/>
      <c r="Q266" s="546"/>
      <c r="R266" s="546"/>
      <c r="S266" s="546"/>
      <c r="T266" s="947"/>
      <c r="U266" s="562"/>
    </row>
    <row r="267" spans="1:21">
      <c r="A267" s="118"/>
      <c r="B267" s="91" t="str">
        <f>+'7A - Project ROE Adder'!K8</f>
        <v>Name</v>
      </c>
      <c r="C267" s="134"/>
      <c r="D267" s="91"/>
      <c r="E267" s="262"/>
      <c r="F267" s="793"/>
      <c r="G267" s="546"/>
      <c r="H267" s="546"/>
      <c r="I267" s="546"/>
      <c r="J267" s="546"/>
      <c r="K267" s="546"/>
      <c r="L267" s="546"/>
      <c r="M267" s="546"/>
      <c r="N267" s="546"/>
      <c r="O267" s="546"/>
      <c r="P267" s="546"/>
      <c r="Q267" s="546"/>
      <c r="R267" s="546"/>
      <c r="S267" s="546"/>
      <c r="T267" s="947"/>
      <c r="U267" s="562"/>
    </row>
    <row r="268" spans="1:21">
      <c r="A268" s="118">
        <f>+A265+1</f>
        <v>95</v>
      </c>
      <c r="B268" s="91" t="s">
        <v>756</v>
      </c>
      <c r="C268" s="134"/>
      <c r="D268" s="91"/>
      <c r="E268" s="262">
        <v>206</v>
      </c>
      <c r="F268" s="793"/>
      <c r="G268" s="944">
        <v>0</v>
      </c>
      <c r="H268" s="945">
        <v>0</v>
      </c>
      <c r="I268" s="945">
        <v>0</v>
      </c>
      <c r="J268" s="945">
        <v>0</v>
      </c>
      <c r="K268" s="945">
        <v>0</v>
      </c>
      <c r="L268" s="945">
        <v>0</v>
      </c>
      <c r="M268" s="945">
        <v>0</v>
      </c>
      <c r="N268" s="945">
        <v>0</v>
      </c>
      <c r="O268" s="945">
        <v>0</v>
      </c>
      <c r="P268" s="945">
        <v>0</v>
      </c>
      <c r="Q268" s="945">
        <v>0</v>
      </c>
      <c r="R268" s="942">
        <v>0</v>
      </c>
      <c r="S268" s="942">
        <v>0</v>
      </c>
      <c r="T268" s="946">
        <f>+SUM(G268:S268)/13</f>
        <v>0</v>
      </c>
      <c r="U268" s="562"/>
    </row>
    <row r="269" spans="1:21">
      <c r="A269" s="118">
        <f>+A268+1</f>
        <v>96</v>
      </c>
      <c r="B269" s="91" t="s">
        <v>37</v>
      </c>
      <c r="C269" s="134"/>
      <c r="D269" s="91"/>
      <c r="E269" s="262">
        <v>219</v>
      </c>
      <c r="F269" s="793"/>
      <c r="G269" s="944">
        <v>0</v>
      </c>
      <c r="H269" s="945">
        <v>0</v>
      </c>
      <c r="I269" s="945">
        <v>0</v>
      </c>
      <c r="J269" s="945">
        <v>0</v>
      </c>
      <c r="K269" s="945">
        <v>0</v>
      </c>
      <c r="L269" s="945">
        <v>0</v>
      </c>
      <c r="M269" s="945">
        <v>0</v>
      </c>
      <c r="N269" s="945">
        <v>0</v>
      </c>
      <c r="O269" s="945">
        <v>0</v>
      </c>
      <c r="P269" s="945">
        <v>0</v>
      </c>
      <c r="Q269" s="945">
        <v>0</v>
      </c>
      <c r="R269" s="942">
        <v>0</v>
      </c>
      <c r="S269" s="942">
        <v>0</v>
      </c>
      <c r="T269" s="946">
        <f t="shared" ref="T269" si="13">+SUM(G269:S269)/13</f>
        <v>0</v>
      </c>
      <c r="U269" s="562"/>
    </row>
    <row r="270" spans="1:21">
      <c r="A270" s="118">
        <f>+A269+1</f>
        <v>97</v>
      </c>
      <c r="B270" s="91" t="s">
        <v>47</v>
      </c>
      <c r="C270" s="134"/>
      <c r="D270" s="91"/>
      <c r="E270" s="262">
        <v>274</v>
      </c>
      <c r="F270" s="793"/>
      <c r="G270" s="944">
        <v>0</v>
      </c>
      <c r="H270" s="117"/>
      <c r="I270" s="117"/>
      <c r="J270" s="117"/>
      <c r="K270" s="117"/>
      <c r="L270" s="117"/>
      <c r="M270" s="117"/>
      <c r="N270" s="117"/>
      <c r="O270" s="117"/>
      <c r="P270" s="117"/>
      <c r="Q270" s="117"/>
      <c r="R270" s="54"/>
      <c r="S270" s="942">
        <v>0</v>
      </c>
      <c r="T270" s="946">
        <f>+(G270+S270)/2</f>
        <v>0</v>
      </c>
      <c r="U270" s="562"/>
    </row>
    <row r="271" spans="1:21">
      <c r="A271" s="562"/>
      <c r="B271" s="562"/>
      <c r="C271" s="562"/>
      <c r="D271" s="562"/>
      <c r="E271" s="262"/>
      <c r="G271" s="546"/>
      <c r="H271" s="546"/>
      <c r="I271" s="546"/>
      <c r="J271" s="546"/>
      <c r="K271" s="546"/>
      <c r="L271" s="546"/>
      <c r="M271" s="546"/>
      <c r="N271" s="546"/>
      <c r="O271" s="546"/>
      <c r="P271" s="546"/>
      <c r="Q271" s="546"/>
      <c r="R271" s="546"/>
      <c r="S271" s="546"/>
      <c r="T271" s="947"/>
      <c r="U271" s="562"/>
    </row>
    <row r="272" spans="1:21">
      <c r="A272" s="118"/>
      <c r="B272" s="91" t="str">
        <f>+'7A - Project ROE Adder'!M8</f>
        <v>Name</v>
      </c>
      <c r="C272" s="134"/>
      <c r="D272" s="91"/>
      <c r="E272" s="262"/>
      <c r="F272" s="793"/>
      <c r="G272" s="546"/>
      <c r="H272" s="546"/>
      <c r="I272" s="546"/>
      <c r="J272" s="546"/>
      <c r="K272" s="546"/>
      <c r="L272" s="546"/>
      <c r="M272" s="546"/>
      <c r="N272" s="546"/>
      <c r="O272" s="546"/>
      <c r="P272" s="546"/>
      <c r="Q272" s="546"/>
      <c r="R272" s="546"/>
      <c r="S272" s="546"/>
      <c r="T272" s="947"/>
      <c r="U272" s="562"/>
    </row>
    <row r="273" spans="1:20">
      <c r="A273" s="118">
        <f>+A270+1</f>
        <v>98</v>
      </c>
      <c r="B273" s="91" t="s">
        <v>756</v>
      </c>
      <c r="C273" s="134"/>
      <c r="D273" s="91"/>
      <c r="E273" s="262">
        <v>206</v>
      </c>
      <c r="F273" s="793"/>
      <c r="G273" s="944">
        <v>0</v>
      </c>
      <c r="H273" s="945">
        <v>0</v>
      </c>
      <c r="I273" s="945">
        <v>0</v>
      </c>
      <c r="J273" s="945">
        <v>0</v>
      </c>
      <c r="K273" s="945">
        <v>0</v>
      </c>
      <c r="L273" s="945">
        <v>0</v>
      </c>
      <c r="M273" s="945">
        <v>0</v>
      </c>
      <c r="N273" s="945">
        <v>0</v>
      </c>
      <c r="O273" s="945">
        <v>0</v>
      </c>
      <c r="P273" s="945">
        <v>0</v>
      </c>
      <c r="Q273" s="945">
        <v>0</v>
      </c>
      <c r="R273" s="942">
        <v>0</v>
      </c>
      <c r="S273" s="942">
        <v>0</v>
      </c>
      <c r="T273" s="946">
        <f>+SUM(G273:S273)/13</f>
        <v>0</v>
      </c>
    </row>
    <row r="274" spans="1:20">
      <c r="A274" s="118">
        <f>+A273+1</f>
        <v>99</v>
      </c>
      <c r="B274" s="91" t="s">
        <v>37</v>
      </c>
      <c r="C274" s="134"/>
      <c r="D274" s="91"/>
      <c r="E274" s="262">
        <v>219</v>
      </c>
      <c r="F274" s="793"/>
      <c r="G274" s="944">
        <v>0</v>
      </c>
      <c r="H274" s="945">
        <v>0</v>
      </c>
      <c r="I274" s="945">
        <v>0</v>
      </c>
      <c r="J274" s="945">
        <v>0</v>
      </c>
      <c r="K274" s="945">
        <v>0</v>
      </c>
      <c r="L274" s="945">
        <v>0</v>
      </c>
      <c r="M274" s="945">
        <v>0</v>
      </c>
      <c r="N274" s="945">
        <v>0</v>
      </c>
      <c r="O274" s="945">
        <v>0</v>
      </c>
      <c r="P274" s="945">
        <v>0</v>
      </c>
      <c r="Q274" s="945">
        <v>0</v>
      </c>
      <c r="R274" s="942">
        <v>0</v>
      </c>
      <c r="S274" s="942">
        <v>0</v>
      </c>
      <c r="T274" s="946">
        <f t="shared" ref="T274" si="14">+SUM(G274:S274)/13</f>
        <v>0</v>
      </c>
    </row>
    <row r="275" spans="1:20">
      <c r="A275" s="118">
        <f>+A274+1</f>
        <v>100</v>
      </c>
      <c r="B275" s="91" t="s">
        <v>47</v>
      </c>
      <c r="C275" s="134"/>
      <c r="D275" s="91"/>
      <c r="E275" s="262">
        <v>274</v>
      </c>
      <c r="F275" s="793"/>
      <c r="G275" s="944">
        <v>0</v>
      </c>
      <c r="H275" s="117"/>
      <c r="I275" s="117"/>
      <c r="J275" s="117"/>
      <c r="K275" s="117"/>
      <c r="L275" s="117"/>
      <c r="M275" s="117"/>
      <c r="N275" s="117"/>
      <c r="O275" s="117"/>
      <c r="P275" s="117"/>
      <c r="Q275" s="117"/>
      <c r="R275" s="54"/>
      <c r="S275" s="942">
        <v>0</v>
      </c>
      <c r="T275" s="946">
        <f>+(G275+S275)/2</f>
        <v>0</v>
      </c>
    </row>
    <row r="276" spans="1:20">
      <c r="A276" s="562"/>
      <c r="B276" s="562"/>
      <c r="C276" s="562"/>
      <c r="D276" s="562"/>
      <c r="E276" s="262"/>
      <c r="G276" s="546"/>
      <c r="H276" s="546"/>
      <c r="I276" s="546"/>
      <c r="J276" s="546"/>
      <c r="K276" s="546"/>
      <c r="L276" s="546"/>
      <c r="M276" s="546"/>
      <c r="N276" s="546"/>
      <c r="O276" s="546"/>
      <c r="P276" s="546"/>
      <c r="Q276" s="546"/>
      <c r="R276" s="546"/>
      <c r="S276" s="546"/>
      <c r="T276" s="947"/>
    </row>
    <row r="277" spans="1:20">
      <c r="A277" s="118"/>
      <c r="B277" s="91" t="str">
        <f>+'7A - Project ROE Adder'!O8</f>
        <v>Name</v>
      </c>
      <c r="C277" s="134"/>
      <c r="D277" s="91"/>
      <c r="E277" s="262"/>
      <c r="F277" s="793"/>
      <c r="G277" s="546"/>
      <c r="H277" s="546"/>
      <c r="I277" s="546"/>
      <c r="J277" s="546"/>
      <c r="K277" s="546"/>
      <c r="L277" s="546"/>
      <c r="M277" s="546"/>
      <c r="N277" s="546"/>
      <c r="O277" s="546"/>
      <c r="P277" s="546"/>
      <c r="Q277" s="546"/>
      <c r="R277" s="546"/>
      <c r="S277" s="546"/>
      <c r="T277" s="947"/>
    </row>
    <row r="278" spans="1:20">
      <c r="A278" s="118">
        <f>+A275+1</f>
        <v>101</v>
      </c>
      <c r="B278" s="91" t="s">
        <v>756</v>
      </c>
      <c r="C278" s="134"/>
      <c r="D278" s="91"/>
      <c r="E278" s="262">
        <v>206</v>
      </c>
      <c r="F278" s="793"/>
      <c r="G278" s="944">
        <v>0</v>
      </c>
      <c r="H278" s="945">
        <v>0</v>
      </c>
      <c r="I278" s="945">
        <v>0</v>
      </c>
      <c r="J278" s="945">
        <v>0</v>
      </c>
      <c r="K278" s="945">
        <v>0</v>
      </c>
      <c r="L278" s="945">
        <v>0</v>
      </c>
      <c r="M278" s="945">
        <v>0</v>
      </c>
      <c r="N278" s="945">
        <v>0</v>
      </c>
      <c r="O278" s="945">
        <v>0</v>
      </c>
      <c r="P278" s="945">
        <v>0</v>
      </c>
      <c r="Q278" s="945">
        <v>0</v>
      </c>
      <c r="R278" s="942">
        <v>0</v>
      </c>
      <c r="S278" s="942">
        <v>0</v>
      </c>
      <c r="T278" s="946">
        <f>+SUM(G278:S278)/13</f>
        <v>0</v>
      </c>
    </row>
    <row r="279" spans="1:20">
      <c r="A279" s="118">
        <f>+A278+1</f>
        <v>102</v>
      </c>
      <c r="B279" s="91" t="s">
        <v>37</v>
      </c>
      <c r="C279" s="134"/>
      <c r="D279" s="91"/>
      <c r="E279" s="262">
        <v>219</v>
      </c>
      <c r="F279" s="793"/>
      <c r="G279" s="944">
        <v>0</v>
      </c>
      <c r="H279" s="945">
        <v>0</v>
      </c>
      <c r="I279" s="945">
        <v>0</v>
      </c>
      <c r="J279" s="945">
        <v>0</v>
      </c>
      <c r="K279" s="945">
        <v>0</v>
      </c>
      <c r="L279" s="945">
        <v>0</v>
      </c>
      <c r="M279" s="945">
        <v>0</v>
      </c>
      <c r="N279" s="945">
        <v>0</v>
      </c>
      <c r="O279" s="945">
        <v>0</v>
      </c>
      <c r="P279" s="945">
        <v>0</v>
      </c>
      <c r="Q279" s="945">
        <v>0</v>
      </c>
      <c r="R279" s="942">
        <v>0</v>
      </c>
      <c r="S279" s="942">
        <v>0</v>
      </c>
      <c r="T279" s="946">
        <f t="shared" ref="T279" si="15">+SUM(G279:S279)/13</f>
        <v>0</v>
      </c>
    </row>
    <row r="280" spans="1:20">
      <c r="A280" s="118">
        <f>+A279+1</f>
        <v>103</v>
      </c>
      <c r="B280" s="91" t="s">
        <v>47</v>
      </c>
      <c r="C280" s="134"/>
      <c r="D280" s="91"/>
      <c r="E280" s="262">
        <v>274</v>
      </c>
      <c r="F280" s="793"/>
      <c r="G280" s="944">
        <v>0</v>
      </c>
      <c r="H280" s="117"/>
      <c r="I280" s="117"/>
      <c r="J280" s="117"/>
      <c r="K280" s="117"/>
      <c r="L280" s="117"/>
      <c r="M280" s="117"/>
      <c r="N280" s="117"/>
      <c r="O280" s="117"/>
      <c r="P280" s="117"/>
      <c r="Q280" s="117"/>
      <c r="R280" s="54"/>
      <c r="S280" s="942">
        <v>0</v>
      </c>
      <c r="T280" s="946">
        <f>+(G280+S280)/2</f>
        <v>0</v>
      </c>
    </row>
    <row r="281" spans="1:20">
      <c r="A281" s="562"/>
      <c r="B281" s="562"/>
      <c r="C281" s="562"/>
      <c r="D281" s="562"/>
      <c r="E281" s="262"/>
      <c r="G281" s="546"/>
      <c r="H281" s="546"/>
      <c r="I281" s="546"/>
      <c r="J281" s="546"/>
      <c r="K281" s="546"/>
      <c r="L281" s="546"/>
      <c r="M281" s="546"/>
      <c r="N281" s="546"/>
      <c r="O281" s="546"/>
      <c r="P281" s="546"/>
      <c r="Q281" s="546"/>
      <c r="R281" s="546"/>
      <c r="S281" s="546"/>
      <c r="T281" s="947"/>
    </row>
    <row r="282" spans="1:20">
      <c r="A282" s="118"/>
      <c r="B282" s="91" t="str">
        <f>+'7A - Project ROE Adder'!Q8</f>
        <v>Name</v>
      </c>
      <c r="C282" s="134"/>
      <c r="D282" s="91"/>
      <c r="E282" s="262"/>
      <c r="F282" s="793"/>
      <c r="G282" s="546"/>
      <c r="H282" s="546"/>
      <c r="I282" s="546"/>
      <c r="J282" s="546"/>
      <c r="K282" s="546"/>
      <c r="L282" s="546"/>
      <c r="M282" s="546"/>
      <c r="N282" s="546"/>
      <c r="O282" s="546"/>
      <c r="P282" s="546"/>
      <c r="Q282" s="546"/>
      <c r="R282" s="546"/>
      <c r="S282" s="546"/>
      <c r="T282" s="947"/>
    </row>
    <row r="283" spans="1:20">
      <c r="A283" s="118">
        <f>+A280+1</f>
        <v>104</v>
      </c>
      <c r="B283" s="91" t="s">
        <v>756</v>
      </c>
      <c r="C283" s="134"/>
      <c r="D283" s="91"/>
      <c r="E283" s="262">
        <v>206</v>
      </c>
      <c r="F283" s="793"/>
      <c r="G283" s="944">
        <v>0</v>
      </c>
      <c r="H283" s="945">
        <v>0</v>
      </c>
      <c r="I283" s="945">
        <v>0</v>
      </c>
      <c r="J283" s="945">
        <v>0</v>
      </c>
      <c r="K283" s="945">
        <v>0</v>
      </c>
      <c r="L283" s="945">
        <v>0</v>
      </c>
      <c r="M283" s="945">
        <v>0</v>
      </c>
      <c r="N283" s="945">
        <v>0</v>
      </c>
      <c r="O283" s="945">
        <v>0</v>
      </c>
      <c r="P283" s="945">
        <v>0</v>
      </c>
      <c r="Q283" s="945">
        <v>0</v>
      </c>
      <c r="R283" s="942">
        <v>0</v>
      </c>
      <c r="S283" s="942">
        <v>0</v>
      </c>
      <c r="T283" s="946">
        <f>+SUM(G283:S283)/13</f>
        <v>0</v>
      </c>
    </row>
    <row r="284" spans="1:20">
      <c r="A284" s="118">
        <f>+A283+1</f>
        <v>105</v>
      </c>
      <c r="B284" s="91" t="s">
        <v>37</v>
      </c>
      <c r="C284" s="134"/>
      <c r="D284" s="91"/>
      <c r="E284" s="262">
        <v>219</v>
      </c>
      <c r="F284" s="793"/>
      <c r="G284" s="944">
        <v>0</v>
      </c>
      <c r="H284" s="945">
        <v>0</v>
      </c>
      <c r="I284" s="945">
        <v>0</v>
      </c>
      <c r="J284" s="945">
        <v>0</v>
      </c>
      <c r="K284" s="945">
        <v>0</v>
      </c>
      <c r="L284" s="945">
        <v>0</v>
      </c>
      <c r="M284" s="945">
        <v>0</v>
      </c>
      <c r="N284" s="945">
        <v>0</v>
      </c>
      <c r="O284" s="945">
        <v>0</v>
      </c>
      <c r="P284" s="945">
        <v>0</v>
      </c>
      <c r="Q284" s="945">
        <v>0</v>
      </c>
      <c r="R284" s="942">
        <v>0</v>
      </c>
      <c r="S284" s="942">
        <v>0</v>
      </c>
      <c r="T284" s="946">
        <f t="shared" ref="T284" si="16">+SUM(G284:S284)/13</f>
        <v>0</v>
      </c>
    </row>
    <row r="285" spans="1:20">
      <c r="A285" s="118">
        <f>+A284+1</f>
        <v>106</v>
      </c>
      <c r="B285" s="91" t="s">
        <v>47</v>
      </c>
      <c r="C285" s="134"/>
      <c r="D285" s="91"/>
      <c r="E285" s="262">
        <v>274</v>
      </c>
      <c r="F285" s="793"/>
      <c r="G285" s="944">
        <v>0</v>
      </c>
      <c r="H285" s="117"/>
      <c r="I285" s="117"/>
      <c r="J285" s="117"/>
      <c r="K285" s="117"/>
      <c r="L285" s="117"/>
      <c r="M285" s="117"/>
      <c r="N285" s="117"/>
      <c r="O285" s="117"/>
      <c r="P285" s="117"/>
      <c r="Q285" s="117"/>
      <c r="R285" s="54"/>
      <c r="S285" s="942">
        <v>0</v>
      </c>
      <c r="T285" s="946">
        <f>+(G285+S285)/2</f>
        <v>0</v>
      </c>
    </row>
    <row r="286" spans="1:20">
      <c r="A286" s="562"/>
      <c r="B286" s="562"/>
      <c r="C286" s="562"/>
      <c r="D286" s="562"/>
      <c r="E286" s="262"/>
      <c r="G286" s="546"/>
      <c r="H286" s="546"/>
      <c r="I286" s="546"/>
      <c r="J286" s="546"/>
      <c r="K286" s="546"/>
      <c r="L286" s="546"/>
      <c r="M286" s="546"/>
      <c r="N286" s="546"/>
      <c r="O286" s="546"/>
      <c r="P286" s="546"/>
      <c r="Q286" s="546"/>
      <c r="R286" s="546"/>
      <c r="S286" s="546"/>
      <c r="T286" s="947"/>
    </row>
    <row r="287" spans="1:20">
      <c r="A287" s="118"/>
      <c r="B287" s="91" t="str">
        <f>+'7A - Project ROE Adder'!S8</f>
        <v>Name</v>
      </c>
      <c r="C287" s="134"/>
      <c r="D287" s="91"/>
      <c r="E287" s="262"/>
      <c r="F287" s="793"/>
      <c r="G287" s="546"/>
      <c r="H287" s="546"/>
      <c r="I287" s="546"/>
      <c r="J287" s="546"/>
      <c r="K287" s="546"/>
      <c r="L287" s="546"/>
      <c r="M287" s="546"/>
      <c r="N287" s="546"/>
      <c r="O287" s="546"/>
      <c r="P287" s="546"/>
      <c r="Q287" s="546"/>
      <c r="R287" s="546"/>
      <c r="S287" s="546"/>
      <c r="T287" s="947"/>
    </row>
    <row r="288" spans="1:20">
      <c r="A288" s="118">
        <f>+A285+1</f>
        <v>107</v>
      </c>
      <c r="B288" s="91" t="s">
        <v>756</v>
      </c>
      <c r="C288" s="134"/>
      <c r="D288" s="91"/>
      <c r="E288" s="262">
        <v>206</v>
      </c>
      <c r="F288" s="793"/>
      <c r="G288" s="944">
        <v>0</v>
      </c>
      <c r="H288" s="945">
        <v>0</v>
      </c>
      <c r="I288" s="945">
        <v>0</v>
      </c>
      <c r="J288" s="945">
        <v>0</v>
      </c>
      <c r="K288" s="945">
        <v>0</v>
      </c>
      <c r="L288" s="945">
        <v>0</v>
      </c>
      <c r="M288" s="945">
        <v>0</v>
      </c>
      <c r="N288" s="945">
        <v>0</v>
      </c>
      <c r="O288" s="945">
        <v>0</v>
      </c>
      <c r="P288" s="945">
        <v>0</v>
      </c>
      <c r="Q288" s="945">
        <v>0</v>
      </c>
      <c r="R288" s="942">
        <v>0</v>
      </c>
      <c r="S288" s="942">
        <v>0</v>
      </c>
      <c r="T288" s="946">
        <f>+SUM(G288:S288)/13</f>
        <v>0</v>
      </c>
    </row>
    <row r="289" spans="1:20">
      <c r="A289" s="118">
        <f>+A288+1</f>
        <v>108</v>
      </c>
      <c r="B289" s="91" t="s">
        <v>37</v>
      </c>
      <c r="C289" s="134"/>
      <c r="D289" s="91"/>
      <c r="E289" s="262">
        <v>219</v>
      </c>
      <c r="F289" s="793"/>
      <c r="G289" s="944">
        <v>0</v>
      </c>
      <c r="H289" s="945">
        <v>0</v>
      </c>
      <c r="I289" s="945">
        <v>0</v>
      </c>
      <c r="J289" s="945">
        <v>0</v>
      </c>
      <c r="K289" s="945">
        <v>0</v>
      </c>
      <c r="L289" s="945">
        <v>0</v>
      </c>
      <c r="M289" s="945">
        <v>0</v>
      </c>
      <c r="N289" s="945">
        <v>0</v>
      </c>
      <c r="O289" s="945">
        <v>0</v>
      </c>
      <c r="P289" s="945">
        <v>0</v>
      </c>
      <c r="Q289" s="945">
        <v>0</v>
      </c>
      <c r="R289" s="942">
        <v>0</v>
      </c>
      <c r="S289" s="942">
        <v>0</v>
      </c>
      <c r="T289" s="946">
        <f t="shared" ref="T289" si="17">+SUM(G289:S289)/13</f>
        <v>0</v>
      </c>
    </row>
    <row r="290" spans="1:20">
      <c r="A290" s="118">
        <f>+A289+1</f>
        <v>109</v>
      </c>
      <c r="B290" s="91" t="s">
        <v>47</v>
      </c>
      <c r="C290" s="134"/>
      <c r="D290" s="91"/>
      <c r="E290" s="262">
        <v>274</v>
      </c>
      <c r="F290" s="793"/>
      <c r="G290" s="944">
        <v>0</v>
      </c>
      <c r="H290" s="117"/>
      <c r="I290" s="117"/>
      <c r="J290" s="117"/>
      <c r="K290" s="117"/>
      <c r="L290" s="117"/>
      <c r="M290" s="117"/>
      <c r="N290" s="117"/>
      <c r="O290" s="117"/>
      <c r="P290" s="117"/>
      <c r="Q290" s="117"/>
      <c r="R290" s="54"/>
      <c r="S290" s="942">
        <v>0</v>
      </c>
      <c r="T290" s="946">
        <f>+(G290+S290)/2</f>
        <v>0</v>
      </c>
    </row>
    <row r="291" spans="1:20">
      <c r="A291" s="562"/>
      <c r="B291" s="562"/>
      <c r="C291" s="562"/>
      <c r="D291" s="562"/>
      <c r="E291" s="262"/>
      <c r="G291" s="546"/>
      <c r="H291" s="546"/>
      <c r="I291" s="546"/>
      <c r="J291" s="546"/>
      <c r="K291" s="546"/>
      <c r="L291" s="546"/>
      <c r="M291" s="546"/>
      <c r="N291" s="546"/>
      <c r="O291" s="546"/>
      <c r="P291" s="546"/>
      <c r="Q291" s="546"/>
      <c r="R291" s="546"/>
      <c r="S291" s="546"/>
      <c r="T291" s="947"/>
    </row>
    <row r="292" spans="1:20">
      <c r="A292" s="118"/>
      <c r="B292" s="91" t="str">
        <f>+'7A - Project ROE Adder'!U8</f>
        <v>Name</v>
      </c>
      <c r="C292" s="134"/>
      <c r="D292" s="91"/>
      <c r="E292" s="262"/>
      <c r="F292" s="793"/>
      <c r="G292" s="546"/>
      <c r="H292" s="546"/>
      <c r="I292" s="546"/>
      <c r="J292" s="546"/>
      <c r="K292" s="546"/>
      <c r="L292" s="546"/>
      <c r="M292" s="546"/>
      <c r="N292" s="546"/>
      <c r="O292" s="546"/>
      <c r="P292" s="546"/>
      <c r="Q292" s="546"/>
      <c r="R292" s="546"/>
      <c r="S292" s="546"/>
      <c r="T292" s="947"/>
    </row>
    <row r="293" spans="1:20">
      <c r="A293" s="118">
        <f>+A290+1</f>
        <v>110</v>
      </c>
      <c r="B293" s="91" t="s">
        <v>756</v>
      </c>
      <c r="C293" s="134"/>
      <c r="D293" s="91"/>
      <c r="E293" s="262">
        <v>206</v>
      </c>
      <c r="F293" s="793"/>
      <c r="G293" s="944">
        <v>0</v>
      </c>
      <c r="H293" s="945">
        <v>0</v>
      </c>
      <c r="I293" s="945">
        <v>0</v>
      </c>
      <c r="J293" s="945">
        <v>0</v>
      </c>
      <c r="K293" s="945">
        <v>0</v>
      </c>
      <c r="L293" s="945">
        <v>0</v>
      </c>
      <c r="M293" s="945">
        <v>0</v>
      </c>
      <c r="N293" s="945">
        <v>0</v>
      </c>
      <c r="O293" s="945">
        <v>0</v>
      </c>
      <c r="P293" s="945">
        <v>0</v>
      </c>
      <c r="Q293" s="945">
        <v>0</v>
      </c>
      <c r="R293" s="942">
        <v>0</v>
      </c>
      <c r="S293" s="942">
        <v>0</v>
      </c>
      <c r="T293" s="946">
        <f>+SUM(G293:S293)/13</f>
        <v>0</v>
      </c>
    </row>
    <row r="294" spans="1:20">
      <c r="A294" s="118">
        <f>+A293+1</f>
        <v>111</v>
      </c>
      <c r="B294" s="91" t="s">
        <v>37</v>
      </c>
      <c r="C294" s="134"/>
      <c r="D294" s="91"/>
      <c r="E294" s="262">
        <v>219</v>
      </c>
      <c r="F294" s="793"/>
      <c r="G294" s="944">
        <v>0</v>
      </c>
      <c r="H294" s="945">
        <v>0</v>
      </c>
      <c r="I294" s="945">
        <v>0</v>
      </c>
      <c r="J294" s="945">
        <v>0</v>
      </c>
      <c r="K294" s="945">
        <v>0</v>
      </c>
      <c r="L294" s="945">
        <v>0</v>
      </c>
      <c r="M294" s="945">
        <v>0</v>
      </c>
      <c r="N294" s="945">
        <v>0</v>
      </c>
      <c r="O294" s="945">
        <v>0</v>
      </c>
      <c r="P294" s="945">
        <v>0</v>
      </c>
      <c r="Q294" s="945">
        <v>0</v>
      </c>
      <c r="R294" s="942">
        <v>0</v>
      </c>
      <c r="S294" s="942">
        <v>0</v>
      </c>
      <c r="T294" s="946">
        <f t="shared" ref="T294" si="18">+SUM(G294:S294)/13</f>
        <v>0</v>
      </c>
    </row>
    <row r="295" spans="1:20">
      <c r="A295" s="118">
        <f>+A294+1</f>
        <v>112</v>
      </c>
      <c r="B295" s="91" t="s">
        <v>47</v>
      </c>
      <c r="C295" s="134"/>
      <c r="D295" s="91"/>
      <c r="E295" s="262">
        <v>274</v>
      </c>
      <c r="F295" s="793"/>
      <c r="G295" s="944">
        <v>0</v>
      </c>
      <c r="H295" s="117"/>
      <c r="I295" s="117"/>
      <c r="J295" s="117"/>
      <c r="K295" s="117"/>
      <c r="L295" s="117"/>
      <c r="M295" s="117"/>
      <c r="N295" s="117"/>
      <c r="O295" s="117"/>
      <c r="P295" s="117"/>
      <c r="Q295" s="117"/>
      <c r="R295" s="54"/>
      <c r="S295" s="942">
        <v>0</v>
      </c>
      <c r="T295" s="946">
        <f>+(G295+S295)/2</f>
        <v>0</v>
      </c>
    </row>
    <row r="296" spans="1:20">
      <c r="A296" s="562"/>
      <c r="B296" s="562"/>
      <c r="C296" s="562"/>
      <c r="D296" s="562"/>
      <c r="E296" s="262"/>
      <c r="G296" s="546"/>
      <c r="H296" s="546"/>
      <c r="I296" s="546"/>
      <c r="J296" s="546"/>
      <c r="K296" s="546"/>
      <c r="L296" s="546"/>
      <c r="M296" s="546"/>
      <c r="N296" s="546"/>
      <c r="O296" s="546"/>
      <c r="P296" s="546"/>
      <c r="Q296" s="546"/>
      <c r="R296" s="546"/>
      <c r="S296" s="546"/>
      <c r="T296" s="947"/>
    </row>
    <row r="297" spans="1:20">
      <c r="A297" s="118"/>
      <c r="B297" s="91" t="str">
        <f>+'7A - Project ROE Adder'!W8</f>
        <v>Name</v>
      </c>
      <c r="C297" s="134"/>
      <c r="D297" s="91"/>
      <c r="E297" s="262"/>
      <c r="F297" s="793"/>
      <c r="G297" s="546"/>
      <c r="H297" s="546"/>
      <c r="I297" s="546"/>
      <c r="J297" s="546"/>
      <c r="K297" s="546"/>
      <c r="L297" s="546"/>
      <c r="M297" s="546"/>
      <c r="N297" s="546"/>
      <c r="O297" s="546"/>
      <c r="P297" s="546"/>
      <c r="Q297" s="546"/>
      <c r="R297" s="546"/>
      <c r="S297" s="546"/>
      <c r="T297" s="947"/>
    </row>
    <row r="298" spans="1:20">
      <c r="A298" s="118">
        <f>+A295+1</f>
        <v>113</v>
      </c>
      <c r="B298" s="91" t="s">
        <v>756</v>
      </c>
      <c r="C298" s="134"/>
      <c r="D298" s="91"/>
      <c r="E298" s="262">
        <v>206</v>
      </c>
      <c r="F298" s="793"/>
      <c r="G298" s="944">
        <v>0</v>
      </c>
      <c r="H298" s="945">
        <v>0</v>
      </c>
      <c r="I298" s="945">
        <v>0</v>
      </c>
      <c r="J298" s="945">
        <v>0</v>
      </c>
      <c r="K298" s="945">
        <v>0</v>
      </c>
      <c r="L298" s="945">
        <v>0</v>
      </c>
      <c r="M298" s="945">
        <v>0</v>
      </c>
      <c r="N298" s="945">
        <v>0</v>
      </c>
      <c r="O298" s="945">
        <v>0</v>
      </c>
      <c r="P298" s="945">
        <v>0</v>
      </c>
      <c r="Q298" s="945">
        <v>0</v>
      </c>
      <c r="R298" s="942">
        <v>0</v>
      </c>
      <c r="S298" s="942">
        <v>0</v>
      </c>
      <c r="T298" s="946">
        <f>+SUM(G298:S298)/13</f>
        <v>0</v>
      </c>
    </row>
    <row r="299" spans="1:20">
      <c r="A299" s="118">
        <f>+A298+1</f>
        <v>114</v>
      </c>
      <c r="B299" s="91" t="s">
        <v>37</v>
      </c>
      <c r="C299" s="134"/>
      <c r="D299" s="91"/>
      <c r="E299" s="262">
        <v>219</v>
      </c>
      <c r="F299" s="793"/>
      <c r="G299" s="944">
        <v>0</v>
      </c>
      <c r="H299" s="945">
        <v>0</v>
      </c>
      <c r="I299" s="945">
        <v>0</v>
      </c>
      <c r="J299" s="945">
        <v>0</v>
      </c>
      <c r="K299" s="945">
        <v>0</v>
      </c>
      <c r="L299" s="945">
        <v>0</v>
      </c>
      <c r="M299" s="945">
        <v>0</v>
      </c>
      <c r="N299" s="945">
        <v>0</v>
      </c>
      <c r="O299" s="945">
        <v>0</v>
      </c>
      <c r="P299" s="945">
        <v>0</v>
      </c>
      <c r="Q299" s="945">
        <v>0</v>
      </c>
      <c r="R299" s="942">
        <v>0</v>
      </c>
      <c r="S299" s="942">
        <v>0</v>
      </c>
      <c r="T299" s="946">
        <f t="shared" ref="T299" si="19">+SUM(G299:S299)/13</f>
        <v>0</v>
      </c>
    </row>
    <row r="300" spans="1:20">
      <c r="A300" s="118">
        <f>+A299+1</f>
        <v>115</v>
      </c>
      <c r="B300" s="91" t="s">
        <v>47</v>
      </c>
      <c r="C300" s="134"/>
      <c r="D300" s="91"/>
      <c r="E300" s="262">
        <v>274</v>
      </c>
      <c r="F300" s="793"/>
      <c r="G300" s="944">
        <v>0</v>
      </c>
      <c r="H300" s="117"/>
      <c r="I300" s="117"/>
      <c r="J300" s="117"/>
      <c r="K300" s="117"/>
      <c r="L300" s="117"/>
      <c r="M300" s="117"/>
      <c r="N300" s="117"/>
      <c r="O300" s="117"/>
      <c r="P300" s="117"/>
      <c r="Q300" s="117"/>
      <c r="R300" s="54"/>
      <c r="S300" s="942">
        <v>0</v>
      </c>
      <c r="T300" s="946">
        <f>+(G300+S300)/2</f>
        <v>0</v>
      </c>
    </row>
    <row r="301" spans="1:20">
      <c r="A301" s="562"/>
      <c r="B301" s="562"/>
      <c r="C301" s="562"/>
      <c r="D301" s="562"/>
      <c r="E301" s="262"/>
      <c r="G301" s="546"/>
      <c r="H301" s="546"/>
      <c r="I301" s="546"/>
      <c r="J301" s="546"/>
      <c r="K301" s="546"/>
      <c r="L301" s="546"/>
      <c r="M301" s="546"/>
      <c r="N301" s="546"/>
      <c r="O301" s="546"/>
      <c r="P301" s="546"/>
      <c r="Q301" s="546"/>
      <c r="R301" s="546"/>
      <c r="S301" s="546"/>
      <c r="T301" s="947"/>
    </row>
    <row r="302" spans="1:20">
      <c r="A302" s="118"/>
      <c r="B302" s="91" t="str">
        <f>+'7A - Project ROE Adder'!Y8</f>
        <v>Name</v>
      </c>
      <c r="C302" s="134"/>
      <c r="D302" s="91"/>
      <c r="E302" s="262"/>
      <c r="F302" s="793"/>
      <c r="G302" s="546"/>
      <c r="H302" s="546"/>
      <c r="I302" s="546"/>
      <c r="J302" s="546"/>
      <c r="K302" s="546"/>
      <c r="L302" s="546"/>
      <c r="M302" s="546"/>
      <c r="N302" s="546"/>
      <c r="O302" s="546"/>
      <c r="P302" s="546"/>
      <c r="Q302" s="546"/>
      <c r="R302" s="546"/>
      <c r="S302" s="546"/>
      <c r="T302" s="947"/>
    </row>
    <row r="303" spans="1:20">
      <c r="A303" s="118">
        <f>+A300+1</f>
        <v>116</v>
      </c>
      <c r="B303" s="91" t="s">
        <v>756</v>
      </c>
      <c r="C303" s="134"/>
      <c r="D303" s="91"/>
      <c r="E303" s="262">
        <v>206</v>
      </c>
      <c r="F303" s="793"/>
      <c r="G303" s="944">
        <v>0</v>
      </c>
      <c r="H303" s="945">
        <v>0</v>
      </c>
      <c r="I303" s="945">
        <v>0</v>
      </c>
      <c r="J303" s="945">
        <v>0</v>
      </c>
      <c r="K303" s="945">
        <v>0</v>
      </c>
      <c r="L303" s="945">
        <v>0</v>
      </c>
      <c r="M303" s="945">
        <v>0</v>
      </c>
      <c r="N303" s="945">
        <v>0</v>
      </c>
      <c r="O303" s="945">
        <v>0</v>
      </c>
      <c r="P303" s="945">
        <v>0</v>
      </c>
      <c r="Q303" s="945">
        <v>0</v>
      </c>
      <c r="R303" s="942">
        <v>0</v>
      </c>
      <c r="S303" s="942">
        <v>0</v>
      </c>
      <c r="T303" s="946">
        <f>+SUM(G303:S303)/13</f>
        <v>0</v>
      </c>
    </row>
    <row r="304" spans="1:20">
      <c r="A304" s="118">
        <f>+A303+1</f>
        <v>117</v>
      </c>
      <c r="B304" s="91" t="s">
        <v>37</v>
      </c>
      <c r="C304" s="134"/>
      <c r="D304" s="91"/>
      <c r="E304" s="262">
        <v>219</v>
      </c>
      <c r="F304" s="793"/>
      <c r="G304" s="944">
        <v>0</v>
      </c>
      <c r="H304" s="945">
        <v>0</v>
      </c>
      <c r="I304" s="945">
        <v>0</v>
      </c>
      <c r="J304" s="945">
        <v>0</v>
      </c>
      <c r="K304" s="945">
        <v>0</v>
      </c>
      <c r="L304" s="945">
        <v>0</v>
      </c>
      <c r="M304" s="945">
        <v>0</v>
      </c>
      <c r="N304" s="945">
        <v>0</v>
      </c>
      <c r="O304" s="945">
        <v>0</v>
      </c>
      <c r="P304" s="945">
        <v>0</v>
      </c>
      <c r="Q304" s="945">
        <v>0</v>
      </c>
      <c r="R304" s="942">
        <v>0</v>
      </c>
      <c r="S304" s="942">
        <v>0</v>
      </c>
      <c r="T304" s="946">
        <f t="shared" ref="T304" si="20">+SUM(G304:S304)/13</f>
        <v>0</v>
      </c>
    </row>
    <row r="305" spans="1:21">
      <c r="A305" s="118">
        <f>+A304+1</f>
        <v>118</v>
      </c>
      <c r="B305" s="91" t="s">
        <v>47</v>
      </c>
      <c r="C305" s="134"/>
      <c r="D305" s="91"/>
      <c r="E305" s="262">
        <v>274</v>
      </c>
      <c r="F305" s="793"/>
      <c r="G305" s="944">
        <v>0</v>
      </c>
      <c r="H305" s="117"/>
      <c r="I305" s="117"/>
      <c r="J305" s="117"/>
      <c r="K305" s="117"/>
      <c r="L305" s="117"/>
      <c r="M305" s="117"/>
      <c r="N305" s="117"/>
      <c r="O305" s="117"/>
      <c r="P305" s="117"/>
      <c r="Q305" s="117"/>
      <c r="R305" s="54"/>
      <c r="S305" s="942">
        <v>0</v>
      </c>
      <c r="T305" s="946">
        <f>+(G305+S305)/2</f>
        <v>0</v>
      </c>
      <c r="U305" s="562"/>
    </row>
    <row r="306" spans="1:21" ht="15.75" thickBot="1">
      <c r="A306" s="144"/>
      <c r="B306" s="144"/>
      <c r="C306" s="144"/>
      <c r="D306" s="144"/>
      <c r="E306" s="144"/>
      <c r="F306" s="144"/>
      <c r="G306" s="144"/>
      <c r="H306" s="144"/>
      <c r="I306" s="144"/>
      <c r="J306" s="144"/>
      <c r="K306" s="144"/>
      <c r="L306" s="144"/>
      <c r="M306" s="144"/>
      <c r="N306" s="144"/>
      <c r="O306" s="144"/>
      <c r="P306" s="144"/>
      <c r="Q306" s="144"/>
      <c r="R306" s="144"/>
      <c r="S306" s="144"/>
      <c r="T306" s="1108"/>
      <c r="U306" s="562"/>
    </row>
    <row r="307" spans="1:21" ht="18.75" thickBot="1">
      <c r="A307" s="562"/>
      <c r="B307" s="562"/>
      <c r="C307" s="562"/>
      <c r="D307" s="562"/>
      <c r="E307" s="562"/>
      <c r="G307" s="562"/>
      <c r="H307" s="562"/>
      <c r="I307" s="562"/>
      <c r="J307" s="562"/>
      <c r="K307" s="562"/>
      <c r="L307" s="562"/>
      <c r="M307" s="562"/>
      <c r="N307" s="562"/>
      <c r="O307" s="562"/>
      <c r="P307" s="562"/>
      <c r="Q307" s="562"/>
      <c r="R307" s="562"/>
      <c r="S307" s="562"/>
      <c r="T307" s="562"/>
      <c r="U307" s="967"/>
    </row>
    <row r="308" spans="1:21" ht="16.5" thickBot="1">
      <c r="A308" s="281" t="s">
        <v>757</v>
      </c>
      <c r="B308" s="562"/>
      <c r="C308" s="562"/>
      <c r="D308" s="562"/>
      <c r="E308" s="562"/>
      <c r="G308" s="275" t="s">
        <v>544</v>
      </c>
      <c r="H308" s="1135" t="s">
        <v>755</v>
      </c>
      <c r="I308" s="1136"/>
      <c r="J308" s="1136"/>
      <c r="K308" s="1136"/>
      <c r="L308" s="1136"/>
      <c r="M308" s="1136"/>
      <c r="N308" s="1136"/>
      <c r="O308" s="1136"/>
      <c r="P308" s="1136"/>
      <c r="Q308" s="1136"/>
      <c r="R308" s="1136"/>
      <c r="S308" s="1137"/>
      <c r="T308" s="91"/>
      <c r="U308" s="562"/>
    </row>
    <row r="309" spans="1:21" ht="32.25" thickBot="1">
      <c r="A309" s="104" t="s">
        <v>545</v>
      </c>
      <c r="B309" s="105" t="s">
        <v>546</v>
      </c>
      <c r="C309" s="105"/>
      <c r="D309" s="105"/>
      <c r="E309" s="107" t="s">
        <v>547</v>
      </c>
      <c r="F309" s="1088" t="s">
        <v>548</v>
      </c>
      <c r="G309" s="803" t="s">
        <v>549</v>
      </c>
      <c r="H309" s="106" t="s">
        <v>550</v>
      </c>
      <c r="I309" s="106" t="s">
        <v>551</v>
      </c>
      <c r="J309" s="106" t="s">
        <v>552</v>
      </c>
      <c r="K309" s="106" t="s">
        <v>553</v>
      </c>
      <c r="L309" s="106" t="s">
        <v>403</v>
      </c>
      <c r="M309" s="106" t="s">
        <v>554</v>
      </c>
      <c r="N309" s="106" t="s">
        <v>555</v>
      </c>
      <c r="O309" s="106" t="s">
        <v>556</v>
      </c>
      <c r="P309" s="106" t="s">
        <v>557</v>
      </c>
      <c r="Q309" s="106" t="s">
        <v>558</v>
      </c>
      <c r="R309" s="106" t="s">
        <v>559</v>
      </c>
      <c r="S309" s="106" t="s">
        <v>560</v>
      </c>
      <c r="T309" s="1089" t="s">
        <v>758</v>
      </c>
      <c r="U309" s="562"/>
    </row>
    <row r="310" spans="1:21">
      <c r="A310" s="118"/>
      <c r="B310" s="1002" t="s">
        <v>759</v>
      </c>
      <c r="C310" s="622"/>
      <c r="D310" s="91"/>
      <c r="E310" s="562"/>
      <c r="F310" s="793"/>
      <c r="G310" s="562"/>
      <c r="H310" s="562"/>
      <c r="I310" s="562"/>
      <c r="J310" s="562"/>
      <c r="K310" s="562"/>
      <c r="L310" s="562"/>
      <c r="M310" s="562"/>
      <c r="N310" s="562"/>
      <c r="O310" s="562"/>
      <c r="P310" s="562"/>
      <c r="Q310" s="562"/>
      <c r="R310" s="562"/>
      <c r="S310" s="562"/>
      <c r="T310" s="849"/>
      <c r="U310" s="562"/>
    </row>
    <row r="311" spans="1:21">
      <c r="A311" s="118">
        <f>+A305+1</f>
        <v>119</v>
      </c>
      <c r="B311" s="91" t="s">
        <v>760</v>
      </c>
      <c r="C311" s="134"/>
      <c r="D311" s="91"/>
      <c r="E311" s="262" t="s">
        <v>761</v>
      </c>
      <c r="F311" s="793"/>
      <c r="G311" s="944">
        <v>8019854</v>
      </c>
      <c r="H311" s="944">
        <v>8364343.9797342941</v>
      </c>
      <c r="I311" s="944">
        <v>8731195.5897320416</v>
      </c>
      <c r="J311" s="944">
        <v>9217107.7716730461</v>
      </c>
      <c r="K311" s="944">
        <v>9674010.27111011</v>
      </c>
      <c r="L311" s="944">
        <v>10143604.506642647</v>
      </c>
      <c r="M311" s="944">
        <v>10703854</v>
      </c>
      <c r="N311" s="944">
        <v>10703854</v>
      </c>
      <c r="O311" s="944">
        <v>10703854</v>
      </c>
      <c r="P311" s="944">
        <v>10703854</v>
      </c>
      <c r="Q311" s="944">
        <v>10703854</v>
      </c>
      <c r="R311" s="944">
        <v>10703854</v>
      </c>
      <c r="S311" s="944">
        <v>10703854</v>
      </c>
      <c r="T311" s="946">
        <f>+SUM(G311:S311)/13</f>
        <v>9929007.2399147786</v>
      </c>
      <c r="U311" s="562"/>
    </row>
    <row r="312" spans="1:21">
      <c r="A312" s="118">
        <f>+A311+1</f>
        <v>120</v>
      </c>
      <c r="B312" s="91" t="s">
        <v>37</v>
      </c>
      <c r="C312" s="134"/>
      <c r="D312" s="91"/>
      <c r="E312" s="262">
        <v>219</v>
      </c>
      <c r="F312" s="793"/>
      <c r="G312" s="944">
        <v>0</v>
      </c>
      <c r="H312" s="944">
        <v>0</v>
      </c>
      <c r="I312" s="944">
        <v>0</v>
      </c>
      <c r="J312" s="944">
        <v>0</v>
      </c>
      <c r="K312" s="944">
        <v>0</v>
      </c>
      <c r="L312" s="944">
        <v>0</v>
      </c>
      <c r="M312" s="944">
        <f>M313</f>
        <v>19686</v>
      </c>
      <c r="N312" s="944">
        <f>M312+N313</f>
        <v>39372</v>
      </c>
      <c r="O312" s="944">
        <f t="shared" ref="O312:S312" si="21">N312+O313</f>
        <v>59058</v>
      </c>
      <c r="P312" s="944">
        <f t="shared" si="21"/>
        <v>78744</v>
      </c>
      <c r="Q312" s="944">
        <f t="shared" si="21"/>
        <v>98430</v>
      </c>
      <c r="R312" s="944">
        <f t="shared" si="21"/>
        <v>118116</v>
      </c>
      <c r="S312" s="944">
        <f t="shared" si="21"/>
        <v>137802</v>
      </c>
      <c r="T312" s="946">
        <f t="shared" ref="T312" si="22">+SUM(G312:S312)/13</f>
        <v>42400.615384615383</v>
      </c>
      <c r="U312" s="562"/>
    </row>
    <row r="313" spans="1:21" s="562" customFormat="1">
      <c r="A313" s="118">
        <f>+A312+1</f>
        <v>121</v>
      </c>
      <c r="B313" s="91" t="s">
        <v>762</v>
      </c>
      <c r="C313" s="134"/>
      <c r="D313" s="91"/>
      <c r="E313" s="262">
        <v>336</v>
      </c>
      <c r="F313" s="793"/>
      <c r="G313" s="120"/>
      <c r="H313" s="117"/>
      <c r="I313" s="117"/>
      <c r="J313" s="117"/>
      <c r="K313" s="117"/>
      <c r="L313" s="117"/>
      <c r="M313" s="117">
        <v>19686</v>
      </c>
      <c r="N313" s="117">
        <v>19686</v>
      </c>
      <c r="O313" s="117">
        <v>19686</v>
      </c>
      <c r="P313" s="117">
        <v>19686</v>
      </c>
      <c r="Q313" s="117">
        <v>19686</v>
      </c>
      <c r="R313" s="117">
        <v>19686</v>
      </c>
      <c r="S313" s="117">
        <v>19686</v>
      </c>
      <c r="T313" s="948">
        <f>SUM(H313:S313)</f>
        <v>137802</v>
      </c>
    </row>
    <row r="314" spans="1:21">
      <c r="A314" s="118"/>
      <c r="B314" s="91"/>
      <c r="C314" s="134"/>
      <c r="D314" s="91"/>
      <c r="E314" s="262"/>
      <c r="F314" s="793"/>
      <c r="G314" s="162"/>
      <c r="H314" s="762"/>
      <c r="I314" s="762"/>
      <c r="J314" s="762"/>
      <c r="K314" s="762"/>
      <c r="L314" s="762"/>
      <c r="M314" s="762"/>
      <c r="N314" s="762"/>
      <c r="O314" s="762"/>
      <c r="P314" s="762"/>
      <c r="Q314" s="762"/>
      <c r="R314" s="54"/>
      <c r="S314" s="54"/>
      <c r="T314" s="946"/>
      <c r="U314" s="562"/>
    </row>
    <row r="315" spans="1:21">
      <c r="A315" s="118"/>
      <c r="B315" s="1002" t="str">
        <f>+'7B - Schedule 12 Projects'!I8</f>
        <v>Name</v>
      </c>
      <c r="C315" s="134"/>
      <c r="D315" s="91"/>
      <c r="E315" s="262"/>
      <c r="F315" s="793"/>
      <c r="G315" s="546"/>
      <c r="H315" s="546"/>
      <c r="I315" s="546"/>
      <c r="J315" s="546"/>
      <c r="K315" s="546"/>
      <c r="L315" s="546"/>
      <c r="M315" s="546"/>
      <c r="N315" s="546"/>
      <c r="O315" s="546"/>
      <c r="P315" s="546"/>
      <c r="Q315" s="546"/>
      <c r="R315" s="546"/>
      <c r="S315" s="546"/>
      <c r="T315" s="947"/>
      <c r="U315" s="562"/>
    </row>
    <row r="316" spans="1:21">
      <c r="A316" s="118">
        <f>+A313+1</f>
        <v>122</v>
      </c>
      <c r="B316" s="91" t="s">
        <v>760</v>
      </c>
      <c r="C316" s="134"/>
      <c r="D316" s="91"/>
      <c r="E316" s="262" t="s">
        <v>761</v>
      </c>
      <c r="F316" s="793"/>
      <c r="G316" s="944">
        <v>0</v>
      </c>
      <c r="H316" s="945">
        <v>0</v>
      </c>
      <c r="I316" s="945">
        <v>0</v>
      </c>
      <c r="J316" s="945">
        <v>0</v>
      </c>
      <c r="K316" s="945">
        <v>0</v>
      </c>
      <c r="L316" s="945">
        <v>0</v>
      </c>
      <c r="M316" s="945">
        <v>0</v>
      </c>
      <c r="N316" s="945">
        <v>0</v>
      </c>
      <c r="O316" s="945">
        <v>0</v>
      </c>
      <c r="P316" s="945">
        <v>0</v>
      </c>
      <c r="Q316" s="945">
        <v>0</v>
      </c>
      <c r="R316" s="942">
        <v>0</v>
      </c>
      <c r="S316" s="942">
        <v>0</v>
      </c>
      <c r="T316" s="946">
        <f>+SUM(G316:S316)/13</f>
        <v>0</v>
      </c>
      <c r="U316" s="562"/>
    </row>
    <row r="317" spans="1:21">
      <c r="A317" s="118">
        <f>+A316+1</f>
        <v>123</v>
      </c>
      <c r="B317" s="91" t="s">
        <v>37</v>
      </c>
      <c r="C317" s="134"/>
      <c r="D317" s="91"/>
      <c r="E317" s="262">
        <v>219</v>
      </c>
      <c r="F317" s="793"/>
      <c r="G317" s="944">
        <v>0</v>
      </c>
      <c r="H317" s="945">
        <v>0</v>
      </c>
      <c r="I317" s="945">
        <v>0</v>
      </c>
      <c r="J317" s="945">
        <v>0</v>
      </c>
      <c r="K317" s="945">
        <v>0</v>
      </c>
      <c r="L317" s="945">
        <v>0</v>
      </c>
      <c r="M317" s="945">
        <v>0</v>
      </c>
      <c r="N317" s="945">
        <v>0</v>
      </c>
      <c r="O317" s="945">
        <v>0</v>
      </c>
      <c r="P317" s="945">
        <v>0</v>
      </c>
      <c r="Q317" s="945">
        <v>0</v>
      </c>
      <c r="R317" s="942">
        <v>0</v>
      </c>
      <c r="S317" s="942">
        <v>0</v>
      </c>
      <c r="T317" s="946">
        <f t="shared" ref="T317" si="23">+SUM(G317:S317)/13</f>
        <v>0</v>
      </c>
      <c r="U317" s="562"/>
    </row>
    <row r="318" spans="1:21" s="562" customFormat="1">
      <c r="A318" s="97">
        <f>+A317+1</f>
        <v>124</v>
      </c>
      <c r="B318" s="91" t="s">
        <v>762</v>
      </c>
      <c r="C318" s="134"/>
      <c r="D318" s="91"/>
      <c r="E318" s="262">
        <v>336</v>
      </c>
      <c r="F318" s="793"/>
      <c r="G318" s="120"/>
      <c r="H318" s="117"/>
      <c r="I318" s="117"/>
      <c r="J318" s="117"/>
      <c r="K318" s="117"/>
      <c r="L318" s="117"/>
      <c r="M318" s="117"/>
      <c r="N318" s="117"/>
      <c r="O318" s="117"/>
      <c r="P318" s="117"/>
      <c r="Q318" s="117"/>
      <c r="R318" s="54"/>
      <c r="S318" s="54"/>
      <c r="T318" s="948">
        <v>0</v>
      </c>
    </row>
    <row r="319" spans="1:21">
      <c r="A319" s="562"/>
      <c r="B319" s="562"/>
      <c r="C319" s="562"/>
      <c r="D319" s="562"/>
      <c r="E319" s="262"/>
      <c r="G319" s="546"/>
      <c r="H319" s="546"/>
      <c r="I319" s="546"/>
      <c r="J319" s="546"/>
      <c r="K319" s="546"/>
      <c r="L319" s="546"/>
      <c r="M319" s="546"/>
      <c r="N319" s="546"/>
      <c r="O319" s="546"/>
      <c r="P319" s="546"/>
      <c r="Q319" s="546"/>
      <c r="R319" s="546"/>
      <c r="S319" s="546"/>
      <c r="T319" s="947"/>
      <c r="U319" s="562"/>
    </row>
    <row r="320" spans="1:21">
      <c r="A320" s="118"/>
      <c r="B320" s="1002" t="str">
        <f>+'7B - Schedule 12 Projects'!K8</f>
        <v>Name</v>
      </c>
      <c r="C320" s="134"/>
      <c r="D320" s="91"/>
      <c r="E320" s="262"/>
      <c r="F320" s="793"/>
      <c r="G320" s="546"/>
      <c r="H320" s="546"/>
      <c r="I320" s="546"/>
      <c r="J320" s="546"/>
      <c r="K320" s="546"/>
      <c r="L320" s="546"/>
      <c r="M320" s="546"/>
      <c r="N320" s="546"/>
      <c r="O320" s="546"/>
      <c r="P320" s="546"/>
      <c r="Q320" s="546"/>
      <c r="R320" s="546"/>
      <c r="S320" s="546"/>
      <c r="T320" s="947"/>
      <c r="U320" s="562"/>
    </row>
    <row r="321" spans="1:20">
      <c r="A321" s="118">
        <f>+A318+1</f>
        <v>125</v>
      </c>
      <c r="B321" s="91" t="s">
        <v>760</v>
      </c>
      <c r="C321" s="134"/>
      <c r="D321" s="91"/>
      <c r="E321" s="262" t="s">
        <v>761</v>
      </c>
      <c r="F321" s="793"/>
      <c r="G321" s="944">
        <v>0</v>
      </c>
      <c r="H321" s="945">
        <v>0</v>
      </c>
      <c r="I321" s="945">
        <v>0</v>
      </c>
      <c r="J321" s="945">
        <v>0</v>
      </c>
      <c r="K321" s="945">
        <v>0</v>
      </c>
      <c r="L321" s="945">
        <v>0</v>
      </c>
      <c r="M321" s="945">
        <v>0</v>
      </c>
      <c r="N321" s="945">
        <v>0</v>
      </c>
      <c r="O321" s="945">
        <v>0</v>
      </c>
      <c r="P321" s="945">
        <v>0</v>
      </c>
      <c r="Q321" s="945">
        <v>0</v>
      </c>
      <c r="R321" s="942">
        <v>0</v>
      </c>
      <c r="S321" s="942">
        <v>0</v>
      </c>
      <c r="T321" s="946">
        <f>+SUM(G321:S321)/13</f>
        <v>0</v>
      </c>
    </row>
    <row r="322" spans="1:20">
      <c r="A322" s="118">
        <f>+A321+1</f>
        <v>126</v>
      </c>
      <c r="B322" s="91" t="s">
        <v>37</v>
      </c>
      <c r="C322" s="134"/>
      <c r="D322" s="91"/>
      <c r="E322" s="262">
        <v>219</v>
      </c>
      <c r="F322" s="793"/>
      <c r="G322" s="944">
        <v>0</v>
      </c>
      <c r="H322" s="945">
        <v>0</v>
      </c>
      <c r="I322" s="945">
        <v>0</v>
      </c>
      <c r="J322" s="945">
        <v>0</v>
      </c>
      <c r="K322" s="945">
        <v>0</v>
      </c>
      <c r="L322" s="945">
        <v>0</v>
      </c>
      <c r="M322" s="945">
        <v>0</v>
      </c>
      <c r="N322" s="945">
        <v>0</v>
      </c>
      <c r="O322" s="945">
        <v>0</v>
      </c>
      <c r="P322" s="945">
        <v>0</v>
      </c>
      <c r="Q322" s="945">
        <v>0</v>
      </c>
      <c r="R322" s="942">
        <v>0</v>
      </c>
      <c r="S322" s="942">
        <v>0</v>
      </c>
      <c r="T322" s="946">
        <f t="shared" ref="T322" si="24">+SUM(G322:S322)/13</f>
        <v>0</v>
      </c>
    </row>
    <row r="323" spans="1:20" s="562" customFormat="1">
      <c r="A323" s="97">
        <f>+A322+1</f>
        <v>127</v>
      </c>
      <c r="B323" s="91" t="s">
        <v>762</v>
      </c>
      <c r="C323" s="134"/>
      <c r="D323" s="91"/>
      <c r="E323" s="262">
        <v>336</v>
      </c>
      <c r="F323" s="793"/>
      <c r="G323" s="120"/>
      <c r="H323" s="117"/>
      <c r="I323" s="117"/>
      <c r="J323" s="117"/>
      <c r="K323" s="117"/>
      <c r="L323" s="117"/>
      <c r="M323" s="117"/>
      <c r="N323" s="117"/>
      <c r="O323" s="117"/>
      <c r="P323" s="117"/>
      <c r="Q323" s="117"/>
      <c r="R323" s="54"/>
      <c r="S323" s="54"/>
      <c r="T323" s="948">
        <v>0</v>
      </c>
    </row>
    <row r="324" spans="1:20">
      <c r="A324" s="562"/>
      <c r="B324" s="562"/>
      <c r="C324" s="562"/>
      <c r="D324" s="562"/>
      <c r="E324" s="262"/>
      <c r="G324" s="546"/>
      <c r="H324" s="546"/>
      <c r="I324" s="546"/>
      <c r="J324" s="546"/>
      <c r="K324" s="546"/>
      <c r="L324" s="546"/>
      <c r="M324" s="546"/>
      <c r="N324" s="546"/>
      <c r="O324" s="546"/>
      <c r="P324" s="546"/>
      <c r="Q324" s="546"/>
      <c r="R324" s="546"/>
      <c r="S324" s="546"/>
      <c r="T324" s="947"/>
    </row>
    <row r="325" spans="1:20">
      <c r="A325" s="118"/>
      <c r="B325" s="1002" t="str">
        <f>+'7B - Schedule 12 Projects'!M8</f>
        <v>Name</v>
      </c>
      <c r="C325" s="134"/>
      <c r="D325" s="91"/>
      <c r="E325" s="262"/>
      <c r="F325" s="793"/>
      <c r="G325" s="546"/>
      <c r="H325" s="546"/>
      <c r="I325" s="546"/>
      <c r="J325" s="546"/>
      <c r="K325" s="546"/>
      <c r="L325" s="546"/>
      <c r="M325" s="546"/>
      <c r="N325" s="546"/>
      <c r="O325" s="546"/>
      <c r="P325" s="546"/>
      <c r="Q325" s="546"/>
      <c r="R325" s="546"/>
      <c r="S325" s="546"/>
      <c r="T325" s="947"/>
    </row>
    <row r="326" spans="1:20">
      <c r="A326" s="118">
        <f>+A323+1</f>
        <v>128</v>
      </c>
      <c r="B326" s="91" t="s">
        <v>760</v>
      </c>
      <c r="C326" s="134"/>
      <c r="D326" s="91"/>
      <c r="E326" s="262" t="s">
        <v>761</v>
      </c>
      <c r="F326" s="793"/>
      <c r="G326" s="944">
        <v>0</v>
      </c>
      <c r="H326" s="945">
        <v>0</v>
      </c>
      <c r="I326" s="945">
        <v>0</v>
      </c>
      <c r="J326" s="945">
        <v>0</v>
      </c>
      <c r="K326" s="945">
        <v>0</v>
      </c>
      <c r="L326" s="945">
        <v>0</v>
      </c>
      <c r="M326" s="945">
        <v>0</v>
      </c>
      <c r="N326" s="945">
        <v>0</v>
      </c>
      <c r="O326" s="945">
        <v>0</v>
      </c>
      <c r="P326" s="945">
        <v>0</v>
      </c>
      <c r="Q326" s="945">
        <v>0</v>
      </c>
      <c r="R326" s="942">
        <v>0</v>
      </c>
      <c r="S326" s="942">
        <v>0</v>
      </c>
      <c r="T326" s="946">
        <f>+SUM(G326:S326)/13</f>
        <v>0</v>
      </c>
    </row>
    <row r="327" spans="1:20">
      <c r="A327" s="118">
        <f>+A326+1</f>
        <v>129</v>
      </c>
      <c r="B327" s="91" t="s">
        <v>37</v>
      </c>
      <c r="C327" s="134"/>
      <c r="D327" s="91"/>
      <c r="E327" s="262">
        <v>219</v>
      </c>
      <c r="F327" s="793"/>
      <c r="G327" s="944">
        <v>0</v>
      </c>
      <c r="H327" s="945">
        <v>0</v>
      </c>
      <c r="I327" s="945">
        <v>0</v>
      </c>
      <c r="J327" s="945">
        <v>0</v>
      </c>
      <c r="K327" s="945">
        <v>0</v>
      </c>
      <c r="L327" s="945">
        <v>0</v>
      </c>
      <c r="M327" s="945">
        <v>0</v>
      </c>
      <c r="N327" s="945">
        <v>0</v>
      </c>
      <c r="O327" s="945">
        <v>0</v>
      </c>
      <c r="P327" s="945">
        <v>0</v>
      </c>
      <c r="Q327" s="945">
        <v>0</v>
      </c>
      <c r="R327" s="942">
        <v>0</v>
      </c>
      <c r="S327" s="942">
        <v>0</v>
      </c>
      <c r="T327" s="946">
        <f t="shared" ref="T327" si="25">+SUM(G327:S327)/13</f>
        <v>0</v>
      </c>
    </row>
    <row r="328" spans="1:20">
      <c r="A328" s="90">
        <f>+A327+1</f>
        <v>130</v>
      </c>
      <c r="B328" s="91" t="s">
        <v>762</v>
      </c>
      <c r="C328" s="134"/>
      <c r="D328" s="91"/>
      <c r="E328" s="262">
        <v>336</v>
      </c>
      <c r="F328" s="793"/>
      <c r="G328" s="120"/>
      <c r="H328" s="117"/>
      <c r="I328" s="117"/>
      <c r="J328" s="117"/>
      <c r="K328" s="117"/>
      <c r="L328" s="117"/>
      <c r="M328" s="117"/>
      <c r="N328" s="117"/>
      <c r="O328" s="117"/>
      <c r="P328" s="117"/>
      <c r="Q328" s="117"/>
      <c r="R328" s="54"/>
      <c r="S328" s="54"/>
      <c r="T328" s="948">
        <v>0</v>
      </c>
    </row>
    <row r="329" spans="1:20" s="562" customFormat="1">
      <c r="B329" s="91"/>
      <c r="C329" s="134"/>
      <c r="D329" s="91"/>
      <c r="E329" s="262"/>
      <c r="F329" s="793"/>
      <c r="G329" s="120"/>
      <c r="H329" s="117"/>
      <c r="I329" s="117"/>
      <c r="J329" s="117"/>
      <c r="K329" s="117"/>
      <c r="L329" s="117"/>
      <c r="M329" s="117"/>
      <c r="N329" s="117"/>
      <c r="O329" s="117"/>
      <c r="P329" s="117"/>
      <c r="Q329" s="117"/>
      <c r="R329" s="54"/>
      <c r="S329" s="54"/>
      <c r="T329" s="946"/>
    </row>
    <row r="330" spans="1:20">
      <c r="A330" s="118"/>
      <c r="B330" s="1002" t="str">
        <f>+'7B - Schedule 12 Projects'!O8</f>
        <v>Name</v>
      </c>
      <c r="C330" s="134"/>
      <c r="D330" s="91"/>
      <c r="E330" s="262"/>
      <c r="F330" s="793"/>
      <c r="G330" s="546"/>
      <c r="H330" s="546"/>
      <c r="I330" s="546"/>
      <c r="J330" s="546"/>
      <c r="K330" s="546"/>
      <c r="L330" s="546"/>
      <c r="M330" s="546"/>
      <c r="N330" s="546"/>
      <c r="O330" s="546"/>
      <c r="P330" s="546"/>
      <c r="Q330" s="546"/>
      <c r="R330" s="546"/>
      <c r="S330" s="546"/>
      <c r="T330" s="947"/>
    </row>
    <row r="331" spans="1:20">
      <c r="A331" s="118">
        <f>+A328+1</f>
        <v>131</v>
      </c>
      <c r="B331" s="91" t="s">
        <v>760</v>
      </c>
      <c r="C331" s="134"/>
      <c r="D331" s="91"/>
      <c r="E331" s="262" t="s">
        <v>761</v>
      </c>
      <c r="F331" s="793"/>
      <c r="G331" s="944">
        <v>0</v>
      </c>
      <c r="H331" s="945">
        <v>0</v>
      </c>
      <c r="I331" s="945">
        <v>0</v>
      </c>
      <c r="J331" s="945">
        <v>0</v>
      </c>
      <c r="K331" s="945">
        <v>0</v>
      </c>
      <c r="L331" s="945">
        <v>0</v>
      </c>
      <c r="M331" s="945">
        <v>0</v>
      </c>
      <c r="N331" s="945">
        <v>0</v>
      </c>
      <c r="O331" s="945">
        <v>0</v>
      </c>
      <c r="P331" s="945">
        <v>0</v>
      </c>
      <c r="Q331" s="945">
        <v>0</v>
      </c>
      <c r="R331" s="942">
        <v>0</v>
      </c>
      <c r="S331" s="942">
        <v>0</v>
      </c>
      <c r="T331" s="946">
        <f>+SUM(G331:S331)/13</f>
        <v>0</v>
      </c>
    </row>
    <row r="332" spans="1:20">
      <c r="A332" s="118">
        <f>+A331+1</f>
        <v>132</v>
      </c>
      <c r="B332" s="91" t="s">
        <v>37</v>
      </c>
      <c r="C332" s="134"/>
      <c r="D332" s="91"/>
      <c r="E332" s="262">
        <v>219</v>
      </c>
      <c r="F332" s="793"/>
      <c r="G332" s="944">
        <v>0</v>
      </c>
      <c r="H332" s="945">
        <v>0</v>
      </c>
      <c r="I332" s="945">
        <v>0</v>
      </c>
      <c r="J332" s="945">
        <v>0</v>
      </c>
      <c r="K332" s="945">
        <v>0</v>
      </c>
      <c r="L332" s="945">
        <v>0</v>
      </c>
      <c r="M332" s="945">
        <v>0</v>
      </c>
      <c r="N332" s="945">
        <v>0</v>
      </c>
      <c r="O332" s="945">
        <v>0</v>
      </c>
      <c r="P332" s="945">
        <v>0</v>
      </c>
      <c r="Q332" s="945">
        <v>0</v>
      </c>
      <c r="R332" s="942">
        <v>0</v>
      </c>
      <c r="S332" s="942">
        <v>0</v>
      </c>
      <c r="T332" s="946">
        <f t="shared" ref="T332" si="26">+SUM(G332:S332)/13</f>
        <v>0</v>
      </c>
    </row>
    <row r="333" spans="1:20">
      <c r="A333" s="118">
        <f>+A332+1</f>
        <v>133</v>
      </c>
      <c r="B333" s="91" t="s">
        <v>762</v>
      </c>
      <c r="C333" s="134"/>
      <c r="D333" s="91"/>
      <c r="E333" s="262">
        <v>336</v>
      </c>
      <c r="F333" s="793"/>
      <c r="G333" s="120"/>
      <c r="H333" s="117"/>
      <c r="I333" s="117"/>
      <c r="J333" s="117"/>
      <c r="K333" s="117"/>
      <c r="L333" s="117"/>
      <c r="M333" s="117"/>
      <c r="N333" s="117"/>
      <c r="O333" s="117"/>
      <c r="P333" s="117"/>
      <c r="Q333" s="117"/>
      <c r="R333" s="54"/>
      <c r="S333" s="54"/>
      <c r="T333" s="948">
        <v>0</v>
      </c>
    </row>
    <row r="334" spans="1:20" s="562" customFormat="1">
      <c r="A334" s="118"/>
      <c r="B334" s="91"/>
      <c r="C334" s="134"/>
      <c r="D334" s="91"/>
      <c r="E334" s="262"/>
      <c r="F334" s="793"/>
      <c r="G334" s="120"/>
      <c r="H334" s="117"/>
      <c r="I334" s="117"/>
      <c r="J334" s="117"/>
      <c r="K334" s="117"/>
      <c r="L334" s="117"/>
      <c r="M334" s="117"/>
      <c r="N334" s="117"/>
      <c r="O334" s="117"/>
      <c r="P334" s="117"/>
      <c r="Q334" s="117"/>
      <c r="R334" s="54"/>
      <c r="S334" s="54"/>
      <c r="T334" s="946"/>
    </row>
    <row r="335" spans="1:20">
      <c r="A335" s="118"/>
      <c r="B335" s="1002" t="str">
        <f>+'7B - Schedule 12 Projects'!Q8</f>
        <v>Name</v>
      </c>
      <c r="C335" s="134"/>
      <c r="D335" s="91"/>
      <c r="E335" s="262"/>
      <c r="F335" s="793"/>
      <c r="G335" s="546"/>
      <c r="H335" s="546"/>
      <c r="I335" s="546"/>
      <c r="J335" s="546"/>
      <c r="K335" s="546"/>
      <c r="L335" s="546"/>
      <c r="M335" s="546"/>
      <c r="N335" s="546"/>
      <c r="O335" s="546"/>
      <c r="P335" s="546"/>
      <c r="Q335" s="546"/>
      <c r="R335" s="546"/>
      <c r="S335" s="546"/>
      <c r="T335" s="947"/>
    </row>
    <row r="336" spans="1:20">
      <c r="A336" s="118">
        <f>+A333+1</f>
        <v>134</v>
      </c>
      <c r="B336" s="91" t="s">
        <v>760</v>
      </c>
      <c r="C336" s="134"/>
      <c r="D336" s="91"/>
      <c r="E336" s="262" t="s">
        <v>761</v>
      </c>
      <c r="F336" s="793"/>
      <c r="G336" s="944">
        <v>0</v>
      </c>
      <c r="H336" s="945">
        <v>0</v>
      </c>
      <c r="I336" s="945">
        <v>0</v>
      </c>
      <c r="J336" s="945">
        <v>0</v>
      </c>
      <c r="K336" s="945">
        <v>0</v>
      </c>
      <c r="L336" s="945">
        <v>0</v>
      </c>
      <c r="M336" s="945">
        <v>0</v>
      </c>
      <c r="N336" s="945">
        <v>0</v>
      </c>
      <c r="O336" s="945">
        <v>0</v>
      </c>
      <c r="P336" s="945">
        <v>0</v>
      </c>
      <c r="Q336" s="945">
        <v>0</v>
      </c>
      <c r="R336" s="942">
        <v>0</v>
      </c>
      <c r="S336" s="942">
        <v>0</v>
      </c>
      <c r="T336" s="946">
        <f>+SUM(G336:S336)/13</f>
        <v>0</v>
      </c>
    </row>
    <row r="337" spans="1:20">
      <c r="A337" s="118">
        <f>+A336+1</f>
        <v>135</v>
      </c>
      <c r="B337" s="91" t="s">
        <v>37</v>
      </c>
      <c r="C337" s="134"/>
      <c r="D337" s="91"/>
      <c r="E337" s="262">
        <v>219</v>
      </c>
      <c r="F337" s="793"/>
      <c r="G337" s="944">
        <v>0</v>
      </c>
      <c r="H337" s="945">
        <v>0</v>
      </c>
      <c r="I337" s="945">
        <v>0</v>
      </c>
      <c r="J337" s="945">
        <v>0</v>
      </c>
      <c r="K337" s="945">
        <v>0</v>
      </c>
      <c r="L337" s="945">
        <v>0</v>
      </c>
      <c r="M337" s="945">
        <v>0</v>
      </c>
      <c r="N337" s="945">
        <v>0</v>
      </c>
      <c r="O337" s="945">
        <v>0</v>
      </c>
      <c r="P337" s="945">
        <v>0</v>
      </c>
      <c r="Q337" s="945">
        <v>0</v>
      </c>
      <c r="R337" s="942">
        <v>0</v>
      </c>
      <c r="S337" s="942">
        <v>0</v>
      </c>
      <c r="T337" s="946">
        <f t="shared" ref="T337" si="27">+SUM(G337:S337)/13</f>
        <v>0</v>
      </c>
    </row>
    <row r="338" spans="1:20">
      <c r="A338" s="118">
        <f>+A337+1</f>
        <v>136</v>
      </c>
      <c r="B338" s="91" t="s">
        <v>762</v>
      </c>
      <c r="C338" s="134"/>
      <c r="D338" s="91"/>
      <c r="E338" s="262">
        <v>336</v>
      </c>
      <c r="F338" s="793"/>
      <c r="G338" s="120"/>
      <c r="H338" s="117"/>
      <c r="I338" s="117"/>
      <c r="J338" s="117"/>
      <c r="K338" s="117"/>
      <c r="L338" s="117"/>
      <c r="M338" s="117"/>
      <c r="N338" s="117"/>
      <c r="O338" s="117"/>
      <c r="P338" s="117"/>
      <c r="Q338" s="117"/>
      <c r="R338" s="54"/>
      <c r="S338" s="54"/>
      <c r="T338" s="948">
        <v>0</v>
      </c>
    </row>
    <row r="339" spans="1:20" s="562" customFormat="1">
      <c r="A339" s="118"/>
      <c r="B339" s="91"/>
      <c r="C339" s="134"/>
      <c r="D339" s="91"/>
      <c r="E339" s="262"/>
      <c r="F339" s="793"/>
      <c r="G339" s="120"/>
      <c r="H339" s="117"/>
      <c r="I339" s="117"/>
      <c r="J339" s="117"/>
      <c r="K339" s="117"/>
      <c r="L339" s="117"/>
      <c r="M339" s="117"/>
      <c r="N339" s="117"/>
      <c r="O339" s="117"/>
      <c r="P339" s="117"/>
      <c r="Q339" s="117"/>
      <c r="R339" s="54"/>
      <c r="S339" s="54"/>
      <c r="T339" s="946"/>
    </row>
    <row r="340" spans="1:20">
      <c r="A340" s="118"/>
      <c r="B340" s="1002" t="str">
        <f>+'7B - Schedule 12 Projects'!S8</f>
        <v>Name</v>
      </c>
      <c r="C340" s="134"/>
      <c r="D340" s="91"/>
      <c r="E340" s="262"/>
      <c r="F340" s="793"/>
      <c r="G340" s="546"/>
      <c r="H340" s="546"/>
      <c r="I340" s="546"/>
      <c r="J340" s="546"/>
      <c r="K340" s="546"/>
      <c r="L340" s="546"/>
      <c r="M340" s="546"/>
      <c r="N340" s="546"/>
      <c r="O340" s="546"/>
      <c r="P340" s="546"/>
      <c r="Q340" s="546"/>
      <c r="R340" s="546"/>
      <c r="S340" s="546"/>
      <c r="T340" s="947"/>
    </row>
    <row r="341" spans="1:20">
      <c r="A341" s="118">
        <f>+A338+1</f>
        <v>137</v>
      </c>
      <c r="B341" s="91" t="s">
        <v>760</v>
      </c>
      <c r="C341" s="134"/>
      <c r="D341" s="91"/>
      <c r="E341" s="262" t="s">
        <v>761</v>
      </c>
      <c r="F341" s="793"/>
      <c r="G341" s="944">
        <v>0</v>
      </c>
      <c r="H341" s="945">
        <v>0</v>
      </c>
      <c r="I341" s="945">
        <v>0</v>
      </c>
      <c r="J341" s="945">
        <v>0</v>
      </c>
      <c r="K341" s="945">
        <v>0</v>
      </c>
      <c r="L341" s="945">
        <v>0</v>
      </c>
      <c r="M341" s="945">
        <v>0</v>
      </c>
      <c r="N341" s="945">
        <v>0</v>
      </c>
      <c r="O341" s="945">
        <v>0</v>
      </c>
      <c r="P341" s="945">
        <v>0</v>
      </c>
      <c r="Q341" s="945">
        <v>0</v>
      </c>
      <c r="R341" s="942">
        <v>0</v>
      </c>
      <c r="S341" s="942">
        <v>0</v>
      </c>
      <c r="T341" s="946">
        <f>+SUM(G341:S341)/13</f>
        <v>0</v>
      </c>
    </row>
    <row r="342" spans="1:20">
      <c r="A342" s="118">
        <f>+A341+1</f>
        <v>138</v>
      </c>
      <c r="B342" s="91" t="s">
        <v>37</v>
      </c>
      <c r="C342" s="134"/>
      <c r="D342" s="91"/>
      <c r="E342" s="262">
        <v>219</v>
      </c>
      <c r="F342" s="793"/>
      <c r="G342" s="944">
        <v>0</v>
      </c>
      <c r="H342" s="945">
        <v>0</v>
      </c>
      <c r="I342" s="945">
        <v>0</v>
      </c>
      <c r="J342" s="945">
        <v>0</v>
      </c>
      <c r="K342" s="945">
        <v>0</v>
      </c>
      <c r="L342" s="945">
        <v>0</v>
      </c>
      <c r="M342" s="945">
        <v>0</v>
      </c>
      <c r="N342" s="945">
        <v>0</v>
      </c>
      <c r="O342" s="945">
        <v>0</v>
      </c>
      <c r="P342" s="945">
        <v>0</v>
      </c>
      <c r="Q342" s="945">
        <v>0</v>
      </c>
      <c r="R342" s="942">
        <v>0</v>
      </c>
      <c r="S342" s="942">
        <v>0</v>
      </c>
      <c r="T342" s="946">
        <f t="shared" ref="T342" si="28">+SUM(G342:S342)/13</f>
        <v>0</v>
      </c>
    </row>
    <row r="343" spans="1:20">
      <c r="A343" s="118">
        <f>+A342+1</f>
        <v>139</v>
      </c>
      <c r="B343" s="91" t="s">
        <v>762</v>
      </c>
      <c r="C343" s="134"/>
      <c r="D343" s="91"/>
      <c r="E343" s="262">
        <v>336</v>
      </c>
      <c r="F343" s="793"/>
      <c r="G343" s="120"/>
      <c r="H343" s="117"/>
      <c r="I343" s="117"/>
      <c r="J343" s="117"/>
      <c r="K343" s="117"/>
      <c r="L343" s="117"/>
      <c r="M343" s="117"/>
      <c r="N343" s="117"/>
      <c r="O343" s="117"/>
      <c r="P343" s="117"/>
      <c r="Q343" s="117"/>
      <c r="R343" s="54"/>
      <c r="S343" s="54"/>
      <c r="T343" s="948">
        <v>0</v>
      </c>
    </row>
    <row r="344" spans="1:20" s="562" customFormat="1">
      <c r="A344" s="118"/>
      <c r="B344" s="91"/>
      <c r="C344" s="134"/>
      <c r="D344" s="91"/>
      <c r="E344" s="262"/>
      <c r="F344" s="793"/>
      <c r="G344" s="120"/>
      <c r="H344" s="117"/>
      <c r="I344" s="117"/>
      <c r="J344" s="117"/>
      <c r="K344" s="117"/>
      <c r="L344" s="117"/>
      <c r="M344" s="117"/>
      <c r="N344" s="117"/>
      <c r="O344" s="117"/>
      <c r="P344" s="117"/>
      <c r="Q344" s="117"/>
      <c r="R344" s="54"/>
      <c r="S344" s="54"/>
      <c r="T344" s="946"/>
    </row>
    <row r="345" spans="1:20">
      <c r="A345" s="118"/>
      <c r="B345" s="1002" t="str">
        <f>+'7B - Schedule 12 Projects'!U8</f>
        <v>Name</v>
      </c>
      <c r="C345" s="134"/>
      <c r="D345" s="91"/>
      <c r="E345" s="262"/>
      <c r="F345" s="793"/>
      <c r="G345" s="546"/>
      <c r="H345" s="546"/>
      <c r="I345" s="546"/>
      <c r="J345" s="546"/>
      <c r="K345" s="546"/>
      <c r="L345" s="546"/>
      <c r="M345" s="546"/>
      <c r="N345" s="546"/>
      <c r="O345" s="546"/>
      <c r="P345" s="546"/>
      <c r="Q345" s="546"/>
      <c r="R345" s="546"/>
      <c r="S345" s="546"/>
      <c r="T345" s="947"/>
    </row>
    <row r="346" spans="1:20">
      <c r="A346" s="118">
        <f>+A343+1</f>
        <v>140</v>
      </c>
      <c r="B346" s="91" t="s">
        <v>760</v>
      </c>
      <c r="C346" s="134"/>
      <c r="D346" s="91"/>
      <c r="E346" s="262" t="s">
        <v>761</v>
      </c>
      <c r="F346" s="793"/>
      <c r="G346" s="944">
        <v>0</v>
      </c>
      <c r="H346" s="945">
        <v>0</v>
      </c>
      <c r="I346" s="945">
        <v>0</v>
      </c>
      <c r="J346" s="945">
        <v>0</v>
      </c>
      <c r="K346" s="945">
        <v>0</v>
      </c>
      <c r="L346" s="945">
        <v>0</v>
      </c>
      <c r="M346" s="945">
        <v>0</v>
      </c>
      <c r="N346" s="945">
        <v>0</v>
      </c>
      <c r="O346" s="945">
        <v>0</v>
      </c>
      <c r="P346" s="945">
        <v>0</v>
      </c>
      <c r="Q346" s="945">
        <v>0</v>
      </c>
      <c r="R346" s="942">
        <v>0</v>
      </c>
      <c r="S346" s="942">
        <v>0</v>
      </c>
      <c r="T346" s="946">
        <f>+SUM(G346:S346)/13</f>
        <v>0</v>
      </c>
    </row>
    <row r="347" spans="1:20">
      <c r="A347" s="118">
        <f>+A346+1</f>
        <v>141</v>
      </c>
      <c r="B347" s="91" t="s">
        <v>37</v>
      </c>
      <c r="C347" s="134"/>
      <c r="D347" s="91"/>
      <c r="E347" s="262">
        <v>219</v>
      </c>
      <c r="F347" s="793"/>
      <c r="G347" s="944">
        <v>0</v>
      </c>
      <c r="H347" s="945">
        <v>0</v>
      </c>
      <c r="I347" s="945">
        <v>0</v>
      </c>
      <c r="J347" s="945">
        <v>0</v>
      </c>
      <c r="K347" s="945">
        <v>0</v>
      </c>
      <c r="L347" s="945">
        <v>0</v>
      </c>
      <c r="M347" s="945">
        <v>0</v>
      </c>
      <c r="N347" s="945">
        <v>0</v>
      </c>
      <c r="O347" s="945">
        <v>0</v>
      </c>
      <c r="P347" s="945">
        <v>0</v>
      </c>
      <c r="Q347" s="945">
        <v>0</v>
      </c>
      <c r="R347" s="942">
        <v>0</v>
      </c>
      <c r="S347" s="942">
        <v>0</v>
      </c>
      <c r="T347" s="946">
        <f t="shared" ref="T347" si="29">+SUM(G347:S347)/13</f>
        <v>0</v>
      </c>
    </row>
    <row r="348" spans="1:20">
      <c r="A348" s="118">
        <f>+A347+1</f>
        <v>142</v>
      </c>
      <c r="B348" s="91" t="s">
        <v>762</v>
      </c>
      <c r="C348" s="134"/>
      <c r="D348" s="91"/>
      <c r="E348" s="262">
        <v>336</v>
      </c>
      <c r="F348" s="793"/>
      <c r="G348" s="120"/>
      <c r="H348" s="117"/>
      <c r="I348" s="117"/>
      <c r="J348" s="117"/>
      <c r="K348" s="117"/>
      <c r="L348" s="117"/>
      <c r="M348" s="117"/>
      <c r="N348" s="117"/>
      <c r="O348" s="117"/>
      <c r="P348" s="117"/>
      <c r="Q348" s="117"/>
      <c r="R348" s="54"/>
      <c r="S348" s="54"/>
      <c r="T348" s="948">
        <v>0</v>
      </c>
    </row>
    <row r="349" spans="1:20" s="562" customFormat="1">
      <c r="A349" s="118"/>
      <c r="B349" s="91"/>
      <c r="C349" s="134"/>
      <c r="D349" s="91"/>
      <c r="E349" s="262"/>
      <c r="F349" s="793"/>
      <c r="G349" s="120"/>
      <c r="H349" s="117"/>
      <c r="I349" s="117"/>
      <c r="J349" s="117"/>
      <c r="K349" s="117"/>
      <c r="L349" s="117"/>
      <c r="M349" s="117"/>
      <c r="N349" s="117"/>
      <c r="O349" s="117"/>
      <c r="P349" s="117"/>
      <c r="Q349" s="117"/>
      <c r="R349" s="54"/>
      <c r="S349" s="54"/>
      <c r="T349" s="946"/>
    </row>
    <row r="350" spans="1:20">
      <c r="A350" s="118"/>
      <c r="B350" s="1002" t="str">
        <f>+'7B - Schedule 12 Projects'!W8</f>
        <v>Name</v>
      </c>
      <c r="C350" s="134"/>
      <c r="D350" s="91"/>
      <c r="E350" s="262"/>
      <c r="F350" s="793"/>
      <c r="G350" s="546"/>
      <c r="H350" s="546"/>
      <c r="I350" s="546"/>
      <c r="J350" s="546"/>
      <c r="K350" s="546"/>
      <c r="L350" s="546"/>
      <c r="M350" s="546"/>
      <c r="N350" s="546"/>
      <c r="O350" s="546"/>
      <c r="P350" s="546"/>
      <c r="Q350" s="546"/>
      <c r="R350" s="546"/>
      <c r="S350" s="546"/>
      <c r="T350" s="947"/>
    </row>
    <row r="351" spans="1:20">
      <c r="A351" s="118">
        <f>+A348+1</f>
        <v>143</v>
      </c>
      <c r="B351" s="91" t="s">
        <v>760</v>
      </c>
      <c r="C351" s="134"/>
      <c r="D351" s="91"/>
      <c r="E351" s="262" t="s">
        <v>761</v>
      </c>
      <c r="F351" s="793"/>
      <c r="G351" s="944">
        <v>0</v>
      </c>
      <c r="H351" s="945">
        <v>0</v>
      </c>
      <c r="I351" s="945">
        <v>0</v>
      </c>
      <c r="J351" s="945">
        <v>0</v>
      </c>
      <c r="K351" s="945">
        <v>0</v>
      </c>
      <c r="L351" s="945">
        <v>0</v>
      </c>
      <c r="M351" s="945">
        <v>0</v>
      </c>
      <c r="N351" s="945">
        <v>0</v>
      </c>
      <c r="O351" s="945">
        <v>0</v>
      </c>
      <c r="P351" s="945">
        <v>0</v>
      </c>
      <c r="Q351" s="945">
        <v>0</v>
      </c>
      <c r="R351" s="942">
        <v>0</v>
      </c>
      <c r="S351" s="942">
        <v>0</v>
      </c>
      <c r="T351" s="946">
        <f>+SUM(G351:S351)/13</f>
        <v>0</v>
      </c>
    </row>
    <row r="352" spans="1:20">
      <c r="A352" s="118">
        <f>+A351+1</f>
        <v>144</v>
      </c>
      <c r="B352" s="91" t="s">
        <v>37</v>
      </c>
      <c r="C352" s="134"/>
      <c r="D352" s="91"/>
      <c r="E352" s="262">
        <v>219</v>
      </c>
      <c r="F352" s="793"/>
      <c r="G352" s="944">
        <v>0</v>
      </c>
      <c r="H352" s="945">
        <v>0</v>
      </c>
      <c r="I352" s="945">
        <v>0</v>
      </c>
      <c r="J352" s="945">
        <v>0</v>
      </c>
      <c r="K352" s="945">
        <v>0</v>
      </c>
      <c r="L352" s="945">
        <v>0</v>
      </c>
      <c r="M352" s="945">
        <v>0</v>
      </c>
      <c r="N352" s="945">
        <v>0</v>
      </c>
      <c r="O352" s="945">
        <v>0</v>
      </c>
      <c r="P352" s="945">
        <v>0</v>
      </c>
      <c r="Q352" s="945">
        <v>0</v>
      </c>
      <c r="R352" s="942">
        <v>0</v>
      </c>
      <c r="S352" s="942">
        <v>0</v>
      </c>
      <c r="T352" s="946">
        <f t="shared" ref="T352" si="30">+SUM(G352:S352)/13</f>
        <v>0</v>
      </c>
    </row>
    <row r="353" spans="1:21">
      <c r="A353" s="118">
        <f>+A352+1</f>
        <v>145</v>
      </c>
      <c r="B353" s="91" t="s">
        <v>762</v>
      </c>
      <c r="C353" s="134"/>
      <c r="D353" s="91"/>
      <c r="E353" s="262">
        <v>336</v>
      </c>
      <c r="F353" s="793"/>
      <c r="G353" s="120"/>
      <c r="H353" s="117"/>
      <c r="I353" s="117"/>
      <c r="J353" s="117"/>
      <c r="K353" s="117"/>
      <c r="L353" s="117"/>
      <c r="M353" s="117"/>
      <c r="N353" s="117"/>
      <c r="O353" s="117"/>
      <c r="P353" s="117"/>
      <c r="Q353" s="117"/>
      <c r="R353" s="54"/>
      <c r="S353" s="54"/>
      <c r="T353" s="948">
        <v>0</v>
      </c>
      <c r="U353" s="562"/>
    </row>
    <row r="354" spans="1:21" s="562" customFormat="1">
      <c r="A354" s="118"/>
      <c r="B354" s="91"/>
      <c r="C354" s="134"/>
      <c r="D354" s="91"/>
      <c r="E354" s="262"/>
      <c r="F354" s="793"/>
      <c r="G354" s="120"/>
      <c r="H354" s="117"/>
      <c r="I354" s="117"/>
      <c r="J354" s="117"/>
      <c r="K354" s="117"/>
      <c r="L354" s="117"/>
      <c r="M354" s="117"/>
      <c r="N354" s="117"/>
      <c r="O354" s="117"/>
      <c r="P354" s="117"/>
      <c r="Q354" s="117"/>
      <c r="R354" s="54"/>
      <c r="S354" s="54"/>
      <c r="T354" s="946"/>
    </row>
    <row r="355" spans="1:21">
      <c r="A355" s="118"/>
      <c r="B355" s="1002" t="str">
        <f>+'7B - Schedule 12 Projects'!Y8</f>
        <v>Name</v>
      </c>
      <c r="C355" s="134"/>
      <c r="D355" s="91"/>
      <c r="E355" s="262"/>
      <c r="F355" s="793"/>
      <c r="G355" s="546"/>
      <c r="H355" s="546"/>
      <c r="I355" s="546"/>
      <c r="J355" s="546"/>
      <c r="K355" s="546"/>
      <c r="L355" s="546"/>
      <c r="M355" s="546"/>
      <c r="N355" s="546"/>
      <c r="O355" s="546"/>
      <c r="P355" s="546"/>
      <c r="Q355" s="546"/>
      <c r="R355" s="546"/>
      <c r="S355" s="546"/>
      <c r="T355" s="947"/>
      <c r="U355" s="562"/>
    </row>
    <row r="356" spans="1:21">
      <c r="A356" s="118">
        <f>+A353+1</f>
        <v>146</v>
      </c>
      <c r="B356" s="91" t="s">
        <v>760</v>
      </c>
      <c r="C356" s="134"/>
      <c r="D356" s="91"/>
      <c r="E356" s="262" t="s">
        <v>761</v>
      </c>
      <c r="F356" s="793"/>
      <c r="G356" s="944">
        <v>0</v>
      </c>
      <c r="H356" s="945">
        <v>0</v>
      </c>
      <c r="I356" s="945">
        <v>0</v>
      </c>
      <c r="J356" s="945">
        <v>0</v>
      </c>
      <c r="K356" s="945">
        <v>0</v>
      </c>
      <c r="L356" s="945">
        <v>0</v>
      </c>
      <c r="M356" s="945">
        <v>0</v>
      </c>
      <c r="N356" s="945">
        <v>0</v>
      </c>
      <c r="O356" s="945">
        <v>0</v>
      </c>
      <c r="P356" s="945">
        <v>0</v>
      </c>
      <c r="Q356" s="945">
        <v>0</v>
      </c>
      <c r="R356" s="942">
        <v>0</v>
      </c>
      <c r="S356" s="942">
        <v>0</v>
      </c>
      <c r="T356" s="946">
        <f>+SUM(G356:S356)/13</f>
        <v>0</v>
      </c>
      <c r="U356" s="562"/>
    </row>
    <row r="357" spans="1:21">
      <c r="A357" s="118">
        <f>+A356+1</f>
        <v>147</v>
      </c>
      <c r="B357" s="91" t="s">
        <v>37</v>
      </c>
      <c r="C357" s="134"/>
      <c r="D357" s="91"/>
      <c r="E357" s="262">
        <v>219</v>
      </c>
      <c r="F357" s="793"/>
      <c r="G357" s="944">
        <v>0</v>
      </c>
      <c r="H357" s="945">
        <v>0</v>
      </c>
      <c r="I357" s="945">
        <v>0</v>
      </c>
      <c r="J357" s="945">
        <v>0</v>
      </c>
      <c r="K357" s="945">
        <v>0</v>
      </c>
      <c r="L357" s="945">
        <v>0</v>
      </c>
      <c r="M357" s="945">
        <v>0</v>
      </c>
      <c r="N357" s="945">
        <v>0</v>
      </c>
      <c r="O357" s="945">
        <v>0</v>
      </c>
      <c r="P357" s="945">
        <v>0</v>
      </c>
      <c r="Q357" s="945">
        <v>0</v>
      </c>
      <c r="R357" s="942">
        <v>0</v>
      </c>
      <c r="S357" s="942">
        <v>0</v>
      </c>
      <c r="T357" s="946">
        <f t="shared" ref="T357" si="31">+SUM(G357:S357)/13</f>
        <v>0</v>
      </c>
      <c r="U357" s="562"/>
    </row>
    <row r="358" spans="1:21">
      <c r="A358" s="118">
        <f>+A357+1</f>
        <v>148</v>
      </c>
      <c r="B358" s="91" t="s">
        <v>762</v>
      </c>
      <c r="C358" s="134"/>
      <c r="D358" s="91"/>
      <c r="E358" s="262">
        <v>336</v>
      </c>
      <c r="F358" s="793"/>
      <c r="G358" s="120"/>
      <c r="H358" s="117"/>
      <c r="I358" s="117"/>
      <c r="J358" s="117"/>
      <c r="K358" s="117"/>
      <c r="L358" s="117"/>
      <c r="M358" s="117"/>
      <c r="N358" s="117"/>
      <c r="O358" s="117"/>
      <c r="P358" s="117"/>
      <c r="Q358" s="117"/>
      <c r="R358" s="54"/>
      <c r="S358" s="54"/>
      <c r="T358" s="948">
        <v>0</v>
      </c>
      <c r="U358" s="562"/>
    </row>
    <row r="359" spans="1:21" ht="15.75" thickBot="1">
      <c r="A359" s="144"/>
      <c r="B359" s="144"/>
      <c r="C359" s="144"/>
      <c r="D359" s="144"/>
      <c r="E359" s="144"/>
      <c r="F359" s="144"/>
      <c r="G359" s="144"/>
      <c r="H359" s="144"/>
      <c r="I359" s="144"/>
      <c r="J359" s="144"/>
      <c r="K359" s="144"/>
      <c r="L359" s="144"/>
      <c r="M359" s="144"/>
      <c r="N359" s="144"/>
      <c r="O359" s="144"/>
      <c r="P359" s="144"/>
      <c r="Q359" s="144"/>
      <c r="R359" s="144"/>
      <c r="S359" s="144"/>
      <c r="T359" s="1108"/>
      <c r="U359" s="562"/>
    </row>
    <row r="360" spans="1:21">
      <c r="A360" s="562"/>
      <c r="B360" s="562"/>
      <c r="C360" s="562"/>
      <c r="D360" s="562"/>
      <c r="E360" s="562"/>
      <c r="G360" s="562"/>
      <c r="H360" s="562"/>
      <c r="I360" s="562"/>
      <c r="J360" s="562"/>
      <c r="K360" s="562"/>
      <c r="L360" s="562"/>
      <c r="M360" s="562"/>
      <c r="N360" s="562"/>
      <c r="O360" s="562"/>
      <c r="P360" s="562"/>
      <c r="Q360" s="562"/>
      <c r="R360" s="562"/>
      <c r="S360" s="562"/>
      <c r="T360" s="91"/>
      <c r="U360" s="91"/>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T57:U57"/>
    <mergeCell ref="T79:U79"/>
    <mergeCell ref="T181:U181"/>
    <mergeCell ref="A1:U1"/>
    <mergeCell ref="T166:U166"/>
    <mergeCell ref="T168:U168"/>
    <mergeCell ref="T173:U173"/>
    <mergeCell ref="T176:U176"/>
    <mergeCell ref="A2:U2"/>
    <mergeCell ref="A3:U3"/>
    <mergeCell ref="H6:S6"/>
    <mergeCell ref="H51:S51"/>
    <mergeCell ref="T76:U76"/>
    <mergeCell ref="T151:U151"/>
    <mergeCell ref="T153:U153"/>
    <mergeCell ref="H255:S255"/>
    <mergeCell ref="H308:S308"/>
    <mergeCell ref="T216:U216"/>
    <mergeCell ref="H193:S193"/>
    <mergeCell ref="T197:U197"/>
    <mergeCell ref="H200:S200"/>
    <mergeCell ref="T210:U210"/>
    <mergeCell ref="H212:S212"/>
  </mergeCells>
  <phoneticPr fontId="33" type="noConversion"/>
  <printOptions horizontalCentered="1"/>
  <pageMargins left="0.45" right="0.21" top="5.5555555555555601E-3" bottom="1.46" header="0.45" footer="0.3"/>
  <pageSetup scale="26" fitToHeight="4" orientation="landscape" r:id="rId2"/>
  <rowBreaks count="3" manualBreakCount="3">
    <brk id="97" max="21" man="1"/>
    <brk id="198" max="21" man="1"/>
    <brk id="306" max="21" man="1"/>
  </rowBreaks>
  <customProperties>
    <customPr name="_pios_id" r:id="rId3"/>
    <customPr name="EpmWorksheetKeyString_GUID" r:id="rId4"/>
  </customProperties>
  <ignoredErrors>
    <ignoredError sqref="T130:T131"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80" zoomScaleNormal="80" workbookViewId="0"/>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A1" s="1025"/>
      <c r="B1" s="1025"/>
      <c r="C1" s="1025"/>
      <c r="D1" s="1025"/>
      <c r="E1" s="1025"/>
      <c r="F1" s="697" t="str">
        <f>+'Appendix A'!A3</f>
        <v>Dayton Power and Light</v>
      </c>
      <c r="G1" s="1025"/>
      <c r="H1" s="1025"/>
      <c r="I1" s="1025"/>
      <c r="J1" s="1025"/>
      <c r="K1" s="1025"/>
      <c r="L1" s="1025"/>
      <c r="M1" s="1025"/>
      <c r="N1" s="1025"/>
      <c r="O1" s="1025"/>
      <c r="P1" s="1025"/>
      <c r="Q1" s="1025"/>
      <c r="R1" s="1025"/>
      <c r="S1" s="1025"/>
    </row>
    <row r="2" spans="1:19" ht="20.25">
      <c r="A2" s="1025"/>
      <c r="B2" s="1025"/>
      <c r="C2" s="1025"/>
      <c r="D2" s="1025"/>
      <c r="E2" s="1025"/>
      <c r="F2" s="697" t="str">
        <f>+'Appendix A'!A4</f>
        <v xml:space="preserve">ATTACHMENT H-15A </v>
      </c>
      <c r="G2" s="1025"/>
      <c r="H2" s="1025"/>
      <c r="I2" s="1025"/>
      <c r="J2" s="1025"/>
      <c r="K2" s="1025"/>
      <c r="L2" s="1025"/>
      <c r="M2" s="1025"/>
      <c r="N2" s="1025"/>
      <c r="O2" s="1025"/>
      <c r="P2" s="1025"/>
      <c r="Q2" s="1025"/>
      <c r="R2" s="1025"/>
      <c r="S2" s="967"/>
    </row>
    <row r="3" spans="1:19" ht="20.25">
      <c r="A3" s="1025"/>
      <c r="B3" s="1025"/>
      <c r="C3" s="1025"/>
      <c r="D3" s="1025"/>
      <c r="E3" s="1025"/>
      <c r="F3" s="698"/>
      <c r="G3" s="1025"/>
      <c r="H3" s="1025"/>
      <c r="I3" s="1025"/>
      <c r="J3" s="1025"/>
      <c r="K3" s="1025"/>
      <c r="L3" s="1025"/>
      <c r="M3" s="1025"/>
      <c r="N3" s="1025"/>
      <c r="O3" s="1025"/>
      <c r="P3" s="1025"/>
      <c r="Q3" s="1025"/>
      <c r="R3" s="1025"/>
      <c r="S3" s="1025"/>
    </row>
    <row r="4" spans="1:19" ht="20.25">
      <c r="A4" s="1025"/>
      <c r="B4" s="1025"/>
      <c r="C4" s="1025"/>
      <c r="D4" s="1025"/>
      <c r="E4" s="1025"/>
      <c r="F4" s="697" t="s">
        <v>763</v>
      </c>
      <c r="G4" s="1025"/>
      <c r="H4" s="1025"/>
      <c r="I4" s="1025"/>
      <c r="J4" s="1025"/>
      <c r="K4" s="1025"/>
      <c r="L4" s="1025"/>
      <c r="M4" s="1025"/>
      <c r="N4" s="1025"/>
      <c r="O4" s="1025"/>
      <c r="P4" s="1025"/>
      <c r="Q4" s="1025"/>
      <c r="R4" s="1025"/>
      <c r="S4" s="1025"/>
    </row>
    <row r="5" spans="1:19" ht="15">
      <c r="A5" s="216" t="s">
        <v>446</v>
      </c>
      <c r="B5" s="1025"/>
      <c r="C5" s="1025"/>
      <c r="D5" s="1025"/>
      <c r="E5" s="1025"/>
      <c r="F5" s="1025"/>
      <c r="G5" s="1025"/>
      <c r="H5" s="1025"/>
      <c r="I5" s="1025"/>
      <c r="J5" s="1025"/>
      <c r="K5" s="1025"/>
      <c r="L5" s="1025"/>
      <c r="M5" s="1025"/>
      <c r="N5" s="1025"/>
      <c r="O5" s="1025"/>
      <c r="P5" s="1025"/>
      <c r="Q5" s="1025"/>
      <c r="R5" s="1025"/>
      <c r="S5" s="1025"/>
    </row>
    <row r="6" spans="1:19" ht="13.5" thickBot="1">
      <c r="A6" s="1025"/>
      <c r="B6" s="1025"/>
      <c r="C6" s="1025"/>
      <c r="D6" s="1025"/>
      <c r="E6" s="1025"/>
      <c r="F6" s="1025"/>
      <c r="G6" s="1025"/>
      <c r="H6" s="1025"/>
      <c r="I6" s="1025"/>
      <c r="J6" s="1025"/>
      <c r="K6" s="1025"/>
      <c r="L6" s="1025"/>
      <c r="M6" s="1025"/>
      <c r="N6" s="1025"/>
      <c r="O6" s="1025"/>
      <c r="P6" s="1025"/>
      <c r="Q6" s="1025"/>
      <c r="R6" s="1025"/>
      <c r="S6" s="1025"/>
    </row>
    <row r="7" spans="1:19" ht="16.5" thickBot="1">
      <c r="A7" s="100"/>
      <c r="B7" s="101"/>
      <c r="C7" s="562"/>
      <c r="D7" s="102"/>
      <c r="E7" s="103"/>
      <c r="F7" s="275" t="s">
        <v>544</v>
      </c>
      <c r="G7" s="1150" t="s">
        <v>764</v>
      </c>
      <c r="H7" s="1150"/>
      <c r="I7" s="1150"/>
      <c r="J7" s="1150"/>
      <c r="K7" s="1150"/>
      <c r="L7" s="1150"/>
      <c r="M7" s="1150"/>
      <c r="N7" s="1150"/>
      <c r="O7" s="1150"/>
      <c r="P7" s="1150"/>
      <c r="Q7" s="1150"/>
      <c r="R7" s="1151"/>
      <c r="S7" s="91"/>
    </row>
    <row r="8" spans="1:19" ht="16.5" thickBot="1">
      <c r="A8" s="166" t="s">
        <v>545</v>
      </c>
      <c r="B8" s="167" t="s">
        <v>546</v>
      </c>
      <c r="C8" s="167"/>
      <c r="D8" s="167"/>
      <c r="E8" s="1090" t="s">
        <v>4</v>
      </c>
      <c r="F8" s="803" t="s">
        <v>698</v>
      </c>
      <c r="G8" s="106" t="s">
        <v>550</v>
      </c>
      <c r="H8" s="106" t="s">
        <v>551</v>
      </c>
      <c r="I8" s="106" t="s">
        <v>552</v>
      </c>
      <c r="J8" s="106" t="s">
        <v>553</v>
      </c>
      <c r="K8" s="106" t="s">
        <v>403</v>
      </c>
      <c r="L8" s="106" t="s">
        <v>554</v>
      </c>
      <c r="M8" s="106" t="s">
        <v>555</v>
      </c>
      <c r="N8" s="106" t="s">
        <v>556</v>
      </c>
      <c r="O8" s="106" t="s">
        <v>557</v>
      </c>
      <c r="P8" s="106" t="s">
        <v>558</v>
      </c>
      <c r="Q8" s="106" t="s">
        <v>559</v>
      </c>
      <c r="R8" s="106" t="s">
        <v>765</v>
      </c>
      <c r="S8" s="1019" t="s">
        <v>561</v>
      </c>
    </row>
    <row r="9" spans="1:19" ht="15.75">
      <c r="A9" s="108"/>
      <c r="B9" s="109" t="s">
        <v>766</v>
      </c>
      <c r="C9" s="110"/>
      <c r="D9" s="111"/>
      <c r="E9" s="112"/>
      <c r="F9" s="270"/>
      <c r="G9" s="1020"/>
      <c r="H9" s="1020"/>
      <c r="I9" s="1020"/>
      <c r="J9" s="1020"/>
      <c r="K9" s="1020"/>
      <c r="L9" s="1020"/>
      <c r="M9" s="1020"/>
      <c r="N9" s="1020"/>
      <c r="O9" s="1020"/>
      <c r="P9" s="1020"/>
      <c r="Q9" s="1020"/>
      <c r="R9" s="1020"/>
      <c r="S9" s="270"/>
    </row>
    <row r="10" spans="1:19" ht="15.75">
      <c r="A10" s="114">
        <v>1</v>
      </c>
      <c r="B10" s="115"/>
      <c r="C10" s="621" t="s">
        <v>767</v>
      </c>
      <c r="D10" s="91"/>
      <c r="E10" s="206"/>
      <c r="F10" s="1064">
        <v>6370000</v>
      </c>
      <c r="G10" s="1064">
        <v>7082852.9610448098</v>
      </c>
      <c r="H10" s="1064">
        <v>7841978.8335960368</v>
      </c>
      <c r="I10" s="1064">
        <v>8847476.6944381893</v>
      </c>
      <c r="J10" s="1064">
        <v>9792944.8322449904</v>
      </c>
      <c r="K10" s="1064">
        <v>10764675.973879758</v>
      </c>
      <c r="L10" s="1064">
        <v>0</v>
      </c>
      <c r="M10" s="1064">
        <v>0</v>
      </c>
      <c r="N10" s="1064">
        <v>0</v>
      </c>
      <c r="O10" s="1064">
        <v>0</v>
      </c>
      <c r="P10" s="1064">
        <v>0</v>
      </c>
      <c r="Q10" s="1064">
        <v>0</v>
      </c>
      <c r="R10" s="1064">
        <v>0</v>
      </c>
      <c r="S10" s="984">
        <f>AVERAGE(F10:R10)</f>
        <v>3899994.5611695223</v>
      </c>
    </row>
    <row r="11" spans="1:19" ht="15.75">
      <c r="A11" s="114">
        <f>+A10+1</f>
        <v>2</v>
      </c>
      <c r="B11" s="115"/>
      <c r="C11" s="621" t="s">
        <v>768</v>
      </c>
      <c r="D11" s="91"/>
      <c r="E11" s="206"/>
      <c r="F11" s="1064">
        <v>4157314</v>
      </c>
      <c r="G11" s="1064">
        <v>4507066</v>
      </c>
      <c r="H11" s="1064">
        <v>4879521.2</v>
      </c>
      <c r="I11" s="1064">
        <v>5372855.6000000006</v>
      </c>
      <c r="J11" s="1064">
        <v>5836737.2000000002</v>
      </c>
      <c r="K11" s="1064">
        <v>6313504.4000000004</v>
      </c>
      <c r="L11" s="1064">
        <v>6882311.6000000006</v>
      </c>
      <c r="M11" s="1064">
        <v>7402030.8000000007</v>
      </c>
      <c r="N11" s="1064">
        <v>7886161.2000000011</v>
      </c>
      <c r="O11" s="1064">
        <v>8487489.2000000011</v>
      </c>
      <c r="P11" s="1064">
        <v>9034820.4000000004</v>
      </c>
      <c r="Q11" s="1064">
        <v>9532450</v>
      </c>
      <c r="R11" s="1064">
        <v>10293314</v>
      </c>
      <c r="S11" s="984">
        <f t="shared" ref="S11:S17" si="0">AVERAGE(F11:R11)</f>
        <v>6968121.2000000011</v>
      </c>
    </row>
    <row r="12" spans="1:19" ht="15.75">
      <c r="A12" s="114">
        <f t="shared" ref="A12:A15" si="1">+A11+1</f>
        <v>3</v>
      </c>
      <c r="B12" s="115"/>
      <c r="C12" s="621" t="s">
        <v>769</v>
      </c>
      <c r="D12" s="91"/>
      <c r="E12" s="206"/>
      <c r="F12" s="1064">
        <v>0</v>
      </c>
      <c r="G12" s="1064">
        <v>0</v>
      </c>
      <c r="H12" s="1064">
        <v>0</v>
      </c>
      <c r="I12" s="1064">
        <v>0</v>
      </c>
      <c r="J12" s="1064">
        <v>0</v>
      </c>
      <c r="K12" s="1064">
        <v>0</v>
      </c>
      <c r="L12" s="1064">
        <v>0</v>
      </c>
      <c r="M12" s="1064">
        <v>0</v>
      </c>
      <c r="N12" s="1064">
        <v>0</v>
      </c>
      <c r="O12" s="1064">
        <v>0</v>
      </c>
      <c r="P12" s="1064">
        <v>0</v>
      </c>
      <c r="Q12" s="1064">
        <v>0</v>
      </c>
      <c r="R12" s="1064">
        <v>0</v>
      </c>
      <c r="S12" s="984">
        <f t="shared" si="0"/>
        <v>0</v>
      </c>
    </row>
    <row r="13" spans="1:19" ht="15">
      <c r="A13" s="114">
        <f t="shared" si="1"/>
        <v>4</v>
      </c>
      <c r="B13" s="91"/>
      <c r="C13" s="622" t="s">
        <v>770</v>
      </c>
      <c r="D13" s="102"/>
      <c r="E13" s="206"/>
      <c r="F13" s="1064">
        <v>8019854</v>
      </c>
      <c r="G13" s="1064">
        <v>8364343.9797342941</v>
      </c>
      <c r="H13" s="1064">
        <v>8731195.5897320416</v>
      </c>
      <c r="I13" s="1064">
        <v>9217107.7716730461</v>
      </c>
      <c r="J13" s="1064">
        <v>9674010.27111011</v>
      </c>
      <c r="K13" s="1064">
        <v>10143604.506642647</v>
      </c>
      <c r="L13" s="1064">
        <v>0</v>
      </c>
      <c r="M13" s="1064">
        <v>0</v>
      </c>
      <c r="N13" s="1064">
        <v>0</v>
      </c>
      <c r="O13" s="1064">
        <v>0</v>
      </c>
      <c r="P13" s="1064">
        <v>0</v>
      </c>
      <c r="Q13" s="1064">
        <v>0</v>
      </c>
      <c r="R13" s="1064">
        <v>0</v>
      </c>
      <c r="S13" s="984">
        <f t="shared" si="0"/>
        <v>4165393.5476070875</v>
      </c>
    </row>
    <row r="14" spans="1:19" ht="15">
      <c r="A14" s="114">
        <f t="shared" si="1"/>
        <v>5</v>
      </c>
      <c r="B14" s="102"/>
      <c r="C14" s="622" t="s">
        <v>771</v>
      </c>
      <c r="D14" s="102"/>
      <c r="E14" s="206"/>
      <c r="F14" s="1064">
        <v>3775384</v>
      </c>
      <c r="G14" s="1064">
        <v>5135760.0414321097</v>
      </c>
      <c r="H14" s="1064">
        <v>6584441.1943256017</v>
      </c>
      <c r="I14" s="1064">
        <v>8503287.4001351036</v>
      </c>
      <c r="J14" s="1064">
        <v>10307575.623508219</v>
      </c>
      <c r="K14" s="1064">
        <v>12161982.964197252</v>
      </c>
      <c r="L14" s="1064">
        <v>0</v>
      </c>
      <c r="M14" s="1064">
        <v>0</v>
      </c>
      <c r="N14" s="1064">
        <v>0</v>
      </c>
      <c r="O14" s="1064">
        <v>0</v>
      </c>
      <c r="P14" s="1064">
        <v>0</v>
      </c>
      <c r="Q14" s="1064">
        <v>0</v>
      </c>
      <c r="R14" s="1064">
        <v>0</v>
      </c>
      <c r="S14" s="984">
        <f t="shared" si="0"/>
        <v>3574494.7095075604</v>
      </c>
    </row>
    <row r="15" spans="1:19" ht="15">
      <c r="A15" s="114">
        <f t="shared" si="1"/>
        <v>6</v>
      </c>
      <c r="B15" s="93"/>
      <c r="C15" s="622" t="s">
        <v>772</v>
      </c>
      <c r="D15" s="102"/>
      <c r="E15" s="206"/>
      <c r="F15" s="1064">
        <v>792000</v>
      </c>
      <c r="G15" s="1064">
        <v>869523.08038730011</v>
      </c>
      <c r="H15" s="1064">
        <v>952078.36072956538</v>
      </c>
      <c r="I15" s="1064">
        <v>1061426.705696915</v>
      </c>
      <c r="J15" s="1064">
        <v>1164246.791263229</v>
      </c>
      <c r="K15" s="1064">
        <v>1269922.990317496</v>
      </c>
      <c r="L15" s="1064">
        <v>0</v>
      </c>
      <c r="M15" s="1064">
        <v>0</v>
      </c>
      <c r="N15" s="1064">
        <v>0</v>
      </c>
      <c r="O15" s="1064">
        <v>0</v>
      </c>
      <c r="P15" s="1064">
        <v>0</v>
      </c>
      <c r="Q15" s="1064">
        <v>0</v>
      </c>
      <c r="R15" s="1064">
        <v>0</v>
      </c>
      <c r="S15" s="984">
        <f t="shared" si="0"/>
        <v>469938.30218419275</v>
      </c>
    </row>
    <row r="16" spans="1:19" ht="15.75">
      <c r="A16" s="114">
        <f>+A15+1</f>
        <v>7</v>
      </c>
      <c r="B16" s="115"/>
      <c r="C16" s="621" t="s">
        <v>773</v>
      </c>
      <c r="D16" s="102"/>
      <c r="E16" s="97"/>
      <c r="F16" s="1064">
        <v>2339000</v>
      </c>
      <c r="G16" s="1064">
        <v>3065971.4028371987</v>
      </c>
      <c r="H16" s="1064">
        <v>3840132.1774375141</v>
      </c>
      <c r="I16" s="1064">
        <v>4865544.471965773</v>
      </c>
      <c r="J16" s="1064">
        <v>5829738.1220445838</v>
      </c>
      <c r="K16" s="1064">
        <v>6820714.9290700285</v>
      </c>
      <c r="L16" s="1064">
        <v>0</v>
      </c>
      <c r="M16" s="1064">
        <v>0</v>
      </c>
      <c r="N16" s="1064">
        <v>0</v>
      </c>
      <c r="O16" s="1064">
        <v>0</v>
      </c>
      <c r="P16" s="1064">
        <v>0</v>
      </c>
      <c r="Q16" s="1064">
        <v>0</v>
      </c>
      <c r="R16" s="1064">
        <v>0</v>
      </c>
      <c r="S16" s="984">
        <f t="shared" si="0"/>
        <v>2058546.2387196231</v>
      </c>
    </row>
    <row r="17" spans="1:19" ht="15.75">
      <c r="A17" s="114">
        <f>+A16+1</f>
        <v>8</v>
      </c>
      <c r="B17" s="115"/>
      <c r="C17" s="621" t="s">
        <v>774</v>
      </c>
      <c r="D17" s="102"/>
      <c r="E17" s="97"/>
      <c r="F17" s="1064">
        <v>1022000</v>
      </c>
      <c r="G17" s="1064">
        <v>1253542.4453951812</v>
      </c>
      <c r="H17" s="1064">
        <v>1500114.8390002251</v>
      </c>
      <c r="I17" s="1064">
        <v>1826711.5514523755</v>
      </c>
      <c r="J17" s="1064">
        <v>2133809.9527133526</v>
      </c>
      <c r="K17" s="1064">
        <v>2449438.8651204682</v>
      </c>
      <c r="L17" s="1064">
        <v>0</v>
      </c>
      <c r="M17" s="1064">
        <v>0</v>
      </c>
      <c r="N17" s="1064">
        <v>0</v>
      </c>
      <c r="O17" s="1064">
        <v>0</v>
      </c>
      <c r="P17" s="1064">
        <v>0</v>
      </c>
      <c r="Q17" s="1064">
        <v>0</v>
      </c>
      <c r="R17" s="1064">
        <v>0</v>
      </c>
      <c r="S17" s="984">
        <f t="shared" si="0"/>
        <v>783509.05028320022</v>
      </c>
    </row>
    <row r="18" spans="1:19" ht="15.75">
      <c r="A18" s="114">
        <f>+A17+1</f>
        <v>9</v>
      </c>
      <c r="B18" s="115"/>
      <c r="C18" s="621" t="s">
        <v>775</v>
      </c>
      <c r="D18" s="102"/>
      <c r="E18" s="120"/>
      <c r="F18" s="1064">
        <v>4093000</v>
      </c>
      <c r="G18" s="1064">
        <v>4515199</v>
      </c>
      <c r="H18" s="1064">
        <v>4964803.9000000004</v>
      </c>
      <c r="I18" s="1064">
        <v>5560326.7000000002</v>
      </c>
      <c r="J18" s="1064">
        <v>6120295.9000000004</v>
      </c>
      <c r="K18" s="1064">
        <v>6695819.8000000007</v>
      </c>
      <c r="L18" s="1064">
        <v>7382448.7000000011</v>
      </c>
      <c r="M18" s="1064">
        <v>8009821.6000000015</v>
      </c>
      <c r="N18" s="1064">
        <v>8594233.9000000022</v>
      </c>
      <c r="O18" s="1064">
        <v>9320119.9000000022</v>
      </c>
      <c r="P18" s="1064">
        <v>9980824.3000000026</v>
      </c>
      <c r="Q18" s="1064">
        <v>10581532.000000004</v>
      </c>
      <c r="R18" s="1064">
        <v>0</v>
      </c>
      <c r="S18" s="984">
        <f t="shared" ref="S18:S19" si="2">AVERAGE(F18:R18)</f>
        <v>6601417.3615384614</v>
      </c>
    </row>
    <row r="19" spans="1:19" ht="15.75">
      <c r="A19" s="114">
        <f>+A18+1</f>
        <v>10</v>
      </c>
      <c r="B19" s="115"/>
      <c r="C19" s="621" t="s">
        <v>776</v>
      </c>
      <c r="D19" s="102"/>
      <c r="E19" s="97"/>
      <c r="F19" s="1064">
        <v>0</v>
      </c>
      <c r="G19" s="1064">
        <v>0</v>
      </c>
      <c r="H19" s="1064">
        <v>0</v>
      </c>
      <c r="I19" s="1064">
        <v>0</v>
      </c>
      <c r="J19" s="1064">
        <v>0</v>
      </c>
      <c r="K19" s="1064">
        <v>0</v>
      </c>
      <c r="L19" s="1064">
        <v>0</v>
      </c>
      <c r="M19" s="1064">
        <v>0</v>
      </c>
      <c r="N19" s="1064">
        <v>0</v>
      </c>
      <c r="O19" s="1064">
        <v>0</v>
      </c>
      <c r="P19" s="1064">
        <v>0</v>
      </c>
      <c r="Q19" s="1064">
        <v>0</v>
      </c>
      <c r="R19" s="1064">
        <v>0</v>
      </c>
      <c r="S19" s="984">
        <f t="shared" si="2"/>
        <v>0</v>
      </c>
    </row>
    <row r="20" spans="1:19" s="983" customFormat="1" ht="15.75">
      <c r="A20" s="114">
        <f t="shared" ref="A20:A33" si="3">+A19+1</f>
        <v>11</v>
      </c>
      <c r="B20" s="115"/>
      <c r="C20" s="621" t="s">
        <v>777</v>
      </c>
      <c r="D20" s="102"/>
      <c r="E20" s="97"/>
      <c r="F20" s="1064">
        <v>0</v>
      </c>
      <c r="G20" s="1064">
        <v>0</v>
      </c>
      <c r="H20" s="1064">
        <v>0</v>
      </c>
      <c r="I20" s="1064">
        <v>0</v>
      </c>
      <c r="J20" s="1064">
        <v>0</v>
      </c>
      <c r="K20" s="1064">
        <v>0</v>
      </c>
      <c r="L20" s="1064">
        <v>0</v>
      </c>
      <c r="M20" s="1064">
        <v>0</v>
      </c>
      <c r="N20" s="1064">
        <v>0</v>
      </c>
      <c r="O20" s="1064">
        <v>0</v>
      </c>
      <c r="P20" s="1064">
        <v>0</v>
      </c>
      <c r="Q20" s="1064">
        <v>0</v>
      </c>
      <c r="R20" s="1064">
        <v>0</v>
      </c>
      <c r="S20" s="984">
        <f t="shared" ref="S20:S33" si="4">AVERAGE(F20:R20)</f>
        <v>0</v>
      </c>
    </row>
    <row r="21" spans="1:19" s="983" customFormat="1" ht="15.75">
      <c r="A21" s="114">
        <f t="shared" si="3"/>
        <v>12</v>
      </c>
      <c r="B21" s="115"/>
      <c r="C21" s="621" t="s">
        <v>778</v>
      </c>
      <c r="D21" s="102"/>
      <c r="E21" s="97"/>
      <c r="F21" s="1064">
        <v>0</v>
      </c>
      <c r="G21" s="1064">
        <v>0</v>
      </c>
      <c r="H21" s="1064">
        <v>0</v>
      </c>
      <c r="I21" s="1064">
        <v>0</v>
      </c>
      <c r="J21" s="1064">
        <v>0</v>
      </c>
      <c r="K21" s="1064">
        <v>0</v>
      </c>
      <c r="L21" s="1064">
        <v>0</v>
      </c>
      <c r="M21" s="1064">
        <v>0</v>
      </c>
      <c r="N21" s="1064">
        <v>0</v>
      </c>
      <c r="O21" s="1064">
        <v>0</v>
      </c>
      <c r="P21" s="1064">
        <v>0</v>
      </c>
      <c r="Q21" s="1064">
        <v>0</v>
      </c>
      <c r="R21" s="1064">
        <v>0</v>
      </c>
      <c r="S21" s="984">
        <f t="shared" si="4"/>
        <v>0</v>
      </c>
    </row>
    <row r="22" spans="1:19" s="983" customFormat="1" ht="15.75">
      <c r="A22" s="114">
        <f t="shared" si="3"/>
        <v>13</v>
      </c>
      <c r="B22" s="115"/>
      <c r="C22" s="621" t="s">
        <v>779</v>
      </c>
      <c r="D22" s="102"/>
      <c r="E22" s="97"/>
      <c r="F22" s="1064">
        <v>0</v>
      </c>
      <c r="G22" s="1064">
        <v>0</v>
      </c>
      <c r="H22" s="1064">
        <v>0</v>
      </c>
      <c r="I22" s="1064">
        <v>0</v>
      </c>
      <c r="J22" s="1064">
        <v>0</v>
      </c>
      <c r="K22" s="1064">
        <v>0</v>
      </c>
      <c r="L22" s="1064">
        <v>0</v>
      </c>
      <c r="M22" s="1064">
        <v>0</v>
      </c>
      <c r="N22" s="1064">
        <v>0</v>
      </c>
      <c r="O22" s="1064">
        <v>0</v>
      </c>
      <c r="P22" s="1064">
        <v>0</v>
      </c>
      <c r="Q22" s="1064">
        <v>0</v>
      </c>
      <c r="R22" s="1064">
        <v>0</v>
      </c>
      <c r="S22" s="984">
        <f t="shared" si="4"/>
        <v>0</v>
      </c>
    </row>
    <row r="23" spans="1:19" s="983" customFormat="1" ht="15.75">
      <c r="A23" s="114">
        <f t="shared" si="3"/>
        <v>14</v>
      </c>
      <c r="B23" s="115"/>
      <c r="C23" s="621" t="s">
        <v>780</v>
      </c>
      <c r="D23" s="102"/>
      <c r="E23" s="97"/>
      <c r="F23" s="1064">
        <v>0</v>
      </c>
      <c r="G23" s="1064">
        <v>0</v>
      </c>
      <c r="H23" s="1064">
        <v>0</v>
      </c>
      <c r="I23" s="1064">
        <v>0</v>
      </c>
      <c r="J23" s="1064">
        <v>0</v>
      </c>
      <c r="K23" s="1064">
        <v>0</v>
      </c>
      <c r="L23" s="1064">
        <v>0</v>
      </c>
      <c r="M23" s="1064">
        <v>0</v>
      </c>
      <c r="N23" s="1064">
        <v>0</v>
      </c>
      <c r="O23" s="1064">
        <v>0</v>
      </c>
      <c r="P23" s="1064">
        <v>0</v>
      </c>
      <c r="Q23" s="1064">
        <v>0</v>
      </c>
      <c r="R23" s="1064">
        <v>0</v>
      </c>
      <c r="S23" s="984">
        <f t="shared" si="4"/>
        <v>0</v>
      </c>
    </row>
    <row r="24" spans="1:19" s="983" customFormat="1" ht="15.75">
      <c r="A24" s="114">
        <f t="shared" si="3"/>
        <v>15</v>
      </c>
      <c r="B24" s="115"/>
      <c r="C24" s="621" t="s">
        <v>781</v>
      </c>
      <c r="D24" s="102"/>
      <c r="E24" s="97"/>
      <c r="F24" s="1064">
        <v>0</v>
      </c>
      <c r="G24" s="1064">
        <v>0</v>
      </c>
      <c r="H24" s="1064">
        <v>0</v>
      </c>
      <c r="I24" s="1064">
        <v>0</v>
      </c>
      <c r="J24" s="1064">
        <v>0</v>
      </c>
      <c r="K24" s="1064">
        <v>0</v>
      </c>
      <c r="L24" s="1064">
        <v>0</v>
      </c>
      <c r="M24" s="1064">
        <v>0</v>
      </c>
      <c r="N24" s="1064">
        <v>0</v>
      </c>
      <c r="O24" s="1064">
        <v>0</v>
      </c>
      <c r="P24" s="1064">
        <v>0</v>
      </c>
      <c r="Q24" s="1064">
        <v>0</v>
      </c>
      <c r="R24" s="1064">
        <v>0</v>
      </c>
      <c r="S24" s="984">
        <f t="shared" si="4"/>
        <v>0</v>
      </c>
    </row>
    <row r="25" spans="1:19" s="983" customFormat="1" ht="15.75">
      <c r="A25" s="114">
        <f t="shared" si="3"/>
        <v>16</v>
      </c>
      <c r="B25" s="115"/>
      <c r="C25" s="621" t="s">
        <v>782</v>
      </c>
      <c r="D25" s="102"/>
      <c r="E25" s="97"/>
      <c r="F25" s="1064">
        <v>0</v>
      </c>
      <c r="G25" s="1064">
        <v>0</v>
      </c>
      <c r="H25" s="1064">
        <v>0</v>
      </c>
      <c r="I25" s="1064">
        <v>0</v>
      </c>
      <c r="J25" s="1064">
        <v>0</v>
      </c>
      <c r="K25" s="1064">
        <v>0</v>
      </c>
      <c r="L25" s="1064">
        <v>0</v>
      </c>
      <c r="M25" s="1064">
        <v>0</v>
      </c>
      <c r="N25" s="1064">
        <v>0</v>
      </c>
      <c r="O25" s="1064">
        <v>0</v>
      </c>
      <c r="P25" s="1064">
        <v>0</v>
      </c>
      <c r="Q25" s="1064">
        <v>0</v>
      </c>
      <c r="R25" s="1064">
        <v>0</v>
      </c>
      <c r="S25" s="984">
        <f t="shared" si="4"/>
        <v>0</v>
      </c>
    </row>
    <row r="26" spans="1:19" s="983" customFormat="1" ht="15.75">
      <c r="A26" s="114">
        <f t="shared" si="3"/>
        <v>17</v>
      </c>
      <c r="B26" s="115"/>
      <c r="C26" s="621" t="s">
        <v>783</v>
      </c>
      <c r="D26" s="102"/>
      <c r="E26" s="97"/>
      <c r="F26" s="1064">
        <v>0</v>
      </c>
      <c r="G26" s="1064">
        <v>0</v>
      </c>
      <c r="H26" s="1064">
        <v>0</v>
      </c>
      <c r="I26" s="1064">
        <v>0</v>
      </c>
      <c r="J26" s="1064">
        <v>0</v>
      </c>
      <c r="K26" s="1064">
        <v>0</v>
      </c>
      <c r="L26" s="1064">
        <v>0</v>
      </c>
      <c r="M26" s="1064">
        <v>0</v>
      </c>
      <c r="N26" s="1064">
        <v>0</v>
      </c>
      <c r="O26" s="1064">
        <v>0</v>
      </c>
      <c r="P26" s="1064">
        <v>0</v>
      </c>
      <c r="Q26" s="1064">
        <v>0</v>
      </c>
      <c r="R26" s="1064">
        <v>0</v>
      </c>
      <c r="S26" s="984">
        <f t="shared" si="4"/>
        <v>0</v>
      </c>
    </row>
    <row r="27" spans="1:19" s="983" customFormat="1" ht="15.75">
      <c r="A27" s="114">
        <f t="shared" si="3"/>
        <v>18</v>
      </c>
      <c r="B27" s="115"/>
      <c r="C27" s="621" t="s">
        <v>784</v>
      </c>
      <c r="D27" s="102"/>
      <c r="E27" s="97"/>
      <c r="F27" s="1064">
        <v>0</v>
      </c>
      <c r="G27" s="1064">
        <v>0</v>
      </c>
      <c r="H27" s="1064">
        <v>0</v>
      </c>
      <c r="I27" s="1064">
        <v>0</v>
      </c>
      <c r="J27" s="1064">
        <v>0</v>
      </c>
      <c r="K27" s="1064">
        <v>0</v>
      </c>
      <c r="L27" s="1064">
        <v>0</v>
      </c>
      <c r="M27" s="1064">
        <v>0</v>
      </c>
      <c r="N27" s="1064">
        <v>0</v>
      </c>
      <c r="O27" s="1064">
        <v>0</v>
      </c>
      <c r="P27" s="1064">
        <v>0</v>
      </c>
      <c r="Q27" s="1064">
        <v>0</v>
      </c>
      <c r="R27" s="1064">
        <v>0</v>
      </c>
      <c r="S27" s="984">
        <f t="shared" si="4"/>
        <v>0</v>
      </c>
    </row>
    <row r="28" spans="1:19" s="983" customFormat="1" ht="15.75">
      <c r="A28" s="114">
        <f t="shared" si="3"/>
        <v>19</v>
      </c>
      <c r="B28" s="115"/>
      <c r="C28" s="621" t="s">
        <v>785</v>
      </c>
      <c r="D28" s="102"/>
      <c r="E28" s="97"/>
      <c r="F28" s="1064">
        <v>0</v>
      </c>
      <c r="G28" s="1064">
        <v>0</v>
      </c>
      <c r="H28" s="1064">
        <v>0</v>
      </c>
      <c r="I28" s="1064">
        <v>0</v>
      </c>
      <c r="J28" s="1064">
        <v>0</v>
      </c>
      <c r="K28" s="1064">
        <v>0</v>
      </c>
      <c r="L28" s="1064">
        <v>0</v>
      </c>
      <c r="M28" s="1064">
        <v>0</v>
      </c>
      <c r="N28" s="1064">
        <v>0</v>
      </c>
      <c r="O28" s="1064">
        <v>0</v>
      </c>
      <c r="P28" s="1064">
        <v>0</v>
      </c>
      <c r="Q28" s="1064">
        <v>0</v>
      </c>
      <c r="R28" s="1064">
        <v>0</v>
      </c>
      <c r="S28" s="984">
        <f t="shared" si="4"/>
        <v>0</v>
      </c>
    </row>
    <row r="29" spans="1:19" s="983" customFormat="1" ht="15.75">
      <c r="A29" s="114">
        <f t="shared" si="3"/>
        <v>20</v>
      </c>
      <c r="B29" s="115"/>
      <c r="C29" s="621" t="s">
        <v>786</v>
      </c>
      <c r="D29" s="102"/>
      <c r="E29" s="97"/>
      <c r="F29" s="1064">
        <v>0</v>
      </c>
      <c r="G29" s="1064">
        <v>0</v>
      </c>
      <c r="H29" s="1064">
        <v>0</v>
      </c>
      <c r="I29" s="1064">
        <v>0</v>
      </c>
      <c r="J29" s="1064">
        <v>0</v>
      </c>
      <c r="K29" s="1064">
        <v>0</v>
      </c>
      <c r="L29" s="1064">
        <v>0</v>
      </c>
      <c r="M29" s="1064">
        <v>0</v>
      </c>
      <c r="N29" s="1064">
        <v>0</v>
      </c>
      <c r="O29" s="1064">
        <v>0</v>
      </c>
      <c r="P29" s="1064">
        <v>0</v>
      </c>
      <c r="Q29" s="1064">
        <v>0</v>
      </c>
      <c r="R29" s="1064">
        <v>0</v>
      </c>
      <c r="S29" s="984">
        <f t="shared" si="4"/>
        <v>0</v>
      </c>
    </row>
    <row r="30" spans="1:19" s="983" customFormat="1" ht="15.75">
      <c r="A30" s="114">
        <f t="shared" si="3"/>
        <v>21</v>
      </c>
      <c r="B30" s="115"/>
      <c r="C30" s="621" t="s">
        <v>787</v>
      </c>
      <c r="D30" s="102"/>
      <c r="E30" s="97"/>
      <c r="F30" s="1064">
        <v>0</v>
      </c>
      <c r="G30" s="1064">
        <v>0</v>
      </c>
      <c r="H30" s="1064">
        <v>0</v>
      </c>
      <c r="I30" s="1064">
        <v>0</v>
      </c>
      <c r="J30" s="1064">
        <v>0</v>
      </c>
      <c r="K30" s="1064">
        <v>0</v>
      </c>
      <c r="L30" s="1064">
        <v>0</v>
      </c>
      <c r="M30" s="1064">
        <v>0</v>
      </c>
      <c r="N30" s="1064">
        <v>0</v>
      </c>
      <c r="O30" s="1064">
        <v>0</v>
      </c>
      <c r="P30" s="1064">
        <v>0</v>
      </c>
      <c r="Q30" s="1064">
        <v>0</v>
      </c>
      <c r="R30" s="1064">
        <v>0</v>
      </c>
      <c r="S30" s="984">
        <f t="shared" si="4"/>
        <v>0</v>
      </c>
    </row>
    <row r="31" spans="1:19" s="983" customFormat="1" ht="15.75">
      <c r="A31" s="114">
        <f t="shared" si="3"/>
        <v>22</v>
      </c>
      <c r="B31" s="115"/>
      <c r="C31" s="621" t="s">
        <v>788</v>
      </c>
      <c r="D31" s="102"/>
      <c r="E31" s="97"/>
      <c r="F31" s="1064">
        <v>0</v>
      </c>
      <c r="G31" s="1064">
        <v>0</v>
      </c>
      <c r="H31" s="1064">
        <v>0</v>
      </c>
      <c r="I31" s="1064">
        <v>0</v>
      </c>
      <c r="J31" s="1064">
        <v>0</v>
      </c>
      <c r="K31" s="1064">
        <v>0</v>
      </c>
      <c r="L31" s="1064">
        <v>0</v>
      </c>
      <c r="M31" s="1064">
        <v>0</v>
      </c>
      <c r="N31" s="1064">
        <v>0</v>
      </c>
      <c r="O31" s="1064">
        <v>0</v>
      </c>
      <c r="P31" s="1064">
        <v>0</v>
      </c>
      <c r="Q31" s="1064">
        <v>0</v>
      </c>
      <c r="R31" s="1064">
        <v>0</v>
      </c>
      <c r="S31" s="984">
        <f t="shared" si="4"/>
        <v>0</v>
      </c>
    </row>
    <row r="32" spans="1:19" s="983" customFormat="1" ht="15.75">
      <c r="A32" s="114">
        <f t="shared" si="3"/>
        <v>23</v>
      </c>
      <c r="B32" s="115"/>
      <c r="C32" s="621" t="s">
        <v>789</v>
      </c>
      <c r="D32" s="102"/>
      <c r="E32" s="97"/>
      <c r="F32" s="1064">
        <v>0</v>
      </c>
      <c r="G32" s="1064">
        <v>0</v>
      </c>
      <c r="H32" s="1064">
        <v>0</v>
      </c>
      <c r="I32" s="1064">
        <v>0</v>
      </c>
      <c r="J32" s="1064">
        <v>0</v>
      </c>
      <c r="K32" s="1064">
        <v>0</v>
      </c>
      <c r="L32" s="1064">
        <v>0</v>
      </c>
      <c r="M32" s="1064">
        <v>0</v>
      </c>
      <c r="N32" s="1064">
        <v>0</v>
      </c>
      <c r="O32" s="1064">
        <v>0</v>
      </c>
      <c r="P32" s="1064">
        <v>0</v>
      </c>
      <c r="Q32" s="1064">
        <v>0</v>
      </c>
      <c r="R32" s="1064">
        <v>0</v>
      </c>
      <c r="S32" s="984">
        <f t="shared" si="4"/>
        <v>0</v>
      </c>
    </row>
    <row r="33" spans="1:19" s="983" customFormat="1" ht="15.75">
      <c r="A33" s="114">
        <f t="shared" si="3"/>
        <v>24</v>
      </c>
      <c r="B33" s="115"/>
      <c r="C33" s="621" t="s">
        <v>790</v>
      </c>
      <c r="D33" s="102"/>
      <c r="E33" s="97"/>
      <c r="F33" s="1064">
        <v>0</v>
      </c>
      <c r="G33" s="1064">
        <v>0</v>
      </c>
      <c r="H33" s="1064">
        <v>0</v>
      </c>
      <c r="I33" s="1064">
        <v>0</v>
      </c>
      <c r="J33" s="1064">
        <v>0</v>
      </c>
      <c r="K33" s="1064">
        <v>0</v>
      </c>
      <c r="L33" s="1064">
        <v>0</v>
      </c>
      <c r="M33" s="1064">
        <v>0</v>
      </c>
      <c r="N33" s="1064">
        <v>0</v>
      </c>
      <c r="O33" s="1064">
        <v>0</v>
      </c>
      <c r="P33" s="1064">
        <v>0</v>
      </c>
      <c r="Q33" s="1064">
        <v>0</v>
      </c>
      <c r="R33" s="1064">
        <v>0</v>
      </c>
      <c r="S33" s="984">
        <f t="shared" si="4"/>
        <v>0</v>
      </c>
    </row>
    <row r="34" spans="1:19" ht="15.75">
      <c r="A34" s="114"/>
      <c r="B34" s="115"/>
      <c r="C34" s="102"/>
      <c r="D34" s="102"/>
      <c r="E34" s="97"/>
      <c r="F34" s="1049"/>
      <c r="G34" s="1049"/>
      <c r="H34" s="1049"/>
      <c r="I34" s="1049"/>
      <c r="J34" s="1049"/>
      <c r="K34" s="1049"/>
      <c r="L34" s="1049"/>
      <c r="M34" s="1049"/>
      <c r="N34" s="1049"/>
      <c r="O34" s="1049"/>
      <c r="P34" s="1049"/>
      <c r="Q34" s="1049"/>
      <c r="R34" s="1049"/>
      <c r="S34" s="619"/>
    </row>
    <row r="35" spans="1:19" ht="15.75">
      <c r="A35" s="114">
        <f>+A33+1</f>
        <v>25</v>
      </c>
      <c r="B35" s="115"/>
      <c r="C35" s="102" t="s">
        <v>75</v>
      </c>
      <c r="D35" s="91"/>
      <c r="E35" s="97"/>
      <c r="F35" s="619">
        <f>+SUM(F10:F33)</f>
        <v>30568552</v>
      </c>
      <c r="G35" s="619">
        <f t="shared" ref="G35:R35" si="5">+SUM(G10:G33)</f>
        <v>34794258.9108309</v>
      </c>
      <c r="H35" s="619">
        <f t="shared" si="5"/>
        <v>39294266.094820984</v>
      </c>
      <c r="I35" s="619">
        <f t="shared" si="5"/>
        <v>45254736.895361409</v>
      </c>
      <c r="J35" s="619">
        <f t="shared" si="5"/>
        <v>50859358.69288449</v>
      </c>
      <c r="K35" s="619">
        <f t="shared" si="5"/>
        <v>56619664.42922765</v>
      </c>
      <c r="L35" s="619">
        <f>+SUM(L10:L33)</f>
        <v>14264760.300000001</v>
      </c>
      <c r="M35" s="619">
        <f t="shared" si="5"/>
        <v>15411852.400000002</v>
      </c>
      <c r="N35" s="619">
        <f t="shared" si="5"/>
        <v>16480395.100000003</v>
      </c>
      <c r="O35" s="619">
        <f t="shared" si="5"/>
        <v>17807609.100000001</v>
      </c>
      <c r="P35" s="619">
        <f t="shared" si="5"/>
        <v>19015644.700000003</v>
      </c>
      <c r="Q35" s="619">
        <f t="shared" si="5"/>
        <v>20113982.000000004</v>
      </c>
      <c r="R35" s="619">
        <f t="shared" si="5"/>
        <v>10293314</v>
      </c>
      <c r="S35" s="619">
        <f>+SUM(S10:S33)</f>
        <v>28521414.971009653</v>
      </c>
    </row>
    <row r="36" spans="1:19" ht="16.5" thickBot="1">
      <c r="A36" s="143"/>
      <c r="B36" s="127"/>
      <c r="C36" s="131"/>
      <c r="D36" s="131"/>
      <c r="E36" s="130"/>
      <c r="F36" s="620"/>
      <c r="G36" s="620"/>
      <c r="H36" s="620"/>
      <c r="I36" s="620"/>
      <c r="J36" s="620"/>
      <c r="K36" s="620"/>
      <c r="L36" s="620"/>
      <c r="M36" s="620"/>
      <c r="N36" s="620"/>
      <c r="O36" s="620"/>
      <c r="P36" s="620"/>
      <c r="Q36" s="620"/>
      <c r="R36" s="620"/>
      <c r="S36" s="620"/>
    </row>
    <row r="39" spans="1:19" ht="15">
      <c r="A39" s="216" t="s">
        <v>791</v>
      </c>
      <c r="B39" s="1025"/>
      <c r="C39" s="1025"/>
      <c r="D39" s="1025"/>
      <c r="E39" s="1025"/>
      <c r="F39" s="1025"/>
      <c r="G39" s="1025"/>
      <c r="H39" s="1025"/>
      <c r="I39" s="1025"/>
      <c r="J39" s="1025"/>
      <c r="K39" s="1025"/>
      <c r="L39" s="1025"/>
      <c r="M39" s="1025"/>
      <c r="N39" s="1025"/>
      <c r="O39" s="1025"/>
      <c r="P39" s="1025"/>
      <c r="Q39" s="1025"/>
      <c r="R39" s="1025"/>
      <c r="S39" s="1025"/>
    </row>
  </sheetData>
  <mergeCells count="1">
    <mergeCell ref="G7:R7"/>
  </mergeCells>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B1" zoomScale="75" zoomScaleNormal="75" workbookViewId="0">
      <selection activeCell="B1" sqref="B1"/>
    </sheetView>
  </sheetViews>
  <sheetFormatPr defaultColWidth="9.28515625" defaultRowHeight="12.75"/>
  <cols>
    <col min="1" max="1" width="5.7109375" style="278" customWidth="1"/>
    <col min="2" max="2" width="13.28515625" style="85" customWidth="1"/>
    <col min="3" max="3" width="39.28515625" style="278" customWidth="1"/>
    <col min="4" max="4" width="16.7109375" style="278" customWidth="1"/>
    <col min="5" max="5" width="17.7109375" style="278" customWidth="1"/>
    <col min="6" max="6" width="15.140625" style="278" customWidth="1"/>
    <col min="7" max="7" width="34.42578125" style="278" customWidth="1"/>
    <col min="8" max="8" width="19.42578125" style="278" customWidth="1"/>
    <col min="9" max="9" width="14.28515625" style="278" bestFit="1" customWidth="1"/>
    <col min="10" max="10" width="15.42578125" style="278" customWidth="1"/>
    <col min="11" max="11" width="19.28515625" style="278" customWidth="1"/>
    <col min="12" max="12" width="9.28515625" style="278"/>
    <col min="13" max="13" width="10.28515625" style="278" customWidth="1"/>
    <col min="14" max="16384" width="9.28515625" style="278"/>
  </cols>
  <sheetData>
    <row r="2" spans="2:13" ht="18">
      <c r="B2" s="1112" t="str">
        <f>+'Appendix A'!A3</f>
        <v>Dayton Power and Light</v>
      </c>
      <c r="C2" s="1112"/>
      <c r="D2" s="1112"/>
      <c r="E2" s="1112"/>
      <c r="F2" s="1112"/>
      <c r="G2" s="1112"/>
      <c r="H2" s="1112"/>
      <c r="I2" s="1112"/>
      <c r="J2" s="1112"/>
      <c r="K2" s="1112"/>
      <c r="L2" s="1112"/>
    </row>
    <row r="3" spans="2:13" ht="18">
      <c r="B3" s="1112" t="str">
        <f>+'Appendix A'!A4</f>
        <v xml:space="preserve">ATTACHMENT H-15A </v>
      </c>
      <c r="C3" s="1112"/>
      <c r="D3" s="1112"/>
      <c r="E3" s="1112"/>
      <c r="F3" s="1112"/>
      <c r="G3" s="1112"/>
      <c r="H3" s="1112"/>
      <c r="I3" s="1112"/>
      <c r="J3" s="1112"/>
      <c r="K3" s="967"/>
      <c r="L3" s="1081"/>
    </row>
    <row r="4" spans="2:13" ht="18">
      <c r="B4" s="1112" t="s">
        <v>792</v>
      </c>
      <c r="C4" s="1112"/>
      <c r="D4" s="1112"/>
      <c r="E4" s="1112"/>
      <c r="F4" s="1112"/>
      <c r="G4" s="1112"/>
      <c r="H4" s="1112"/>
      <c r="I4" s="1112"/>
      <c r="J4" s="1112"/>
      <c r="K4" s="1112"/>
      <c r="L4" s="1112"/>
    </row>
    <row r="5" spans="2:13" ht="15.75">
      <c r="B5" s="282"/>
      <c r="C5" s="282"/>
      <c r="D5" s="282"/>
      <c r="E5" s="282"/>
      <c r="F5" s="282"/>
      <c r="G5" s="282"/>
      <c r="H5" s="282"/>
      <c r="I5" s="282"/>
      <c r="J5" s="282"/>
      <c r="K5" s="282"/>
      <c r="L5" s="282"/>
    </row>
    <row r="6" spans="2:13" ht="15">
      <c r="B6" s="216" t="s">
        <v>446</v>
      </c>
      <c r="C6" s="562"/>
      <c r="D6" s="562"/>
      <c r="E6" s="562"/>
      <c r="F6" s="562"/>
      <c r="G6" s="562"/>
      <c r="H6" s="89"/>
      <c r="I6" s="89"/>
      <c r="J6" s="540"/>
      <c r="K6" s="540"/>
      <c r="L6" s="540"/>
      <c r="M6" s="540"/>
    </row>
    <row r="7" spans="2:13" ht="15">
      <c r="B7" s="262" t="s">
        <v>793</v>
      </c>
      <c r="C7" s="562"/>
      <c r="E7" s="562"/>
      <c r="F7" s="562"/>
      <c r="G7" s="562"/>
      <c r="H7" s="562"/>
      <c r="I7" s="562"/>
      <c r="J7" s="540"/>
      <c r="K7" s="540"/>
      <c r="L7" s="540"/>
      <c r="M7" s="540"/>
    </row>
    <row r="8" spans="2:13" ht="15">
      <c r="B8" s="90"/>
      <c r="C8" s="562"/>
      <c r="E8" s="562"/>
      <c r="F8" s="562"/>
      <c r="G8" s="562"/>
      <c r="H8" s="562"/>
      <c r="I8" s="562"/>
      <c r="J8" s="562"/>
      <c r="K8" s="562"/>
      <c r="L8" s="562"/>
    </row>
    <row r="9" spans="2:13" ht="15">
      <c r="B9" s="90" t="s">
        <v>366</v>
      </c>
      <c r="C9" s="562" t="s">
        <v>794</v>
      </c>
      <c r="E9" s="562"/>
      <c r="F9" s="562"/>
      <c r="G9" s="562"/>
      <c r="H9" s="562"/>
      <c r="I9" s="562"/>
      <c r="J9" s="562"/>
      <c r="K9" s="562"/>
      <c r="L9" s="562"/>
    </row>
    <row r="10" spans="2:13" ht="15">
      <c r="B10" s="90"/>
      <c r="C10" s="562" t="s">
        <v>795</v>
      </c>
      <c r="E10" s="562"/>
      <c r="F10" s="562"/>
      <c r="G10" s="562"/>
      <c r="H10" s="562"/>
      <c r="I10" s="562"/>
      <c r="J10" s="562"/>
      <c r="K10" s="562"/>
      <c r="L10" s="562"/>
    </row>
    <row r="11" spans="2:13" ht="15">
      <c r="B11" s="90"/>
      <c r="C11" s="562" t="s">
        <v>796</v>
      </c>
      <c r="E11" s="562"/>
      <c r="F11" s="562"/>
      <c r="G11" s="562"/>
      <c r="H11" s="541"/>
      <c r="J11" s="562"/>
      <c r="K11" s="562"/>
      <c r="L11" s="562"/>
    </row>
    <row r="12" spans="2:13" ht="15">
      <c r="B12" s="90"/>
      <c r="E12" s="562"/>
      <c r="F12" s="562"/>
      <c r="G12" s="562"/>
      <c r="H12" s="541"/>
      <c r="J12" s="562"/>
      <c r="K12" s="562"/>
      <c r="L12" s="562"/>
    </row>
    <row r="13" spans="2:13" ht="15">
      <c r="B13" s="90" t="s">
        <v>797</v>
      </c>
      <c r="C13" s="562" t="s">
        <v>798</v>
      </c>
      <c r="E13" s="562"/>
      <c r="F13" s="562"/>
      <c r="G13" s="562"/>
      <c r="H13" s="541"/>
      <c r="J13" s="562"/>
      <c r="K13" s="562"/>
      <c r="L13" s="562"/>
    </row>
    <row r="14" spans="2:13" ht="15">
      <c r="B14" s="90"/>
      <c r="C14" s="562" t="s">
        <v>799</v>
      </c>
      <c r="E14" s="562"/>
      <c r="F14" s="562"/>
      <c r="G14" s="562"/>
      <c r="H14" s="562"/>
      <c r="I14" s="562"/>
      <c r="J14" s="562"/>
      <c r="K14" s="562"/>
      <c r="L14" s="562"/>
    </row>
    <row r="15" spans="2:13" ht="15">
      <c r="B15" s="90"/>
      <c r="C15" s="562"/>
      <c r="E15" s="562"/>
      <c r="F15" s="562"/>
      <c r="G15" s="562"/>
      <c r="H15" s="562"/>
      <c r="I15" s="562"/>
      <c r="J15" s="562"/>
      <c r="K15" s="562"/>
      <c r="L15" s="562"/>
    </row>
    <row r="16" spans="2:13" ht="15">
      <c r="B16" s="90" t="s">
        <v>800</v>
      </c>
      <c r="C16" s="562" t="s">
        <v>801</v>
      </c>
      <c r="E16" s="562"/>
      <c r="F16" s="562"/>
      <c r="G16" s="562"/>
      <c r="H16" s="562"/>
      <c r="I16" s="562"/>
      <c r="J16" s="562"/>
      <c r="K16" s="562"/>
      <c r="L16" s="562"/>
    </row>
    <row r="17" spans="2:13" ht="15">
      <c r="B17" s="90"/>
      <c r="C17" s="562" t="s">
        <v>802</v>
      </c>
      <c r="E17" s="562"/>
      <c r="F17" s="562"/>
      <c r="G17" s="562"/>
      <c r="H17" s="562"/>
      <c r="I17" s="562"/>
      <c r="J17" s="562"/>
      <c r="K17" s="562"/>
      <c r="L17" s="562"/>
    </row>
    <row r="18" spans="2:13" ht="15">
      <c r="G18" s="562"/>
      <c r="H18" s="562"/>
      <c r="I18" s="562"/>
      <c r="J18" s="562"/>
      <c r="K18" s="562"/>
      <c r="L18" s="562"/>
    </row>
    <row r="19" spans="2:13" ht="15">
      <c r="B19" s="90" t="s">
        <v>800</v>
      </c>
      <c r="C19" s="562" t="s">
        <v>803</v>
      </c>
      <c r="D19" s="562"/>
      <c r="F19" s="562"/>
      <c r="G19" s="562"/>
      <c r="H19" s="562"/>
      <c r="I19" s="562"/>
      <c r="J19" s="562"/>
      <c r="L19" s="562"/>
    </row>
    <row r="20" spans="2:13" ht="15">
      <c r="D20" s="562"/>
      <c r="F20" s="562"/>
      <c r="G20" s="562"/>
      <c r="H20" s="562"/>
      <c r="I20" s="562"/>
      <c r="J20" s="562"/>
      <c r="K20" s="542"/>
      <c r="L20" s="562"/>
    </row>
    <row r="21" spans="2:13" ht="15">
      <c r="C21" s="562" t="s">
        <v>804</v>
      </c>
      <c r="D21" s="90" t="s">
        <v>805</v>
      </c>
      <c r="E21" s="562" t="s">
        <v>806</v>
      </c>
      <c r="F21" s="562"/>
      <c r="G21" s="562"/>
      <c r="H21" s="562"/>
      <c r="I21" s="562"/>
      <c r="J21" s="562"/>
      <c r="K21" s="562"/>
      <c r="L21" s="562"/>
    </row>
    <row r="22" spans="2:13" ht="15">
      <c r="E22" s="562" t="s">
        <v>807</v>
      </c>
      <c r="F22" s="562"/>
      <c r="G22" s="562"/>
      <c r="H22" s="562"/>
      <c r="I22" s="562"/>
      <c r="J22" s="562"/>
      <c r="K22" s="562"/>
      <c r="L22" s="562"/>
    </row>
    <row r="23" spans="2:13" ht="15">
      <c r="E23" s="562" t="s">
        <v>808</v>
      </c>
      <c r="F23" s="562"/>
      <c r="G23" s="562"/>
      <c r="H23" s="562"/>
      <c r="I23" s="562"/>
      <c r="J23" s="562"/>
      <c r="K23" s="543"/>
      <c r="L23" s="562"/>
    </row>
    <row r="24" spans="2:13" ht="15">
      <c r="E24" s="562"/>
      <c r="I24" s="562"/>
      <c r="J24" s="562"/>
      <c r="K24" s="562"/>
      <c r="L24" s="562"/>
    </row>
    <row r="25" spans="2:13" ht="15">
      <c r="C25" s="562"/>
      <c r="H25" s="562"/>
      <c r="I25" s="562"/>
      <c r="J25" s="562"/>
      <c r="K25" s="562"/>
      <c r="L25" s="562"/>
    </row>
    <row r="26" spans="2:13" ht="16.5">
      <c r="B26" s="544"/>
      <c r="C26" s="562" t="s">
        <v>809</v>
      </c>
      <c r="F26" s="562"/>
      <c r="G26" s="562"/>
      <c r="H26" s="562"/>
      <c r="I26" s="562"/>
    </row>
    <row r="27" spans="2:13" ht="16.5">
      <c r="B27" s="545"/>
      <c r="C27" s="562" t="s">
        <v>810</v>
      </c>
      <c r="F27" s="562"/>
      <c r="G27" s="562"/>
      <c r="I27" s="562"/>
    </row>
    <row r="28" spans="2:13" ht="15">
      <c r="B28" s="90"/>
      <c r="C28" s="562" t="s">
        <v>811</v>
      </c>
      <c r="F28" s="562"/>
      <c r="G28" s="562"/>
    </row>
    <row r="29" spans="2:13" ht="15">
      <c r="B29" s="90"/>
      <c r="C29" s="562" t="s">
        <v>812</v>
      </c>
      <c r="F29" s="562"/>
      <c r="G29" s="562"/>
      <c r="M29" s="86"/>
    </row>
    <row r="30" spans="2:13" ht="15">
      <c r="B30" s="90"/>
      <c r="C30" s="562" t="s">
        <v>813</v>
      </c>
    </row>
    <row r="31" spans="2:13" ht="15">
      <c r="B31" s="90"/>
      <c r="C31" s="562" t="s">
        <v>814</v>
      </c>
      <c r="H31" s="562"/>
    </row>
    <row r="32" spans="2:13" ht="15">
      <c r="B32" s="90"/>
    </row>
    <row r="33" spans="1:13" ht="15">
      <c r="H33" s="562"/>
      <c r="I33" s="562"/>
      <c r="J33" s="562"/>
      <c r="K33" s="562"/>
    </row>
    <row r="34" spans="1:13" ht="15">
      <c r="A34" s="855" t="s">
        <v>815</v>
      </c>
      <c r="C34" s="562"/>
      <c r="D34" s="90"/>
      <c r="E34" s="89"/>
      <c r="F34" s="562"/>
      <c r="G34" s="562"/>
      <c r="I34" s="203" t="s">
        <v>816</v>
      </c>
      <c r="J34" s="203" t="s">
        <v>817</v>
      </c>
      <c r="K34" s="285"/>
      <c r="L34" s="285"/>
      <c r="M34" s="285"/>
    </row>
    <row r="35" spans="1:13" ht="15">
      <c r="C35" s="562"/>
      <c r="D35" s="90"/>
      <c r="E35" s="562"/>
      <c r="F35" s="562"/>
      <c r="G35" s="562"/>
      <c r="I35" s="700" t="s">
        <v>818</v>
      </c>
      <c r="J35" s="700" t="s">
        <v>818</v>
      </c>
      <c r="K35" s="702" t="s">
        <v>819</v>
      </c>
      <c r="L35" s="285"/>
      <c r="M35" s="285"/>
    </row>
    <row r="36" spans="1:13" ht="15">
      <c r="A36" s="85">
        <v>1</v>
      </c>
      <c r="B36" s="85" t="s">
        <v>217</v>
      </c>
      <c r="C36" s="562" t="s">
        <v>820</v>
      </c>
      <c r="D36" s="90"/>
      <c r="E36" s="562"/>
      <c r="F36" s="562"/>
      <c r="G36" s="562"/>
      <c r="I36" s="890">
        <v>0</v>
      </c>
      <c r="J36" s="48"/>
      <c r="K36" s="89"/>
      <c r="L36" s="285"/>
      <c r="M36" s="284"/>
    </row>
    <row r="37" spans="1:13" ht="15">
      <c r="A37" s="85">
        <f>+A36+1</f>
        <v>2</v>
      </c>
      <c r="B37" s="85" t="s">
        <v>219</v>
      </c>
      <c r="C37" s="699" t="s">
        <v>821</v>
      </c>
      <c r="D37" s="90"/>
      <c r="E37" s="562"/>
      <c r="F37" s="562"/>
      <c r="G37" s="562"/>
      <c r="I37" s="949">
        <v>0</v>
      </c>
      <c r="J37" s="701"/>
      <c r="K37" s="89"/>
      <c r="L37" s="285"/>
      <c r="M37" s="86"/>
    </row>
    <row r="38" spans="1:13" ht="15">
      <c r="A38" s="85">
        <f t="shared" ref="A38:A40" si="0">+A37+1</f>
        <v>3</v>
      </c>
      <c r="B38" s="85" t="s">
        <v>222</v>
      </c>
      <c r="C38" s="562" t="s">
        <v>822</v>
      </c>
      <c r="D38" s="90"/>
      <c r="E38" s="562"/>
      <c r="F38" s="562"/>
      <c r="G38" s="562"/>
      <c r="I38" s="546">
        <f>+I36-I37</f>
        <v>0</v>
      </c>
      <c r="J38" s="546">
        <f>+I38</f>
        <v>0</v>
      </c>
      <c r="K38" s="562"/>
    </row>
    <row r="39" spans="1:13" ht="15">
      <c r="A39" s="85">
        <f t="shared" si="0"/>
        <v>4</v>
      </c>
      <c r="B39" s="85" t="s">
        <v>224</v>
      </c>
      <c r="C39" s="562" t="s">
        <v>823</v>
      </c>
      <c r="D39" s="90"/>
      <c r="E39" s="562"/>
      <c r="F39" s="562"/>
      <c r="G39" s="562"/>
      <c r="I39" s="950">
        <f>(1+E74)^24</f>
        <v>1</v>
      </c>
      <c r="J39" s="950">
        <f>(1+F74)^24</f>
        <v>1</v>
      </c>
      <c r="K39" s="562"/>
    </row>
    <row r="40" spans="1:13" ht="15">
      <c r="A40" s="85">
        <f t="shared" si="0"/>
        <v>5</v>
      </c>
      <c r="B40" s="85" t="s">
        <v>226</v>
      </c>
      <c r="C40" s="562" t="s">
        <v>824</v>
      </c>
      <c r="D40" s="90"/>
      <c r="E40" s="562"/>
      <c r="F40" s="562"/>
      <c r="G40" s="562"/>
      <c r="I40" s="546">
        <f>+I38*I39</f>
        <v>0</v>
      </c>
      <c r="J40" s="546">
        <f>+J38*J39</f>
        <v>0</v>
      </c>
      <c r="K40" s="546">
        <f>+J40-I40</f>
        <v>0</v>
      </c>
    </row>
    <row r="41" spans="1:13" ht="15">
      <c r="A41" s="85">
        <f>+A40+1</f>
        <v>6</v>
      </c>
      <c r="B41" s="85" t="s">
        <v>228</v>
      </c>
      <c r="C41" s="562" t="s">
        <v>825</v>
      </c>
      <c r="D41" s="90"/>
      <c r="E41" s="562"/>
      <c r="F41" s="562"/>
      <c r="G41" s="562"/>
      <c r="H41" s="546"/>
      <c r="I41" s="966">
        <f>+I40+K40</f>
        <v>0</v>
      </c>
      <c r="J41" s="562"/>
      <c r="K41" s="562"/>
    </row>
    <row r="42" spans="1:13" ht="15">
      <c r="A42" s="85"/>
      <c r="C42" s="562"/>
      <c r="D42" s="90"/>
      <c r="E42" s="562"/>
      <c r="F42" s="562"/>
      <c r="G42" s="562"/>
      <c r="H42" s="562"/>
      <c r="I42" s="285"/>
      <c r="J42" s="562"/>
      <c r="K42" s="562"/>
    </row>
    <row r="43" spans="1:13" ht="15">
      <c r="A43" s="85"/>
      <c r="C43" s="562" t="s">
        <v>826</v>
      </c>
      <c r="D43" s="562"/>
      <c r="E43" s="562"/>
      <c r="F43" s="562"/>
      <c r="G43" s="562"/>
      <c r="H43" s="30"/>
    </row>
    <row r="44" spans="1:13" ht="15">
      <c r="A44" s="85"/>
      <c r="C44" s="562" t="s">
        <v>827</v>
      </c>
      <c r="D44" s="562"/>
      <c r="E44" s="562"/>
      <c r="F44" s="562"/>
      <c r="G44" s="562"/>
      <c r="H44" s="279"/>
      <c r="I44" s="214"/>
      <c r="J44" s="547"/>
      <c r="K44" s="285"/>
      <c r="L44" s="285"/>
      <c r="M44" s="285"/>
    </row>
    <row r="45" spans="1:13" ht="15">
      <c r="A45" s="85"/>
      <c r="C45" s="562"/>
      <c r="D45" s="562"/>
      <c r="E45" s="562"/>
      <c r="F45" s="562"/>
      <c r="G45" s="562"/>
      <c r="H45" s="207"/>
      <c r="I45" s="277"/>
      <c r="J45" s="277"/>
      <c r="K45" s="277"/>
      <c r="L45" s="285"/>
      <c r="M45" s="285"/>
    </row>
    <row r="46" spans="1:13" ht="15">
      <c r="A46" s="85"/>
      <c r="B46" s="548" t="s">
        <v>828</v>
      </c>
      <c r="C46" s="562"/>
      <c r="D46" s="562"/>
      <c r="E46" s="90" t="s">
        <v>816</v>
      </c>
      <c r="F46" s="90" t="s">
        <v>829</v>
      </c>
      <c r="G46" s="562"/>
      <c r="H46" s="207"/>
      <c r="I46" s="277"/>
      <c r="J46" s="277"/>
      <c r="K46" s="277"/>
      <c r="L46" s="285"/>
      <c r="M46" s="285"/>
    </row>
    <row r="47" spans="1:13" ht="20.25">
      <c r="A47" s="85"/>
      <c r="B47" s="278"/>
      <c r="C47" s="90"/>
      <c r="D47" s="562"/>
      <c r="E47" s="90" t="s">
        <v>830</v>
      </c>
      <c r="F47" s="90" t="s">
        <v>830</v>
      </c>
      <c r="H47" s="60"/>
      <c r="I47" s="207"/>
      <c r="J47" s="30"/>
      <c r="K47" s="549"/>
      <c r="L47" s="285"/>
      <c r="M47" s="285"/>
    </row>
    <row r="48" spans="1:13" ht="17.25">
      <c r="A48" s="85"/>
      <c r="B48" s="852" t="s">
        <v>451</v>
      </c>
      <c r="C48" s="624" t="s">
        <v>381</v>
      </c>
      <c r="D48" s="562"/>
      <c r="E48" s="624" t="s">
        <v>818</v>
      </c>
      <c r="F48" s="624" t="s">
        <v>818</v>
      </c>
      <c r="H48" s="221"/>
      <c r="I48" s="547"/>
      <c r="J48" s="551"/>
      <c r="K48" s="549"/>
      <c r="L48" s="285"/>
      <c r="M48" s="285"/>
    </row>
    <row r="49" spans="1:12" ht="15">
      <c r="A49" s="85">
        <f>+A41+1</f>
        <v>7</v>
      </c>
      <c r="B49" s="262" t="s">
        <v>405</v>
      </c>
      <c r="C49" s="90" t="s">
        <v>831</v>
      </c>
      <c r="D49" s="562"/>
      <c r="E49" s="552">
        <v>0</v>
      </c>
      <c r="F49" s="552">
        <v>0</v>
      </c>
      <c r="G49" s="548"/>
      <c r="H49" s="566"/>
      <c r="I49" s="572"/>
      <c r="J49" s="573"/>
      <c r="K49" s="549"/>
      <c r="L49" s="285"/>
    </row>
    <row r="50" spans="1:12" ht="15">
      <c r="A50" s="85">
        <f>+A49+1</f>
        <v>8</v>
      </c>
      <c r="B50" s="262" t="s">
        <v>406</v>
      </c>
      <c r="C50" s="90" t="s">
        <v>831</v>
      </c>
      <c r="D50" s="562"/>
      <c r="E50" s="552">
        <v>0</v>
      </c>
      <c r="F50" s="552">
        <v>0</v>
      </c>
      <c r="G50" s="550"/>
      <c r="H50" s="90"/>
      <c r="I50" s="562"/>
      <c r="J50" s="566"/>
      <c r="K50" s="553"/>
    </row>
    <row r="51" spans="1:12" ht="15">
      <c r="A51" s="85">
        <f t="shared" ref="A51:A72" si="1">+A50+1</f>
        <v>9</v>
      </c>
      <c r="B51" s="262" t="s">
        <v>407</v>
      </c>
      <c r="C51" s="90" t="s">
        <v>831</v>
      </c>
      <c r="D51" s="562"/>
      <c r="E51" s="552">
        <v>0</v>
      </c>
      <c r="F51" s="552">
        <v>0</v>
      </c>
      <c r="G51" s="562"/>
      <c r="H51" s="90"/>
      <c r="I51" s="562"/>
      <c r="J51" s="90"/>
      <c r="K51" s="553"/>
    </row>
    <row r="52" spans="1:12" ht="15">
      <c r="A52" s="85">
        <f t="shared" si="1"/>
        <v>10</v>
      </c>
      <c r="B52" s="262" t="s">
        <v>408</v>
      </c>
      <c r="C52" s="90" t="s">
        <v>831</v>
      </c>
      <c r="D52" s="562"/>
      <c r="E52" s="552">
        <v>0</v>
      </c>
      <c r="F52" s="552">
        <v>0</v>
      </c>
      <c r="G52" s="562"/>
      <c r="H52" s="90"/>
      <c r="I52" s="562"/>
      <c r="J52" s="90"/>
      <c r="K52" s="553"/>
    </row>
    <row r="53" spans="1:12" ht="15">
      <c r="A53" s="85">
        <f t="shared" si="1"/>
        <v>11</v>
      </c>
      <c r="B53" s="262" t="s">
        <v>409</v>
      </c>
      <c r="C53" s="90" t="s">
        <v>831</v>
      </c>
      <c r="D53" s="562"/>
      <c r="E53" s="552">
        <v>0</v>
      </c>
      <c r="F53" s="552">
        <v>0</v>
      </c>
      <c r="G53" s="562"/>
      <c r="H53" s="566"/>
      <c r="I53" s="562"/>
      <c r="J53" s="90"/>
      <c r="K53" s="553"/>
    </row>
    <row r="54" spans="1:12" ht="15">
      <c r="A54" s="85">
        <f t="shared" si="1"/>
        <v>12</v>
      </c>
      <c r="B54" s="262" t="s">
        <v>410</v>
      </c>
      <c r="C54" s="90" t="s">
        <v>831</v>
      </c>
      <c r="D54" s="562"/>
      <c r="E54" s="552">
        <v>0</v>
      </c>
      <c r="F54" s="552">
        <v>0</v>
      </c>
      <c r="G54" s="562"/>
      <c r="H54" s="90"/>
      <c r="I54" s="562"/>
      <c r="J54" s="90"/>
      <c r="K54" s="553"/>
    </row>
    <row r="55" spans="1:12" ht="15">
      <c r="A55" s="85">
        <f t="shared" si="1"/>
        <v>13</v>
      </c>
      <c r="B55" s="262" t="s">
        <v>399</v>
      </c>
      <c r="C55" s="90" t="s">
        <v>832</v>
      </c>
      <c r="D55" s="562"/>
      <c r="E55" s="552">
        <v>0</v>
      </c>
      <c r="F55" s="552">
        <v>0</v>
      </c>
      <c r="G55" s="562"/>
      <c r="H55" s="90"/>
      <c r="I55" s="562"/>
      <c r="J55" s="90"/>
      <c r="K55" s="553"/>
    </row>
    <row r="56" spans="1:12" ht="15">
      <c r="A56" s="85">
        <f t="shared" si="1"/>
        <v>14</v>
      </c>
      <c r="B56" s="262" t="s">
        <v>400</v>
      </c>
      <c r="C56" s="90" t="s">
        <v>832</v>
      </c>
      <c r="D56" s="562"/>
      <c r="E56" s="552">
        <v>0</v>
      </c>
      <c r="F56" s="552">
        <v>0</v>
      </c>
      <c r="G56" s="562"/>
      <c r="H56" s="90"/>
      <c r="I56" s="562"/>
      <c r="J56" s="90"/>
      <c r="K56" s="553"/>
    </row>
    <row r="57" spans="1:12" ht="15">
      <c r="A57" s="85">
        <f t="shared" si="1"/>
        <v>15</v>
      </c>
      <c r="B57" s="262" t="s">
        <v>401</v>
      </c>
      <c r="C57" s="90" t="s">
        <v>832</v>
      </c>
      <c r="D57" s="562"/>
      <c r="E57" s="552">
        <v>0</v>
      </c>
      <c r="F57" s="552">
        <v>0</v>
      </c>
      <c r="G57" s="562"/>
      <c r="H57" s="90"/>
      <c r="I57" s="562"/>
      <c r="J57" s="90"/>
      <c r="K57" s="553"/>
    </row>
    <row r="58" spans="1:12" ht="15">
      <c r="A58" s="85">
        <f t="shared" si="1"/>
        <v>16</v>
      </c>
      <c r="B58" s="262" t="s">
        <v>402</v>
      </c>
      <c r="C58" s="90" t="s">
        <v>832</v>
      </c>
      <c r="D58" s="562"/>
      <c r="E58" s="552">
        <v>0</v>
      </c>
      <c r="F58" s="552">
        <v>0</v>
      </c>
      <c r="G58" s="562"/>
      <c r="H58" s="90"/>
      <c r="I58" s="562"/>
      <c r="J58" s="90"/>
      <c r="K58" s="553"/>
    </row>
    <row r="59" spans="1:12" ht="15">
      <c r="A59" s="85">
        <f t="shared" si="1"/>
        <v>17</v>
      </c>
      <c r="B59" s="262" t="s">
        <v>403</v>
      </c>
      <c r="C59" s="90" t="s">
        <v>832</v>
      </c>
      <c r="D59" s="562"/>
      <c r="E59" s="552">
        <v>0</v>
      </c>
      <c r="F59" s="552">
        <v>0</v>
      </c>
      <c r="G59" s="562"/>
      <c r="H59" s="90"/>
      <c r="I59" s="562"/>
      <c r="J59" s="90"/>
      <c r="K59" s="553"/>
    </row>
    <row r="60" spans="1:12" ht="15">
      <c r="A60" s="85">
        <f t="shared" si="1"/>
        <v>18</v>
      </c>
      <c r="B60" s="262" t="s">
        <v>404</v>
      </c>
      <c r="C60" s="90" t="s">
        <v>832</v>
      </c>
      <c r="D60" s="562"/>
      <c r="E60" s="552">
        <v>0</v>
      </c>
      <c r="F60" s="552">
        <v>0</v>
      </c>
      <c r="G60" s="562"/>
      <c r="H60" s="90"/>
      <c r="I60" s="562"/>
      <c r="J60" s="90"/>
      <c r="K60" s="553"/>
    </row>
    <row r="61" spans="1:12" ht="15">
      <c r="A61" s="85">
        <f t="shared" si="1"/>
        <v>19</v>
      </c>
      <c r="B61" s="262" t="s">
        <v>405</v>
      </c>
      <c r="C61" s="90" t="s">
        <v>832</v>
      </c>
      <c r="D61" s="562"/>
      <c r="E61" s="552">
        <v>0</v>
      </c>
      <c r="F61" s="552">
        <v>0</v>
      </c>
      <c r="G61" s="562"/>
      <c r="H61" s="90"/>
      <c r="I61" s="562"/>
      <c r="J61" s="90"/>
      <c r="K61" s="553"/>
    </row>
    <row r="62" spans="1:12" ht="15">
      <c r="A62" s="85">
        <f t="shared" si="1"/>
        <v>20</v>
      </c>
      <c r="B62" s="262" t="s">
        <v>406</v>
      </c>
      <c r="C62" s="90" t="s">
        <v>832</v>
      </c>
      <c r="D62" s="562"/>
      <c r="E62" s="552">
        <v>0</v>
      </c>
      <c r="F62" s="552">
        <v>0</v>
      </c>
      <c r="G62" s="562"/>
      <c r="H62" s="90"/>
      <c r="I62" s="562"/>
      <c r="J62" s="90"/>
      <c r="K62" s="553"/>
    </row>
    <row r="63" spans="1:12" ht="15">
      <c r="A63" s="85">
        <f t="shared" si="1"/>
        <v>21</v>
      </c>
      <c r="B63" s="262" t="s">
        <v>407</v>
      </c>
      <c r="C63" s="90" t="s">
        <v>832</v>
      </c>
      <c r="D63" s="562"/>
      <c r="E63" s="552">
        <v>0</v>
      </c>
      <c r="F63" s="552">
        <v>0</v>
      </c>
      <c r="G63" s="562"/>
      <c r="H63" s="90"/>
      <c r="I63" s="562"/>
      <c r="J63" s="90"/>
      <c r="K63" s="553"/>
    </row>
    <row r="64" spans="1:12" ht="15">
      <c r="A64" s="85">
        <f t="shared" si="1"/>
        <v>22</v>
      </c>
      <c r="B64" s="853" t="s">
        <v>408</v>
      </c>
      <c r="C64" s="90" t="s">
        <v>832</v>
      </c>
      <c r="D64" s="89"/>
      <c r="E64" s="552">
        <v>0</v>
      </c>
      <c r="F64" s="552">
        <v>0</v>
      </c>
      <c r="G64" s="562"/>
      <c r="H64" s="90"/>
      <c r="I64" s="562"/>
      <c r="J64" s="90"/>
      <c r="K64" s="553"/>
    </row>
    <row r="65" spans="1:11" ht="15">
      <c r="A65" s="85">
        <f t="shared" si="1"/>
        <v>23</v>
      </c>
      <c r="B65" s="262" t="s">
        <v>409</v>
      </c>
      <c r="C65" s="90" t="s">
        <v>832</v>
      </c>
      <c r="D65" s="562"/>
      <c r="E65" s="552">
        <v>0</v>
      </c>
      <c r="F65" s="552">
        <v>0</v>
      </c>
      <c r="G65" s="562"/>
      <c r="H65" s="90"/>
      <c r="I65" s="562"/>
      <c r="J65" s="90"/>
      <c r="K65" s="553"/>
    </row>
    <row r="66" spans="1:11" ht="15">
      <c r="A66" s="85">
        <f t="shared" si="1"/>
        <v>24</v>
      </c>
      <c r="B66" s="262" t="s">
        <v>410</v>
      </c>
      <c r="C66" s="90" t="s">
        <v>832</v>
      </c>
      <c r="D66" s="562"/>
      <c r="E66" s="552">
        <v>0</v>
      </c>
      <c r="F66" s="552">
        <v>0</v>
      </c>
      <c r="G66" s="562"/>
      <c r="H66" s="90"/>
      <c r="I66" s="562"/>
      <c r="J66" s="90"/>
      <c r="K66" s="553"/>
    </row>
    <row r="67" spans="1:11" ht="15">
      <c r="A67" s="85">
        <f t="shared" si="1"/>
        <v>25</v>
      </c>
      <c r="B67" s="262" t="s">
        <v>399</v>
      </c>
      <c r="C67" s="90" t="s">
        <v>833</v>
      </c>
      <c r="D67" s="562"/>
      <c r="E67" s="552">
        <v>0</v>
      </c>
      <c r="F67" s="552">
        <v>0</v>
      </c>
      <c r="G67" s="562"/>
      <c r="H67" s="90"/>
      <c r="I67" s="562"/>
      <c r="J67" s="90"/>
      <c r="K67" s="553"/>
    </row>
    <row r="68" spans="1:11" ht="15">
      <c r="A68" s="85">
        <f t="shared" si="1"/>
        <v>26</v>
      </c>
      <c r="B68" s="262" t="s">
        <v>400</v>
      </c>
      <c r="C68" s="90" t="s">
        <v>833</v>
      </c>
      <c r="D68" s="562"/>
      <c r="E68" s="552">
        <v>0</v>
      </c>
      <c r="F68" s="552">
        <v>0</v>
      </c>
      <c r="G68" s="562"/>
      <c r="H68" s="90"/>
      <c r="I68" s="562"/>
      <c r="J68" s="90"/>
    </row>
    <row r="69" spans="1:11" ht="15">
      <c r="A69" s="85">
        <f t="shared" si="1"/>
        <v>27</v>
      </c>
      <c r="B69" s="262" t="s">
        <v>401</v>
      </c>
      <c r="C69" s="90" t="s">
        <v>833</v>
      </c>
      <c r="D69" s="562"/>
      <c r="E69" s="552">
        <v>0</v>
      </c>
      <c r="F69" s="552">
        <v>0</v>
      </c>
      <c r="G69" s="562"/>
      <c r="H69" s="90"/>
      <c r="I69" s="562"/>
      <c r="J69" s="90"/>
    </row>
    <row r="70" spans="1:11" ht="15">
      <c r="A70" s="85">
        <f t="shared" si="1"/>
        <v>28</v>
      </c>
      <c r="B70" s="262" t="s">
        <v>402</v>
      </c>
      <c r="C70" s="90" t="s">
        <v>833</v>
      </c>
      <c r="D70" s="562"/>
      <c r="E70" s="552">
        <v>0</v>
      </c>
      <c r="F70" s="552">
        <v>0</v>
      </c>
      <c r="G70" s="562"/>
      <c r="H70" s="90"/>
      <c r="I70" s="562"/>
      <c r="J70" s="90"/>
    </row>
    <row r="71" spans="1:11" ht="15">
      <c r="A71" s="85">
        <f t="shared" si="1"/>
        <v>29</v>
      </c>
      <c r="B71" s="262" t="s">
        <v>403</v>
      </c>
      <c r="C71" s="90" t="s">
        <v>833</v>
      </c>
      <c r="D71" s="562"/>
      <c r="E71" s="552">
        <v>0</v>
      </c>
      <c r="F71" s="552">
        <v>0</v>
      </c>
      <c r="G71" s="562"/>
      <c r="H71" s="90"/>
      <c r="I71" s="562"/>
      <c r="J71" s="90"/>
    </row>
    <row r="72" spans="1:11" ht="15">
      <c r="A72" s="85">
        <f t="shared" si="1"/>
        <v>30</v>
      </c>
      <c r="B72" s="262" t="s">
        <v>404</v>
      </c>
      <c r="C72" s="90" t="s">
        <v>833</v>
      </c>
      <c r="D72" s="562"/>
      <c r="E72" s="552">
        <v>0</v>
      </c>
      <c r="F72" s="552">
        <v>0</v>
      </c>
      <c r="G72" s="89"/>
      <c r="H72" s="89"/>
      <c r="I72" s="89"/>
      <c r="J72" s="554"/>
    </row>
    <row r="73" spans="1:11">
      <c r="A73" s="85"/>
      <c r="B73" s="854"/>
    </row>
    <row r="74" spans="1:11" ht="15">
      <c r="A74" s="85">
        <f>+A72+1</f>
        <v>31</v>
      </c>
      <c r="B74" s="262" t="s">
        <v>561</v>
      </c>
      <c r="E74" s="623">
        <f>+SUM(E49:E72)/24</f>
        <v>0</v>
      </c>
      <c r="F74" s="623">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zoomScale="75" zoomScaleNormal="75" workbookViewId="0"/>
  </sheetViews>
  <sheetFormatPr defaultColWidth="9.28515625" defaultRowHeight="12.75"/>
  <cols>
    <col min="1" max="1" width="5.140625" style="278" customWidth="1"/>
    <col min="2" max="2" width="14.140625" style="85" customWidth="1"/>
    <col min="3" max="3" width="45.85546875" style="278" customWidth="1"/>
    <col min="4" max="4" width="16.7109375" style="278" customWidth="1"/>
    <col min="5" max="5" width="17.7109375" style="278" customWidth="1"/>
    <col min="6" max="6" width="15.140625" style="278" customWidth="1"/>
    <col min="7" max="7" width="34.42578125" style="278" customWidth="1"/>
    <col min="8" max="8" width="19.42578125" style="278" customWidth="1"/>
    <col min="9" max="9" width="14.28515625" style="278" bestFit="1" customWidth="1"/>
    <col min="10" max="10" width="15.42578125" style="278" customWidth="1"/>
    <col min="11" max="11" width="19.28515625" style="278" customWidth="1"/>
    <col min="12" max="12" width="9.28515625" style="278"/>
    <col min="13" max="13" width="10.28515625" style="278" customWidth="1"/>
    <col min="14" max="16384" width="9.28515625" style="278"/>
  </cols>
  <sheetData>
    <row r="2" spans="2:13" ht="18">
      <c r="B2" s="1112" t="str">
        <f>+'Appendix A'!A3</f>
        <v>Dayton Power and Light</v>
      </c>
      <c r="C2" s="1112"/>
      <c r="D2" s="1112"/>
      <c r="E2" s="1112"/>
      <c r="F2" s="1112"/>
      <c r="G2" s="1112"/>
      <c r="H2" s="1112"/>
      <c r="I2" s="1112"/>
      <c r="J2" s="1112"/>
      <c r="K2" s="1112"/>
      <c r="L2" s="1112"/>
    </row>
    <row r="3" spans="2:13" ht="18">
      <c r="B3" s="1112" t="str">
        <f>+'Appendix A'!A4</f>
        <v xml:space="preserve">ATTACHMENT H-15A </v>
      </c>
      <c r="C3" s="1112"/>
      <c r="D3" s="1112"/>
      <c r="E3" s="1112"/>
      <c r="F3" s="1112"/>
      <c r="G3" s="1112"/>
      <c r="H3" s="1112"/>
      <c r="I3" s="1112"/>
      <c r="J3" s="1112"/>
      <c r="K3" s="967"/>
      <c r="L3" s="1081"/>
    </row>
    <row r="4" spans="2:13" ht="18">
      <c r="B4" s="1112" t="s">
        <v>834</v>
      </c>
      <c r="C4" s="1112"/>
      <c r="D4" s="1112"/>
      <c r="E4" s="1112"/>
      <c r="F4" s="1112"/>
      <c r="G4" s="1112"/>
      <c r="H4" s="1112"/>
      <c r="I4" s="1112"/>
      <c r="J4" s="1112"/>
      <c r="K4" s="1112"/>
      <c r="L4" s="1112"/>
    </row>
    <row r="5" spans="2:13" ht="15.75">
      <c r="B5" s="282"/>
      <c r="C5" s="282"/>
      <c r="D5" s="282"/>
      <c r="E5" s="282"/>
      <c r="F5" s="282"/>
      <c r="G5" s="282"/>
      <c r="H5" s="282"/>
      <c r="I5" s="282"/>
      <c r="J5" s="282"/>
      <c r="K5" s="282"/>
      <c r="L5" s="282"/>
    </row>
    <row r="6" spans="2:13" ht="15">
      <c r="B6" s="216" t="s">
        <v>446</v>
      </c>
      <c r="C6" s="562"/>
      <c r="D6" s="562"/>
      <c r="E6" s="562"/>
      <c r="F6" s="562"/>
      <c r="G6" s="562"/>
      <c r="H6" s="89"/>
      <c r="I6" s="89"/>
      <c r="J6" s="540"/>
      <c r="K6" s="540"/>
      <c r="L6" s="540"/>
      <c r="M6" s="540"/>
    </row>
    <row r="7" spans="2:13" ht="15">
      <c r="B7" s="262" t="s">
        <v>835</v>
      </c>
      <c r="C7" s="562"/>
      <c r="E7" s="562"/>
      <c r="F7" s="562"/>
      <c r="G7" s="562"/>
      <c r="H7" s="562"/>
      <c r="I7" s="562"/>
      <c r="J7" s="540"/>
      <c r="K7" s="540"/>
      <c r="L7" s="540"/>
      <c r="M7" s="540"/>
    </row>
    <row r="8" spans="2:13" ht="15">
      <c r="B8" s="90"/>
      <c r="C8" s="562"/>
      <c r="E8" s="562"/>
      <c r="F8" s="562"/>
      <c r="G8" s="562"/>
      <c r="H8" s="562"/>
      <c r="I8" s="562"/>
      <c r="J8" s="562"/>
      <c r="K8" s="562"/>
      <c r="L8" s="562"/>
    </row>
    <row r="9" spans="2:13" ht="15">
      <c r="B9" s="90" t="s">
        <v>366</v>
      </c>
      <c r="C9" s="562" t="s">
        <v>794</v>
      </c>
      <c r="E9" s="562"/>
      <c r="F9" s="562"/>
      <c r="G9" s="562"/>
      <c r="H9" s="562"/>
      <c r="I9" s="562"/>
      <c r="J9" s="562"/>
      <c r="K9" s="562"/>
      <c r="L9" s="562"/>
    </row>
    <row r="10" spans="2:13" ht="15">
      <c r="B10" s="90"/>
      <c r="C10" s="562" t="s">
        <v>795</v>
      </c>
      <c r="E10" s="562"/>
      <c r="F10" s="562"/>
      <c r="G10" s="562"/>
      <c r="H10" s="562"/>
      <c r="I10" s="562"/>
      <c r="J10" s="562"/>
      <c r="K10" s="562"/>
      <c r="L10" s="562"/>
    </row>
    <row r="11" spans="2:13" ht="15">
      <c r="B11" s="90"/>
      <c r="C11" s="562" t="s">
        <v>796</v>
      </c>
      <c r="E11" s="562"/>
      <c r="F11" s="562"/>
      <c r="G11" s="562"/>
      <c r="H11" s="541"/>
      <c r="J11" s="562"/>
      <c r="K11" s="562"/>
      <c r="L11" s="562"/>
    </row>
    <row r="12" spans="2:13" ht="15">
      <c r="B12" s="90"/>
      <c r="E12" s="562"/>
      <c r="F12" s="562"/>
      <c r="G12" s="562"/>
      <c r="H12" s="541"/>
      <c r="J12" s="562"/>
      <c r="K12" s="562"/>
      <c r="L12" s="562"/>
    </row>
    <row r="13" spans="2:13" ht="15">
      <c r="B13" s="90" t="s">
        <v>797</v>
      </c>
      <c r="C13" s="562" t="s">
        <v>798</v>
      </c>
      <c r="E13" s="562"/>
      <c r="F13" s="562"/>
      <c r="G13" s="562"/>
      <c r="H13" s="541"/>
      <c r="J13" s="562"/>
      <c r="K13" s="562"/>
      <c r="L13" s="562"/>
    </row>
    <row r="14" spans="2:13" ht="15">
      <c r="B14" s="90"/>
      <c r="C14" s="562" t="s">
        <v>799</v>
      </c>
      <c r="E14" s="562"/>
      <c r="F14" s="562"/>
      <c r="G14" s="562"/>
      <c r="H14" s="562"/>
      <c r="I14" s="562"/>
      <c r="J14" s="562"/>
      <c r="K14" s="562"/>
      <c r="L14" s="562"/>
    </row>
    <row r="15" spans="2:13" ht="15">
      <c r="B15" s="90"/>
      <c r="C15" s="562"/>
      <c r="E15" s="562"/>
      <c r="F15" s="562"/>
      <c r="G15" s="562"/>
      <c r="H15" s="562"/>
      <c r="I15" s="562"/>
      <c r="J15" s="562"/>
      <c r="K15" s="562"/>
      <c r="L15" s="562"/>
    </row>
    <row r="16" spans="2:13" ht="15">
      <c r="B16" s="90" t="s">
        <v>800</v>
      </c>
      <c r="C16" s="562" t="s">
        <v>801</v>
      </c>
      <c r="E16" s="562"/>
      <c r="F16" s="562"/>
      <c r="G16" s="562"/>
      <c r="H16" s="562"/>
      <c r="I16" s="562"/>
      <c r="J16" s="562"/>
      <c r="K16" s="562"/>
      <c r="L16" s="562"/>
    </row>
    <row r="17" spans="2:13" ht="15">
      <c r="B17" s="90"/>
      <c r="C17" s="562" t="s">
        <v>802</v>
      </c>
      <c r="E17" s="562"/>
      <c r="F17" s="562"/>
      <c r="G17" s="562"/>
      <c r="H17" s="562"/>
      <c r="I17" s="562"/>
      <c r="J17" s="562"/>
      <c r="K17" s="562"/>
      <c r="L17" s="562"/>
    </row>
    <row r="18" spans="2:13" ht="15">
      <c r="G18" s="562"/>
      <c r="H18" s="562"/>
      <c r="I18" s="562"/>
      <c r="J18" s="562"/>
      <c r="K18" s="562"/>
      <c r="L18" s="562"/>
    </row>
    <row r="19" spans="2:13" ht="15">
      <c r="B19" s="90" t="s">
        <v>800</v>
      </c>
      <c r="C19" s="562" t="s">
        <v>803</v>
      </c>
      <c r="D19" s="562"/>
      <c r="F19" s="562"/>
      <c r="G19" s="562"/>
      <c r="H19" s="562"/>
      <c r="I19" s="562"/>
      <c r="J19" s="562"/>
      <c r="L19" s="562"/>
    </row>
    <row r="20" spans="2:13" ht="15">
      <c r="D20" s="562"/>
      <c r="F20" s="562"/>
      <c r="G20" s="562"/>
      <c r="H20" s="562"/>
      <c r="I20" s="562"/>
      <c r="J20" s="562"/>
      <c r="K20" s="542"/>
      <c r="L20" s="562"/>
    </row>
    <row r="21" spans="2:13" ht="15">
      <c r="C21" s="562" t="s">
        <v>804</v>
      </c>
      <c r="D21" s="90" t="s">
        <v>805</v>
      </c>
      <c r="E21" s="562" t="s">
        <v>806</v>
      </c>
      <c r="F21" s="562"/>
      <c r="G21" s="562"/>
      <c r="H21" s="562"/>
      <c r="I21" s="562"/>
      <c r="J21" s="562"/>
      <c r="K21" s="562"/>
      <c r="L21" s="562"/>
    </row>
    <row r="22" spans="2:13" ht="15">
      <c r="E22" s="562" t="s">
        <v>807</v>
      </c>
      <c r="F22" s="562"/>
      <c r="G22" s="562"/>
      <c r="H22" s="562"/>
      <c r="I22" s="562"/>
      <c r="J22" s="562"/>
      <c r="K22" s="562"/>
      <c r="L22" s="562"/>
    </row>
    <row r="23" spans="2:13" ht="15">
      <c r="E23" s="562" t="s">
        <v>808</v>
      </c>
      <c r="F23" s="562"/>
      <c r="G23" s="562"/>
      <c r="H23" s="562"/>
      <c r="I23" s="562"/>
      <c r="J23" s="562"/>
      <c r="K23" s="543"/>
      <c r="L23" s="562"/>
    </row>
    <row r="24" spans="2:13" ht="15">
      <c r="E24" s="562"/>
      <c r="I24" s="562"/>
      <c r="J24" s="562"/>
      <c r="K24" s="562"/>
      <c r="L24" s="562"/>
    </row>
    <row r="25" spans="2:13" ht="15">
      <c r="C25" s="562"/>
      <c r="H25" s="562"/>
      <c r="I25" s="562"/>
      <c r="J25" s="562"/>
      <c r="K25" s="562"/>
      <c r="L25" s="562"/>
    </row>
    <row r="26" spans="2:13" ht="16.5">
      <c r="B26" s="544"/>
      <c r="C26" s="562" t="s">
        <v>809</v>
      </c>
      <c r="F26" s="562"/>
      <c r="G26" s="562"/>
      <c r="H26" s="562"/>
      <c r="I26" s="562"/>
    </row>
    <row r="27" spans="2:13" ht="16.5">
      <c r="B27" s="545"/>
      <c r="C27" s="562" t="s">
        <v>810</v>
      </c>
      <c r="F27" s="562"/>
      <c r="G27" s="562"/>
      <c r="I27" s="562"/>
    </row>
    <row r="28" spans="2:13" ht="15">
      <c r="B28" s="90"/>
      <c r="C28" s="562" t="s">
        <v>811</v>
      </c>
      <c r="F28" s="562"/>
      <c r="G28" s="562"/>
    </row>
    <row r="29" spans="2:13" ht="15">
      <c r="B29" s="90"/>
      <c r="C29" s="562" t="s">
        <v>812</v>
      </c>
      <c r="F29" s="562"/>
      <c r="G29" s="562"/>
      <c r="M29" s="86"/>
    </row>
    <row r="30" spans="2:13" ht="15">
      <c r="B30" s="90"/>
      <c r="C30" s="562" t="s">
        <v>813</v>
      </c>
    </row>
    <row r="31" spans="2:13" ht="15">
      <c r="B31" s="90"/>
      <c r="C31" s="562" t="s">
        <v>814</v>
      </c>
      <c r="H31" s="562"/>
    </row>
    <row r="32" spans="2:13" ht="15">
      <c r="B32" s="90"/>
    </row>
    <row r="33" spans="1:13" ht="15">
      <c r="H33" s="562"/>
      <c r="I33" s="562"/>
      <c r="J33" s="562"/>
      <c r="K33" s="562"/>
    </row>
    <row r="34" spans="1:13" ht="15">
      <c r="C34" s="562"/>
      <c r="D34" s="90"/>
      <c r="E34" s="89"/>
      <c r="F34" s="562"/>
      <c r="G34" s="562"/>
      <c r="I34" s="203" t="s">
        <v>816</v>
      </c>
      <c r="J34" s="203" t="s">
        <v>817</v>
      </c>
      <c r="K34" s="285"/>
      <c r="L34" s="285"/>
      <c r="M34" s="285"/>
    </row>
    <row r="35" spans="1:13" ht="15">
      <c r="A35" s="855" t="s">
        <v>836</v>
      </c>
      <c r="C35" s="562"/>
      <c r="D35" s="90"/>
      <c r="E35" s="562"/>
      <c r="F35" s="562"/>
      <c r="G35" s="562"/>
      <c r="I35" s="700" t="s">
        <v>818</v>
      </c>
      <c r="J35" s="700" t="s">
        <v>818</v>
      </c>
      <c r="K35" s="702" t="s">
        <v>819</v>
      </c>
      <c r="L35" s="285"/>
      <c r="M35" s="285"/>
    </row>
    <row r="36" spans="1:13" ht="15">
      <c r="A36" s="278">
        <v>1</v>
      </c>
      <c r="B36" s="85" t="s">
        <v>217</v>
      </c>
      <c r="C36" s="562" t="s">
        <v>837</v>
      </c>
      <c r="D36" s="90"/>
      <c r="E36" s="562"/>
      <c r="F36" s="562"/>
      <c r="G36" s="562"/>
      <c r="I36" s="890">
        <v>0</v>
      </c>
      <c r="J36" s="48"/>
      <c r="K36" s="89"/>
      <c r="L36" s="285"/>
      <c r="M36" s="284"/>
    </row>
    <row r="37" spans="1:13" ht="15">
      <c r="A37" s="278">
        <f>+A36+1</f>
        <v>2</v>
      </c>
      <c r="B37" s="85" t="s">
        <v>219</v>
      </c>
      <c r="C37" s="699" t="s">
        <v>838</v>
      </c>
      <c r="D37" s="90"/>
      <c r="E37" s="562"/>
      <c r="F37" s="562"/>
      <c r="G37" s="562"/>
      <c r="I37" s="949">
        <v>0</v>
      </c>
      <c r="J37" s="701"/>
      <c r="K37" s="89"/>
      <c r="L37" s="285"/>
      <c r="M37" s="86"/>
    </row>
    <row r="38" spans="1:13" ht="15">
      <c r="A38" s="278">
        <f t="shared" ref="A38:A40" si="0">+A37+1</f>
        <v>3</v>
      </c>
      <c r="B38" s="85" t="s">
        <v>222</v>
      </c>
      <c r="C38" s="562" t="s">
        <v>822</v>
      </c>
      <c r="D38" s="90"/>
      <c r="E38" s="562"/>
      <c r="F38" s="562"/>
      <c r="G38" s="562"/>
      <c r="I38" s="546">
        <f>+I36-I37</f>
        <v>0</v>
      </c>
      <c r="J38" s="546">
        <f>+I38</f>
        <v>0</v>
      </c>
      <c r="K38" s="562"/>
    </row>
    <row r="39" spans="1:13" ht="15">
      <c r="A39" s="278">
        <f t="shared" si="0"/>
        <v>4</v>
      </c>
      <c r="B39" s="85" t="s">
        <v>224</v>
      </c>
      <c r="C39" s="562" t="s">
        <v>823</v>
      </c>
      <c r="D39" s="90"/>
      <c r="E39" s="562"/>
      <c r="F39" s="562"/>
      <c r="G39" s="562"/>
      <c r="I39" s="950">
        <f>(1+E74)^24</f>
        <v>1</v>
      </c>
      <c r="J39" s="950">
        <f>(1+F74)^24</f>
        <v>1</v>
      </c>
      <c r="K39" s="562"/>
    </row>
    <row r="40" spans="1:13" ht="15">
      <c r="A40" s="278">
        <f t="shared" si="0"/>
        <v>5</v>
      </c>
      <c r="B40" s="85" t="s">
        <v>226</v>
      </c>
      <c r="C40" s="562" t="s">
        <v>824</v>
      </c>
      <c r="D40" s="90"/>
      <c r="E40" s="562"/>
      <c r="F40" s="562"/>
      <c r="G40" s="562"/>
      <c r="I40" s="546">
        <f>+I38*I39</f>
        <v>0</v>
      </c>
      <c r="J40" s="546">
        <f>+J38*J39</f>
        <v>0</v>
      </c>
      <c r="K40" s="546">
        <f>+J40-I40</f>
        <v>0</v>
      </c>
    </row>
    <row r="41" spans="1:13" ht="15">
      <c r="A41" s="278">
        <f>+A40+1</f>
        <v>6</v>
      </c>
      <c r="B41" s="85" t="s">
        <v>228</v>
      </c>
      <c r="C41" s="562" t="s">
        <v>825</v>
      </c>
      <c r="D41" s="90"/>
      <c r="E41" s="562"/>
      <c r="F41" s="562"/>
      <c r="G41" s="562"/>
      <c r="H41" s="546"/>
      <c r="I41" s="966">
        <f>+I40+K40</f>
        <v>0</v>
      </c>
      <c r="J41" s="562"/>
      <c r="K41" s="562"/>
    </row>
    <row r="42" spans="1:13" ht="15">
      <c r="C42" s="562"/>
      <c r="D42" s="90"/>
      <c r="E42" s="562"/>
      <c r="F42" s="562"/>
      <c r="G42" s="562"/>
      <c r="H42" s="562"/>
      <c r="I42" s="285"/>
      <c r="J42" s="562"/>
      <c r="K42" s="562"/>
    </row>
    <row r="43" spans="1:13" ht="15">
      <c r="C43" s="562" t="s">
        <v>826</v>
      </c>
      <c r="D43" s="562"/>
      <c r="E43" s="562"/>
      <c r="F43" s="562"/>
      <c r="G43" s="562"/>
      <c r="H43" s="30"/>
    </row>
    <row r="44" spans="1:13" ht="15">
      <c r="C44" s="562" t="s">
        <v>827</v>
      </c>
      <c r="D44" s="562"/>
      <c r="E44" s="562"/>
      <c r="F44" s="562"/>
      <c r="G44" s="562"/>
      <c r="H44" s="279"/>
      <c r="I44" s="214"/>
      <c r="J44" s="547"/>
      <c r="K44" s="285"/>
      <c r="L44" s="285"/>
      <c r="M44" s="285"/>
    </row>
    <row r="45" spans="1:13" ht="15">
      <c r="C45" s="562"/>
      <c r="D45" s="562"/>
      <c r="E45" s="562"/>
      <c r="F45" s="562"/>
      <c r="G45" s="562"/>
      <c r="H45" s="207"/>
      <c r="I45" s="277"/>
      <c r="J45" s="277"/>
      <c r="K45" s="277"/>
      <c r="L45" s="285"/>
      <c r="M45" s="285"/>
    </row>
    <row r="46" spans="1:13" ht="15">
      <c r="B46" s="548" t="s">
        <v>828</v>
      </c>
      <c r="C46" s="562"/>
      <c r="D46" s="562"/>
      <c r="E46" s="90" t="s">
        <v>816</v>
      </c>
      <c r="F46" s="90" t="s">
        <v>829</v>
      </c>
      <c r="G46" s="562"/>
      <c r="H46" s="207"/>
      <c r="I46" s="277"/>
      <c r="J46" s="277"/>
      <c r="K46" s="277"/>
      <c r="L46" s="285"/>
      <c r="M46" s="285"/>
    </row>
    <row r="47" spans="1:13" ht="20.25">
      <c r="B47" s="278"/>
      <c r="C47" s="90"/>
      <c r="D47" s="562"/>
      <c r="E47" s="90" t="s">
        <v>830</v>
      </c>
      <c r="F47" s="90" t="s">
        <v>830</v>
      </c>
      <c r="H47" s="60"/>
      <c r="I47" s="207"/>
      <c r="J47" s="30"/>
      <c r="K47" s="549"/>
      <c r="L47" s="285"/>
      <c r="M47" s="285"/>
    </row>
    <row r="48" spans="1:13" ht="17.25">
      <c r="B48" s="852" t="s">
        <v>451</v>
      </c>
      <c r="C48" s="624" t="s">
        <v>381</v>
      </c>
      <c r="D48" s="562"/>
      <c r="E48" s="624" t="s">
        <v>818</v>
      </c>
      <c r="F48" s="624" t="s">
        <v>818</v>
      </c>
      <c r="H48" s="221"/>
      <c r="I48" s="547"/>
      <c r="J48" s="551"/>
      <c r="K48" s="549"/>
      <c r="L48" s="285"/>
      <c r="M48" s="285"/>
    </row>
    <row r="49" spans="1:12" ht="15">
      <c r="A49" s="278">
        <f>+A41+1</f>
        <v>7</v>
      </c>
      <c r="B49" s="262" t="s">
        <v>405</v>
      </c>
      <c r="C49" s="90" t="s">
        <v>831</v>
      </c>
      <c r="D49" s="562"/>
      <c r="E49" s="552">
        <v>0</v>
      </c>
      <c r="F49" s="552">
        <v>0</v>
      </c>
      <c r="G49" s="548"/>
      <c r="H49" s="566"/>
      <c r="I49" s="572"/>
      <c r="J49" s="573"/>
      <c r="K49" s="549"/>
      <c r="L49" s="285"/>
    </row>
    <row r="50" spans="1:12" ht="15">
      <c r="A50" s="278">
        <f>+A49+1</f>
        <v>8</v>
      </c>
      <c r="B50" s="262" t="s">
        <v>406</v>
      </c>
      <c r="C50" s="90" t="s">
        <v>831</v>
      </c>
      <c r="D50" s="562"/>
      <c r="E50" s="552">
        <v>0</v>
      </c>
      <c r="F50" s="552">
        <v>0</v>
      </c>
      <c r="G50" s="550"/>
      <c r="H50" s="90"/>
      <c r="I50" s="562"/>
      <c r="J50" s="566"/>
      <c r="K50" s="553"/>
    </row>
    <row r="51" spans="1:12" ht="15">
      <c r="A51" s="278">
        <f t="shared" ref="A51:A72" si="1">+A50+1</f>
        <v>9</v>
      </c>
      <c r="B51" s="262" t="s">
        <v>407</v>
      </c>
      <c r="C51" s="90" t="s">
        <v>831</v>
      </c>
      <c r="D51" s="562"/>
      <c r="E51" s="552">
        <v>0</v>
      </c>
      <c r="F51" s="552">
        <v>0</v>
      </c>
      <c r="G51" s="562"/>
      <c r="H51" s="90"/>
      <c r="I51" s="562"/>
      <c r="J51" s="90"/>
      <c r="K51" s="553"/>
    </row>
    <row r="52" spans="1:12" ht="15">
      <c r="A52" s="278">
        <f t="shared" si="1"/>
        <v>10</v>
      </c>
      <c r="B52" s="262" t="s">
        <v>408</v>
      </c>
      <c r="C52" s="90" t="s">
        <v>831</v>
      </c>
      <c r="D52" s="562"/>
      <c r="E52" s="552">
        <v>0</v>
      </c>
      <c r="F52" s="552">
        <v>0</v>
      </c>
      <c r="G52" s="562"/>
      <c r="H52" s="90"/>
      <c r="I52" s="562"/>
      <c r="J52" s="90"/>
      <c r="K52" s="553"/>
    </row>
    <row r="53" spans="1:12" ht="15">
      <c r="A53" s="278">
        <f t="shared" si="1"/>
        <v>11</v>
      </c>
      <c r="B53" s="262" t="s">
        <v>409</v>
      </c>
      <c r="C53" s="90" t="s">
        <v>831</v>
      </c>
      <c r="D53" s="562"/>
      <c r="E53" s="552">
        <v>0</v>
      </c>
      <c r="F53" s="552">
        <v>0</v>
      </c>
      <c r="G53" s="562"/>
      <c r="H53" s="566"/>
      <c r="I53" s="562"/>
      <c r="J53" s="90"/>
      <c r="K53" s="553"/>
    </row>
    <row r="54" spans="1:12" ht="15">
      <c r="A54" s="278">
        <f t="shared" si="1"/>
        <v>12</v>
      </c>
      <c r="B54" s="262" t="s">
        <v>410</v>
      </c>
      <c r="C54" s="90" t="s">
        <v>831</v>
      </c>
      <c r="D54" s="562"/>
      <c r="E54" s="552">
        <v>0</v>
      </c>
      <c r="F54" s="552">
        <v>0</v>
      </c>
      <c r="G54" s="562"/>
      <c r="H54" s="90"/>
      <c r="I54" s="562"/>
      <c r="J54" s="90"/>
      <c r="K54" s="553"/>
    </row>
    <row r="55" spans="1:12" ht="15">
      <c r="A55" s="278">
        <f t="shared" si="1"/>
        <v>13</v>
      </c>
      <c r="B55" s="262" t="s">
        <v>399</v>
      </c>
      <c r="C55" s="90" t="s">
        <v>832</v>
      </c>
      <c r="D55" s="562"/>
      <c r="E55" s="552">
        <v>0</v>
      </c>
      <c r="F55" s="552">
        <v>0</v>
      </c>
      <c r="G55" s="562"/>
      <c r="H55" s="90"/>
      <c r="I55" s="562"/>
      <c r="J55" s="90"/>
      <c r="K55" s="553"/>
    </row>
    <row r="56" spans="1:12" ht="15">
      <c r="A56" s="278">
        <f t="shared" si="1"/>
        <v>14</v>
      </c>
      <c r="B56" s="262" t="s">
        <v>400</v>
      </c>
      <c r="C56" s="90" t="s">
        <v>832</v>
      </c>
      <c r="D56" s="562"/>
      <c r="E56" s="552">
        <v>0</v>
      </c>
      <c r="F56" s="552">
        <v>0</v>
      </c>
      <c r="G56" s="562"/>
      <c r="H56" s="90"/>
      <c r="I56" s="562"/>
      <c r="J56" s="90"/>
      <c r="K56" s="553"/>
    </row>
    <row r="57" spans="1:12" ht="15">
      <c r="A57" s="278">
        <f t="shared" si="1"/>
        <v>15</v>
      </c>
      <c r="B57" s="262" t="s">
        <v>401</v>
      </c>
      <c r="C57" s="90" t="s">
        <v>832</v>
      </c>
      <c r="D57" s="562"/>
      <c r="E57" s="552">
        <v>0</v>
      </c>
      <c r="F57" s="552">
        <v>0</v>
      </c>
      <c r="G57" s="562"/>
      <c r="H57" s="90"/>
      <c r="I57" s="562"/>
      <c r="J57" s="90"/>
      <c r="K57" s="553"/>
    </row>
    <row r="58" spans="1:12" ht="15">
      <c r="A58" s="278">
        <f t="shared" si="1"/>
        <v>16</v>
      </c>
      <c r="B58" s="262" t="s">
        <v>402</v>
      </c>
      <c r="C58" s="90" t="s">
        <v>832</v>
      </c>
      <c r="D58" s="562"/>
      <c r="E58" s="552">
        <v>0</v>
      </c>
      <c r="F58" s="552">
        <v>0</v>
      </c>
      <c r="G58" s="562"/>
      <c r="H58" s="90"/>
      <c r="I58" s="562"/>
      <c r="J58" s="90"/>
      <c r="K58" s="553"/>
    </row>
    <row r="59" spans="1:12" ht="15">
      <c r="A59" s="278">
        <f t="shared" si="1"/>
        <v>17</v>
      </c>
      <c r="B59" s="262" t="s">
        <v>403</v>
      </c>
      <c r="C59" s="90" t="s">
        <v>832</v>
      </c>
      <c r="D59" s="562"/>
      <c r="E59" s="552">
        <v>0</v>
      </c>
      <c r="F59" s="552">
        <v>0</v>
      </c>
      <c r="G59" s="562"/>
      <c r="H59" s="90"/>
      <c r="I59" s="562"/>
      <c r="J59" s="90"/>
      <c r="K59" s="553"/>
    </row>
    <row r="60" spans="1:12" ht="15">
      <c r="A60" s="278">
        <f t="shared" si="1"/>
        <v>18</v>
      </c>
      <c r="B60" s="262" t="s">
        <v>404</v>
      </c>
      <c r="C60" s="90" t="s">
        <v>832</v>
      </c>
      <c r="D60" s="562"/>
      <c r="E60" s="552">
        <v>0</v>
      </c>
      <c r="F60" s="552">
        <v>0</v>
      </c>
      <c r="G60" s="562"/>
      <c r="H60" s="90"/>
      <c r="I60" s="562"/>
      <c r="J60" s="90"/>
      <c r="K60" s="553"/>
    </row>
    <row r="61" spans="1:12" ht="15">
      <c r="A61" s="278">
        <f t="shared" si="1"/>
        <v>19</v>
      </c>
      <c r="B61" s="262" t="s">
        <v>405</v>
      </c>
      <c r="C61" s="90" t="s">
        <v>832</v>
      </c>
      <c r="D61" s="562"/>
      <c r="E61" s="552">
        <v>0</v>
      </c>
      <c r="F61" s="552">
        <v>0</v>
      </c>
      <c r="G61" s="562"/>
      <c r="H61" s="90"/>
      <c r="I61" s="562"/>
      <c r="J61" s="90"/>
      <c r="K61" s="553"/>
    </row>
    <row r="62" spans="1:12" ht="15">
      <c r="A62" s="278">
        <f t="shared" si="1"/>
        <v>20</v>
      </c>
      <c r="B62" s="262" t="s">
        <v>406</v>
      </c>
      <c r="C62" s="90" t="s">
        <v>832</v>
      </c>
      <c r="D62" s="562"/>
      <c r="E62" s="552">
        <v>0</v>
      </c>
      <c r="F62" s="552">
        <v>0</v>
      </c>
      <c r="G62" s="562"/>
      <c r="H62" s="90"/>
      <c r="I62" s="562"/>
      <c r="J62" s="90"/>
      <c r="K62" s="553"/>
    </row>
    <row r="63" spans="1:12" ht="15">
      <c r="A63" s="278">
        <f t="shared" si="1"/>
        <v>21</v>
      </c>
      <c r="B63" s="262" t="s">
        <v>407</v>
      </c>
      <c r="C63" s="90" t="s">
        <v>832</v>
      </c>
      <c r="D63" s="562"/>
      <c r="E63" s="552">
        <v>0</v>
      </c>
      <c r="F63" s="552">
        <v>0</v>
      </c>
      <c r="G63" s="562"/>
      <c r="H63" s="90"/>
      <c r="I63" s="562"/>
      <c r="J63" s="90"/>
      <c r="K63" s="553"/>
    </row>
    <row r="64" spans="1:12" ht="15">
      <c r="A64" s="278">
        <f t="shared" si="1"/>
        <v>22</v>
      </c>
      <c r="B64" s="853" t="s">
        <v>408</v>
      </c>
      <c r="C64" s="90" t="s">
        <v>832</v>
      </c>
      <c r="D64" s="89"/>
      <c r="E64" s="552">
        <v>0</v>
      </c>
      <c r="F64" s="552">
        <v>0</v>
      </c>
      <c r="G64" s="562"/>
      <c r="H64" s="90"/>
      <c r="I64" s="562"/>
      <c r="J64" s="90"/>
      <c r="K64" s="553"/>
    </row>
    <row r="65" spans="1:11" ht="15">
      <c r="A65" s="278">
        <f t="shared" si="1"/>
        <v>23</v>
      </c>
      <c r="B65" s="262" t="s">
        <v>409</v>
      </c>
      <c r="C65" s="90" t="s">
        <v>832</v>
      </c>
      <c r="D65" s="562"/>
      <c r="E65" s="552">
        <v>0</v>
      </c>
      <c r="F65" s="552">
        <v>0</v>
      </c>
      <c r="G65" s="562"/>
      <c r="H65" s="90"/>
      <c r="I65" s="562"/>
      <c r="J65" s="90"/>
      <c r="K65" s="553"/>
    </row>
    <row r="66" spans="1:11" ht="15">
      <c r="A66" s="278">
        <f t="shared" si="1"/>
        <v>24</v>
      </c>
      <c r="B66" s="262" t="s">
        <v>410</v>
      </c>
      <c r="C66" s="90" t="s">
        <v>832</v>
      </c>
      <c r="D66" s="562"/>
      <c r="E66" s="552">
        <v>0</v>
      </c>
      <c r="F66" s="552">
        <v>0</v>
      </c>
      <c r="G66" s="562"/>
      <c r="H66" s="90"/>
      <c r="I66" s="562"/>
      <c r="J66" s="90"/>
      <c r="K66" s="553"/>
    </row>
    <row r="67" spans="1:11" ht="15">
      <c r="A67" s="278">
        <f t="shared" si="1"/>
        <v>25</v>
      </c>
      <c r="B67" s="262" t="s">
        <v>399</v>
      </c>
      <c r="C67" s="90" t="s">
        <v>833</v>
      </c>
      <c r="D67" s="562"/>
      <c r="E67" s="552">
        <v>0</v>
      </c>
      <c r="F67" s="552">
        <v>0</v>
      </c>
      <c r="G67" s="562"/>
      <c r="H67" s="90"/>
      <c r="I67" s="562"/>
      <c r="J67" s="90"/>
      <c r="K67" s="553"/>
    </row>
    <row r="68" spans="1:11" ht="15">
      <c r="A68" s="278">
        <f t="shared" si="1"/>
        <v>26</v>
      </c>
      <c r="B68" s="262" t="s">
        <v>400</v>
      </c>
      <c r="C68" s="90" t="s">
        <v>833</v>
      </c>
      <c r="D68" s="562"/>
      <c r="E68" s="552">
        <v>0</v>
      </c>
      <c r="F68" s="552">
        <v>0</v>
      </c>
      <c r="G68" s="562"/>
      <c r="H68" s="90"/>
      <c r="I68" s="562"/>
      <c r="J68" s="90"/>
    </row>
    <row r="69" spans="1:11" ht="15">
      <c r="A69" s="278">
        <f t="shared" si="1"/>
        <v>27</v>
      </c>
      <c r="B69" s="262" t="s">
        <v>401</v>
      </c>
      <c r="C69" s="90" t="s">
        <v>833</v>
      </c>
      <c r="D69" s="562"/>
      <c r="E69" s="552">
        <v>0</v>
      </c>
      <c r="F69" s="552">
        <v>0</v>
      </c>
      <c r="G69" s="562"/>
      <c r="H69" s="90"/>
      <c r="I69" s="562"/>
      <c r="J69" s="90"/>
    </row>
    <row r="70" spans="1:11" ht="15">
      <c r="A70" s="278">
        <f t="shared" si="1"/>
        <v>28</v>
      </c>
      <c r="B70" s="262" t="s">
        <v>402</v>
      </c>
      <c r="C70" s="90" t="s">
        <v>833</v>
      </c>
      <c r="D70" s="562"/>
      <c r="E70" s="552">
        <v>0</v>
      </c>
      <c r="F70" s="552">
        <v>0</v>
      </c>
      <c r="G70" s="562"/>
      <c r="H70" s="90"/>
      <c r="I70" s="562"/>
      <c r="J70" s="90"/>
    </row>
    <row r="71" spans="1:11" ht="15">
      <c r="A71" s="278">
        <f t="shared" si="1"/>
        <v>29</v>
      </c>
      <c r="B71" s="262" t="s">
        <v>403</v>
      </c>
      <c r="C71" s="90" t="s">
        <v>833</v>
      </c>
      <c r="D71" s="562"/>
      <c r="E71" s="552">
        <v>0</v>
      </c>
      <c r="F71" s="552">
        <v>0</v>
      </c>
      <c r="G71" s="562"/>
      <c r="H71" s="90"/>
      <c r="I71" s="562"/>
      <c r="J71" s="90"/>
    </row>
    <row r="72" spans="1:11" ht="15">
      <c r="A72" s="278">
        <f t="shared" si="1"/>
        <v>30</v>
      </c>
      <c r="B72" s="262" t="s">
        <v>404</v>
      </c>
      <c r="C72" s="90" t="s">
        <v>833</v>
      </c>
      <c r="D72" s="562"/>
      <c r="E72" s="552">
        <v>0</v>
      </c>
      <c r="F72" s="552">
        <v>0</v>
      </c>
      <c r="G72" s="89"/>
      <c r="H72" s="89"/>
      <c r="I72" s="89"/>
      <c r="J72" s="554"/>
    </row>
    <row r="73" spans="1:11">
      <c r="B73" s="854"/>
    </row>
    <row r="74" spans="1:11" ht="15">
      <c r="A74" s="278">
        <f>+A72+1</f>
        <v>31</v>
      </c>
      <c r="B74" s="262" t="s">
        <v>561</v>
      </c>
      <c r="E74" s="623">
        <f>+SUM(E49:E72)/24</f>
        <v>0</v>
      </c>
      <c r="F74" s="623">
        <f>+SUM(F49:F72)/24</f>
        <v>0</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heetViews>
  <sheetFormatPr defaultRowHeight="12.75"/>
  <cols>
    <col min="1" max="1" width="5.28515625" customWidth="1"/>
    <col min="2" max="2" width="31.140625" customWidth="1"/>
    <col min="3" max="3" width="24.7109375" style="797" customWidth="1"/>
    <col min="4" max="4" width="5.5703125" customWidth="1"/>
    <col min="5" max="5" width="13.28515625" style="797" customWidth="1"/>
    <col min="6" max="6" width="6" style="797"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9.140625" customWidth="1"/>
    <col min="26" max="26" width="5.42578125" customWidth="1"/>
  </cols>
  <sheetData>
    <row r="1" spans="1:28" ht="18">
      <c r="A1" s="1081"/>
      <c r="B1" s="264"/>
      <c r="C1" s="264"/>
      <c r="D1" s="264"/>
      <c r="E1" s="1081"/>
      <c r="F1" s="1081"/>
      <c r="G1" s="1081"/>
      <c r="H1" s="278"/>
      <c r="I1" s="278"/>
      <c r="J1" s="1081" t="str">
        <f>+'Appendix A'!A3</f>
        <v>Dayton Power and Light</v>
      </c>
      <c r="K1" s="1081"/>
      <c r="L1" s="1081"/>
      <c r="M1" s="1081"/>
      <c r="N1" s="1081"/>
      <c r="O1" s="266"/>
      <c r="P1" s="266"/>
      <c r="Q1" s="1025"/>
      <c r="R1" s="1025"/>
      <c r="S1" s="1025"/>
      <c r="T1" s="1025"/>
      <c r="U1" s="1025"/>
      <c r="V1" s="1025"/>
      <c r="W1" s="1025"/>
      <c r="X1" s="1025"/>
      <c r="Y1" s="1025"/>
      <c r="Z1" s="1025"/>
      <c r="AA1" s="1025"/>
      <c r="AB1" s="1025"/>
    </row>
    <row r="2" spans="1:28" ht="18">
      <c r="A2" s="85"/>
      <c r="B2" s="264"/>
      <c r="C2" s="264"/>
      <c r="D2" s="264"/>
      <c r="E2" s="1081"/>
      <c r="F2" s="1081"/>
      <c r="G2" s="1081"/>
      <c r="H2" s="278"/>
      <c r="I2" s="278"/>
      <c r="J2" s="1081" t="str">
        <f>+'Appendix A'!A4</f>
        <v xml:space="preserve">ATTACHMENT H-15A </v>
      </c>
      <c r="K2" s="1081"/>
      <c r="L2" s="1081"/>
      <c r="M2" s="1081"/>
      <c r="N2" s="1081"/>
      <c r="O2" s="266"/>
      <c r="P2" s="266"/>
      <c r="Q2" s="1025"/>
      <c r="R2" s="1025"/>
      <c r="S2" s="1025"/>
      <c r="T2" s="1025"/>
      <c r="U2" s="1025"/>
      <c r="V2" s="1025"/>
      <c r="W2" s="1025"/>
      <c r="X2" s="1025"/>
      <c r="Y2" s="1025"/>
      <c r="Z2" s="1025"/>
      <c r="AA2" s="1025"/>
      <c r="AB2" s="1025"/>
    </row>
    <row r="3" spans="1:28" ht="18">
      <c r="A3" s="85"/>
      <c r="B3" s="264"/>
      <c r="C3" s="264"/>
      <c r="D3" s="264"/>
      <c r="E3" s="1081"/>
      <c r="F3" s="1081"/>
      <c r="G3" s="1081"/>
      <c r="H3" s="278"/>
      <c r="I3" s="278"/>
      <c r="J3" s="1081" t="s">
        <v>839</v>
      </c>
      <c r="K3" s="1081"/>
      <c r="L3" s="1081"/>
      <c r="M3" s="1081"/>
      <c r="N3" s="1081"/>
      <c r="O3" s="266"/>
      <c r="P3" s="266"/>
      <c r="Q3" s="1025"/>
      <c r="R3" s="1025"/>
      <c r="S3" s="1025"/>
      <c r="T3" s="1025"/>
      <c r="U3" s="1025"/>
      <c r="V3" s="1025"/>
      <c r="W3" s="1025"/>
      <c r="X3" s="1025"/>
      <c r="Y3" s="967"/>
      <c r="Z3" s="1025"/>
      <c r="AA3" s="1025"/>
      <c r="AB3" s="1025"/>
    </row>
    <row r="4" spans="1:28" ht="18">
      <c r="A4" s="85"/>
      <c r="B4" s="216" t="s">
        <v>446</v>
      </c>
      <c r="C4" s="555"/>
      <c r="D4" s="264"/>
      <c r="E4" s="1081"/>
      <c r="F4" s="1081"/>
      <c r="G4" s="1081"/>
      <c r="H4" s="1081"/>
      <c r="I4" s="1081"/>
      <c r="J4" s="1081"/>
      <c r="K4" s="1081"/>
      <c r="L4" s="1081"/>
      <c r="M4" s="1081"/>
      <c r="N4" s="1081"/>
      <c r="O4" s="1081"/>
      <c r="P4" s="1081"/>
      <c r="Q4" s="1025"/>
      <c r="R4" s="1025"/>
      <c r="S4" s="1025"/>
      <c r="T4" s="1025"/>
      <c r="U4" s="1025"/>
      <c r="V4" s="1025"/>
      <c r="W4" s="1025"/>
      <c r="X4" s="1025"/>
      <c r="Y4" s="1025"/>
      <c r="Z4" s="1025"/>
      <c r="AA4" s="1025"/>
      <c r="AB4" s="1025"/>
    </row>
    <row r="5" spans="1:28" ht="18">
      <c r="A5" s="260"/>
      <c r="B5" s="556"/>
      <c r="C5" s="555"/>
      <c r="D5" s="557"/>
      <c r="E5" s="260"/>
      <c r="F5" s="94"/>
      <c r="G5" s="94"/>
      <c r="H5" s="94"/>
      <c r="I5" s="94"/>
      <c r="J5" s="266"/>
      <c r="K5" s="266"/>
      <c r="L5" s="266"/>
      <c r="M5" s="266"/>
      <c r="N5" s="266"/>
      <c r="O5" s="266"/>
      <c r="P5" s="266"/>
      <c r="Q5" s="1025"/>
      <c r="R5" s="1025"/>
      <c r="S5" s="1025"/>
      <c r="T5" s="1025"/>
      <c r="U5" s="1025"/>
      <c r="V5" s="1025"/>
      <c r="W5" s="1025"/>
      <c r="X5" s="1025"/>
      <c r="Y5" s="1025"/>
      <c r="Z5" s="1025"/>
      <c r="AA5" s="1025"/>
      <c r="AB5" s="1025"/>
    </row>
    <row r="6" spans="1:28" s="797" customFormat="1" ht="18">
      <c r="A6" s="85"/>
      <c r="B6" s="850" t="s">
        <v>840</v>
      </c>
      <c r="C6" s="278"/>
      <c r="D6" s="807"/>
      <c r="E6" s="286"/>
      <c r="F6" s="806"/>
      <c r="G6" s="286"/>
      <c r="H6" s="286"/>
      <c r="I6" s="286"/>
      <c r="J6" s="805"/>
      <c r="K6" s="808"/>
      <c r="L6" s="285"/>
      <c r="M6" s="278"/>
      <c r="N6" s="266"/>
      <c r="O6" s="266"/>
      <c r="P6" s="266"/>
      <c r="Q6" s="594"/>
      <c r="R6" s="594"/>
      <c r="S6" s="594"/>
      <c r="T6" s="594"/>
      <c r="U6" s="594"/>
      <c r="V6" s="594"/>
      <c r="W6" s="594"/>
      <c r="X6" s="594"/>
      <c r="Y6" s="594"/>
      <c r="Z6" s="594"/>
      <c r="AA6" s="594"/>
      <c r="AB6" s="594"/>
    </row>
    <row r="7" spans="1:28">
      <c r="A7" s="594"/>
      <c r="B7" s="594"/>
      <c r="C7" s="594"/>
      <c r="D7" s="594"/>
      <c r="E7" s="594"/>
      <c r="F7" s="594"/>
      <c r="G7" s="1092" t="s">
        <v>841</v>
      </c>
      <c r="H7" s="594"/>
      <c r="I7" s="1092" t="s">
        <v>842</v>
      </c>
      <c r="J7" s="594"/>
      <c r="K7" s="1092" t="s">
        <v>843</v>
      </c>
      <c r="L7" s="594"/>
      <c r="M7" s="1092" t="s">
        <v>844</v>
      </c>
      <c r="N7" s="594"/>
      <c r="O7" s="1092" t="s">
        <v>845</v>
      </c>
      <c r="P7" s="594"/>
      <c r="Q7" s="1092" t="s">
        <v>846</v>
      </c>
      <c r="R7" s="594"/>
      <c r="S7" s="1092" t="s">
        <v>847</v>
      </c>
      <c r="T7" s="594"/>
      <c r="U7" s="1092" t="s">
        <v>848</v>
      </c>
      <c r="V7" s="594"/>
      <c r="W7" s="1092" t="s">
        <v>849</v>
      </c>
      <c r="X7" s="594"/>
      <c r="Y7" s="1092" t="s">
        <v>850</v>
      </c>
      <c r="Z7" s="594"/>
      <c r="AA7" s="594"/>
      <c r="AB7" s="594"/>
    </row>
    <row r="8" spans="1:28">
      <c r="A8" s="737" t="s">
        <v>836</v>
      </c>
      <c r="B8" s="594"/>
      <c r="C8" s="594"/>
      <c r="D8" s="594"/>
      <c r="E8" s="798" t="s">
        <v>75</v>
      </c>
      <c r="F8" s="594"/>
      <c r="G8" s="799" t="s">
        <v>851</v>
      </c>
      <c r="H8" s="594"/>
      <c r="I8" s="799" t="s">
        <v>851</v>
      </c>
      <c r="J8" s="594"/>
      <c r="K8" s="799" t="s">
        <v>851</v>
      </c>
      <c r="L8" s="594"/>
      <c r="M8" s="799" t="s">
        <v>851</v>
      </c>
      <c r="N8" s="594"/>
      <c r="O8" s="799" t="s">
        <v>851</v>
      </c>
      <c r="P8" s="594"/>
      <c r="Q8" s="799" t="s">
        <v>851</v>
      </c>
      <c r="R8" s="594"/>
      <c r="S8" s="799" t="s">
        <v>851</v>
      </c>
      <c r="T8" s="594"/>
      <c r="U8" s="799" t="s">
        <v>851</v>
      </c>
      <c r="V8" s="594"/>
      <c r="W8" s="799" t="s">
        <v>851</v>
      </c>
      <c r="X8" s="594"/>
      <c r="Y8" s="799" t="s">
        <v>851</v>
      </c>
      <c r="Z8" s="594"/>
      <c r="AA8" s="594"/>
      <c r="AB8" s="594"/>
    </row>
    <row r="9" spans="1:28">
      <c r="A9" s="594"/>
      <c r="B9" s="594"/>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row>
    <row r="10" spans="1:28">
      <c r="A10" s="594">
        <v>1</v>
      </c>
      <c r="B10" s="594" t="s">
        <v>28</v>
      </c>
      <c r="C10" s="838" t="str">
        <f>"(Attachment 4, Line "&amp;'4 - Cost Support'!A258&amp;" etc.)"</f>
        <v>(Attachment 4, Line 89 etc.)</v>
      </c>
      <c r="D10" s="594"/>
      <c r="E10" s="742"/>
      <c r="F10" s="742"/>
      <c r="G10" s="951">
        <f>+'4 - Cost Support'!T258</f>
        <v>0</v>
      </c>
      <c r="H10" s="951"/>
      <c r="I10" s="951">
        <f>+'4 - Cost Support'!T263</f>
        <v>0</v>
      </c>
      <c r="J10" s="951"/>
      <c r="K10" s="951">
        <f>+'4 - Cost Support'!T268</f>
        <v>0</v>
      </c>
      <c r="L10" s="951"/>
      <c r="M10" s="951">
        <f>+'4 - Cost Support'!T273</f>
        <v>0</v>
      </c>
      <c r="N10" s="951"/>
      <c r="O10" s="951">
        <f>+'4 - Cost Support'!T278</f>
        <v>0</v>
      </c>
      <c r="P10" s="951"/>
      <c r="Q10" s="951">
        <f>+'4 - Cost Support'!T283</f>
        <v>0</v>
      </c>
      <c r="R10" s="951"/>
      <c r="S10" s="951">
        <f>+'4 - Cost Support'!T288</f>
        <v>0</v>
      </c>
      <c r="T10" s="951"/>
      <c r="U10" s="951">
        <f>+'4 - Cost Support'!T293</f>
        <v>0</v>
      </c>
      <c r="V10" s="951"/>
      <c r="W10" s="951">
        <f>+'4 - Cost Support'!T298</f>
        <v>0</v>
      </c>
      <c r="X10" s="951"/>
      <c r="Y10" s="951">
        <f>+'4 - Cost Support'!T303</f>
        <v>0</v>
      </c>
      <c r="Z10" s="594"/>
      <c r="AA10" s="594"/>
      <c r="AB10" s="594"/>
    </row>
    <row r="11" spans="1:28">
      <c r="A11" s="594">
        <f>+A10+1</f>
        <v>2</v>
      </c>
      <c r="B11" s="594" t="s">
        <v>37</v>
      </c>
      <c r="C11" s="838" t="str">
        <f>"(Attachment 4, Line "&amp;'4 - Cost Support'!A259&amp;" etc.)"</f>
        <v>(Attachment 4, Line 90 etc.)</v>
      </c>
      <c r="D11" s="594"/>
      <c r="E11" s="742"/>
      <c r="F11" s="742"/>
      <c r="G11" s="952">
        <f>+'4 - Cost Support'!T259</f>
        <v>0</v>
      </c>
      <c r="H11" s="952"/>
      <c r="I11" s="952">
        <f>+'4 - Cost Support'!T264</f>
        <v>0</v>
      </c>
      <c r="J11" s="952"/>
      <c r="K11" s="952">
        <f>+'4 - Cost Support'!T269</f>
        <v>0</v>
      </c>
      <c r="L11" s="952"/>
      <c r="M11" s="952">
        <f>+'4 - Cost Support'!T274</f>
        <v>0</v>
      </c>
      <c r="N11" s="952"/>
      <c r="O11" s="952">
        <f>+'4 - Cost Support'!T279</f>
        <v>0</v>
      </c>
      <c r="P11" s="952"/>
      <c r="Q11" s="952">
        <f>+'4 - Cost Support'!T284</f>
        <v>0</v>
      </c>
      <c r="R11" s="952"/>
      <c r="S11" s="952">
        <f>+'4 - Cost Support'!T289</f>
        <v>0</v>
      </c>
      <c r="T11" s="952"/>
      <c r="U11" s="952">
        <f>+'4 - Cost Support'!T294</f>
        <v>0</v>
      </c>
      <c r="V11" s="952"/>
      <c r="W11" s="952">
        <f>+'4 - Cost Support'!T299</f>
        <v>0</v>
      </c>
      <c r="X11" s="952"/>
      <c r="Y11" s="952">
        <f>+'4 - Cost Support'!T304</f>
        <v>0</v>
      </c>
      <c r="Z11" s="594"/>
      <c r="AA11" s="594"/>
      <c r="AB11" s="594"/>
    </row>
    <row r="12" spans="1:28">
      <c r="A12" s="594">
        <f>+A11+1</f>
        <v>3</v>
      </c>
      <c r="B12" s="594" t="s">
        <v>18</v>
      </c>
      <c r="C12" s="594" t="str">
        <f>"(Line "&amp;A10&amp;" + Line "&amp;A11&amp;")"</f>
        <v>(Line 1 + Line 2)</v>
      </c>
      <c r="D12" s="594"/>
      <c r="E12" s="742"/>
      <c r="F12" s="742"/>
      <c r="G12" s="951">
        <f>+G10-G11</f>
        <v>0</v>
      </c>
      <c r="H12" s="951"/>
      <c r="I12" s="951">
        <f>+I10-I11</f>
        <v>0</v>
      </c>
      <c r="J12" s="951"/>
      <c r="K12" s="951">
        <f>+K10-K11</f>
        <v>0</v>
      </c>
      <c r="L12" s="951"/>
      <c r="M12" s="951">
        <f>+M10-M11</f>
        <v>0</v>
      </c>
      <c r="N12" s="951"/>
      <c r="O12" s="951">
        <f>+O10-O11</f>
        <v>0</v>
      </c>
      <c r="P12" s="951"/>
      <c r="Q12" s="951">
        <f>+Q10-Q11</f>
        <v>0</v>
      </c>
      <c r="R12" s="951"/>
      <c r="S12" s="951">
        <f>+S10-S11</f>
        <v>0</v>
      </c>
      <c r="T12" s="951"/>
      <c r="U12" s="951">
        <f>+U10-U11</f>
        <v>0</v>
      </c>
      <c r="V12" s="951"/>
      <c r="W12" s="951">
        <f>+W10-W11</f>
        <v>0</v>
      </c>
      <c r="X12" s="951"/>
      <c r="Y12" s="951">
        <f>+Y10-Y11</f>
        <v>0</v>
      </c>
      <c r="Z12" s="594"/>
      <c r="AA12" s="594"/>
      <c r="AB12" s="594"/>
    </row>
    <row r="13" spans="1:28">
      <c r="A13" s="594">
        <f t="shared" ref="A13:A18" si="0">+A12+1</f>
        <v>4</v>
      </c>
      <c r="B13" s="594" t="s">
        <v>47</v>
      </c>
      <c r="C13" s="838" t="str">
        <f>"(Attachment 4, Line "&amp;'4 - Cost Support'!A260&amp;" etc.)"</f>
        <v>(Attachment 4, Line 91 etc.)</v>
      </c>
      <c r="D13" s="594"/>
      <c r="E13" s="742"/>
      <c r="F13" s="742"/>
      <c r="G13" s="952">
        <f>+'4 - Cost Support'!T260</f>
        <v>0</v>
      </c>
      <c r="H13" s="952"/>
      <c r="I13" s="952">
        <f>+'4 - Cost Support'!T265</f>
        <v>0</v>
      </c>
      <c r="J13" s="952"/>
      <c r="K13" s="952">
        <f>+'4 - Cost Support'!T270</f>
        <v>0</v>
      </c>
      <c r="L13" s="952"/>
      <c r="M13" s="952">
        <f>+'4 - Cost Support'!T275</f>
        <v>0</v>
      </c>
      <c r="N13" s="952"/>
      <c r="O13" s="952">
        <f>+'4 - Cost Support'!T280</f>
        <v>0</v>
      </c>
      <c r="P13" s="952"/>
      <c r="Q13" s="952">
        <f>+'4 - Cost Support'!T285</f>
        <v>0</v>
      </c>
      <c r="R13" s="952"/>
      <c r="S13" s="952">
        <f>+'4 - Cost Support'!T290</f>
        <v>0</v>
      </c>
      <c r="T13" s="952"/>
      <c r="U13" s="952">
        <f>+'4 - Cost Support'!T295</f>
        <v>0</v>
      </c>
      <c r="V13" s="952"/>
      <c r="W13" s="952">
        <f>+'4 - Cost Support'!T300</f>
        <v>0</v>
      </c>
      <c r="X13" s="952"/>
      <c r="Y13" s="952">
        <f>+'4 - Cost Support'!T305</f>
        <v>0</v>
      </c>
      <c r="Z13" s="594"/>
      <c r="AA13" s="594"/>
      <c r="AB13" s="594"/>
    </row>
    <row r="14" spans="1:28">
      <c r="A14" s="594">
        <f t="shared" si="0"/>
        <v>5</v>
      </c>
      <c r="B14" s="594" t="s">
        <v>86</v>
      </c>
      <c r="C14" s="594" t="str">
        <f>"(Line "&amp;A12&amp;" + Line "&amp;A13&amp;")"</f>
        <v>(Line 3 + Line 4)</v>
      </c>
      <c r="D14" s="594"/>
      <c r="E14" s="742"/>
      <c r="F14" s="742"/>
      <c r="G14" s="951">
        <f>+G12-G13</f>
        <v>0</v>
      </c>
      <c r="H14" s="951"/>
      <c r="I14" s="951">
        <f>+I12-I13</f>
        <v>0</v>
      </c>
      <c r="J14" s="951"/>
      <c r="K14" s="951">
        <f>+K12-K13</f>
        <v>0</v>
      </c>
      <c r="L14" s="951"/>
      <c r="M14" s="951">
        <f>+M12-M13</f>
        <v>0</v>
      </c>
      <c r="N14" s="951"/>
      <c r="O14" s="951">
        <f>+O12-O13</f>
        <v>0</v>
      </c>
      <c r="P14" s="951"/>
      <c r="Q14" s="951">
        <f>+Q12-Q13</f>
        <v>0</v>
      </c>
      <c r="R14" s="951"/>
      <c r="S14" s="951">
        <f>+S12-S13</f>
        <v>0</v>
      </c>
      <c r="T14" s="951"/>
      <c r="U14" s="951">
        <f>+U12-U13</f>
        <v>0</v>
      </c>
      <c r="V14" s="951"/>
      <c r="W14" s="951">
        <f>+W12-W13</f>
        <v>0</v>
      </c>
      <c r="X14" s="951"/>
      <c r="Y14" s="951">
        <f>+Y12-Y13</f>
        <v>0</v>
      </c>
      <c r="Z14" s="594"/>
      <c r="AA14" s="594"/>
      <c r="AB14" s="594"/>
    </row>
    <row r="15" spans="1:28">
      <c r="A15" s="594">
        <f t="shared" si="0"/>
        <v>6</v>
      </c>
      <c r="B15" s="594" t="s">
        <v>840</v>
      </c>
      <c r="C15" s="594" t="s">
        <v>852</v>
      </c>
      <c r="D15" s="594"/>
      <c r="E15" s="594"/>
      <c r="F15" s="594"/>
      <c r="G15" s="804">
        <v>0</v>
      </c>
      <c r="H15" s="267"/>
      <c r="I15" s="804">
        <v>0</v>
      </c>
      <c r="J15" s="267"/>
      <c r="K15" s="804">
        <v>0</v>
      </c>
      <c r="L15" s="267"/>
      <c r="M15" s="804">
        <v>0</v>
      </c>
      <c r="N15" s="267"/>
      <c r="O15" s="804">
        <v>0</v>
      </c>
      <c r="P15" s="267"/>
      <c r="Q15" s="804">
        <v>0</v>
      </c>
      <c r="R15" s="267"/>
      <c r="S15" s="804">
        <v>0</v>
      </c>
      <c r="T15" s="267"/>
      <c r="U15" s="804">
        <v>0</v>
      </c>
      <c r="V15" s="267"/>
      <c r="W15" s="804">
        <v>0</v>
      </c>
      <c r="X15" s="267"/>
      <c r="Y15" s="804">
        <v>0</v>
      </c>
      <c r="Z15" s="594"/>
      <c r="AA15" s="594"/>
      <c r="AB15" s="594"/>
    </row>
    <row r="16" spans="1:28" s="797" customFormat="1">
      <c r="A16" s="594">
        <f t="shared" si="0"/>
        <v>7</v>
      </c>
      <c r="B16" s="594" t="s">
        <v>853</v>
      </c>
      <c r="C16" s="838" t="str">
        <f>"(Appendix A, Line "&amp;'Appendix A'!A217&amp;")"</f>
        <v>(Appendix A, Line 130)</v>
      </c>
      <c r="D16" s="594"/>
      <c r="E16" s="594"/>
      <c r="F16" s="594"/>
      <c r="G16" s="818">
        <f>+'Appendix A'!$H$217</f>
        <v>0.57108721554456143</v>
      </c>
      <c r="H16" s="267"/>
      <c r="I16" s="818">
        <f>+'Appendix A'!$H$217</f>
        <v>0.57108721554456143</v>
      </c>
      <c r="J16" s="267"/>
      <c r="K16" s="818">
        <f>+'Appendix A'!$H$217</f>
        <v>0.57108721554456143</v>
      </c>
      <c r="L16" s="267"/>
      <c r="M16" s="818">
        <f>+'Appendix A'!$H$217</f>
        <v>0.57108721554456143</v>
      </c>
      <c r="N16" s="267"/>
      <c r="O16" s="818">
        <f>+'Appendix A'!$H$217</f>
        <v>0.57108721554456143</v>
      </c>
      <c r="P16" s="267"/>
      <c r="Q16" s="818">
        <f>+'Appendix A'!$H$217</f>
        <v>0.57108721554456143</v>
      </c>
      <c r="R16" s="267"/>
      <c r="S16" s="818">
        <f>+'Appendix A'!$H$217</f>
        <v>0.57108721554456143</v>
      </c>
      <c r="T16" s="267"/>
      <c r="U16" s="818">
        <f>+'Appendix A'!$H$217</f>
        <v>0.57108721554456143</v>
      </c>
      <c r="V16" s="267"/>
      <c r="W16" s="818">
        <f>+'Appendix A'!$H$217</f>
        <v>0.57108721554456143</v>
      </c>
      <c r="X16" s="267"/>
      <c r="Y16" s="818">
        <f>+'Appendix A'!$H$217</f>
        <v>0.57108721554456143</v>
      </c>
      <c r="Z16" s="594"/>
      <c r="AA16" s="594"/>
      <c r="AB16" s="594"/>
    </row>
    <row r="17" spans="1:28" s="797" customFormat="1">
      <c r="A17" s="594">
        <f t="shared" si="0"/>
        <v>8</v>
      </c>
      <c r="B17" s="594" t="s">
        <v>164</v>
      </c>
      <c r="C17" s="838" t="str">
        <f>"(Appendix A, Line "&amp;'Appendix A'!A237&amp;")"</f>
        <v>(Appendix A, Line 145)</v>
      </c>
      <c r="D17" s="594"/>
      <c r="E17" s="740"/>
      <c r="F17" s="740"/>
      <c r="G17" s="820">
        <f>+'Appendix A'!$H$237</f>
        <v>1.2875829364358931</v>
      </c>
      <c r="H17" s="817"/>
      <c r="I17" s="820">
        <f>+'Appendix A'!$H$237</f>
        <v>1.2875829364358931</v>
      </c>
      <c r="J17" s="817"/>
      <c r="K17" s="820">
        <f>+'Appendix A'!$H$237</f>
        <v>1.2875829364358931</v>
      </c>
      <c r="L17" s="817"/>
      <c r="M17" s="820">
        <f>+'Appendix A'!$H$237</f>
        <v>1.2875829364358931</v>
      </c>
      <c r="N17" s="817"/>
      <c r="O17" s="820">
        <f>+'Appendix A'!$H$237</f>
        <v>1.2875829364358931</v>
      </c>
      <c r="P17" s="817"/>
      <c r="Q17" s="820">
        <f>+'Appendix A'!$H$237</f>
        <v>1.2875829364358931</v>
      </c>
      <c r="R17" s="817"/>
      <c r="S17" s="820">
        <f>+'Appendix A'!$H$237</f>
        <v>1.2875829364358931</v>
      </c>
      <c r="T17" s="817"/>
      <c r="U17" s="820">
        <f>+'Appendix A'!$H$237</f>
        <v>1.2875829364358931</v>
      </c>
      <c r="V17" s="817"/>
      <c r="W17" s="820">
        <f>+'Appendix A'!$H$237</f>
        <v>1.2875829364358931</v>
      </c>
      <c r="X17" s="817"/>
      <c r="Y17" s="820">
        <f>+'Appendix A'!$H$237</f>
        <v>1.2875829364358931</v>
      </c>
      <c r="Z17" s="594"/>
      <c r="AA17" s="594"/>
      <c r="AB17" s="594"/>
    </row>
    <row r="18" spans="1:28" s="797" customFormat="1" ht="25.5">
      <c r="A18" s="594">
        <f t="shared" si="0"/>
        <v>9</v>
      </c>
      <c r="B18" s="594" t="s">
        <v>854</v>
      </c>
      <c r="C18" s="800" t="str">
        <f>"(Line "&amp;A14&amp;" * Line "&amp;A15&amp;" * Line "&amp;A16&amp;" * Line "&amp;A17&amp;" )"</f>
        <v>(Line 5 * Line 6 * Line 7 * Line 8 )</v>
      </c>
      <c r="D18" s="594"/>
      <c r="E18" s="951">
        <f>+SUM(G18:Y18)</f>
        <v>0</v>
      </c>
      <c r="F18" s="951"/>
      <c r="G18" s="953">
        <f>+G14*G15*G16*G17</f>
        <v>0</v>
      </c>
      <c r="H18" s="954"/>
      <c r="I18" s="953">
        <f>+I14*I15*I16*I17</f>
        <v>0</v>
      </c>
      <c r="J18" s="954"/>
      <c r="K18" s="953">
        <f>+K14*K15*K16*K17</f>
        <v>0</v>
      </c>
      <c r="L18" s="954"/>
      <c r="M18" s="953">
        <f>+M14*M15*M16*M17</f>
        <v>0</v>
      </c>
      <c r="N18" s="954"/>
      <c r="O18" s="953">
        <f>+O14*O15*O16*O17</f>
        <v>0</v>
      </c>
      <c r="P18" s="954"/>
      <c r="Q18" s="953">
        <f>+Q14*Q15*Q16*Q17</f>
        <v>0</v>
      </c>
      <c r="R18" s="954"/>
      <c r="S18" s="953">
        <f>+S14*S15*S16*S17</f>
        <v>0</v>
      </c>
      <c r="T18" s="954"/>
      <c r="U18" s="953">
        <f>+U14*U15*U16*U17</f>
        <v>0</v>
      </c>
      <c r="V18" s="954"/>
      <c r="W18" s="953">
        <f>+W14*W15*W16*W17</f>
        <v>0</v>
      </c>
      <c r="X18" s="954"/>
      <c r="Y18" s="953">
        <f>+Y14*Y15*Y16*Y17</f>
        <v>0</v>
      </c>
      <c r="Z18" s="594"/>
      <c r="AA18" s="594"/>
      <c r="AB18" s="594"/>
    </row>
    <row r="19" spans="1:28" s="797" customFormat="1">
      <c r="A19" s="594"/>
      <c r="B19" s="594"/>
      <c r="C19" s="594"/>
      <c r="D19" s="594"/>
      <c r="E19" s="594"/>
      <c r="F19" s="594"/>
      <c r="G19" s="818"/>
      <c r="H19" s="267"/>
      <c r="I19" s="818"/>
      <c r="J19" s="267"/>
      <c r="K19" s="818"/>
      <c r="L19" s="267"/>
      <c r="M19" s="818"/>
      <c r="N19" s="267"/>
      <c r="O19" s="818"/>
      <c r="P19" s="267"/>
      <c r="Q19" s="818"/>
      <c r="R19" s="267"/>
      <c r="S19" s="818"/>
      <c r="T19" s="267"/>
      <c r="U19" s="818"/>
      <c r="V19" s="267"/>
      <c r="W19" s="818"/>
      <c r="X19" s="267"/>
      <c r="Y19" s="818"/>
      <c r="Z19" s="594"/>
      <c r="AA19" s="594"/>
      <c r="AB19" s="594"/>
    </row>
    <row r="20" spans="1:28" ht="25.5">
      <c r="A20" s="594"/>
      <c r="B20" s="800" t="s">
        <v>855</v>
      </c>
      <c r="C20" s="594"/>
      <c r="D20" s="594"/>
      <c r="E20" s="594"/>
      <c r="F20" s="594"/>
      <c r="G20" s="819"/>
      <c r="H20" s="594"/>
      <c r="I20" s="819"/>
      <c r="J20" s="594"/>
      <c r="K20" s="819"/>
      <c r="L20" s="594"/>
      <c r="M20" s="819"/>
      <c r="N20" s="594"/>
      <c r="O20" s="819"/>
      <c r="P20" s="594"/>
      <c r="Q20" s="819"/>
      <c r="R20" s="594"/>
      <c r="S20" s="819"/>
      <c r="T20" s="594"/>
      <c r="U20" s="819"/>
      <c r="V20" s="594"/>
      <c r="W20" s="819"/>
      <c r="X20" s="594"/>
      <c r="Y20" s="819"/>
      <c r="Z20" s="594"/>
      <c r="AA20" s="594"/>
      <c r="AB20" s="594"/>
    </row>
    <row r="21" spans="1:28">
      <c r="A21" s="594"/>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row>
    <row r="22" spans="1:28">
      <c r="A22" s="594"/>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row>
    <row r="23" spans="1:28">
      <c r="A23" s="594"/>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row>
    <row r="24" spans="1:28">
      <c r="A24" s="594"/>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row>
    <row r="25" spans="1:28">
      <c r="A25" s="594"/>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row>
    <row r="26" spans="1:28">
      <c r="A26" s="594"/>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row>
    <row r="27" spans="1:28">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row>
    <row r="28" spans="1:28">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row>
    <row r="29" spans="1:28">
      <c r="A29" s="594"/>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row>
    <row r="30" spans="1:28">
      <c r="A30" s="594"/>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row>
    <row r="31" spans="1:28">
      <c r="A31" s="594"/>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row>
    <row r="32" spans="1:28">
      <c r="A32" s="594"/>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row>
    <row r="33" spans="1:28">
      <c r="A33" s="594"/>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row>
    <row r="34" spans="1:28">
      <c r="A34" s="594"/>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row>
    <row r="35" spans="1:28">
      <c r="A35" s="594"/>
      <c r="B35" s="594"/>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row>
    <row r="36" spans="1:28">
      <c r="A36" s="594"/>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row>
    <row r="37" spans="1:28">
      <c r="A37" s="594"/>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row>
    <row r="38" spans="1:28">
      <c r="A38" s="594"/>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row>
    <row r="39" spans="1:28">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row>
    <row r="40" spans="1:28">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row>
    <row r="41" spans="1:28">
      <c r="A41" s="59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row>
    <row r="42" spans="1:28">
      <c r="A42" s="59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row>
    <row r="43" spans="1:28">
      <c r="A43" s="594"/>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row>
    <row r="44" spans="1:28">
      <c r="A44" s="594"/>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row>
    <row r="45" spans="1:28">
      <c r="A45" s="594"/>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row>
    <row r="46" spans="1:28">
      <c r="A46" s="59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row>
    <row r="47" spans="1:28">
      <c r="A47" s="59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row>
    <row r="48" spans="1:28">
      <c r="A48" s="594"/>
      <c r="B48" s="594"/>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row>
    <row r="49" spans="1:28">
      <c r="A49" s="594"/>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row>
    <row r="50" spans="1:28">
      <c r="A50" s="594"/>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row>
    <row r="51" spans="1:28">
      <c r="A51" s="594"/>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row>
    <row r="52" spans="1:28">
      <c r="A52" s="594"/>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row>
    <row r="53" spans="1:28">
      <c r="A53" s="594"/>
      <c r="B53" s="594"/>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row>
    <row r="54" spans="1:28">
      <c r="A54" s="594"/>
      <c r="B54" s="594"/>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row>
    <row r="55" spans="1:28">
      <c r="A55" s="594"/>
      <c r="B55" s="594"/>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row>
    <row r="56" spans="1:28">
      <c r="A56" s="594"/>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row>
    <row r="57" spans="1:28">
      <c r="A57" s="594"/>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row>
    <row r="58" spans="1:28">
      <c r="A58" s="594"/>
      <c r="B58" s="594"/>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row>
    <row r="59" spans="1:28">
      <c r="A59" s="594"/>
      <c r="B59" s="594"/>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row>
    <row r="60" spans="1:28">
      <c r="A60" s="594"/>
      <c r="B60" s="594"/>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row>
    <row r="61" spans="1:28">
      <c r="A61" s="594"/>
      <c r="B61" s="594"/>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row>
    <row r="62" spans="1:28">
      <c r="A62" s="594"/>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20.28515625" customWidth="1"/>
  </cols>
  <sheetData>
    <row r="1" spans="1:25" ht="18">
      <c r="A1" s="1025"/>
      <c r="B1" s="1025"/>
      <c r="C1" s="1025"/>
      <c r="D1" s="1025"/>
      <c r="E1" s="1025"/>
      <c r="F1" s="1025"/>
      <c r="G1" s="1025"/>
      <c r="H1" s="1025"/>
      <c r="I1" s="1025"/>
      <c r="J1" s="1025"/>
      <c r="K1" s="1081" t="str">
        <f>+'7A - Project ROE Adder'!J1</f>
        <v>Dayton Power and Light</v>
      </c>
      <c r="L1" s="1025"/>
      <c r="M1" s="1025"/>
      <c r="N1" s="1025"/>
      <c r="O1" s="1025"/>
      <c r="P1" s="1025"/>
      <c r="Q1" s="1025"/>
      <c r="R1" s="1025"/>
      <c r="S1" s="1025"/>
      <c r="T1" s="1025"/>
      <c r="U1" s="1025"/>
      <c r="V1" s="1025"/>
      <c r="W1" s="1025"/>
      <c r="X1" s="1025"/>
      <c r="Y1" s="1025"/>
    </row>
    <row r="2" spans="1:25" ht="18">
      <c r="A2" s="1025"/>
      <c r="B2" s="1025"/>
      <c r="C2" s="1025"/>
      <c r="D2" s="1025"/>
      <c r="E2" s="1025"/>
      <c r="F2" s="1025"/>
      <c r="G2" s="1025"/>
      <c r="H2" s="1025"/>
      <c r="I2" s="1025"/>
      <c r="J2" s="1025"/>
      <c r="K2" s="1081" t="str">
        <f>+'7A - Project ROE Adder'!J2</f>
        <v xml:space="preserve">ATTACHMENT H-15A </v>
      </c>
      <c r="L2" s="1025"/>
      <c r="M2" s="1025"/>
      <c r="N2" s="1025"/>
      <c r="O2" s="1025"/>
      <c r="P2" s="1025"/>
      <c r="Q2" s="1025"/>
      <c r="R2" s="1025"/>
      <c r="S2" s="1025"/>
      <c r="T2" s="1025"/>
      <c r="U2" s="1025"/>
      <c r="V2" s="1025"/>
      <c r="W2" s="1025"/>
      <c r="X2" s="1025"/>
      <c r="Y2" s="1025"/>
    </row>
    <row r="3" spans="1:25" ht="18">
      <c r="A3" s="1025"/>
      <c r="B3" s="1025"/>
      <c r="C3" s="1025"/>
      <c r="D3" s="1025"/>
      <c r="E3" s="1025"/>
      <c r="F3" s="1025"/>
      <c r="G3" s="1025"/>
      <c r="H3" s="1025"/>
      <c r="I3" s="1025"/>
      <c r="J3" s="1025"/>
      <c r="K3" s="1081" t="s">
        <v>856</v>
      </c>
      <c r="L3" s="1025"/>
      <c r="M3" s="1025"/>
      <c r="N3" s="1025"/>
      <c r="O3" s="1025"/>
      <c r="P3" s="1025"/>
      <c r="Q3" s="1025"/>
      <c r="R3" s="1025"/>
      <c r="S3" s="1025"/>
      <c r="T3" s="1025"/>
      <c r="U3" s="1025"/>
      <c r="V3" s="1025"/>
      <c r="W3" s="1025"/>
      <c r="X3" s="1025"/>
      <c r="Y3" s="967"/>
    </row>
    <row r="5" spans="1:25" ht="15">
      <c r="A5" s="1025"/>
      <c r="B5" s="216" t="s">
        <v>446</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row>
    <row r="6" spans="1:25" ht="15.75">
      <c r="A6" s="85"/>
      <c r="B6" s="851" t="s">
        <v>857</v>
      </c>
      <c r="C6" s="278"/>
      <c r="D6" s="807"/>
      <c r="E6" s="286"/>
      <c r="F6" s="806"/>
      <c r="G6" s="286"/>
      <c r="H6" s="286"/>
      <c r="I6" s="286"/>
      <c r="J6" s="805"/>
      <c r="K6" s="808"/>
      <c r="L6" s="285"/>
      <c r="M6" s="278"/>
      <c r="N6" s="266"/>
      <c r="O6" s="266"/>
      <c r="P6" s="266"/>
      <c r="Q6" s="594"/>
      <c r="R6" s="594"/>
      <c r="S6" s="594"/>
      <c r="T6" s="594"/>
      <c r="U6" s="594"/>
      <c r="V6" s="594"/>
      <c r="W6" s="594"/>
      <c r="X6" s="594"/>
      <c r="Y6" s="594"/>
    </row>
    <row r="7" spans="1:25">
      <c r="A7" s="594"/>
      <c r="B7" s="594"/>
      <c r="C7" s="594"/>
      <c r="D7" s="594"/>
      <c r="E7" s="594"/>
      <c r="F7" s="594"/>
      <c r="G7" s="1092" t="s">
        <v>841</v>
      </c>
      <c r="H7" s="594"/>
      <c r="I7" s="1092" t="s">
        <v>842</v>
      </c>
      <c r="J7" s="594"/>
      <c r="K7" s="1092" t="s">
        <v>843</v>
      </c>
      <c r="L7" s="594"/>
      <c r="M7" s="1092" t="s">
        <v>844</v>
      </c>
      <c r="N7" s="594"/>
      <c r="O7" s="1092" t="s">
        <v>845</v>
      </c>
      <c r="P7" s="594"/>
      <c r="Q7" s="1092" t="s">
        <v>846</v>
      </c>
      <c r="R7" s="594"/>
      <c r="S7" s="1092" t="s">
        <v>847</v>
      </c>
      <c r="T7" s="594"/>
      <c r="U7" s="1092" t="s">
        <v>848</v>
      </c>
      <c r="V7" s="594"/>
      <c r="W7" s="1092" t="s">
        <v>849</v>
      </c>
      <c r="X7" s="594"/>
      <c r="Y7" s="1092" t="s">
        <v>850</v>
      </c>
    </row>
    <row r="8" spans="1:25" ht="51">
      <c r="A8" s="737" t="s">
        <v>836</v>
      </c>
      <c r="B8" s="594"/>
      <c r="C8" s="594"/>
      <c r="D8" s="594"/>
      <c r="E8" s="798" t="s">
        <v>75</v>
      </c>
      <c r="F8" s="594"/>
      <c r="G8" s="814" t="s">
        <v>858</v>
      </c>
      <c r="H8" s="594"/>
      <c r="I8" s="799" t="s">
        <v>851</v>
      </c>
      <c r="J8" s="594"/>
      <c r="K8" s="799" t="s">
        <v>851</v>
      </c>
      <c r="L8" s="594"/>
      <c r="M8" s="799" t="s">
        <v>851</v>
      </c>
      <c r="N8" s="594"/>
      <c r="O8" s="799" t="s">
        <v>851</v>
      </c>
      <c r="P8" s="594"/>
      <c r="Q8" s="799" t="s">
        <v>851</v>
      </c>
      <c r="R8" s="594"/>
      <c r="S8" s="799" t="s">
        <v>851</v>
      </c>
      <c r="T8" s="594"/>
      <c r="U8" s="799" t="s">
        <v>851</v>
      </c>
      <c r="V8" s="594"/>
      <c r="W8" s="799" t="s">
        <v>851</v>
      </c>
      <c r="X8" s="594"/>
      <c r="Y8" s="799" t="s">
        <v>851</v>
      </c>
    </row>
    <row r="9" spans="1:25">
      <c r="A9" s="594"/>
      <c r="B9" s="594" t="s">
        <v>859</v>
      </c>
      <c r="C9" s="594"/>
      <c r="D9" s="594"/>
      <c r="E9" s="594"/>
      <c r="F9" s="594"/>
      <c r="G9" s="1010" t="s">
        <v>860</v>
      </c>
      <c r="H9" s="594"/>
      <c r="I9" s="843"/>
      <c r="J9" s="594"/>
      <c r="K9" s="843"/>
      <c r="L9" s="594"/>
      <c r="M9" s="843"/>
      <c r="N9" s="594"/>
      <c r="O9" s="843"/>
      <c r="P9" s="594"/>
      <c r="Q9" s="843"/>
      <c r="R9" s="594"/>
      <c r="S9" s="843"/>
      <c r="T9" s="594"/>
      <c r="U9" s="843"/>
      <c r="V9" s="594"/>
      <c r="W9" s="843"/>
      <c r="X9" s="594"/>
      <c r="Y9" s="843"/>
    </row>
    <row r="10" spans="1:25">
      <c r="A10" s="594">
        <v>1</v>
      </c>
      <c r="B10" s="594" t="s">
        <v>28</v>
      </c>
      <c r="C10" s="838" t="str">
        <f>"(Attachment 4, Line "&amp;'4 - Cost Support'!A311&amp;" etc.)"</f>
        <v>(Attachment 4, Line 119 etc.)</v>
      </c>
      <c r="D10" s="594"/>
      <c r="E10" s="742"/>
      <c r="F10" s="742"/>
      <c r="G10" s="951">
        <f>+'4 - Cost Support'!T311</f>
        <v>9929007.2399147786</v>
      </c>
      <c r="H10" s="951"/>
      <c r="I10" s="951">
        <f>+'4 - Cost Support'!T316</f>
        <v>0</v>
      </c>
      <c r="J10" s="951"/>
      <c r="K10" s="951">
        <f>+'4 - Cost Support'!T321</f>
        <v>0</v>
      </c>
      <c r="L10" s="951"/>
      <c r="M10" s="951">
        <f>+'4 - Cost Support'!T326</f>
        <v>0</v>
      </c>
      <c r="N10" s="951"/>
      <c r="O10" s="951">
        <f>+'4 - Cost Support'!T331</f>
        <v>0</v>
      </c>
      <c r="P10" s="951"/>
      <c r="Q10" s="951">
        <f>+'4 - Cost Support'!T336</f>
        <v>0</v>
      </c>
      <c r="R10" s="951"/>
      <c r="S10" s="951">
        <f>+'4 - Cost Support'!T341</f>
        <v>0</v>
      </c>
      <c r="T10" s="951"/>
      <c r="U10" s="951">
        <f>+'4 - Cost Support'!T346</f>
        <v>0</v>
      </c>
      <c r="V10" s="951"/>
      <c r="W10" s="951">
        <f>+'4 - Cost Support'!T351</f>
        <v>0</v>
      </c>
      <c r="X10" s="951"/>
      <c r="Y10" s="951">
        <f>+'4 - Cost Support'!T356</f>
        <v>0</v>
      </c>
    </row>
    <row r="11" spans="1:25">
      <c r="A11" s="594">
        <f>+A10+1</f>
        <v>2</v>
      </c>
      <c r="B11" s="740" t="s">
        <v>37</v>
      </c>
      <c r="C11" s="839" t="str">
        <f>"(Attachment 4, Line "&amp;'4 - Cost Support'!A312&amp;" etc.)"</f>
        <v>(Attachment 4, Line 120 etc.)</v>
      </c>
      <c r="D11" s="740"/>
      <c r="E11" s="802"/>
      <c r="F11" s="802"/>
      <c r="G11" s="952">
        <f>+'4 - Cost Support'!T312</f>
        <v>42400.615384615383</v>
      </c>
      <c r="H11" s="952"/>
      <c r="I11" s="952">
        <f>+'4 - Cost Support'!T317</f>
        <v>0</v>
      </c>
      <c r="J11" s="952"/>
      <c r="K11" s="952">
        <f>+'4 - Cost Support'!T322</f>
        <v>0</v>
      </c>
      <c r="L11" s="952"/>
      <c r="M11" s="952">
        <f>+'4 - Cost Support'!T327</f>
        <v>0</v>
      </c>
      <c r="N11" s="952"/>
      <c r="O11" s="952">
        <f>+'4 - Cost Support'!T332</f>
        <v>0</v>
      </c>
      <c r="P11" s="952"/>
      <c r="Q11" s="952">
        <f>+'4 - Cost Support'!T337</f>
        <v>0</v>
      </c>
      <c r="R11" s="952"/>
      <c r="S11" s="952">
        <f>+'4 - Cost Support'!T342</f>
        <v>0</v>
      </c>
      <c r="T11" s="952"/>
      <c r="U11" s="952">
        <f>+'4 - Cost Support'!T347</f>
        <v>0</v>
      </c>
      <c r="V11" s="952"/>
      <c r="W11" s="952">
        <f>+'4 - Cost Support'!T352</f>
        <v>0</v>
      </c>
      <c r="X11" s="952"/>
      <c r="Y11" s="952">
        <f>+'4 - Cost Support'!T357</f>
        <v>0</v>
      </c>
    </row>
    <row r="12" spans="1:25">
      <c r="A12" s="594">
        <f>+A11+1</f>
        <v>3</v>
      </c>
      <c r="B12" s="594" t="s">
        <v>18</v>
      </c>
      <c r="C12" s="594" t="str">
        <f>"(Line "&amp;A10&amp;" + "&amp;A11&amp;")"</f>
        <v>(Line 1 + 2)</v>
      </c>
      <c r="D12" s="594"/>
      <c r="E12" s="742"/>
      <c r="F12" s="742"/>
      <c r="G12" s="951">
        <f>+G10-G11</f>
        <v>9886606.6245301627</v>
      </c>
      <c r="H12" s="951"/>
      <c r="I12" s="951">
        <f>+I10-I11</f>
        <v>0</v>
      </c>
      <c r="J12" s="951"/>
      <c r="K12" s="951">
        <f>+K10-K11</f>
        <v>0</v>
      </c>
      <c r="L12" s="951"/>
      <c r="M12" s="951">
        <f>+M10-M11</f>
        <v>0</v>
      </c>
      <c r="N12" s="951"/>
      <c r="O12" s="951">
        <f>+O10-O11</f>
        <v>0</v>
      </c>
      <c r="P12" s="951"/>
      <c r="Q12" s="951">
        <f>+Q10-Q11</f>
        <v>0</v>
      </c>
      <c r="R12" s="951"/>
      <c r="S12" s="951">
        <f>+S10-S11</f>
        <v>0</v>
      </c>
      <c r="T12" s="951"/>
      <c r="U12" s="951">
        <f>+U10-U11</f>
        <v>0</v>
      </c>
      <c r="V12" s="951"/>
      <c r="W12" s="951">
        <f>+W10-W11</f>
        <v>0</v>
      </c>
      <c r="X12" s="951"/>
      <c r="Y12" s="951">
        <f>+Y10-Y11</f>
        <v>0</v>
      </c>
    </row>
    <row r="13" spans="1:25">
      <c r="A13" s="594"/>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row>
    <row r="14" spans="1:25" ht="25.5">
      <c r="A14" s="594">
        <f>+A12+1</f>
        <v>4</v>
      </c>
      <c r="B14" s="815" t="s">
        <v>861</v>
      </c>
      <c r="C14" s="839" t="str">
        <f>"(Appendix A, Line "&amp;'Appendix A'!A295&amp;")"</f>
        <v>(Appendix A, Line 182)</v>
      </c>
      <c r="D14" s="740"/>
      <c r="E14" s="740"/>
      <c r="F14" s="740"/>
      <c r="G14" s="863">
        <f>+'Appendix A'!$H$295</f>
        <v>0.18639333929605159</v>
      </c>
      <c r="H14" s="863"/>
      <c r="I14" s="863">
        <f>+'Appendix A'!$H$295</f>
        <v>0.18639333929605159</v>
      </c>
      <c r="J14" s="863"/>
      <c r="K14" s="863">
        <f>+'Appendix A'!$H$295</f>
        <v>0.18639333929605159</v>
      </c>
      <c r="L14" s="863"/>
      <c r="M14" s="863">
        <f>+'Appendix A'!$H$295</f>
        <v>0.18639333929605159</v>
      </c>
      <c r="N14" s="863"/>
      <c r="O14" s="863">
        <f>+'Appendix A'!$H$295</f>
        <v>0.18639333929605159</v>
      </c>
      <c r="P14" s="863"/>
      <c r="Q14" s="863">
        <f>+'Appendix A'!$H$295</f>
        <v>0.18639333929605159</v>
      </c>
      <c r="R14" s="863"/>
      <c r="S14" s="863">
        <f>+'Appendix A'!$H$295</f>
        <v>0.18639333929605159</v>
      </c>
      <c r="T14" s="863"/>
      <c r="U14" s="863">
        <f>+'Appendix A'!$H$295</f>
        <v>0.18639333929605159</v>
      </c>
      <c r="V14" s="863"/>
      <c r="W14" s="863">
        <f>+'Appendix A'!$H$295</f>
        <v>0.18639333929605159</v>
      </c>
      <c r="X14" s="863"/>
      <c r="Y14" s="863">
        <f>+'Appendix A'!$H$295</f>
        <v>0.18639333929605159</v>
      </c>
    </row>
    <row r="15" spans="1:25" s="797" customFormat="1" ht="25.5">
      <c r="A15" s="594">
        <f>+A14+1</f>
        <v>5</v>
      </c>
      <c r="B15" s="800" t="s">
        <v>862</v>
      </c>
      <c r="C15" s="594" t="str">
        <f>"(Line "&amp;A12&amp;" * Line "&amp;A14&amp;")"</f>
        <v>(Line 3 * Line 4)</v>
      </c>
      <c r="D15" s="594"/>
      <c r="E15" s="951"/>
      <c r="F15" s="951"/>
      <c r="G15" s="951">
        <f>+G12*G14</f>
        <v>1842797.623052642</v>
      </c>
      <c r="H15" s="951"/>
      <c r="I15" s="951">
        <f>+I12*I14</f>
        <v>0</v>
      </c>
      <c r="J15" s="951"/>
      <c r="K15" s="951">
        <f>+K12*K14</f>
        <v>0</v>
      </c>
      <c r="L15" s="951"/>
      <c r="M15" s="951">
        <f>+M12*M14</f>
        <v>0</v>
      </c>
      <c r="N15" s="951"/>
      <c r="O15" s="951">
        <f>+O12*O14</f>
        <v>0</v>
      </c>
      <c r="P15" s="951"/>
      <c r="Q15" s="951">
        <f>+Q12*Q14</f>
        <v>0</v>
      </c>
      <c r="R15" s="951"/>
      <c r="S15" s="951">
        <f>+S12*S14</f>
        <v>0</v>
      </c>
      <c r="T15" s="951"/>
      <c r="U15" s="951">
        <f>+U12*U14</f>
        <v>0</v>
      </c>
      <c r="V15" s="951"/>
      <c r="W15" s="951">
        <f>+W12*W14</f>
        <v>0</v>
      </c>
      <c r="X15" s="951"/>
      <c r="Y15" s="951">
        <f>+Y12*Y14</f>
        <v>0</v>
      </c>
    </row>
    <row r="16" spans="1:25">
      <c r="A16" s="1025">
        <f>+A15+1</f>
        <v>6</v>
      </c>
      <c r="B16" s="594" t="s">
        <v>762</v>
      </c>
      <c r="C16" s="838" t="str">
        <f>"(Attachment 4, Line "&amp;'4 - Cost Support'!A313&amp;" etc.)"</f>
        <v>(Attachment 4, Line 121 etc.)</v>
      </c>
      <c r="D16" s="1025"/>
      <c r="E16" s="955"/>
      <c r="F16" s="955"/>
      <c r="G16" s="955">
        <f>+'4 - Cost Support'!T313</f>
        <v>137802</v>
      </c>
      <c r="H16" s="955"/>
      <c r="I16" s="955">
        <f>+'4 - Cost Support'!T318</f>
        <v>0</v>
      </c>
      <c r="J16" s="955"/>
      <c r="K16" s="955">
        <f>+'4 - Cost Support'!T323</f>
        <v>0</v>
      </c>
      <c r="L16" s="955"/>
      <c r="M16" s="955">
        <f>+'4 - Cost Support'!T328</f>
        <v>0</v>
      </c>
      <c r="N16" s="955"/>
      <c r="O16" s="955">
        <f>+'4 - Cost Support'!T333</f>
        <v>0</v>
      </c>
      <c r="P16" s="955"/>
      <c r="Q16" s="955">
        <f>+'4 - Cost Support'!T338</f>
        <v>0</v>
      </c>
      <c r="R16" s="955"/>
      <c r="S16" s="955">
        <f>+'4 - Cost Support'!T343</f>
        <v>0</v>
      </c>
      <c r="T16" s="955"/>
      <c r="U16" s="955">
        <f>+'4 - Cost Support'!T348</f>
        <v>0</v>
      </c>
      <c r="V16" s="955"/>
      <c r="W16" s="955">
        <f>+'4 - Cost Support'!T353</f>
        <v>0</v>
      </c>
      <c r="X16" s="955"/>
      <c r="Y16" s="955">
        <f>+'4 - Cost Support'!T358</f>
        <v>0</v>
      </c>
    </row>
    <row r="17" spans="1:25">
      <c r="A17" s="1025">
        <f>+A16+1</f>
        <v>7</v>
      </c>
      <c r="B17" s="740" t="s">
        <v>863</v>
      </c>
      <c r="C17" s="740" t="s">
        <v>864</v>
      </c>
      <c r="D17" s="816"/>
      <c r="E17" s="956"/>
      <c r="F17" s="956"/>
      <c r="G17" s="957">
        <v>0</v>
      </c>
      <c r="H17" s="956"/>
      <c r="I17" s="957">
        <v>0</v>
      </c>
      <c r="J17" s="956"/>
      <c r="K17" s="957">
        <v>0</v>
      </c>
      <c r="L17" s="956"/>
      <c r="M17" s="957">
        <v>0</v>
      </c>
      <c r="N17" s="956"/>
      <c r="O17" s="957">
        <v>0</v>
      </c>
      <c r="P17" s="956"/>
      <c r="Q17" s="957">
        <v>0</v>
      </c>
      <c r="R17" s="956"/>
      <c r="S17" s="957">
        <v>0</v>
      </c>
      <c r="T17" s="956"/>
      <c r="U17" s="957">
        <v>0</v>
      </c>
      <c r="V17" s="956"/>
      <c r="W17" s="957">
        <v>0</v>
      </c>
      <c r="X17" s="956"/>
      <c r="Y17" s="957">
        <v>0</v>
      </c>
    </row>
    <row r="18" spans="1:25">
      <c r="A18" s="1025"/>
      <c r="B18" s="1025"/>
      <c r="C18" s="1025"/>
      <c r="D18" s="1025"/>
      <c r="E18" s="955"/>
      <c r="F18" s="955"/>
      <c r="G18" s="955"/>
      <c r="H18" s="955"/>
      <c r="I18" s="955"/>
      <c r="J18" s="955"/>
      <c r="K18" s="955"/>
      <c r="L18" s="955"/>
      <c r="M18" s="955"/>
      <c r="N18" s="955"/>
      <c r="O18" s="955"/>
      <c r="P18" s="955"/>
      <c r="Q18" s="955"/>
      <c r="R18" s="955"/>
      <c r="S18" s="955"/>
      <c r="T18" s="955"/>
      <c r="U18" s="955"/>
      <c r="V18" s="955"/>
      <c r="W18" s="955"/>
      <c r="X18" s="955"/>
      <c r="Y18" s="955"/>
    </row>
    <row r="19" spans="1:25">
      <c r="A19" s="1025">
        <f>+A17+1</f>
        <v>8</v>
      </c>
      <c r="B19" s="594" t="s">
        <v>865</v>
      </c>
      <c r="C19" s="594" t="str">
        <f>"(Line "&amp;A15&amp;" + Line "&amp;A16&amp;" + Line "&amp;A17&amp;")"</f>
        <v>(Line 5 + Line 6 + Line 7)</v>
      </c>
      <c r="D19" s="1025"/>
      <c r="E19" s="958">
        <f>+SUM(G19:Y19)</f>
        <v>1980599.623052642</v>
      </c>
      <c r="F19" s="955"/>
      <c r="G19" s="955">
        <f>+G15+G16+ G17</f>
        <v>1980599.623052642</v>
      </c>
      <c r="H19" s="955"/>
      <c r="I19" s="955">
        <f>+I15+I16+ I17</f>
        <v>0</v>
      </c>
      <c r="J19" s="955"/>
      <c r="K19" s="955">
        <f>+K15+K16+ K17</f>
        <v>0</v>
      </c>
      <c r="L19" s="955"/>
      <c r="M19" s="955">
        <f>+M15+M16+ M17</f>
        <v>0</v>
      </c>
      <c r="N19" s="955"/>
      <c r="O19" s="955">
        <f>+O15+O16+ O17</f>
        <v>0</v>
      </c>
      <c r="P19" s="955"/>
      <c r="Q19" s="955">
        <f>+Q15+Q16+ Q17</f>
        <v>0</v>
      </c>
      <c r="R19" s="955"/>
      <c r="S19" s="955">
        <f>+S15+S16+ S17</f>
        <v>0</v>
      </c>
      <c r="T19" s="955"/>
      <c r="U19" s="955">
        <f>+U15+U16+ U17</f>
        <v>0</v>
      </c>
      <c r="V19" s="955"/>
      <c r="W19" s="955">
        <f>+W15+W16+ W17</f>
        <v>0</v>
      </c>
      <c r="X19" s="955"/>
      <c r="Y19" s="955">
        <f>+Y15+Y16+ Y17</f>
        <v>0</v>
      </c>
    </row>
    <row r="20" spans="1:25">
      <c r="A20" s="1025"/>
      <c r="B20" s="1025"/>
      <c r="C20" s="1025"/>
      <c r="D20" s="1025"/>
      <c r="E20" s="955"/>
      <c r="F20" s="955"/>
      <c r="G20" s="955"/>
      <c r="H20" s="955"/>
      <c r="I20" s="955"/>
      <c r="J20" s="955"/>
      <c r="K20" s="955"/>
      <c r="L20" s="955"/>
      <c r="M20" s="955"/>
      <c r="N20" s="955"/>
      <c r="O20" s="955"/>
      <c r="P20" s="955"/>
      <c r="Q20" s="955"/>
      <c r="R20" s="955"/>
      <c r="S20" s="955"/>
      <c r="T20" s="955"/>
      <c r="U20" s="955"/>
      <c r="V20" s="955"/>
      <c r="W20" s="955"/>
      <c r="X20" s="955"/>
      <c r="Y20" s="955"/>
    </row>
    <row r="21" spans="1:25">
      <c r="A21" s="1025">
        <f>+A19+1</f>
        <v>9</v>
      </c>
      <c r="B21" s="594" t="s">
        <v>866</v>
      </c>
      <c r="C21" s="838" t="str">
        <f>"(Attachment 6B, Line "&amp;'6B - Schedule 12 True-Up'!B40&amp;")"</f>
        <v>(Attachment 6B, Line E)</v>
      </c>
      <c r="D21" s="1025"/>
      <c r="E21" s="957">
        <v>0</v>
      </c>
      <c r="F21" s="955"/>
      <c r="G21" s="952">
        <f>+G19/$E$19*$E$21</f>
        <v>0</v>
      </c>
      <c r="H21" s="955"/>
      <c r="I21" s="952">
        <f>+I19/$E$19*$E$21</f>
        <v>0</v>
      </c>
      <c r="J21" s="955"/>
      <c r="K21" s="952">
        <f>+K19/$E$19*$E$21</f>
        <v>0</v>
      </c>
      <c r="L21" s="955"/>
      <c r="M21" s="952">
        <f>+M19/$E$19*$E$21</f>
        <v>0</v>
      </c>
      <c r="N21" s="955"/>
      <c r="O21" s="952">
        <f>+O19/$E$19*$E$21</f>
        <v>0</v>
      </c>
      <c r="P21" s="955"/>
      <c r="Q21" s="952">
        <f>+Q19/$E$19*$E$21</f>
        <v>0</v>
      </c>
      <c r="R21" s="955"/>
      <c r="S21" s="952">
        <f>+S19/$E$19*$E$21</f>
        <v>0</v>
      </c>
      <c r="T21" s="955"/>
      <c r="U21" s="952">
        <f>+U19/$E$19*$E$21</f>
        <v>0</v>
      </c>
      <c r="V21" s="955"/>
      <c r="W21" s="952">
        <f>+W19/$E$19*$E$21</f>
        <v>0</v>
      </c>
      <c r="X21" s="955"/>
      <c r="Y21" s="952">
        <f>+Y19/$E$19*$E$21</f>
        <v>0</v>
      </c>
    </row>
    <row r="22" spans="1:25">
      <c r="A22" s="1025"/>
      <c r="B22" s="594" t="s">
        <v>867</v>
      </c>
      <c r="C22" s="1025"/>
      <c r="D22" s="1025"/>
      <c r="E22" s="955"/>
      <c r="F22" s="955"/>
      <c r="G22" s="955"/>
      <c r="H22" s="955"/>
      <c r="I22" s="955"/>
      <c r="J22" s="955"/>
      <c r="K22" s="955"/>
      <c r="L22" s="955"/>
      <c r="M22" s="955"/>
      <c r="N22" s="955"/>
      <c r="O22" s="955"/>
      <c r="P22" s="955"/>
      <c r="Q22" s="955"/>
      <c r="R22" s="955"/>
      <c r="S22" s="955"/>
      <c r="T22" s="955"/>
      <c r="U22" s="955"/>
      <c r="V22" s="955"/>
      <c r="W22" s="955"/>
      <c r="X22" s="955"/>
      <c r="Y22" s="955"/>
    </row>
    <row r="23" spans="1:25">
      <c r="A23" s="1025">
        <f>+A21+1</f>
        <v>10</v>
      </c>
      <c r="B23" s="594" t="s">
        <v>868</v>
      </c>
      <c r="C23" s="594" t="str">
        <f>"(Line "&amp;A19&amp;" + Line "&amp;A21&amp;")"</f>
        <v>(Line 8 + Line 9)</v>
      </c>
      <c r="D23" s="1025"/>
      <c r="E23" s="958">
        <f>+E19+E21</f>
        <v>1980599.623052642</v>
      </c>
      <c r="F23" s="955"/>
      <c r="G23" s="955">
        <f>+G19+G21</f>
        <v>1980599.623052642</v>
      </c>
      <c r="H23" s="955"/>
      <c r="I23" s="955">
        <f>+I19+I21</f>
        <v>0</v>
      </c>
      <c r="J23" s="955"/>
      <c r="K23" s="955">
        <f>+K19+K21</f>
        <v>0</v>
      </c>
      <c r="L23" s="955"/>
      <c r="M23" s="955">
        <f>+M19+M21</f>
        <v>0</v>
      </c>
      <c r="N23" s="955"/>
      <c r="O23" s="955">
        <f>+O19+O21</f>
        <v>0</v>
      </c>
      <c r="P23" s="955"/>
      <c r="Q23" s="955">
        <f>+Q19+Q21</f>
        <v>0</v>
      </c>
      <c r="R23" s="955"/>
      <c r="S23" s="955">
        <f>+S19+S21</f>
        <v>0</v>
      </c>
      <c r="T23" s="955"/>
      <c r="U23" s="955">
        <f>+U19+U21</f>
        <v>0</v>
      </c>
      <c r="V23" s="955"/>
      <c r="W23" s="955">
        <f>+W19+W21</f>
        <v>0</v>
      </c>
      <c r="X23" s="955"/>
      <c r="Y23" s="955">
        <f>+Y19+Y21</f>
        <v>0</v>
      </c>
    </row>
    <row r="24" spans="1:25">
      <c r="A24" s="1025"/>
      <c r="B24" s="594" t="s">
        <v>869</v>
      </c>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c r="Y24" s="1025"/>
    </row>
    <row r="26" spans="1:25">
      <c r="A26" s="1025">
        <v>11</v>
      </c>
      <c r="B26" s="594" t="s">
        <v>870</v>
      </c>
      <c r="C26" s="1025"/>
      <c r="D26" s="1025"/>
      <c r="E26" s="1025"/>
      <c r="F26" s="1025"/>
      <c r="G26" s="1003">
        <v>9.9299999999999999E-2</v>
      </c>
      <c r="H26" s="1004"/>
      <c r="I26" s="1003">
        <v>0</v>
      </c>
      <c r="J26" s="1004"/>
      <c r="K26" s="1003">
        <v>0</v>
      </c>
      <c r="L26" s="1004"/>
      <c r="M26" s="1003">
        <v>0</v>
      </c>
      <c r="N26" s="1004"/>
      <c r="O26" s="1003">
        <v>0</v>
      </c>
      <c r="P26" s="1004"/>
      <c r="Q26" s="1003">
        <v>0</v>
      </c>
      <c r="R26" s="1004"/>
      <c r="S26" s="1003">
        <v>0</v>
      </c>
      <c r="T26" s="1004"/>
      <c r="U26" s="1003">
        <v>0</v>
      </c>
      <c r="V26" s="1004"/>
      <c r="W26" s="1003">
        <v>0</v>
      </c>
      <c r="X26" s="1004"/>
      <c r="Y26" s="1003">
        <v>0</v>
      </c>
    </row>
    <row r="28" spans="1:25">
      <c r="A28" s="1025">
        <v>12</v>
      </c>
      <c r="B28" s="594" t="s">
        <v>871</v>
      </c>
      <c r="C28" s="594" t="str">
        <f>"(Line "&amp;A23&amp;" * Line "&amp;A26&amp;")"</f>
        <v>(Line 10 * Line 11)</v>
      </c>
      <c r="D28" s="1025"/>
      <c r="E28" s="958">
        <f>+SUM(G28:Y28)</f>
        <v>196673.54256912734</v>
      </c>
      <c r="F28" s="1025"/>
      <c r="G28" s="989">
        <f>+G23*G26</f>
        <v>196673.54256912734</v>
      </c>
      <c r="H28" s="989"/>
      <c r="I28" s="989">
        <f>+I23*I26</f>
        <v>0</v>
      </c>
      <c r="J28" s="989"/>
      <c r="K28" s="989">
        <f>+K23*K26</f>
        <v>0</v>
      </c>
      <c r="L28" s="989"/>
      <c r="M28" s="989">
        <f>+M23*M26</f>
        <v>0</v>
      </c>
      <c r="N28" s="989"/>
      <c r="O28" s="989">
        <f>+O23*O26</f>
        <v>0</v>
      </c>
      <c r="P28" s="989"/>
      <c r="Q28" s="989">
        <f>+Q23*Q26</f>
        <v>0</v>
      </c>
      <c r="R28" s="989"/>
      <c r="S28" s="989">
        <f>+S23*S26</f>
        <v>0</v>
      </c>
      <c r="T28" s="989"/>
      <c r="U28" s="989">
        <f>+U23*U26</f>
        <v>0</v>
      </c>
      <c r="V28" s="989"/>
      <c r="W28" s="989">
        <f>+W23*W26</f>
        <v>0</v>
      </c>
      <c r="X28" s="989"/>
      <c r="Y28" s="989">
        <f>+Y23*Y26</f>
        <v>0</v>
      </c>
    </row>
    <row r="32" spans="1:25">
      <c r="A32" s="1025"/>
      <c r="B32" s="1025" t="s">
        <v>872</v>
      </c>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zoomScaleNormal="100" zoomScaleSheetLayoutView="80" workbookViewId="0"/>
  </sheetViews>
  <sheetFormatPr defaultRowHeight="12.75"/>
  <cols>
    <col min="1" max="1" width="40.140625" customWidth="1"/>
    <col min="2" max="2" width="41.7109375" customWidth="1"/>
    <col min="3" max="3" width="17.140625" customWidth="1"/>
    <col min="4" max="4" width="9" style="1050" bestFit="1" customWidth="1"/>
    <col min="5" max="5" width="7.140625" bestFit="1" customWidth="1"/>
    <col min="6" max="6" width="19.42578125" customWidth="1"/>
  </cols>
  <sheetData>
    <row r="1" spans="1:7" ht="18">
      <c r="A1" s="1025"/>
      <c r="B1" s="656" t="s">
        <v>0</v>
      </c>
      <c r="C1" s="1025"/>
      <c r="E1" s="1025"/>
      <c r="F1" s="1025"/>
      <c r="G1" s="1025"/>
    </row>
    <row r="2" spans="1:7" s="735" customFormat="1" ht="18">
      <c r="A2" s="1025"/>
      <c r="B2" s="656" t="str">
        <f>+'Appendix A'!A4</f>
        <v xml:space="preserve">ATTACHMENT H-15A </v>
      </c>
      <c r="C2" s="1025"/>
      <c r="D2" s="1050"/>
      <c r="E2" s="1025"/>
      <c r="F2" s="1025"/>
      <c r="G2" s="1025"/>
    </row>
    <row r="3" spans="1:7" ht="18">
      <c r="A3" s="1025"/>
      <c r="B3" s="656" t="s">
        <v>873</v>
      </c>
      <c r="C3" s="1025"/>
      <c r="E3" s="1025"/>
      <c r="F3" s="1025"/>
      <c r="G3" s="1025"/>
    </row>
    <row r="4" spans="1:7" ht="21.75" customHeight="1">
      <c r="A4" s="1025"/>
      <c r="B4" s="1024">
        <v>44561</v>
      </c>
      <c r="C4" s="1025"/>
      <c r="E4" s="1025"/>
      <c r="F4" s="967"/>
      <c r="G4" s="1025"/>
    </row>
    <row r="6" spans="1:7">
      <c r="A6" s="1152"/>
      <c r="B6" s="1152"/>
      <c r="C6" s="1152"/>
      <c r="D6" s="1152"/>
      <c r="E6" s="1152"/>
      <c r="F6" s="1152"/>
      <c r="G6" s="1152"/>
    </row>
    <row r="7" spans="1:7">
      <c r="A7" s="1153"/>
      <c r="B7" s="1153"/>
      <c r="C7" s="1153"/>
      <c r="D7" s="1153"/>
      <c r="E7" s="1153"/>
      <c r="F7" s="1153"/>
      <c r="G7" s="1153"/>
    </row>
    <row r="8" spans="1:7">
      <c r="A8" s="594"/>
      <c r="B8" s="594"/>
      <c r="C8" s="267"/>
      <c r="D8" s="1051"/>
      <c r="E8" s="594"/>
      <c r="F8" s="594"/>
      <c r="G8" s="594"/>
    </row>
    <row r="9" spans="1:7" ht="15">
      <c r="A9" s="606" t="s">
        <v>548</v>
      </c>
      <c r="B9" s="607" t="s">
        <v>874</v>
      </c>
      <c r="C9" s="607" t="s">
        <v>875</v>
      </c>
      <c r="D9" s="1052" t="s">
        <v>876</v>
      </c>
      <c r="E9" s="216"/>
      <c r="F9" s="594"/>
      <c r="G9" s="594"/>
    </row>
    <row r="10" spans="1:7" ht="15">
      <c r="A10" s="608"/>
      <c r="B10" s="608"/>
      <c r="C10" s="608"/>
      <c r="D10" s="1052"/>
      <c r="E10" s="216"/>
      <c r="F10" s="594"/>
      <c r="G10" s="594"/>
    </row>
    <row r="11" spans="1:7" ht="15.75">
      <c r="A11" s="606" t="s">
        <v>877</v>
      </c>
      <c r="B11" s="609"/>
      <c r="C11" s="610"/>
      <c r="D11" s="1052"/>
      <c r="E11" s="216"/>
      <c r="F11" s="594"/>
      <c r="G11" s="594"/>
    </row>
    <row r="12" spans="1:7" ht="15">
      <c r="A12" s="611">
        <v>350</v>
      </c>
      <c r="B12" s="609" t="s">
        <v>878</v>
      </c>
      <c r="C12" s="612" t="s">
        <v>879</v>
      </c>
      <c r="D12" s="1052"/>
      <c r="E12" s="216"/>
      <c r="F12" s="594"/>
      <c r="G12" s="594"/>
    </row>
    <row r="13" spans="1:7" ht="15">
      <c r="A13" s="611">
        <v>352</v>
      </c>
      <c r="B13" s="609" t="s">
        <v>880</v>
      </c>
      <c r="C13" s="763">
        <v>1.54E-2</v>
      </c>
      <c r="E13" s="216"/>
      <c r="F13" s="594"/>
      <c r="G13" s="594"/>
    </row>
    <row r="14" spans="1:7" ht="15">
      <c r="A14" s="611">
        <v>353</v>
      </c>
      <c r="B14" s="609" t="s">
        <v>881</v>
      </c>
      <c r="C14" s="763">
        <v>1.8200000000000001E-2</v>
      </c>
      <c r="E14" s="613"/>
      <c r="F14" s="594"/>
      <c r="G14" s="594"/>
    </row>
    <row r="15" spans="1:7" ht="15">
      <c r="A15" s="611">
        <v>354</v>
      </c>
      <c r="B15" s="609" t="s">
        <v>882</v>
      </c>
      <c r="C15" s="763">
        <v>1.67E-2</v>
      </c>
      <c r="E15" s="613"/>
      <c r="F15" s="594"/>
      <c r="G15" s="594"/>
    </row>
    <row r="16" spans="1:7" ht="15">
      <c r="A16" s="611">
        <v>355</v>
      </c>
      <c r="B16" s="609" t="s">
        <v>883</v>
      </c>
      <c r="C16" s="763">
        <v>1.8200000000000001E-2</v>
      </c>
      <c r="E16" s="613"/>
      <c r="F16" s="594"/>
      <c r="G16" s="594"/>
    </row>
    <row r="17" spans="1:7" ht="15">
      <c r="A17" s="611">
        <v>356</v>
      </c>
      <c r="B17" s="609" t="s">
        <v>884</v>
      </c>
      <c r="C17" s="763">
        <v>1.8200000000000001E-2</v>
      </c>
      <c r="E17" s="613"/>
      <c r="F17" s="594"/>
      <c r="G17" s="594"/>
    </row>
    <row r="18" spans="1:7" ht="15">
      <c r="A18" s="611">
        <v>357</v>
      </c>
      <c r="B18" s="609" t="s">
        <v>885</v>
      </c>
      <c r="C18" s="763">
        <v>1.3299999999999999E-2</v>
      </c>
      <c r="E18" s="613"/>
      <c r="F18" s="594"/>
      <c r="G18" s="594"/>
    </row>
    <row r="19" spans="1:7" ht="15">
      <c r="A19" s="611">
        <v>358</v>
      </c>
      <c r="B19" s="609" t="s">
        <v>886</v>
      </c>
      <c r="C19" s="763">
        <v>1.8200000000000001E-2</v>
      </c>
      <c r="E19" s="613"/>
      <c r="F19" s="594"/>
      <c r="G19" s="594"/>
    </row>
    <row r="20" spans="1:7" ht="15">
      <c r="A20" s="611">
        <v>359</v>
      </c>
      <c r="B20" s="609" t="s">
        <v>887</v>
      </c>
      <c r="C20" s="763">
        <v>1.2500000000000001E-2</v>
      </c>
      <c r="E20" s="613"/>
      <c r="F20" s="594"/>
      <c r="G20" s="594"/>
    </row>
    <row r="21" spans="1:7" ht="15">
      <c r="A21" s="611"/>
      <c r="B21" s="609"/>
      <c r="C21" s="612"/>
      <c r="D21" s="56"/>
      <c r="E21" s="613"/>
      <c r="F21" s="594"/>
      <c r="G21" s="594"/>
    </row>
    <row r="22" spans="1:7" ht="15">
      <c r="A22" s="614" t="s">
        <v>888</v>
      </c>
      <c r="B22" s="609"/>
      <c r="C22" s="615"/>
      <c r="D22" s="56"/>
      <c r="E22" s="613"/>
      <c r="F22" s="594"/>
      <c r="G22" s="594"/>
    </row>
    <row r="23" spans="1:7" ht="15">
      <c r="A23" s="611">
        <v>302</v>
      </c>
      <c r="B23" s="609" t="s">
        <v>889</v>
      </c>
      <c r="C23" s="612" t="s">
        <v>879</v>
      </c>
      <c r="D23" s="56"/>
      <c r="E23" s="613"/>
      <c r="F23" s="594"/>
      <c r="G23" s="594"/>
    </row>
    <row r="24" spans="1:7" ht="15">
      <c r="A24" s="611">
        <v>303</v>
      </c>
      <c r="B24" s="609" t="s">
        <v>890</v>
      </c>
      <c r="C24" s="763">
        <v>0.1429</v>
      </c>
      <c r="D24" s="56"/>
      <c r="E24" s="613"/>
      <c r="F24" s="594"/>
      <c r="G24" s="594"/>
    </row>
    <row r="25" spans="1:7" ht="15">
      <c r="A25" s="611">
        <v>390</v>
      </c>
      <c r="B25" s="616" t="s">
        <v>880</v>
      </c>
      <c r="C25" s="763">
        <v>3.3300000000000003E-2</v>
      </c>
      <c r="D25" s="56"/>
      <c r="E25" s="613"/>
      <c r="F25" s="594"/>
      <c r="G25" s="594"/>
    </row>
    <row r="26" spans="1:7" ht="15">
      <c r="A26" s="611">
        <v>391</v>
      </c>
      <c r="B26" s="616" t="s">
        <v>891</v>
      </c>
      <c r="C26" s="763">
        <v>0.04</v>
      </c>
      <c r="D26" s="56"/>
      <c r="E26" s="613"/>
      <c r="F26" s="594"/>
      <c r="G26" s="594"/>
    </row>
    <row r="27" spans="1:7" ht="15">
      <c r="A27" s="611">
        <v>391</v>
      </c>
      <c r="B27" s="616" t="s">
        <v>892</v>
      </c>
      <c r="C27" s="763">
        <v>0.1429</v>
      </c>
      <c r="D27" s="56"/>
      <c r="E27" s="613"/>
      <c r="F27" s="594"/>
      <c r="G27" s="594"/>
    </row>
    <row r="28" spans="1:7" ht="15">
      <c r="A28" s="611">
        <v>392</v>
      </c>
      <c r="B28" s="616" t="s">
        <v>893</v>
      </c>
      <c r="C28" s="763">
        <v>0.12</v>
      </c>
      <c r="D28" s="56"/>
      <c r="E28" s="613"/>
      <c r="F28" s="594"/>
      <c r="G28" s="594"/>
    </row>
    <row r="29" spans="1:7" ht="15">
      <c r="A29" s="611">
        <v>392</v>
      </c>
      <c r="B29" s="616" t="s">
        <v>894</v>
      </c>
      <c r="C29" s="763">
        <v>0.12</v>
      </c>
      <c r="D29" s="56"/>
      <c r="E29" s="613"/>
      <c r="F29" s="594"/>
      <c r="G29" s="594"/>
    </row>
    <row r="30" spans="1:7" ht="15">
      <c r="A30" s="611">
        <v>392</v>
      </c>
      <c r="B30" s="616" t="s">
        <v>895</v>
      </c>
      <c r="C30" s="763">
        <v>0.12</v>
      </c>
      <c r="D30" s="56"/>
      <c r="E30" s="613"/>
      <c r="F30" s="594"/>
      <c r="G30" s="594"/>
    </row>
    <row r="31" spans="1:7" ht="15">
      <c r="A31" s="611">
        <v>392</v>
      </c>
      <c r="B31" s="616" t="s">
        <v>896</v>
      </c>
      <c r="C31" s="763">
        <v>0.12</v>
      </c>
      <c r="D31" s="56"/>
      <c r="E31" s="613"/>
      <c r="F31" s="594"/>
      <c r="G31" s="594"/>
    </row>
    <row r="32" spans="1:7" ht="15">
      <c r="A32" s="611">
        <v>393</v>
      </c>
      <c r="B32" s="616" t="s">
        <v>897</v>
      </c>
      <c r="C32" s="763">
        <v>3.85E-2</v>
      </c>
      <c r="D32" s="1052"/>
      <c r="E32" s="216"/>
      <c r="F32" s="594"/>
      <c r="G32" s="594"/>
    </row>
    <row r="33" spans="1:7" ht="15">
      <c r="A33" s="611">
        <v>394</v>
      </c>
      <c r="B33" s="616" t="s">
        <v>898</v>
      </c>
      <c r="C33" s="763">
        <v>3.6499999999999998E-2</v>
      </c>
      <c r="D33" s="1052"/>
      <c r="E33" s="216"/>
      <c r="F33" s="594"/>
      <c r="G33" s="594"/>
    </row>
    <row r="34" spans="1:7" ht="15">
      <c r="A34" s="611">
        <v>395</v>
      </c>
      <c r="B34" s="616" t="s">
        <v>899</v>
      </c>
      <c r="C34" s="763">
        <v>0.04</v>
      </c>
      <c r="D34" s="1052"/>
      <c r="E34" s="216"/>
      <c r="F34" s="594"/>
      <c r="G34" s="594"/>
    </row>
    <row r="35" spans="1:7" ht="15">
      <c r="A35" s="611">
        <v>396</v>
      </c>
      <c r="B35" s="616" t="s">
        <v>900</v>
      </c>
      <c r="C35" s="763">
        <v>0.05</v>
      </c>
      <c r="D35" s="1052"/>
      <c r="E35" s="216"/>
      <c r="F35" s="594"/>
      <c r="G35" s="594"/>
    </row>
    <row r="36" spans="1:7" ht="15">
      <c r="A36" s="611">
        <v>397</v>
      </c>
      <c r="B36" s="609" t="s">
        <v>901</v>
      </c>
      <c r="C36" s="763">
        <v>0.05</v>
      </c>
      <c r="D36" s="1052"/>
      <c r="E36" s="216"/>
      <c r="F36" s="594"/>
      <c r="G36" s="594"/>
    </row>
    <row r="37" spans="1:7" ht="15">
      <c r="A37" s="611">
        <v>398</v>
      </c>
      <c r="B37" s="616" t="s">
        <v>902</v>
      </c>
      <c r="C37" s="763">
        <v>6.25E-2</v>
      </c>
      <c r="D37" s="1052"/>
      <c r="E37" s="216"/>
      <c r="F37" s="594"/>
      <c r="G37" s="594"/>
    </row>
    <row r="38" spans="1:7" ht="15">
      <c r="A38" s="609"/>
      <c r="B38" s="609"/>
      <c r="C38" s="609"/>
      <c r="D38" s="1053"/>
      <c r="E38" s="617"/>
      <c r="F38" s="594"/>
      <c r="G38" s="594"/>
    </row>
    <row r="39" spans="1:7" ht="15">
      <c r="A39" s="618" t="s">
        <v>903</v>
      </c>
      <c r="B39" s="609"/>
      <c r="C39" s="609"/>
      <c r="D39" s="1053"/>
      <c r="E39" s="609"/>
      <c r="F39" s="216"/>
      <c r="G39" s="216"/>
    </row>
    <row r="40" spans="1:7" ht="15">
      <c r="A40" s="609" t="s">
        <v>904</v>
      </c>
      <c r="B40" s="609"/>
      <c r="C40" s="609"/>
      <c r="D40" s="1053"/>
      <c r="E40" s="609"/>
      <c r="F40" s="216"/>
      <c r="G40" s="216"/>
    </row>
    <row r="41" spans="1:7" ht="14.25">
      <c r="A41" s="600"/>
      <c r="B41" s="598"/>
      <c r="C41" s="599"/>
      <c r="D41" s="1054"/>
      <c r="E41" s="601"/>
      <c r="F41" s="594"/>
      <c r="G41" s="594"/>
    </row>
    <row r="42" spans="1:7" ht="14.25">
      <c r="A42" s="600"/>
      <c r="B42" s="602"/>
      <c r="C42" s="598"/>
      <c r="D42" s="1055"/>
      <c r="E42" s="601"/>
      <c r="F42" s="594"/>
      <c r="G42" s="594"/>
    </row>
    <row r="43" spans="1:7" ht="14.25">
      <c r="A43" s="1154"/>
      <c r="B43" s="1155"/>
      <c r="C43" s="1155"/>
      <c r="D43" s="1051"/>
      <c r="E43" s="594"/>
      <c r="F43" s="594"/>
      <c r="G43" s="594"/>
    </row>
    <row r="44" spans="1:7" ht="14.25">
      <c r="A44" s="603"/>
      <c r="B44" s="1093"/>
      <c r="C44" s="604"/>
      <c r="D44" s="1051"/>
      <c r="E44" s="594"/>
      <c r="F44" s="594"/>
      <c r="G44" s="594"/>
    </row>
  </sheetData>
  <mergeCells count="3">
    <mergeCell ref="A6:G6"/>
    <mergeCell ref="A7:G7"/>
    <mergeCell ref="A43:C43"/>
  </mergeCells>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S74"/>
  <sheetViews>
    <sheetView zoomScale="70" zoomScaleNormal="70" zoomScaleSheetLayoutView="80" workbookViewId="0"/>
  </sheetViews>
  <sheetFormatPr defaultRowHeight="12.75"/>
  <cols>
    <col min="1" max="1" width="5.140625" style="649" customWidth="1"/>
    <col min="2" max="2" width="46" customWidth="1"/>
    <col min="3" max="3" width="18.140625" customWidth="1"/>
    <col min="4" max="4" width="14.140625" customWidth="1"/>
    <col min="5" max="5" width="16.28515625" customWidth="1"/>
    <col min="6" max="6" width="15.7109375" customWidth="1"/>
    <col min="7" max="7" width="16" customWidth="1"/>
    <col min="8" max="8" width="14.85546875" customWidth="1"/>
    <col min="9" max="9" width="16.7109375" customWidth="1"/>
    <col min="10" max="10" width="14.85546875" customWidth="1"/>
    <col min="11" max="11" width="17.140625" customWidth="1"/>
    <col min="12" max="12" width="13.42578125" customWidth="1"/>
    <col min="13" max="13" width="15.28515625" customWidth="1"/>
    <col min="16" max="16" width="18.5703125" customWidth="1"/>
  </cols>
  <sheetData>
    <row r="2" spans="1:19" ht="20.25">
      <c r="A2" s="1025"/>
      <c r="B2" s="1025"/>
      <c r="C2" s="1025"/>
      <c r="D2" s="1025"/>
      <c r="E2" s="1025"/>
      <c r="F2" s="1025"/>
      <c r="G2" s="1025"/>
      <c r="H2" s="1025"/>
      <c r="I2" s="764" t="str">
        <f>+'Appendix A'!A3</f>
        <v>Dayton Power and Light</v>
      </c>
      <c r="J2" s="1025"/>
      <c r="K2" s="1025"/>
      <c r="L2" s="1025"/>
      <c r="M2" s="1025"/>
      <c r="N2" s="1025"/>
      <c r="O2" s="1025"/>
      <c r="P2" s="1025"/>
      <c r="Q2" s="1025"/>
      <c r="R2" s="1025"/>
      <c r="S2" s="1025"/>
    </row>
    <row r="3" spans="1:19" ht="20.25">
      <c r="A3" s="1025"/>
      <c r="B3" s="1025"/>
      <c r="C3" s="1025"/>
      <c r="D3" s="1025"/>
      <c r="E3" s="1025"/>
      <c r="F3" s="1025"/>
      <c r="G3" s="1025"/>
      <c r="H3" s="1025"/>
      <c r="I3" s="764" t="str">
        <f>+'Appendix A'!A4</f>
        <v xml:space="preserve">ATTACHMENT H-15A </v>
      </c>
      <c r="J3" s="1025"/>
      <c r="K3" s="1025"/>
      <c r="L3" s="1025"/>
      <c r="M3" s="1025"/>
      <c r="N3" s="1025"/>
      <c r="O3" s="1025"/>
      <c r="P3" s="967"/>
      <c r="Q3" s="1025"/>
      <c r="R3" s="1025"/>
      <c r="S3" s="1025"/>
    </row>
    <row r="4" spans="1:19" ht="20.25">
      <c r="A4" s="1025"/>
      <c r="B4" s="1025"/>
      <c r="C4" s="1025"/>
      <c r="D4" s="1025"/>
      <c r="E4" s="1025"/>
      <c r="F4" s="1025"/>
      <c r="G4" s="1025"/>
      <c r="H4" s="1025"/>
      <c r="I4" s="764" t="s">
        <v>905</v>
      </c>
      <c r="J4" s="1025"/>
      <c r="K4" s="1025"/>
      <c r="L4" s="1025"/>
      <c r="M4" s="1025"/>
      <c r="N4" s="1025"/>
      <c r="O4" s="1025"/>
      <c r="P4" s="1025"/>
      <c r="Q4" s="1025"/>
      <c r="R4" s="1025"/>
      <c r="S4" s="1025"/>
    </row>
    <row r="5" spans="1:19" s="736" customFormat="1" ht="20.25">
      <c r="A5" s="1025"/>
      <c r="B5" s="1025"/>
      <c r="C5" s="1025"/>
      <c r="D5" s="1025"/>
      <c r="E5" s="1025"/>
      <c r="F5" s="1025"/>
      <c r="G5" s="1025"/>
      <c r="H5" s="1025"/>
      <c r="I5" s="764" t="s">
        <v>906</v>
      </c>
      <c r="J5" s="1025"/>
      <c r="K5" s="1025"/>
      <c r="L5" s="1025"/>
      <c r="M5" s="1025"/>
      <c r="N5" s="1025"/>
      <c r="O5" s="1025"/>
      <c r="P5" s="1025"/>
      <c r="Q5" s="1025"/>
      <c r="R5" s="1025"/>
      <c r="S5" s="1025"/>
    </row>
    <row r="6" spans="1:19" s="736" customFormat="1" ht="20.25">
      <c r="A6" s="562" t="s">
        <v>446</v>
      </c>
      <c r="B6" s="1025"/>
      <c r="C6" s="1025"/>
      <c r="D6" s="1025"/>
      <c r="E6" s="1025"/>
      <c r="F6" s="1025"/>
      <c r="G6" s="1025"/>
      <c r="H6" s="1025"/>
      <c r="I6" s="764"/>
      <c r="J6" s="1025"/>
      <c r="K6" s="1025"/>
      <c r="L6" s="1025"/>
      <c r="M6" s="1025"/>
      <c r="N6" s="1025"/>
      <c r="O6" s="1025"/>
      <c r="P6" s="1025"/>
      <c r="Q6" s="1025"/>
      <c r="R6" s="1025"/>
      <c r="S6" s="1025"/>
    </row>
    <row r="8" spans="1:19" ht="75">
      <c r="A8" s="216"/>
      <c r="B8" s="220" t="s">
        <v>874</v>
      </c>
      <c r="C8" s="703" t="s">
        <v>907</v>
      </c>
      <c r="D8" s="704" t="s">
        <v>908</v>
      </c>
      <c r="E8" s="703" t="s">
        <v>909</v>
      </c>
      <c r="F8" s="703" t="s">
        <v>910</v>
      </c>
      <c r="G8" s="704" t="s">
        <v>911</v>
      </c>
      <c r="H8" s="703" t="s">
        <v>912</v>
      </c>
      <c r="I8" s="704" t="s">
        <v>913</v>
      </c>
      <c r="J8" s="703" t="s">
        <v>914</v>
      </c>
      <c r="K8" s="704" t="s">
        <v>915</v>
      </c>
      <c r="L8" s="703" t="s">
        <v>916</v>
      </c>
      <c r="M8" s="704" t="s">
        <v>917</v>
      </c>
      <c r="N8" s="1025"/>
      <c r="O8" s="1025"/>
      <c r="P8" s="1025"/>
      <c r="Q8" s="1025"/>
      <c r="R8" s="1025"/>
      <c r="S8" s="1025"/>
    </row>
    <row r="9" spans="1:19" ht="15">
      <c r="A9" s="216">
        <v>1</v>
      </c>
      <c r="B9" s="1012" t="s">
        <v>918</v>
      </c>
      <c r="C9" s="1075">
        <v>255625</v>
      </c>
      <c r="D9" s="49">
        <v>0.14549999999999999</v>
      </c>
      <c r="E9" s="985">
        <f>+C9*D9</f>
        <v>37193.4375</v>
      </c>
      <c r="F9" s="985">
        <v>0</v>
      </c>
      <c r="G9" s="985">
        <f>+E9-F9</f>
        <v>37193.4375</v>
      </c>
      <c r="H9" s="985">
        <f>+F9</f>
        <v>0</v>
      </c>
      <c r="I9" s="985">
        <f>+G9-H9</f>
        <v>37193.4375</v>
      </c>
      <c r="J9" s="985">
        <f>+E9/10</f>
        <v>3719.34375</v>
      </c>
      <c r="K9" s="985">
        <f>+I9-J9</f>
        <v>33474.09375</v>
      </c>
      <c r="L9" s="985">
        <f>J9</f>
        <v>3719.34375</v>
      </c>
      <c r="M9" s="985">
        <f t="shared" ref="M9:M20" si="0">+K9-L9</f>
        <v>29754.75</v>
      </c>
      <c r="N9" s="955"/>
      <c r="O9" s="955"/>
      <c r="P9" s="955"/>
      <c r="Q9" s="955"/>
      <c r="R9" s="955"/>
      <c r="S9" s="955"/>
    </row>
    <row r="10" spans="1:19" ht="15">
      <c r="A10" s="216">
        <f>+A9+1</f>
        <v>2</v>
      </c>
      <c r="B10" s="1012" t="s">
        <v>919</v>
      </c>
      <c r="C10" s="1076">
        <v>1883790</v>
      </c>
      <c r="D10" s="49">
        <v>0.14549999999999999</v>
      </c>
      <c r="E10" s="986">
        <f>+C10*D10</f>
        <v>274091.44500000001</v>
      </c>
      <c r="F10" s="986">
        <v>0</v>
      </c>
      <c r="G10" s="895">
        <f t="shared" ref="G10:G20" si="1">+E10-F10</f>
        <v>274091.44500000001</v>
      </c>
      <c r="H10" s="895">
        <f>+F10</f>
        <v>0</v>
      </c>
      <c r="I10" s="895">
        <f t="shared" ref="I10:I20" si="2">+G10-H10</f>
        <v>274091.44500000001</v>
      </c>
      <c r="J10" s="985">
        <f t="shared" ref="J10:J20" si="3">+E10/10</f>
        <v>27409.144500000002</v>
      </c>
      <c r="K10" s="895">
        <f t="shared" ref="K10:K20" si="4">+I10-J10</f>
        <v>246682.30050000001</v>
      </c>
      <c r="L10" s="985">
        <f t="shared" ref="L10:L20" si="5">J10</f>
        <v>27409.144500000002</v>
      </c>
      <c r="M10" s="985">
        <f t="shared" si="0"/>
        <v>219273.15600000002</v>
      </c>
      <c r="N10" s="955"/>
      <c r="O10" s="955"/>
      <c r="P10" s="955"/>
      <c r="Q10" s="955"/>
      <c r="R10" s="955"/>
      <c r="S10" s="955"/>
    </row>
    <row r="11" spans="1:19" ht="15">
      <c r="A11" s="216">
        <f t="shared" ref="A11:A20" si="6">+A10+1</f>
        <v>3</v>
      </c>
      <c r="B11" s="1012" t="s">
        <v>920</v>
      </c>
      <c r="C11" s="1076">
        <v>374514</v>
      </c>
      <c r="D11" s="49">
        <v>0.14549999999999999</v>
      </c>
      <c r="E11" s="986">
        <f t="shared" ref="E11:E19" si="7">+C11*D11</f>
        <v>54491.786999999997</v>
      </c>
      <c r="F11" s="986">
        <v>0</v>
      </c>
      <c r="G11" s="895">
        <f t="shared" si="1"/>
        <v>54491.786999999997</v>
      </c>
      <c r="H11" s="895">
        <f t="shared" ref="H11:H20" si="8">+F11</f>
        <v>0</v>
      </c>
      <c r="I11" s="895">
        <f t="shared" si="2"/>
        <v>54491.786999999997</v>
      </c>
      <c r="J11" s="985">
        <f t="shared" si="3"/>
        <v>5449.1786999999995</v>
      </c>
      <c r="K11" s="895">
        <f t="shared" si="4"/>
        <v>49042.6083</v>
      </c>
      <c r="L11" s="985">
        <f t="shared" si="5"/>
        <v>5449.1786999999995</v>
      </c>
      <c r="M11" s="985">
        <f t="shared" si="0"/>
        <v>43593.429600000003</v>
      </c>
      <c r="N11" s="955"/>
      <c r="O11" s="955"/>
      <c r="P11" s="955"/>
      <c r="Q11" s="955"/>
      <c r="R11" s="955"/>
      <c r="S11" s="955"/>
    </row>
    <row r="12" spans="1:19" ht="15">
      <c r="A12" s="216">
        <f t="shared" si="6"/>
        <v>4</v>
      </c>
      <c r="B12" s="1012" t="s">
        <v>921</v>
      </c>
      <c r="C12" s="1076">
        <v>-706618</v>
      </c>
      <c r="D12" s="49">
        <v>0.14549999999999999</v>
      </c>
      <c r="E12" s="986">
        <f t="shared" si="7"/>
        <v>-102812.91899999999</v>
      </c>
      <c r="F12" s="986">
        <v>0</v>
      </c>
      <c r="G12" s="895">
        <f t="shared" si="1"/>
        <v>-102812.91899999999</v>
      </c>
      <c r="H12" s="895">
        <f t="shared" si="8"/>
        <v>0</v>
      </c>
      <c r="I12" s="895">
        <f t="shared" si="2"/>
        <v>-102812.91899999999</v>
      </c>
      <c r="J12" s="985">
        <f t="shared" si="3"/>
        <v>-10281.2919</v>
      </c>
      <c r="K12" s="895">
        <f t="shared" si="4"/>
        <v>-92531.627099999998</v>
      </c>
      <c r="L12" s="985">
        <f t="shared" si="5"/>
        <v>-10281.2919</v>
      </c>
      <c r="M12" s="985">
        <f t="shared" si="0"/>
        <v>-82250.335200000001</v>
      </c>
      <c r="N12" s="955"/>
      <c r="O12" s="955"/>
      <c r="P12" s="955"/>
      <c r="Q12" s="955"/>
      <c r="R12" s="955"/>
      <c r="S12" s="955"/>
    </row>
    <row r="13" spans="1:19" ht="15">
      <c r="A13" s="216">
        <f t="shared" si="6"/>
        <v>5</v>
      </c>
      <c r="B13" s="1012" t="s">
        <v>922</v>
      </c>
      <c r="C13" s="1076">
        <v>583378</v>
      </c>
      <c r="D13" s="49">
        <v>0.14549999999999999</v>
      </c>
      <c r="E13" s="986">
        <f t="shared" si="7"/>
        <v>84881.498999999996</v>
      </c>
      <c r="F13" s="986">
        <v>0</v>
      </c>
      <c r="G13" s="895">
        <f t="shared" si="1"/>
        <v>84881.498999999996</v>
      </c>
      <c r="H13" s="895">
        <f t="shared" si="8"/>
        <v>0</v>
      </c>
      <c r="I13" s="895">
        <f t="shared" si="2"/>
        <v>84881.498999999996</v>
      </c>
      <c r="J13" s="985">
        <f t="shared" si="3"/>
        <v>8488.1499000000003</v>
      </c>
      <c r="K13" s="895">
        <f t="shared" si="4"/>
        <v>76393.349099999992</v>
      </c>
      <c r="L13" s="985">
        <f t="shared" si="5"/>
        <v>8488.1499000000003</v>
      </c>
      <c r="M13" s="985">
        <f t="shared" si="0"/>
        <v>67905.199199999988</v>
      </c>
      <c r="N13" s="955"/>
      <c r="O13" s="955"/>
      <c r="P13" s="955"/>
      <c r="Q13" s="955"/>
      <c r="R13" s="955"/>
      <c r="S13" s="955"/>
    </row>
    <row r="14" spans="1:19" ht="15">
      <c r="A14" s="216">
        <f t="shared" si="6"/>
        <v>6</v>
      </c>
      <c r="B14" s="1012" t="s">
        <v>923</v>
      </c>
      <c r="C14" s="1076">
        <v>375192</v>
      </c>
      <c r="D14" s="49">
        <v>0.14549999999999999</v>
      </c>
      <c r="E14" s="986">
        <f t="shared" si="7"/>
        <v>54590.435999999994</v>
      </c>
      <c r="F14" s="986">
        <v>0</v>
      </c>
      <c r="G14" s="895">
        <f t="shared" si="1"/>
        <v>54590.435999999994</v>
      </c>
      <c r="H14" s="895">
        <f t="shared" si="8"/>
        <v>0</v>
      </c>
      <c r="I14" s="895">
        <f t="shared" si="2"/>
        <v>54590.435999999994</v>
      </c>
      <c r="J14" s="985">
        <f t="shared" si="3"/>
        <v>5459.0435999999991</v>
      </c>
      <c r="K14" s="895">
        <f t="shared" si="4"/>
        <v>49131.392399999997</v>
      </c>
      <c r="L14" s="985">
        <f t="shared" si="5"/>
        <v>5459.0435999999991</v>
      </c>
      <c r="M14" s="985">
        <f t="shared" si="0"/>
        <v>43672.3488</v>
      </c>
      <c r="N14" s="955"/>
      <c r="O14" s="955"/>
      <c r="P14" s="955"/>
      <c r="Q14" s="955"/>
      <c r="R14" s="955"/>
      <c r="S14" s="955"/>
    </row>
    <row r="15" spans="1:19" ht="15">
      <c r="A15" s="216">
        <f t="shared" si="6"/>
        <v>7</v>
      </c>
      <c r="B15" s="1012" t="s">
        <v>924</v>
      </c>
      <c r="C15" s="1076">
        <v>466620</v>
      </c>
      <c r="D15" s="49">
        <v>0.14549999999999999</v>
      </c>
      <c r="E15" s="986">
        <f t="shared" si="7"/>
        <v>67893.209999999992</v>
      </c>
      <c r="F15" s="986">
        <v>0</v>
      </c>
      <c r="G15" s="895">
        <f t="shared" si="1"/>
        <v>67893.209999999992</v>
      </c>
      <c r="H15" s="895">
        <f t="shared" si="8"/>
        <v>0</v>
      </c>
      <c r="I15" s="895">
        <f t="shared" si="2"/>
        <v>67893.209999999992</v>
      </c>
      <c r="J15" s="985">
        <f t="shared" si="3"/>
        <v>6789.320999999999</v>
      </c>
      <c r="K15" s="895">
        <f t="shared" si="4"/>
        <v>61103.888999999996</v>
      </c>
      <c r="L15" s="985">
        <f t="shared" si="5"/>
        <v>6789.320999999999</v>
      </c>
      <c r="M15" s="985">
        <f t="shared" si="0"/>
        <v>54314.567999999999</v>
      </c>
      <c r="N15" s="955"/>
      <c r="O15" s="955"/>
      <c r="P15" s="955"/>
      <c r="Q15" s="955"/>
      <c r="R15" s="955"/>
      <c r="S15" s="955"/>
    </row>
    <row r="16" spans="1:19" ht="15">
      <c r="A16" s="216">
        <f t="shared" si="6"/>
        <v>8</v>
      </c>
      <c r="B16" s="1012" t="s">
        <v>925</v>
      </c>
      <c r="C16" s="1076">
        <v>147603</v>
      </c>
      <c r="D16" s="49">
        <v>0.14180000000000001</v>
      </c>
      <c r="E16" s="986">
        <f>+C16*D16</f>
        <v>20930.1054</v>
      </c>
      <c r="F16" s="986">
        <v>0</v>
      </c>
      <c r="G16" s="895">
        <f t="shared" si="1"/>
        <v>20930.1054</v>
      </c>
      <c r="H16" s="895">
        <f t="shared" si="8"/>
        <v>0</v>
      </c>
      <c r="I16" s="895">
        <f t="shared" si="2"/>
        <v>20930.1054</v>
      </c>
      <c r="J16" s="985">
        <f t="shared" si="3"/>
        <v>2093.0105400000002</v>
      </c>
      <c r="K16" s="895">
        <f t="shared" si="4"/>
        <v>18837.094860000001</v>
      </c>
      <c r="L16" s="985">
        <f t="shared" si="5"/>
        <v>2093.0105400000002</v>
      </c>
      <c r="M16" s="985">
        <f t="shared" si="0"/>
        <v>16744.084320000002</v>
      </c>
      <c r="N16" s="955"/>
      <c r="O16" s="955"/>
      <c r="P16" s="955"/>
      <c r="Q16" s="955"/>
      <c r="R16" s="955"/>
      <c r="S16" s="955"/>
    </row>
    <row r="17" spans="1:19" ht="15">
      <c r="A17" s="216">
        <f t="shared" si="6"/>
        <v>9</v>
      </c>
      <c r="B17" s="1012" t="s">
        <v>926</v>
      </c>
      <c r="C17" s="1076">
        <v>0</v>
      </c>
      <c r="D17" s="49">
        <v>0</v>
      </c>
      <c r="E17" s="986">
        <f t="shared" si="7"/>
        <v>0</v>
      </c>
      <c r="F17" s="986">
        <v>0</v>
      </c>
      <c r="G17" s="895">
        <f t="shared" si="1"/>
        <v>0</v>
      </c>
      <c r="H17" s="895">
        <f t="shared" si="8"/>
        <v>0</v>
      </c>
      <c r="I17" s="895">
        <f t="shared" si="2"/>
        <v>0</v>
      </c>
      <c r="J17" s="985">
        <f t="shared" si="3"/>
        <v>0</v>
      </c>
      <c r="K17" s="895">
        <f t="shared" si="4"/>
        <v>0</v>
      </c>
      <c r="L17" s="985">
        <f t="shared" si="5"/>
        <v>0</v>
      </c>
      <c r="M17" s="985">
        <f t="shared" si="0"/>
        <v>0</v>
      </c>
      <c r="N17" s="955"/>
      <c r="O17" s="955"/>
      <c r="P17" s="955"/>
      <c r="Q17" s="955"/>
      <c r="R17" s="955"/>
      <c r="S17" s="955"/>
    </row>
    <row r="18" spans="1:19" ht="15">
      <c r="A18" s="216">
        <f t="shared" si="6"/>
        <v>10</v>
      </c>
      <c r="B18" s="1012" t="s">
        <v>927</v>
      </c>
      <c r="C18" s="1076">
        <v>515334</v>
      </c>
      <c r="D18" s="49">
        <v>0</v>
      </c>
      <c r="E18" s="986">
        <f t="shared" si="7"/>
        <v>0</v>
      </c>
      <c r="F18" s="986">
        <v>0</v>
      </c>
      <c r="G18" s="895">
        <f t="shared" si="1"/>
        <v>0</v>
      </c>
      <c r="H18" s="895">
        <f t="shared" si="8"/>
        <v>0</v>
      </c>
      <c r="I18" s="895">
        <f t="shared" si="2"/>
        <v>0</v>
      </c>
      <c r="J18" s="985">
        <f t="shared" si="3"/>
        <v>0</v>
      </c>
      <c r="K18" s="895">
        <f t="shared" si="4"/>
        <v>0</v>
      </c>
      <c r="L18" s="985">
        <f t="shared" si="5"/>
        <v>0</v>
      </c>
      <c r="M18" s="985">
        <f t="shared" si="0"/>
        <v>0</v>
      </c>
      <c r="N18" s="955"/>
      <c r="O18" s="955"/>
      <c r="P18" s="955"/>
      <c r="Q18" s="955"/>
      <c r="R18" s="955"/>
      <c r="S18" s="955"/>
    </row>
    <row r="19" spans="1:19" ht="15">
      <c r="A19" s="216">
        <f t="shared" si="6"/>
        <v>11</v>
      </c>
      <c r="B19" s="1012" t="s">
        <v>928</v>
      </c>
      <c r="C19" s="1076">
        <v>-89600</v>
      </c>
      <c r="D19" s="49">
        <v>0.14549999999999999</v>
      </c>
      <c r="E19" s="986">
        <f t="shared" si="7"/>
        <v>-13036.8</v>
      </c>
      <c r="F19" s="986">
        <v>0</v>
      </c>
      <c r="G19" s="895">
        <f t="shared" si="1"/>
        <v>-13036.8</v>
      </c>
      <c r="H19" s="895">
        <f t="shared" si="8"/>
        <v>0</v>
      </c>
      <c r="I19" s="895">
        <f t="shared" si="2"/>
        <v>-13036.8</v>
      </c>
      <c r="J19" s="985">
        <f t="shared" si="3"/>
        <v>-1303.6799999999998</v>
      </c>
      <c r="K19" s="895">
        <f t="shared" si="4"/>
        <v>-11733.119999999999</v>
      </c>
      <c r="L19" s="985">
        <f t="shared" si="5"/>
        <v>-1303.6799999999998</v>
      </c>
      <c r="M19" s="985">
        <f t="shared" si="0"/>
        <v>-10429.439999999999</v>
      </c>
      <c r="N19" s="955"/>
      <c r="O19" s="955"/>
      <c r="P19" s="955"/>
      <c r="Q19" s="955"/>
      <c r="R19" s="955"/>
      <c r="S19" s="955"/>
    </row>
    <row r="20" spans="1:19" ht="15">
      <c r="A20" s="216">
        <f t="shared" si="6"/>
        <v>12</v>
      </c>
      <c r="B20" s="1012" t="s">
        <v>929</v>
      </c>
      <c r="C20" s="1077">
        <v>98236</v>
      </c>
      <c r="D20" s="49" t="s">
        <v>930</v>
      </c>
      <c r="E20" s="1013">
        <v>15523</v>
      </c>
      <c r="F20" s="1013">
        <v>0</v>
      </c>
      <c r="G20" s="896">
        <f t="shared" si="1"/>
        <v>15523</v>
      </c>
      <c r="H20" s="896">
        <f t="shared" si="8"/>
        <v>0</v>
      </c>
      <c r="I20" s="896">
        <f t="shared" si="2"/>
        <v>15523</v>
      </c>
      <c r="J20" s="1014">
        <f t="shared" si="3"/>
        <v>1552.3</v>
      </c>
      <c r="K20" s="896">
        <f t="shared" si="4"/>
        <v>13970.7</v>
      </c>
      <c r="L20" s="1014">
        <f t="shared" si="5"/>
        <v>1552.3</v>
      </c>
      <c r="M20" s="1014">
        <f t="shared" si="0"/>
        <v>12418.400000000001</v>
      </c>
      <c r="N20" s="955"/>
      <c r="O20" s="955"/>
      <c r="P20" s="955"/>
      <c r="Q20" s="955"/>
      <c r="R20" s="955"/>
      <c r="S20" s="955"/>
    </row>
    <row r="21" spans="1:19" ht="17.45" customHeight="1">
      <c r="A21" s="216">
        <f>+A20+1</f>
        <v>13</v>
      </c>
      <c r="B21" s="707" t="s">
        <v>931</v>
      </c>
      <c r="C21" s="960">
        <f>+SUM(C9:C20)</f>
        <v>3904074</v>
      </c>
      <c r="D21" s="706"/>
      <c r="E21" s="1017">
        <f t="shared" ref="E21:M21" si="9">+SUM(E9:E20)</f>
        <v>493745.2009</v>
      </c>
      <c r="F21" s="1017">
        <f t="shared" si="9"/>
        <v>0</v>
      </c>
      <c r="G21" s="1017">
        <f t="shared" si="9"/>
        <v>493745.2009</v>
      </c>
      <c r="H21" s="1017">
        <f t="shared" si="9"/>
        <v>0</v>
      </c>
      <c r="I21" s="1017">
        <f t="shared" si="9"/>
        <v>493745.2009</v>
      </c>
      <c r="J21" s="1013">
        <f t="shared" si="9"/>
        <v>49374.520089999998</v>
      </c>
      <c r="K21" s="1017">
        <f t="shared" si="9"/>
        <v>444370.68081000005</v>
      </c>
      <c r="L21" s="1014">
        <f t="shared" si="9"/>
        <v>49374.520089999998</v>
      </c>
      <c r="M21" s="1014">
        <f t="shared" si="9"/>
        <v>394996.16071999999</v>
      </c>
      <c r="N21" s="955"/>
      <c r="O21" s="955"/>
      <c r="P21" s="955"/>
      <c r="Q21" s="955"/>
      <c r="R21" s="955"/>
      <c r="S21" s="955"/>
    </row>
    <row r="22" spans="1:19" ht="15">
      <c r="A22" s="216"/>
      <c r="B22" s="708"/>
      <c r="C22" s="959"/>
      <c r="D22" s="706"/>
      <c r="E22" s="959"/>
      <c r="F22" s="959"/>
      <c r="G22" s="575"/>
      <c r="H22" s="575"/>
      <c r="I22" s="575"/>
      <c r="J22" s="895"/>
      <c r="K22" s="575"/>
      <c r="L22" s="985"/>
      <c r="M22" s="985"/>
      <c r="N22" s="955"/>
      <c r="O22" s="955"/>
      <c r="P22" s="955"/>
      <c r="Q22" s="955"/>
      <c r="R22" s="955"/>
      <c r="S22" s="955"/>
    </row>
    <row r="23" spans="1:19" ht="15">
      <c r="A23" s="216">
        <f>+A21+1</f>
        <v>14</v>
      </c>
      <c r="B23" s="705" t="s">
        <v>932</v>
      </c>
      <c r="C23" s="1076">
        <v>-69726777</v>
      </c>
      <c r="D23" s="49">
        <v>0.30148496415831438</v>
      </c>
      <c r="E23" s="986">
        <f t="shared" ref="E23" si="10">+C23*D23</f>
        <v>-21021574.864719778</v>
      </c>
      <c r="F23" s="986">
        <v>0</v>
      </c>
      <c r="G23" s="895">
        <f t="shared" ref="G23:G24" si="11">+E23-F23</f>
        <v>-21021574.864719778</v>
      </c>
      <c r="H23" s="895">
        <f>+F23</f>
        <v>0</v>
      </c>
      <c r="I23" s="895">
        <f t="shared" ref="I23:I24" si="12">+G23-H23</f>
        <v>-21021574.864719778</v>
      </c>
      <c r="J23" s="986">
        <v>-1589075</v>
      </c>
      <c r="K23" s="895">
        <f t="shared" ref="K23:K24" si="13">+I23-J23</f>
        <v>-19432499.864719778</v>
      </c>
      <c r="L23" s="985">
        <v>-1477276.3243757405</v>
      </c>
      <c r="M23" s="985">
        <f t="shared" ref="M23:M24" si="14">+K23-L23</f>
        <v>-17955223.540344037</v>
      </c>
      <c r="N23" s="955"/>
      <c r="O23" s="955"/>
      <c r="P23" s="955"/>
      <c r="Q23" s="955"/>
      <c r="R23" s="955"/>
      <c r="S23" s="955"/>
    </row>
    <row r="24" spans="1:19" ht="15">
      <c r="A24" s="216">
        <f>+A23+1</f>
        <v>15</v>
      </c>
      <c r="B24" s="705" t="s">
        <v>315</v>
      </c>
      <c r="C24" s="1077">
        <v>-30323347</v>
      </c>
      <c r="D24" s="49" t="s">
        <v>930</v>
      </c>
      <c r="E24" s="1015">
        <v>-9133897</v>
      </c>
      <c r="F24" s="1015">
        <v>0</v>
      </c>
      <c r="G24" s="1016">
        <f t="shared" si="11"/>
        <v>-9133897</v>
      </c>
      <c r="H24" s="1016">
        <f t="shared" ref="H24" si="15">+F24</f>
        <v>0</v>
      </c>
      <c r="I24" s="1016">
        <f t="shared" si="12"/>
        <v>-9133897</v>
      </c>
      <c r="J24" s="1016">
        <f>+E24/10</f>
        <v>-913389.7</v>
      </c>
      <c r="K24" s="1016">
        <f t="shared" si="13"/>
        <v>-8220507.2999999998</v>
      </c>
      <c r="L24" s="1014">
        <f t="shared" ref="L24" si="16">J24</f>
        <v>-913389.7</v>
      </c>
      <c r="M24" s="1014">
        <f t="shared" si="14"/>
        <v>-7307117.5999999996</v>
      </c>
      <c r="N24" s="955"/>
      <c r="O24" s="955"/>
      <c r="P24" s="955"/>
      <c r="Q24" s="955"/>
      <c r="R24" s="955"/>
      <c r="S24" s="955"/>
    </row>
    <row r="25" spans="1:19" ht="17.25">
      <c r="A25" s="216">
        <f>+A24+1</f>
        <v>16</v>
      </c>
      <c r="B25" s="707" t="s">
        <v>933</v>
      </c>
      <c r="C25" s="960">
        <f>+SUM(C23:C24)</f>
        <v>-100050124</v>
      </c>
      <c r="D25" s="706"/>
      <c r="E25" s="1018">
        <f t="shared" ref="E25:M25" si="17">+SUM(E23:E24)</f>
        <v>-30155471.864719778</v>
      </c>
      <c r="F25" s="1018">
        <f t="shared" si="17"/>
        <v>0</v>
      </c>
      <c r="G25" s="1018">
        <f t="shared" si="17"/>
        <v>-30155471.864719778</v>
      </c>
      <c r="H25" s="1018">
        <f t="shared" si="17"/>
        <v>0</v>
      </c>
      <c r="I25" s="1018">
        <f t="shared" si="17"/>
        <v>-30155471.864719778</v>
      </c>
      <c r="J25" s="1015">
        <f t="shared" si="17"/>
        <v>-2502464.7000000002</v>
      </c>
      <c r="K25" s="1018">
        <f t="shared" si="17"/>
        <v>-27653007.164719779</v>
      </c>
      <c r="L25" s="1018">
        <f>+SUM(L23:L24)</f>
        <v>-2390666.0243757404</v>
      </c>
      <c r="M25" s="1018">
        <f t="shared" si="17"/>
        <v>-25262341.140344039</v>
      </c>
      <c r="N25" s="955"/>
      <c r="O25" s="955"/>
      <c r="P25" s="955"/>
      <c r="Q25" s="955"/>
      <c r="R25" s="955"/>
      <c r="S25" s="955"/>
    </row>
    <row r="26" spans="1:19" ht="15">
      <c r="A26" s="216"/>
      <c r="B26" s="708"/>
      <c r="C26" s="959"/>
      <c r="D26" s="706"/>
      <c r="E26" s="959"/>
      <c r="F26" s="959"/>
      <c r="G26" s="575"/>
      <c r="H26" s="575"/>
      <c r="I26" s="575"/>
      <c r="J26" s="895"/>
      <c r="K26" s="575"/>
      <c r="L26" s="985"/>
      <c r="M26" s="985"/>
      <c r="N26" s="955"/>
      <c r="O26" s="955"/>
      <c r="P26" s="955"/>
      <c r="Q26" s="955"/>
      <c r="R26" s="955"/>
      <c r="S26" s="955"/>
    </row>
    <row r="27" spans="1:19" ht="15">
      <c r="A27" s="216"/>
      <c r="B27" s="705"/>
      <c r="C27" s="959"/>
      <c r="D27" s="706"/>
      <c r="E27" s="959"/>
      <c r="F27" s="959"/>
      <c r="G27" s="575"/>
      <c r="H27" s="575"/>
      <c r="I27" s="575"/>
      <c r="J27" s="895"/>
      <c r="K27" s="575"/>
      <c r="L27" s="985"/>
      <c r="M27" s="985"/>
      <c r="N27" s="955"/>
      <c r="O27" s="955"/>
      <c r="P27" s="955"/>
      <c r="Q27" s="955"/>
      <c r="R27" s="955"/>
      <c r="S27" s="955"/>
    </row>
    <row r="28" spans="1:19" ht="15">
      <c r="A28" s="216">
        <f>+A25+1</f>
        <v>17</v>
      </c>
      <c r="B28" s="705" t="s">
        <v>336</v>
      </c>
      <c r="C28" s="1076">
        <v>-2288944</v>
      </c>
      <c r="D28" s="49">
        <v>0.30148000000000003</v>
      </c>
      <c r="E28" s="986">
        <f t="shared" ref="E28:E32" si="18">+C28*D28</f>
        <v>-690070.83712000004</v>
      </c>
      <c r="F28" s="986">
        <v>0</v>
      </c>
      <c r="G28" s="895">
        <f t="shared" ref="G28:G33" si="19">+E28-F28</f>
        <v>-690070.83712000004</v>
      </c>
      <c r="H28" s="895">
        <f>+F28</f>
        <v>0</v>
      </c>
      <c r="I28" s="895">
        <f t="shared" ref="I28:I33" si="20">+G28-H28</f>
        <v>-690070.83712000004</v>
      </c>
      <c r="J28" s="895">
        <f t="shared" ref="J28:J33" si="21">+E28/10</f>
        <v>-69007.083712000007</v>
      </c>
      <c r="K28" s="895">
        <f t="shared" ref="K28:K33" si="22">+I28-J28</f>
        <v>-621063.75340799999</v>
      </c>
      <c r="L28" s="985">
        <f t="shared" ref="L28:L33" si="23">J28</f>
        <v>-69007.083712000007</v>
      </c>
      <c r="M28" s="985">
        <f t="shared" ref="M28:M33" si="24">+K28-L28</f>
        <v>-552056.66969599994</v>
      </c>
      <c r="N28" s="955"/>
      <c r="O28" s="955"/>
      <c r="P28" s="955"/>
      <c r="Q28" s="955"/>
      <c r="R28" s="955"/>
      <c r="S28" s="955"/>
    </row>
    <row r="29" spans="1:19" ht="15">
      <c r="A29" s="216">
        <f>+A28+1</f>
        <v>18</v>
      </c>
      <c r="B29" s="705" t="s">
        <v>934</v>
      </c>
      <c r="C29" s="1076">
        <v>-977188</v>
      </c>
      <c r="D29" s="49">
        <v>0.14549999999999999</v>
      </c>
      <c r="E29" s="986">
        <f t="shared" si="18"/>
        <v>-142180.85399999999</v>
      </c>
      <c r="F29" s="986">
        <v>0</v>
      </c>
      <c r="G29" s="895">
        <f t="shared" si="19"/>
        <v>-142180.85399999999</v>
      </c>
      <c r="H29" s="895">
        <f t="shared" ref="H29:H33" si="25">+F29</f>
        <v>0</v>
      </c>
      <c r="I29" s="895">
        <f t="shared" si="20"/>
        <v>-142180.85399999999</v>
      </c>
      <c r="J29" s="895">
        <f t="shared" si="21"/>
        <v>-14218.0854</v>
      </c>
      <c r="K29" s="895">
        <f t="shared" si="22"/>
        <v>-127962.7686</v>
      </c>
      <c r="L29" s="985">
        <f t="shared" si="23"/>
        <v>-14218.0854</v>
      </c>
      <c r="M29" s="985">
        <f t="shared" si="24"/>
        <v>-113744.6832</v>
      </c>
      <c r="N29" s="955"/>
      <c r="O29" s="955"/>
      <c r="P29" s="955"/>
      <c r="Q29" s="955"/>
      <c r="R29" s="955"/>
      <c r="S29" s="955"/>
    </row>
    <row r="30" spans="1:19" ht="15">
      <c r="A30" s="216">
        <f t="shared" ref="A30:A33" si="26">+A29+1</f>
        <v>19</v>
      </c>
      <c r="B30" s="705" t="s">
        <v>935</v>
      </c>
      <c r="C30" s="1076">
        <v>-10674746</v>
      </c>
      <c r="D30" s="49">
        <v>0.14549999999999999</v>
      </c>
      <c r="E30" s="986">
        <f t="shared" si="18"/>
        <v>-1553175.5429999998</v>
      </c>
      <c r="F30" s="986">
        <v>0</v>
      </c>
      <c r="G30" s="895">
        <f t="shared" si="19"/>
        <v>-1553175.5429999998</v>
      </c>
      <c r="H30" s="895">
        <f t="shared" si="25"/>
        <v>0</v>
      </c>
      <c r="I30" s="895">
        <f t="shared" si="20"/>
        <v>-1553175.5429999998</v>
      </c>
      <c r="J30" s="895">
        <f t="shared" si="21"/>
        <v>-155317.55429999999</v>
      </c>
      <c r="K30" s="895">
        <f t="shared" si="22"/>
        <v>-1397857.9886999999</v>
      </c>
      <c r="L30" s="985">
        <f t="shared" si="23"/>
        <v>-155317.55429999999</v>
      </c>
      <c r="M30" s="985">
        <f t="shared" si="24"/>
        <v>-1242540.4343999999</v>
      </c>
      <c r="N30" s="955"/>
      <c r="O30" s="955"/>
      <c r="P30" s="955"/>
      <c r="Q30" s="955"/>
      <c r="R30" s="955"/>
      <c r="S30" s="955"/>
    </row>
    <row r="31" spans="1:19" ht="15">
      <c r="A31" s="216">
        <f t="shared" si="26"/>
        <v>20</v>
      </c>
      <c r="B31" s="705" t="s">
        <v>344</v>
      </c>
      <c r="C31" s="1076">
        <v>-6890416</v>
      </c>
      <c r="D31" s="49">
        <v>0.14549999999999999</v>
      </c>
      <c r="E31" s="986">
        <f t="shared" si="18"/>
        <v>-1002555.5279999999</v>
      </c>
      <c r="F31" s="986">
        <v>0</v>
      </c>
      <c r="G31" s="895">
        <f t="shared" si="19"/>
        <v>-1002555.5279999999</v>
      </c>
      <c r="H31" s="895">
        <f t="shared" si="25"/>
        <v>0</v>
      </c>
      <c r="I31" s="895">
        <f t="shared" si="20"/>
        <v>-1002555.5279999999</v>
      </c>
      <c r="J31" s="895">
        <f t="shared" si="21"/>
        <v>-100255.55279999999</v>
      </c>
      <c r="K31" s="895">
        <f t="shared" si="22"/>
        <v>-902299.97519999999</v>
      </c>
      <c r="L31" s="985">
        <f t="shared" si="23"/>
        <v>-100255.55279999999</v>
      </c>
      <c r="M31" s="985">
        <f t="shared" si="24"/>
        <v>-802044.42240000004</v>
      </c>
      <c r="N31" s="955"/>
      <c r="O31" s="955"/>
      <c r="P31" s="955"/>
      <c r="Q31" s="955"/>
      <c r="R31" s="955"/>
      <c r="S31" s="955"/>
    </row>
    <row r="32" spans="1:19" ht="15">
      <c r="A32" s="216">
        <f t="shared" si="26"/>
        <v>21</v>
      </c>
      <c r="B32" s="705" t="s">
        <v>345</v>
      </c>
      <c r="C32" s="1076">
        <v>272469</v>
      </c>
      <c r="D32" s="49">
        <v>0.14549999999999999</v>
      </c>
      <c r="E32" s="986">
        <f t="shared" si="18"/>
        <v>39644.239499999996</v>
      </c>
      <c r="F32" s="986">
        <v>0</v>
      </c>
      <c r="G32" s="895">
        <f t="shared" si="19"/>
        <v>39644.239499999996</v>
      </c>
      <c r="H32" s="895">
        <f t="shared" si="25"/>
        <v>0</v>
      </c>
      <c r="I32" s="895">
        <f t="shared" si="20"/>
        <v>39644.239499999996</v>
      </c>
      <c r="J32" s="895">
        <f t="shared" si="21"/>
        <v>3964.4239499999994</v>
      </c>
      <c r="K32" s="895">
        <f t="shared" si="22"/>
        <v>35679.815549999999</v>
      </c>
      <c r="L32" s="985">
        <f t="shared" si="23"/>
        <v>3964.4239499999994</v>
      </c>
      <c r="M32" s="985">
        <f t="shared" si="24"/>
        <v>31715.391599999999</v>
      </c>
      <c r="N32" s="955"/>
      <c r="O32" s="955"/>
      <c r="P32" s="955"/>
      <c r="Q32" s="955"/>
      <c r="R32" s="955"/>
      <c r="S32" s="955"/>
    </row>
    <row r="33" spans="1:19" ht="15">
      <c r="A33" s="216">
        <f t="shared" si="26"/>
        <v>22</v>
      </c>
      <c r="B33" s="705" t="s">
        <v>315</v>
      </c>
      <c r="C33" s="1077">
        <v>539177</v>
      </c>
      <c r="D33" s="49" t="s">
        <v>930</v>
      </c>
      <c r="E33" s="1013">
        <v>-1055740</v>
      </c>
      <c r="F33" s="1013">
        <v>0</v>
      </c>
      <c r="G33" s="896">
        <f t="shared" si="19"/>
        <v>-1055740</v>
      </c>
      <c r="H33" s="896">
        <f t="shared" si="25"/>
        <v>0</v>
      </c>
      <c r="I33" s="896">
        <f t="shared" si="20"/>
        <v>-1055740</v>
      </c>
      <c r="J33" s="896">
        <f t="shared" si="21"/>
        <v>-105574</v>
      </c>
      <c r="K33" s="896">
        <f t="shared" si="22"/>
        <v>-950166</v>
      </c>
      <c r="L33" s="1065">
        <f t="shared" si="23"/>
        <v>-105574</v>
      </c>
      <c r="M33" s="1065">
        <f t="shared" si="24"/>
        <v>-844592</v>
      </c>
      <c r="N33" s="955"/>
      <c r="O33" s="955"/>
      <c r="P33" s="955"/>
      <c r="Q33" s="955"/>
      <c r="R33" s="955"/>
      <c r="S33" s="955"/>
    </row>
    <row r="34" spans="1:19" ht="17.25">
      <c r="A34" s="216">
        <f>+A33+1</f>
        <v>23</v>
      </c>
      <c r="B34" s="709" t="s">
        <v>936</v>
      </c>
      <c r="C34" s="960">
        <f>+SUM(C28:C33)</f>
        <v>-20019648</v>
      </c>
      <c r="D34" s="706"/>
      <c r="E34" s="960">
        <f t="shared" ref="E34:K34" si="27">+SUM(E28:E33)</f>
        <v>-4404078.5226199999</v>
      </c>
      <c r="F34" s="960">
        <f t="shared" si="27"/>
        <v>0</v>
      </c>
      <c r="G34" s="960">
        <f t="shared" si="27"/>
        <v>-4404078.5226199999</v>
      </c>
      <c r="H34" s="960">
        <f t="shared" si="27"/>
        <v>0</v>
      </c>
      <c r="I34" s="960">
        <f t="shared" si="27"/>
        <v>-4404078.5226199999</v>
      </c>
      <c r="J34" s="962">
        <f t="shared" si="27"/>
        <v>-440407.85226199997</v>
      </c>
      <c r="K34" s="960">
        <f t="shared" si="27"/>
        <v>-3963670.6703579999</v>
      </c>
      <c r="L34" s="960">
        <f t="shared" ref="L34:M34" si="28">+SUM(L28:L33)</f>
        <v>-440407.85226199997</v>
      </c>
      <c r="M34" s="960">
        <f t="shared" si="28"/>
        <v>-3523262.8180959998</v>
      </c>
      <c r="N34" s="955"/>
      <c r="O34" s="955"/>
      <c r="P34" s="955"/>
      <c r="Q34" s="955"/>
      <c r="R34" s="955"/>
      <c r="S34" s="955"/>
    </row>
    <row r="35" spans="1:19" ht="15">
      <c r="A35" s="216"/>
      <c r="B35" s="216"/>
      <c r="C35" s="959"/>
      <c r="D35" s="706"/>
      <c r="E35" s="959"/>
      <c r="F35" s="959"/>
      <c r="G35" s="575"/>
      <c r="H35" s="575"/>
      <c r="I35" s="575"/>
      <c r="J35" s="895"/>
      <c r="K35" s="575"/>
      <c r="L35" s="575"/>
      <c r="M35" s="575"/>
      <c r="N35" s="955"/>
      <c r="O35" s="955"/>
      <c r="P35" s="955"/>
      <c r="Q35" s="955"/>
      <c r="R35" s="955"/>
      <c r="S35" s="955"/>
    </row>
    <row r="36" spans="1:19" ht="30.75" thickBot="1">
      <c r="A36" s="216">
        <f>+A34+1</f>
        <v>24</v>
      </c>
      <c r="B36" s="708" t="s">
        <v>937</v>
      </c>
      <c r="C36" s="961">
        <f>+C21+C25+C34</f>
        <v>-116165698</v>
      </c>
      <c r="D36" s="706"/>
      <c r="E36" s="961">
        <f t="shared" ref="E36:K36" si="29">+E21+E25+E34</f>
        <v>-34065805.186439782</v>
      </c>
      <c r="F36" s="961">
        <f t="shared" si="29"/>
        <v>0</v>
      </c>
      <c r="G36" s="961">
        <f t="shared" si="29"/>
        <v>-34065805.186439782</v>
      </c>
      <c r="H36" s="961">
        <f t="shared" si="29"/>
        <v>0</v>
      </c>
      <c r="I36" s="961">
        <f t="shared" si="29"/>
        <v>-34065805.186439782</v>
      </c>
      <c r="J36" s="987">
        <f t="shared" si="29"/>
        <v>-2893498.0321720005</v>
      </c>
      <c r="K36" s="961">
        <f t="shared" si="29"/>
        <v>-31172307.154267777</v>
      </c>
      <c r="L36" s="961">
        <f t="shared" ref="L36:M36" si="30">+L21+L25+L34</f>
        <v>-2781699.3565477408</v>
      </c>
      <c r="M36" s="961">
        <f t="shared" si="30"/>
        <v>-28390607.797720041</v>
      </c>
      <c r="N36" s="955"/>
      <c r="O36" s="955"/>
      <c r="P36" s="955"/>
      <c r="Q36" s="955"/>
      <c r="R36" s="955"/>
      <c r="S36" s="955"/>
    </row>
    <row r="37" spans="1:19" ht="15.75" thickTop="1">
      <c r="A37" s="216"/>
      <c r="B37" s="216"/>
      <c r="C37" s="216"/>
      <c r="D37" s="216"/>
      <c r="E37" s="216"/>
      <c r="F37" s="216"/>
      <c r="G37" s="216"/>
      <c r="H37" s="216"/>
      <c r="I37" s="216"/>
      <c r="J37" s="216"/>
      <c r="K37" s="216"/>
      <c r="L37" s="1025"/>
      <c r="M37" s="1025"/>
      <c r="N37" s="1025"/>
      <c r="O37" s="1025"/>
      <c r="P37" s="1025"/>
      <c r="Q37" s="1025"/>
      <c r="R37" s="1025"/>
      <c r="S37" s="1025"/>
    </row>
    <row r="38" spans="1:19" ht="15">
      <c r="A38" s="216"/>
      <c r="B38" s="216"/>
      <c r="C38" s="216"/>
      <c r="D38" s="216"/>
      <c r="E38" s="216"/>
      <c r="F38" s="216"/>
      <c r="G38" s="216"/>
      <c r="H38" s="216"/>
      <c r="I38" s="216"/>
      <c r="J38" s="216"/>
      <c r="K38" s="216"/>
      <c r="L38" s="1025"/>
      <c r="M38" s="1025"/>
      <c r="N38" s="1025"/>
      <c r="O38" s="1025"/>
      <c r="P38" s="1025"/>
      <c r="Q38" s="1025"/>
      <c r="R38" s="1025"/>
      <c r="S38" s="1025"/>
    </row>
    <row r="39" spans="1:19" ht="15">
      <c r="A39" s="216"/>
      <c r="B39" s="220" t="s">
        <v>938</v>
      </c>
      <c r="C39" s="220"/>
      <c r="D39" s="220"/>
      <c r="E39" s="220"/>
      <c r="F39" s="220"/>
      <c r="G39" s="220"/>
      <c r="H39" s="220"/>
      <c r="I39" s="220"/>
      <c r="J39" s="220"/>
      <c r="K39" s="220"/>
      <c r="L39" s="1011"/>
      <c r="M39" s="1025"/>
      <c r="N39" s="1025"/>
      <c r="O39" s="1025"/>
      <c r="P39" s="1025"/>
      <c r="Q39" s="1025"/>
      <c r="R39" s="1025"/>
      <c r="S39" s="1025"/>
    </row>
    <row r="40" spans="1:19" ht="15">
      <c r="A40" s="216"/>
      <c r="B40" s="220" t="s">
        <v>939</v>
      </c>
      <c r="C40" s="220"/>
      <c r="D40" s="220"/>
      <c r="E40" s="220"/>
      <c r="F40" s="220"/>
      <c r="G40" s="220"/>
      <c r="H40" s="220"/>
      <c r="I40" s="220"/>
      <c r="J40" s="220"/>
      <c r="K40" s="220"/>
      <c r="L40" s="1011"/>
      <c r="M40" s="1025"/>
      <c r="N40" s="1025"/>
      <c r="O40" s="1025"/>
      <c r="P40" s="1025"/>
      <c r="Q40" s="1025"/>
      <c r="R40" s="1025"/>
      <c r="S40" s="1025"/>
    </row>
    <row r="41" spans="1:19" ht="15">
      <c r="A41" s="216"/>
      <c r="B41" s="216" t="s">
        <v>940</v>
      </c>
      <c r="C41" s="216"/>
      <c r="D41" s="216"/>
      <c r="E41" s="216"/>
      <c r="F41" s="216"/>
      <c r="G41" s="216"/>
      <c r="H41" s="216"/>
      <c r="I41" s="216"/>
      <c r="J41" s="216"/>
      <c r="K41" s="216"/>
      <c r="L41" s="1025"/>
      <c r="M41" s="1025"/>
      <c r="N41" s="1025"/>
      <c r="O41" s="1025"/>
      <c r="P41" s="1025"/>
      <c r="Q41" s="1025"/>
      <c r="R41" s="1025"/>
      <c r="S41" s="1025"/>
    </row>
    <row r="42" spans="1:19" ht="15">
      <c r="A42" s="216"/>
      <c r="B42" s="216" t="s">
        <v>941</v>
      </c>
      <c r="C42" s="216"/>
      <c r="D42" s="216"/>
      <c r="E42" s="216"/>
      <c r="F42" s="216"/>
      <c r="G42" s="216"/>
      <c r="H42" s="216"/>
      <c r="I42" s="216"/>
      <c r="J42" s="216"/>
      <c r="K42" s="216"/>
      <c r="L42" s="1025"/>
      <c r="M42" s="1025"/>
      <c r="N42" s="1025"/>
      <c r="O42" s="1025"/>
      <c r="P42" s="1025"/>
      <c r="Q42" s="1025"/>
      <c r="R42" s="1025"/>
      <c r="S42" s="1025"/>
    </row>
    <row r="43" spans="1:19" ht="15">
      <c r="A43" s="216"/>
      <c r="B43" s="216" t="s">
        <v>942</v>
      </c>
      <c r="C43" s="216"/>
      <c r="D43" s="216"/>
      <c r="E43" s="216"/>
      <c r="F43" s="216"/>
      <c r="G43" s="216"/>
      <c r="H43" s="216"/>
      <c r="I43" s="216"/>
      <c r="J43" s="216"/>
      <c r="K43" s="216"/>
      <c r="L43" s="1025"/>
      <c r="M43" s="1025"/>
      <c r="N43" s="1025"/>
      <c r="O43" s="1025"/>
      <c r="P43" s="1025"/>
      <c r="Q43" s="1025"/>
      <c r="R43" s="1025"/>
      <c r="S43" s="1025"/>
    </row>
    <row r="44" spans="1:19" ht="15">
      <c r="A44" s="216"/>
      <c r="B44" s="216" t="s">
        <v>943</v>
      </c>
      <c r="C44" s="216"/>
      <c r="D44" s="216"/>
      <c r="E44" s="216"/>
      <c r="F44" s="216"/>
      <c r="G44" s="216"/>
      <c r="H44" s="216"/>
      <c r="I44" s="216"/>
      <c r="J44" s="216"/>
      <c r="K44" s="216"/>
      <c r="L44" s="1025"/>
      <c r="M44" s="1025"/>
      <c r="N44" s="1025"/>
      <c r="O44" s="1025"/>
      <c r="P44" s="1025"/>
      <c r="Q44" s="1025"/>
      <c r="R44" s="1025"/>
      <c r="S44" s="1025"/>
    </row>
    <row r="45" spans="1:19" ht="15">
      <c r="A45" s="216"/>
      <c r="B45" s="216"/>
      <c r="C45" s="216"/>
      <c r="D45" s="216"/>
      <c r="E45" s="216"/>
      <c r="F45" s="216"/>
      <c r="G45" s="216"/>
      <c r="H45" s="216"/>
      <c r="I45" s="216"/>
      <c r="J45" s="216"/>
      <c r="K45" s="216"/>
      <c r="L45" s="1025"/>
      <c r="M45" s="1025"/>
      <c r="N45" s="1025"/>
      <c r="O45" s="1025"/>
      <c r="P45" s="1025"/>
      <c r="Q45" s="1025"/>
      <c r="R45" s="1025"/>
      <c r="S45" s="1025"/>
    </row>
    <row r="46" spans="1:19" ht="15">
      <c r="A46" s="216"/>
      <c r="B46" s="216"/>
      <c r="C46" s="216"/>
      <c r="D46" s="216"/>
      <c r="E46" s="216"/>
      <c r="F46" s="216"/>
      <c r="G46" s="216"/>
      <c r="H46" s="216"/>
      <c r="I46" s="216"/>
      <c r="J46" s="216"/>
      <c r="K46" s="216"/>
      <c r="L46" s="1025"/>
      <c r="M46" s="1025"/>
      <c r="N46" s="1025"/>
      <c r="O46" s="1025"/>
      <c r="P46" s="1025"/>
      <c r="Q46" s="1025"/>
      <c r="R46" s="1025"/>
      <c r="S46" s="1025"/>
    </row>
    <row r="47" spans="1:19" ht="15">
      <c r="A47" s="216"/>
      <c r="B47" s="216"/>
      <c r="C47" s="216"/>
      <c r="D47" s="216"/>
      <c r="E47" s="216"/>
      <c r="F47" s="216"/>
      <c r="G47" s="216"/>
      <c r="H47" s="216"/>
      <c r="I47" s="216"/>
      <c r="J47" s="216"/>
      <c r="K47" s="216"/>
      <c r="L47" s="1025"/>
      <c r="M47" s="1025"/>
      <c r="N47" s="1025"/>
      <c r="O47" s="1025"/>
      <c r="P47" s="1025"/>
      <c r="Q47" s="1025"/>
      <c r="R47" s="1025"/>
      <c r="S47" s="1025"/>
    </row>
    <row r="48" spans="1:19" ht="15">
      <c r="A48" s="216"/>
      <c r="B48" s="216"/>
      <c r="C48" s="216"/>
      <c r="D48" s="216"/>
      <c r="E48" s="216"/>
      <c r="F48" s="216"/>
      <c r="G48" s="216"/>
      <c r="H48" s="216"/>
      <c r="I48" s="216"/>
      <c r="J48" s="216"/>
      <c r="K48" s="216"/>
      <c r="L48" s="1025"/>
      <c r="M48" s="1025"/>
      <c r="N48" s="1025"/>
      <c r="O48" s="1025"/>
      <c r="P48" s="1025"/>
      <c r="Q48" s="1025"/>
      <c r="R48" s="1025"/>
      <c r="S48" s="1025"/>
    </row>
    <row r="49" spans="1:11" ht="15">
      <c r="A49" s="216"/>
      <c r="B49" s="216"/>
      <c r="C49" s="216"/>
      <c r="D49" s="216"/>
      <c r="E49" s="216"/>
      <c r="F49" s="216"/>
      <c r="G49" s="216"/>
      <c r="H49" s="216"/>
      <c r="I49" s="216"/>
      <c r="J49" s="216"/>
      <c r="K49" s="216"/>
    </row>
    <row r="50" spans="1:11" ht="15">
      <c r="A50" s="216"/>
      <c r="B50" s="216"/>
      <c r="C50" s="216"/>
      <c r="D50" s="216"/>
      <c r="E50" s="216"/>
      <c r="F50" s="216"/>
      <c r="G50" s="216"/>
      <c r="H50" s="216"/>
      <c r="I50" s="216"/>
      <c r="J50" s="216"/>
      <c r="K50" s="216"/>
    </row>
    <row r="51" spans="1:11" ht="15">
      <c r="A51" s="216"/>
      <c r="B51" s="216"/>
      <c r="C51" s="216"/>
      <c r="D51" s="216"/>
      <c r="E51" s="216"/>
      <c r="F51" s="216"/>
      <c r="G51" s="216"/>
      <c r="H51" s="216"/>
      <c r="I51" s="216"/>
      <c r="J51" s="216"/>
      <c r="K51" s="216"/>
    </row>
    <row r="52" spans="1:11" ht="15">
      <c r="A52" s="216"/>
      <c r="B52" s="216"/>
      <c r="C52" s="216"/>
      <c r="D52" s="216"/>
      <c r="E52" s="216"/>
      <c r="F52" s="216"/>
      <c r="G52" s="216"/>
      <c r="H52" s="216"/>
      <c r="I52" s="216"/>
      <c r="J52" s="216"/>
      <c r="K52" s="216"/>
    </row>
    <row r="53" spans="1:11" ht="15">
      <c r="A53" s="216"/>
      <c r="B53" s="216"/>
      <c r="C53" s="216"/>
      <c r="D53" s="216"/>
      <c r="E53" s="216"/>
      <c r="F53" s="216"/>
      <c r="G53" s="216"/>
      <c r="H53" s="216"/>
      <c r="I53" s="216"/>
      <c r="J53" s="216"/>
      <c r="K53" s="216"/>
    </row>
    <row r="54" spans="1:11" ht="15">
      <c r="A54" s="216"/>
      <c r="B54" s="216"/>
      <c r="C54" s="216"/>
      <c r="D54" s="216"/>
      <c r="E54" s="216"/>
      <c r="F54" s="216"/>
      <c r="G54" s="216"/>
      <c r="H54" s="216"/>
      <c r="I54" s="216"/>
      <c r="J54" s="216"/>
      <c r="K54" s="216"/>
    </row>
    <row r="55" spans="1:11" ht="15">
      <c r="A55" s="216"/>
      <c r="B55" s="216"/>
      <c r="C55" s="216"/>
      <c r="D55" s="216"/>
      <c r="E55" s="216"/>
      <c r="F55" s="216"/>
      <c r="G55" s="216"/>
      <c r="H55" s="216"/>
      <c r="I55" s="216"/>
      <c r="J55" s="216"/>
      <c r="K55" s="216"/>
    </row>
    <row r="56" spans="1:11" ht="15">
      <c r="A56" s="216"/>
      <c r="B56" s="216"/>
      <c r="C56" s="216"/>
      <c r="D56" s="216"/>
      <c r="E56" s="216"/>
      <c r="F56" s="216"/>
      <c r="G56" s="216"/>
      <c r="H56" s="216"/>
      <c r="I56" s="216"/>
      <c r="J56" s="216"/>
      <c r="K56" s="216"/>
    </row>
    <row r="57" spans="1:11" ht="15">
      <c r="A57" s="216"/>
      <c r="B57" s="216"/>
      <c r="C57" s="216"/>
      <c r="D57" s="216"/>
      <c r="E57" s="216"/>
      <c r="F57" s="216"/>
      <c r="G57" s="216"/>
      <c r="H57" s="216"/>
      <c r="I57" s="216"/>
      <c r="J57" s="216"/>
      <c r="K57" s="216"/>
    </row>
    <row r="58" spans="1:11" ht="15">
      <c r="A58" s="216"/>
      <c r="B58" s="216"/>
      <c r="C58" s="216"/>
      <c r="D58" s="216"/>
      <c r="E58" s="216"/>
      <c r="F58" s="216"/>
      <c r="G58" s="216"/>
      <c r="H58" s="216"/>
      <c r="I58" s="216"/>
      <c r="J58" s="216"/>
      <c r="K58" s="216"/>
    </row>
    <row r="59" spans="1:11" ht="15">
      <c r="A59" s="216"/>
      <c r="B59" s="216"/>
      <c r="C59" s="216"/>
      <c r="D59" s="216"/>
      <c r="E59" s="216"/>
      <c r="F59" s="216"/>
      <c r="G59" s="216"/>
      <c r="H59" s="216"/>
      <c r="I59" s="216"/>
      <c r="J59" s="216"/>
      <c r="K59" s="216"/>
    </row>
    <row r="60" spans="1:11" ht="15">
      <c r="A60" s="216"/>
      <c r="B60" s="216"/>
      <c r="C60" s="216"/>
      <c r="D60" s="216"/>
      <c r="E60" s="216"/>
      <c r="F60" s="216"/>
      <c r="G60" s="216"/>
      <c r="H60" s="216"/>
      <c r="I60" s="216"/>
      <c r="J60" s="216"/>
      <c r="K60" s="216"/>
    </row>
    <row r="61" spans="1:11" ht="15">
      <c r="A61" s="216"/>
      <c r="B61" s="216"/>
      <c r="C61" s="216"/>
      <c r="D61" s="216"/>
      <c r="E61" s="216"/>
      <c r="F61" s="216"/>
      <c r="G61" s="216"/>
      <c r="H61" s="216"/>
      <c r="I61" s="216"/>
      <c r="J61" s="216"/>
      <c r="K61" s="216"/>
    </row>
    <row r="62" spans="1:11" ht="15">
      <c r="A62" s="216"/>
      <c r="B62" s="216"/>
      <c r="C62" s="216"/>
      <c r="D62" s="216"/>
      <c r="E62" s="216"/>
      <c r="F62" s="216"/>
      <c r="G62" s="216"/>
      <c r="H62" s="216"/>
      <c r="I62" s="216"/>
      <c r="J62" s="216"/>
      <c r="K62" s="216"/>
    </row>
    <row r="63" spans="1:11" ht="15">
      <c r="A63" s="216"/>
      <c r="B63" s="216"/>
      <c r="C63" s="216"/>
      <c r="D63" s="216"/>
      <c r="E63" s="216"/>
      <c r="F63" s="216"/>
      <c r="G63" s="216"/>
      <c r="H63" s="216"/>
      <c r="I63" s="216"/>
      <c r="J63" s="216"/>
      <c r="K63" s="216"/>
    </row>
    <row r="64" spans="1:11" ht="15">
      <c r="A64" s="216"/>
      <c r="B64" s="216"/>
      <c r="C64" s="216"/>
      <c r="D64" s="216"/>
      <c r="E64" s="216"/>
      <c r="F64" s="216"/>
      <c r="G64" s="216"/>
      <c r="H64" s="216"/>
      <c r="I64" s="216"/>
      <c r="J64" s="216"/>
      <c r="K64" s="216"/>
    </row>
    <row r="65" spans="1:11" ht="15">
      <c r="A65" s="216"/>
      <c r="B65" s="216"/>
      <c r="C65" s="216"/>
      <c r="D65" s="216"/>
      <c r="E65" s="216"/>
      <c r="F65" s="216"/>
      <c r="G65" s="216"/>
      <c r="H65" s="216"/>
      <c r="I65" s="216"/>
      <c r="J65" s="216"/>
      <c r="K65" s="216"/>
    </row>
    <row r="66" spans="1:11" ht="15">
      <c r="A66" s="216"/>
      <c r="B66" s="216"/>
      <c r="C66" s="216"/>
      <c r="D66" s="216"/>
      <c r="E66" s="216"/>
      <c r="F66" s="216"/>
      <c r="G66" s="216"/>
      <c r="H66" s="216"/>
      <c r="I66" s="216"/>
      <c r="J66" s="216"/>
      <c r="K66" s="216"/>
    </row>
    <row r="67" spans="1:11" ht="15">
      <c r="A67" s="216"/>
      <c r="B67" s="216"/>
      <c r="C67" s="216"/>
      <c r="D67" s="216"/>
      <c r="E67" s="216"/>
      <c r="F67" s="216"/>
      <c r="G67" s="216"/>
      <c r="H67" s="216"/>
      <c r="I67" s="216"/>
      <c r="J67" s="216"/>
      <c r="K67" s="216"/>
    </row>
    <row r="68" spans="1:11" ht="15">
      <c r="A68" s="216"/>
      <c r="B68" s="216"/>
      <c r="C68" s="216"/>
      <c r="D68" s="216"/>
      <c r="E68" s="216"/>
      <c r="F68" s="216"/>
      <c r="G68" s="216"/>
      <c r="H68" s="216"/>
      <c r="I68" s="216"/>
      <c r="J68" s="216"/>
      <c r="K68" s="216"/>
    </row>
    <row r="69" spans="1:11" ht="15">
      <c r="A69" s="216"/>
      <c r="B69" s="216"/>
      <c r="C69" s="216"/>
      <c r="D69" s="216"/>
      <c r="E69" s="216"/>
      <c r="F69" s="216"/>
      <c r="G69" s="216"/>
      <c r="H69" s="216"/>
      <c r="I69" s="216"/>
      <c r="J69" s="216"/>
      <c r="K69" s="216"/>
    </row>
    <row r="70" spans="1:11" ht="15">
      <c r="A70" s="216"/>
      <c r="B70" s="216"/>
      <c r="C70" s="216"/>
      <c r="D70" s="216"/>
      <c r="E70" s="216"/>
      <c r="F70" s="216"/>
      <c r="G70" s="216"/>
      <c r="H70" s="216"/>
      <c r="I70" s="216"/>
      <c r="J70" s="216"/>
      <c r="K70" s="216"/>
    </row>
    <row r="71" spans="1:11" ht="15">
      <c r="A71" s="216"/>
      <c r="B71" s="216"/>
      <c r="C71" s="216"/>
      <c r="D71" s="216"/>
      <c r="E71" s="216"/>
      <c r="F71" s="216"/>
      <c r="G71" s="216"/>
      <c r="H71" s="216"/>
      <c r="I71" s="216"/>
      <c r="J71" s="216"/>
      <c r="K71" s="216"/>
    </row>
    <row r="72" spans="1:11" ht="15">
      <c r="A72" s="216"/>
      <c r="B72" s="216"/>
      <c r="C72" s="216"/>
      <c r="D72" s="216"/>
      <c r="E72" s="216"/>
      <c r="F72" s="216"/>
      <c r="G72" s="216"/>
      <c r="H72" s="216"/>
      <c r="I72" s="216"/>
      <c r="J72" s="216"/>
      <c r="K72" s="216"/>
    </row>
    <row r="73" spans="1:11" ht="15">
      <c r="A73" s="216"/>
      <c r="B73" s="216"/>
      <c r="C73" s="216"/>
      <c r="D73" s="216"/>
      <c r="E73" s="216"/>
      <c r="F73" s="216"/>
      <c r="G73" s="216"/>
      <c r="H73" s="216"/>
      <c r="I73" s="216"/>
      <c r="J73" s="216"/>
      <c r="K73" s="216"/>
    </row>
    <row r="74" spans="1:11" ht="15">
      <c r="A74" s="216"/>
      <c r="B74" s="216"/>
      <c r="C74" s="216"/>
      <c r="D74" s="216"/>
      <c r="E74" s="216"/>
      <c r="F74" s="216"/>
      <c r="G74" s="216"/>
      <c r="H74" s="216"/>
      <c r="I74" s="216"/>
      <c r="J74" s="216"/>
      <c r="K74" s="216"/>
    </row>
  </sheetData>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R44"/>
  <sheetViews>
    <sheetView zoomScaleNormal="100" zoomScaleSheetLayoutView="90" workbookViewId="0"/>
  </sheetViews>
  <sheetFormatPr defaultRowHeight="12.75"/>
  <cols>
    <col min="1" max="1" width="3.28515625" style="735" customWidth="1"/>
    <col min="6" max="6" width="10.85546875" customWidth="1"/>
    <col min="7" max="7" width="4.85546875" customWidth="1"/>
    <col min="8" max="8" width="10.85546875" customWidth="1"/>
    <col min="9" max="9" width="5.42578125" customWidth="1"/>
    <col min="10" max="10" width="11" customWidth="1"/>
    <col min="11" max="11" width="4.5703125" customWidth="1"/>
    <col min="12" max="12" width="13.140625" customWidth="1"/>
    <col min="13" max="13" width="5.42578125" customWidth="1"/>
    <col min="14" max="14" width="13.42578125" customWidth="1"/>
    <col min="18" max="18" width="18.140625" customWidth="1"/>
  </cols>
  <sheetData>
    <row r="1" spans="1:18" ht="18">
      <c r="A1" s="1025"/>
      <c r="B1" s="1025"/>
      <c r="C1" s="1025"/>
      <c r="D1" s="1025"/>
      <c r="E1" s="1025"/>
      <c r="F1" s="1025"/>
      <c r="G1" s="1025"/>
      <c r="H1" s="1025"/>
      <c r="I1" s="1025"/>
      <c r="J1" s="656" t="str">
        <f>+'Appendix A'!A3</f>
        <v>Dayton Power and Light</v>
      </c>
      <c r="K1" s="1025"/>
      <c r="L1" s="1025"/>
      <c r="M1" s="1025"/>
      <c r="N1" s="1025"/>
      <c r="O1" s="1025"/>
      <c r="P1" s="1025"/>
      <c r="Q1" s="1025"/>
      <c r="R1" s="1025"/>
    </row>
    <row r="2" spans="1:18" ht="55.9" customHeight="1">
      <c r="A2" s="1025"/>
      <c r="B2" s="1025"/>
      <c r="C2" s="1025"/>
      <c r="D2" s="1025"/>
      <c r="E2" s="1025"/>
      <c r="F2" s="1025"/>
      <c r="G2" s="1025"/>
      <c r="H2" s="1025"/>
      <c r="I2" s="1025"/>
      <c r="J2" s="656" t="str">
        <f>+'Appendix A'!A4</f>
        <v xml:space="preserve">ATTACHMENT H-15A </v>
      </c>
      <c r="K2" s="1025"/>
      <c r="L2" s="1025"/>
      <c r="M2" s="1025"/>
      <c r="N2" s="1025"/>
      <c r="O2" s="1025"/>
      <c r="P2" s="1025"/>
      <c r="Q2" s="1025"/>
      <c r="R2" s="980"/>
    </row>
    <row r="3" spans="1:18" ht="18">
      <c r="A3" s="1025"/>
      <c r="B3" s="1025"/>
      <c r="C3" s="1025"/>
      <c r="D3" s="1025"/>
      <c r="E3" s="1025"/>
      <c r="F3" s="1025"/>
      <c r="G3" s="1025"/>
      <c r="H3" s="1025"/>
      <c r="I3" s="1081"/>
      <c r="J3" s="1081" t="s">
        <v>944</v>
      </c>
      <c r="K3" s="1081"/>
      <c r="L3" s="1081"/>
      <c r="M3" s="1081"/>
      <c r="N3" s="1081"/>
      <c r="O3" s="1081"/>
      <c r="P3" s="1081"/>
      <c r="Q3" s="1025"/>
      <c r="R3" s="1025"/>
    </row>
    <row r="4" spans="1:18" s="736" customFormat="1" ht="18">
      <c r="A4" s="1025"/>
      <c r="B4" s="1025"/>
      <c r="C4" s="1025"/>
      <c r="D4" s="1025"/>
      <c r="E4" s="1025"/>
      <c r="F4" s="1025"/>
      <c r="G4" s="1025"/>
      <c r="H4" s="1025"/>
      <c r="I4" s="1081"/>
      <c r="J4" s="1081"/>
      <c r="K4" s="1081"/>
      <c r="L4" s="1081"/>
      <c r="M4" s="1081"/>
      <c r="N4" s="1081"/>
      <c r="O4" s="1081"/>
      <c r="P4" s="1081"/>
      <c r="Q4" s="1025"/>
      <c r="R4" s="1025"/>
    </row>
    <row r="5" spans="1:18" s="736" customFormat="1" ht="18">
      <c r="A5" s="1025"/>
      <c r="B5" s="562" t="s">
        <v>446</v>
      </c>
      <c r="C5" s="1025"/>
      <c r="D5" s="1025"/>
      <c r="E5" s="1025"/>
      <c r="F5" s="1025"/>
      <c r="G5" s="1025"/>
      <c r="H5" s="1025"/>
      <c r="I5" s="1081"/>
      <c r="J5" s="1081"/>
      <c r="K5" s="1081"/>
      <c r="L5" s="1081"/>
      <c r="M5" s="1081"/>
      <c r="N5" s="1081"/>
      <c r="O5" s="1081"/>
      <c r="P5" s="1081"/>
      <c r="Q5" s="1025"/>
      <c r="R5" s="1025"/>
    </row>
    <row r="7" spans="1:18">
      <c r="A7" s="1025"/>
      <c r="B7" s="594" t="s">
        <v>945</v>
      </c>
      <c r="C7" s="594"/>
      <c r="D7" s="594"/>
      <c r="E7" s="594"/>
      <c r="F7" s="594"/>
      <c r="G7" s="594"/>
      <c r="H7" s="594"/>
      <c r="I7" s="594"/>
      <c r="J7" s="594"/>
      <c r="K7" s="594"/>
      <c r="L7" s="594"/>
      <c r="M7" s="594"/>
      <c r="N7" s="594"/>
      <c r="O7" s="1025"/>
      <c r="P7" s="1025"/>
      <c r="Q7" s="1025"/>
      <c r="R7" s="1025"/>
    </row>
    <row r="8" spans="1:18" ht="25.5">
      <c r="A8" s="1025"/>
      <c r="B8" s="594"/>
      <c r="C8" s="594"/>
      <c r="D8" s="594"/>
      <c r="E8" s="594"/>
      <c r="F8" s="739" t="s">
        <v>946</v>
      </c>
      <c r="G8" s="594"/>
      <c r="H8" s="740" t="s">
        <v>18</v>
      </c>
      <c r="I8" s="594"/>
      <c r="J8" s="740" t="s">
        <v>274</v>
      </c>
      <c r="K8" s="594"/>
      <c r="L8" s="741" t="s">
        <v>292</v>
      </c>
      <c r="M8" s="594"/>
      <c r="N8" s="739" t="s">
        <v>947</v>
      </c>
      <c r="O8" s="1025"/>
      <c r="P8" s="1025"/>
      <c r="Q8" s="1025"/>
      <c r="R8" s="1025"/>
    </row>
    <row r="9" spans="1:18">
      <c r="A9" s="1025"/>
      <c r="B9" s="737" t="s">
        <v>948</v>
      </c>
      <c r="C9" s="594"/>
      <c r="D9" s="594"/>
      <c r="E9" s="594"/>
      <c r="F9" s="594"/>
      <c r="G9" s="594"/>
      <c r="H9" s="594"/>
      <c r="I9" s="594"/>
      <c r="J9" s="594"/>
      <c r="K9" s="594"/>
      <c r="L9" s="594"/>
      <c r="M9" s="594"/>
      <c r="N9" s="594"/>
      <c r="O9" s="1025"/>
      <c r="P9" s="1025"/>
      <c r="Q9" s="1025"/>
      <c r="R9" s="1025"/>
    </row>
    <row r="10" spans="1:18">
      <c r="A10" s="1025"/>
      <c r="B10" s="594"/>
      <c r="C10" s="594"/>
      <c r="D10" s="594"/>
      <c r="E10" s="594"/>
      <c r="F10" s="594"/>
      <c r="G10" s="594"/>
      <c r="H10" s="594"/>
      <c r="I10" s="594"/>
      <c r="J10" s="594"/>
      <c r="K10" s="594"/>
      <c r="L10" s="594"/>
      <c r="M10" s="594"/>
      <c r="N10" s="594"/>
      <c r="O10" s="1025"/>
      <c r="P10" s="1025"/>
      <c r="Q10" s="1025"/>
      <c r="R10" s="1025"/>
    </row>
    <row r="11" spans="1:18">
      <c r="A11" s="1025">
        <v>1</v>
      </c>
      <c r="B11" s="594" t="s">
        <v>949</v>
      </c>
      <c r="C11" s="594"/>
      <c r="D11" s="594"/>
      <c r="E11" s="594"/>
      <c r="F11" s="1062">
        <v>-12667911.99</v>
      </c>
      <c r="G11" s="1062"/>
      <c r="H11" s="1062">
        <v>0</v>
      </c>
      <c r="I11" s="1062"/>
      <c r="J11" s="1062">
        <v>0</v>
      </c>
      <c r="K11" s="1062"/>
      <c r="L11" s="1062">
        <v>-2320876.54</v>
      </c>
      <c r="M11" s="951"/>
      <c r="N11" s="951">
        <f>+F11+H11+J11+L11</f>
        <v>-14988788.530000001</v>
      </c>
      <c r="O11" s="1025"/>
      <c r="P11" s="1025"/>
      <c r="Q11" s="1025"/>
      <c r="R11" s="1025"/>
    </row>
    <row r="12" spans="1:18">
      <c r="A12" s="1025"/>
      <c r="B12" s="594"/>
      <c r="C12" s="594"/>
      <c r="D12" s="594"/>
      <c r="E12" s="594"/>
      <c r="F12" s="1062"/>
      <c r="G12" s="1062"/>
      <c r="H12" s="1062"/>
      <c r="I12" s="1062"/>
      <c r="J12" s="1062"/>
      <c r="K12" s="1062"/>
      <c r="L12" s="1062"/>
      <c r="M12" s="951"/>
      <c r="N12" s="951"/>
      <c r="O12" s="1025"/>
      <c r="P12" s="1025"/>
      <c r="Q12" s="1025"/>
      <c r="R12" s="1025"/>
    </row>
    <row r="13" spans="1:18">
      <c r="A13" s="1025">
        <f>+A11+1</f>
        <v>2</v>
      </c>
      <c r="B13" s="594" t="s">
        <v>950</v>
      </c>
      <c r="C13" s="594"/>
      <c r="D13" s="594"/>
      <c r="E13" s="594"/>
      <c r="F13" s="1062">
        <v>0</v>
      </c>
      <c r="G13" s="1062"/>
      <c r="H13" s="1062">
        <v>0</v>
      </c>
      <c r="I13" s="1062"/>
      <c r="J13" s="1062">
        <v>0</v>
      </c>
      <c r="K13" s="1062"/>
      <c r="L13" s="1062">
        <v>-3.954482963308692E-7</v>
      </c>
      <c r="M13" s="951"/>
      <c r="N13" s="951">
        <f>+F13+H13+J13+L13</f>
        <v>-3.954482963308692E-7</v>
      </c>
      <c r="O13" s="1025"/>
      <c r="P13" s="1025"/>
      <c r="Q13" s="1025"/>
      <c r="R13" s="1025"/>
    </row>
    <row r="14" spans="1:18">
      <c r="A14" s="1025"/>
      <c r="B14" s="594"/>
      <c r="C14" s="594"/>
      <c r="D14" s="594"/>
      <c r="E14" s="594"/>
      <c r="F14" s="1062"/>
      <c r="G14" s="1062"/>
      <c r="H14" s="1062"/>
      <c r="I14" s="1062"/>
      <c r="J14" s="1062"/>
      <c r="K14" s="1062"/>
      <c r="L14" s="1062"/>
      <c r="M14" s="951"/>
      <c r="N14" s="951"/>
      <c r="O14" s="1025"/>
      <c r="P14" s="1025"/>
      <c r="Q14" s="1025"/>
      <c r="R14" s="1025"/>
    </row>
    <row r="15" spans="1:18">
      <c r="A15" s="1025">
        <f>+A13+1</f>
        <v>3</v>
      </c>
      <c r="B15" s="594" t="s">
        <v>951</v>
      </c>
      <c r="C15" s="594"/>
      <c r="D15" s="594"/>
      <c r="E15" s="594"/>
      <c r="F15" s="1062">
        <v>0</v>
      </c>
      <c r="G15" s="1062"/>
      <c r="H15" s="1062">
        <v>0</v>
      </c>
      <c r="I15" s="1062"/>
      <c r="J15" s="1062">
        <v>0</v>
      </c>
      <c r="K15" s="1062"/>
      <c r="L15" s="1062">
        <v>0</v>
      </c>
      <c r="M15" s="951"/>
      <c r="N15" s="951">
        <f>+F15+H15+J15+L15</f>
        <v>0</v>
      </c>
      <c r="O15" s="1025"/>
      <c r="P15" s="1025"/>
      <c r="Q15" s="1025"/>
      <c r="R15" s="1025"/>
    </row>
    <row r="16" spans="1:18">
      <c r="A16" s="1025"/>
      <c r="B16" s="594"/>
      <c r="C16" s="594"/>
      <c r="D16" s="594"/>
      <c r="E16" s="594"/>
      <c r="F16" s="1062"/>
      <c r="G16" s="1062"/>
      <c r="H16" s="1062"/>
      <c r="I16" s="1062"/>
      <c r="J16" s="1062"/>
      <c r="K16" s="1062"/>
      <c r="L16" s="1062"/>
      <c r="M16" s="951"/>
      <c r="N16" s="951"/>
      <c r="O16" s="1025"/>
      <c r="P16" s="1025"/>
      <c r="Q16" s="1025"/>
      <c r="R16" s="1025"/>
    </row>
    <row r="17" spans="1:14">
      <c r="A17" s="1025">
        <f>+A15+1</f>
        <v>4</v>
      </c>
      <c r="B17" s="594" t="s">
        <v>315</v>
      </c>
      <c r="C17" s="594"/>
      <c r="D17" s="594"/>
      <c r="E17" s="594"/>
      <c r="F17" s="1063">
        <v>0</v>
      </c>
      <c r="G17" s="1062"/>
      <c r="H17" s="1063">
        <v>0</v>
      </c>
      <c r="I17" s="1062"/>
      <c r="J17" s="1063">
        <v>0</v>
      </c>
      <c r="K17" s="1062"/>
      <c r="L17" s="1063">
        <v>-4738491.8099999987</v>
      </c>
      <c r="M17" s="951"/>
      <c r="N17" s="963">
        <f>+F17+H17+J17+L17</f>
        <v>-4738491.8099999987</v>
      </c>
    </row>
    <row r="18" spans="1:14">
      <c r="A18" s="1025"/>
      <c r="B18" s="594"/>
      <c r="C18" s="594"/>
      <c r="D18" s="594"/>
      <c r="E18" s="594"/>
      <c r="F18" s="951"/>
      <c r="G18" s="951"/>
      <c r="H18" s="951"/>
      <c r="I18" s="951"/>
      <c r="J18" s="951"/>
      <c r="K18" s="951"/>
      <c r="L18" s="951"/>
      <c r="M18" s="951"/>
      <c r="N18" s="951"/>
    </row>
    <row r="19" spans="1:14">
      <c r="A19" s="1025">
        <f>+A17+1</f>
        <v>5</v>
      </c>
      <c r="B19" s="594" t="s">
        <v>75</v>
      </c>
      <c r="C19" s="594"/>
      <c r="D19" s="594"/>
      <c r="E19" s="594"/>
      <c r="F19" s="951">
        <f>+F11+F13+F15+F17</f>
        <v>-12667911.99</v>
      </c>
      <c r="G19" s="951"/>
      <c r="H19" s="951">
        <f>+H11+H13+H15+H17</f>
        <v>0</v>
      </c>
      <c r="I19" s="951"/>
      <c r="J19" s="951">
        <f>+J11+J13+J15+J17</f>
        <v>0</v>
      </c>
      <c r="K19" s="951"/>
      <c r="L19" s="951">
        <f>+L11+L13+L15+L17</f>
        <v>-7059368.3500003945</v>
      </c>
      <c r="M19" s="951"/>
      <c r="N19" s="951">
        <f>+N11+N13+N15+N17</f>
        <v>-19727280.340000395</v>
      </c>
    </row>
    <row r="20" spans="1:14">
      <c r="A20" s="1025"/>
      <c r="B20" s="594"/>
      <c r="C20" s="594"/>
      <c r="D20" s="594"/>
      <c r="E20" s="594"/>
      <c r="F20" s="594"/>
      <c r="G20" s="594"/>
      <c r="H20" s="594"/>
      <c r="I20" s="594"/>
      <c r="J20" s="594"/>
      <c r="K20" s="594"/>
      <c r="L20" s="594"/>
      <c r="M20" s="594"/>
      <c r="N20" s="594"/>
    </row>
    <row r="21" spans="1:14">
      <c r="A21" s="1025">
        <f>+A19+1</f>
        <v>6</v>
      </c>
      <c r="B21" s="594" t="s">
        <v>466</v>
      </c>
      <c r="C21" s="594"/>
      <c r="D21" s="594"/>
      <c r="E21" s="594"/>
      <c r="F21" s="765">
        <f>+'Appendix A'!H16</f>
        <v>0.12146075795343095</v>
      </c>
      <c r="G21" s="765"/>
      <c r="H21" s="765">
        <f>+'Appendix A'!H27</f>
        <v>0.20363964961424239</v>
      </c>
      <c r="I21" s="765"/>
      <c r="J21" s="765">
        <f>+'Appendix A'!H33</f>
        <v>0.18298233367566416</v>
      </c>
      <c r="K21" s="765"/>
      <c r="L21" s="765">
        <v>0</v>
      </c>
      <c r="M21" s="594"/>
      <c r="N21" s="594"/>
    </row>
    <row r="22" spans="1:14" ht="25.5">
      <c r="A22" s="1025"/>
      <c r="B22" s="594"/>
      <c r="C22" s="594"/>
      <c r="D22" s="594"/>
      <c r="E22" s="594"/>
      <c r="F22" s="840" t="str">
        <f>"(Appendix A, Line "&amp;'Appendix A'!A16&amp;")"</f>
        <v>(Appendix A, Line 5)</v>
      </c>
      <c r="G22" s="800"/>
      <c r="H22" s="840" t="str">
        <f>"(Appendix A, Line "&amp;'Appendix A'!A27&amp;")"</f>
        <v>(Appendix A, Line 12)</v>
      </c>
      <c r="I22" s="800"/>
      <c r="J22" s="840" t="str">
        <f>"(Appendix A, Line "&amp;'Appendix A'!A33&amp;")"</f>
        <v>(Appendix A, Line 17)</v>
      </c>
      <c r="K22" s="594"/>
      <c r="L22" s="594"/>
      <c r="M22" s="594"/>
      <c r="N22" s="594"/>
    </row>
    <row r="23" spans="1:14">
      <c r="A23" s="1025">
        <f>+A21+1</f>
        <v>7</v>
      </c>
      <c r="B23" s="594" t="s">
        <v>952</v>
      </c>
      <c r="C23" s="594"/>
      <c r="D23" s="594"/>
      <c r="E23" s="594"/>
      <c r="F23" s="951">
        <f>+F19*F21</f>
        <v>-1538654.1919927557</v>
      </c>
      <c r="G23" s="951"/>
      <c r="H23" s="951">
        <f>+H19*H21</f>
        <v>0</v>
      </c>
      <c r="I23" s="951"/>
      <c r="J23" s="951">
        <f>+J19*J21</f>
        <v>0</v>
      </c>
      <c r="K23" s="951"/>
      <c r="L23" s="951">
        <f>+L19*L21</f>
        <v>0</v>
      </c>
      <c r="M23" s="951"/>
      <c r="N23" s="958">
        <f>+F23+H23+J23+L23</f>
        <v>-1538654.1919927557</v>
      </c>
    </row>
    <row r="28" spans="1:14">
      <c r="A28" s="1025"/>
      <c r="B28" s="594" t="s">
        <v>953</v>
      </c>
      <c r="C28" s="594"/>
      <c r="D28" s="594"/>
      <c r="E28" s="594"/>
      <c r="F28" s="594"/>
      <c r="G28" s="594"/>
      <c r="H28" s="594"/>
      <c r="I28" s="594"/>
      <c r="J28" s="594"/>
      <c r="K28" s="594"/>
      <c r="L28" s="594"/>
      <c r="M28" s="594"/>
      <c r="N28" s="594"/>
    </row>
    <row r="29" spans="1:14" ht="25.5">
      <c r="A29" s="1025"/>
      <c r="B29" s="594"/>
      <c r="C29" s="594"/>
      <c r="D29" s="594"/>
      <c r="E29" s="594"/>
      <c r="F29" s="739" t="s">
        <v>946</v>
      </c>
      <c r="G29" s="594"/>
      <c r="H29" s="740" t="s">
        <v>18</v>
      </c>
      <c r="I29" s="594"/>
      <c r="J29" s="740" t="s">
        <v>274</v>
      </c>
      <c r="K29" s="594"/>
      <c r="L29" s="741" t="s">
        <v>292</v>
      </c>
      <c r="M29" s="594"/>
      <c r="N29" s="739" t="s">
        <v>947</v>
      </c>
    </row>
    <row r="30" spans="1:14">
      <c r="A30" s="1025"/>
      <c r="B30" s="737" t="s">
        <v>948</v>
      </c>
      <c r="C30" s="594"/>
      <c r="D30" s="594"/>
      <c r="E30" s="594"/>
      <c r="F30" s="594"/>
      <c r="G30" s="594"/>
      <c r="H30" s="594"/>
      <c r="I30" s="594"/>
      <c r="J30" s="594"/>
      <c r="K30" s="594"/>
      <c r="L30" s="594"/>
      <c r="M30" s="594"/>
      <c r="N30" s="594"/>
    </row>
    <row r="31" spans="1:14">
      <c r="A31" s="1025"/>
      <c r="B31" s="594"/>
      <c r="C31" s="594"/>
      <c r="D31" s="594"/>
      <c r="E31" s="594"/>
      <c r="F31" s="594"/>
      <c r="G31" s="594"/>
      <c r="H31" s="594"/>
      <c r="I31" s="594"/>
      <c r="J31" s="594"/>
      <c r="K31" s="594"/>
      <c r="L31" s="594"/>
      <c r="M31" s="594"/>
      <c r="N31" s="594"/>
    </row>
    <row r="32" spans="1:14">
      <c r="A32" s="1025">
        <f>+A23+1</f>
        <v>8</v>
      </c>
      <c r="B32" s="594" t="s">
        <v>949</v>
      </c>
      <c r="C32" s="594"/>
      <c r="D32" s="594"/>
      <c r="E32" s="594"/>
      <c r="F32" s="1062">
        <v>-12372668</v>
      </c>
      <c r="G32" s="1062"/>
      <c r="H32" s="1062">
        <v>0</v>
      </c>
      <c r="I32" s="1062"/>
      <c r="J32" s="1062">
        <v>0</v>
      </c>
      <c r="K32" s="1062"/>
      <c r="L32" s="1062">
        <v>-2017231</v>
      </c>
      <c r="M32" s="951"/>
      <c r="N32" s="951">
        <f>+F32+H32+J32+L32</f>
        <v>-14389899</v>
      </c>
    </row>
    <row r="33" spans="1:14">
      <c r="A33" s="1025"/>
      <c r="B33" s="594"/>
      <c r="C33" s="594"/>
      <c r="D33" s="594"/>
      <c r="E33" s="594"/>
      <c r="F33" s="1062"/>
      <c r="G33" s="1062"/>
      <c r="H33" s="1062"/>
      <c r="I33" s="1062"/>
      <c r="J33" s="1062"/>
      <c r="K33" s="1062"/>
      <c r="L33" s="1062"/>
      <c r="M33" s="951"/>
      <c r="N33" s="951"/>
    </row>
    <row r="34" spans="1:14">
      <c r="A34" s="1025">
        <f>+A32+1</f>
        <v>9</v>
      </c>
      <c r="B34" s="594" t="s">
        <v>950</v>
      </c>
      <c r="C34" s="594"/>
      <c r="D34" s="594"/>
      <c r="E34" s="594"/>
      <c r="F34" s="1062">
        <v>0</v>
      </c>
      <c r="G34" s="1062"/>
      <c r="H34" s="1062">
        <v>0</v>
      </c>
      <c r="I34" s="1062"/>
      <c r="J34" s="1062">
        <v>0</v>
      </c>
      <c r="K34" s="1062"/>
      <c r="L34" s="1062">
        <v>-846269</v>
      </c>
      <c r="M34" s="951"/>
      <c r="N34" s="951">
        <f>+F34+H34+J34+L34</f>
        <v>-846269</v>
      </c>
    </row>
    <row r="35" spans="1:14">
      <c r="A35" s="1025"/>
      <c r="B35" s="594"/>
      <c r="C35" s="594"/>
      <c r="D35" s="594"/>
      <c r="E35" s="594"/>
      <c r="F35" s="1062"/>
      <c r="G35" s="1062"/>
      <c r="H35" s="1062"/>
      <c r="I35" s="1062"/>
      <c r="J35" s="1062"/>
      <c r="K35" s="1062"/>
      <c r="L35" s="1062"/>
      <c r="M35" s="951"/>
      <c r="N35" s="951"/>
    </row>
    <row r="36" spans="1:14">
      <c r="A36" s="1025">
        <f>+A34+1</f>
        <v>10</v>
      </c>
      <c r="B36" s="594" t="s">
        <v>951</v>
      </c>
      <c r="C36" s="594"/>
      <c r="D36" s="594"/>
      <c r="E36" s="594"/>
      <c r="F36" s="1062">
        <v>0</v>
      </c>
      <c r="G36" s="1062"/>
      <c r="H36" s="1062">
        <v>0</v>
      </c>
      <c r="I36" s="1062"/>
      <c r="J36" s="1062">
        <v>0</v>
      </c>
      <c r="K36" s="1062"/>
      <c r="L36" s="1062">
        <v>0</v>
      </c>
      <c r="M36" s="951"/>
      <c r="N36" s="951">
        <f>+F36+H36+J36+L36</f>
        <v>0</v>
      </c>
    </row>
    <row r="37" spans="1:14">
      <c r="A37" s="1025"/>
      <c r="B37" s="594"/>
      <c r="C37" s="594"/>
      <c r="D37" s="594"/>
      <c r="E37" s="594"/>
      <c r="F37" s="1062"/>
      <c r="G37" s="1062"/>
      <c r="H37" s="1062"/>
      <c r="I37" s="1062"/>
      <c r="J37" s="1062"/>
      <c r="K37" s="1062"/>
      <c r="L37" s="1062"/>
      <c r="M37" s="951"/>
      <c r="N37" s="951"/>
    </row>
    <row r="38" spans="1:14">
      <c r="A38" s="1025">
        <f>+A36+1</f>
        <v>11</v>
      </c>
      <c r="B38" s="594" t="s">
        <v>315</v>
      </c>
      <c r="C38" s="594"/>
      <c r="D38" s="594"/>
      <c r="E38" s="594"/>
      <c r="F38" s="1063">
        <v>0</v>
      </c>
      <c r="G38" s="1062"/>
      <c r="H38" s="1063">
        <v>0</v>
      </c>
      <c r="I38" s="1062"/>
      <c r="J38" s="1063">
        <v>0</v>
      </c>
      <c r="K38" s="1062"/>
      <c r="L38" s="1063">
        <f>-5204038-8434-241188--6733-75049</f>
        <v>-5521976</v>
      </c>
      <c r="M38" s="951"/>
      <c r="N38" s="963">
        <f>+F38+H38+J38+L38</f>
        <v>-5521976</v>
      </c>
    </row>
    <row r="39" spans="1:14">
      <c r="A39" s="1025"/>
      <c r="B39" s="594"/>
      <c r="C39" s="594"/>
      <c r="D39" s="594"/>
      <c r="E39" s="594"/>
      <c r="F39" s="1062"/>
      <c r="G39" s="1062"/>
      <c r="H39" s="1062"/>
      <c r="I39" s="1062"/>
      <c r="J39" s="1062"/>
      <c r="K39" s="1062"/>
      <c r="L39" s="1062"/>
      <c r="M39" s="951"/>
      <c r="N39" s="951"/>
    </row>
    <row r="40" spans="1:14">
      <c r="A40" s="1025">
        <f>+A38+1</f>
        <v>12</v>
      </c>
      <c r="B40" s="594" t="s">
        <v>75</v>
      </c>
      <c r="C40" s="594"/>
      <c r="D40" s="594"/>
      <c r="E40" s="594"/>
      <c r="F40" s="1062">
        <f>+F32+F34+F36+F38</f>
        <v>-12372668</v>
      </c>
      <c r="G40" s="1062"/>
      <c r="H40" s="1062">
        <f>+H32+H34+H36+H38</f>
        <v>0</v>
      </c>
      <c r="I40" s="1062"/>
      <c r="J40" s="1062">
        <f>+J32+J34+J36+J38</f>
        <v>0</v>
      </c>
      <c r="K40" s="1062"/>
      <c r="L40" s="1062">
        <f>+L32+L34+L36+L38</f>
        <v>-8385476</v>
      </c>
      <c r="M40" s="951"/>
      <c r="N40" s="951">
        <f>+N32+N34+N36+N38</f>
        <v>-20758144</v>
      </c>
    </row>
    <row r="41" spans="1:14">
      <c r="A41" s="1025"/>
      <c r="B41" s="594"/>
      <c r="C41" s="594"/>
      <c r="D41" s="594"/>
      <c r="E41" s="594"/>
      <c r="F41" s="594"/>
      <c r="G41" s="594"/>
      <c r="H41" s="594"/>
      <c r="I41" s="594"/>
      <c r="J41" s="594"/>
      <c r="K41" s="594"/>
      <c r="L41" s="594"/>
      <c r="M41" s="594"/>
      <c r="N41" s="594"/>
    </row>
    <row r="42" spans="1:14">
      <c r="A42" s="1025">
        <f>+A40+1</f>
        <v>13</v>
      </c>
      <c r="B42" s="594" t="s">
        <v>466</v>
      </c>
      <c r="C42" s="594"/>
      <c r="D42" s="594"/>
      <c r="E42" s="594"/>
      <c r="F42" s="765">
        <f>+'Appendix A'!H16</f>
        <v>0.12146075795343095</v>
      </c>
      <c r="G42" s="765"/>
      <c r="H42" s="765">
        <f>+'Appendix A'!H27</f>
        <v>0.20363964961424239</v>
      </c>
      <c r="I42" s="765"/>
      <c r="J42" s="765">
        <f>+'Appendix A'!H33</f>
        <v>0.18298233367566416</v>
      </c>
      <c r="K42" s="765"/>
      <c r="L42" s="765">
        <v>0</v>
      </c>
      <c r="M42" s="594"/>
      <c r="N42" s="594"/>
    </row>
    <row r="43" spans="1:14" ht="25.5">
      <c r="A43" s="1025"/>
      <c r="B43" s="594" t="s">
        <v>954</v>
      </c>
      <c r="C43" s="594"/>
      <c r="D43" s="594"/>
      <c r="E43" s="594"/>
      <c r="F43" s="1023" t="s">
        <v>955</v>
      </c>
      <c r="G43" s="594"/>
      <c r="H43" s="738" t="s">
        <v>956</v>
      </c>
      <c r="I43" s="594"/>
      <c r="J43" s="738" t="s">
        <v>957</v>
      </c>
      <c r="K43" s="594"/>
      <c r="L43" s="594"/>
      <c r="M43" s="594"/>
      <c r="N43" s="594"/>
    </row>
    <row r="44" spans="1:14">
      <c r="A44" s="1025">
        <f>+A42+1</f>
        <v>14</v>
      </c>
      <c r="B44" s="594" t="s">
        <v>952</v>
      </c>
      <c r="C44" s="594"/>
      <c r="D44" s="594"/>
      <c r="E44" s="594"/>
      <c r="F44" s="951">
        <f>+F40*F42</f>
        <v>-1502793.6331861606</v>
      </c>
      <c r="G44" s="951"/>
      <c r="H44" s="951">
        <f>+H40*H42</f>
        <v>0</v>
      </c>
      <c r="I44" s="951"/>
      <c r="J44" s="951">
        <f>+J40*J42</f>
        <v>0</v>
      </c>
      <c r="K44" s="951"/>
      <c r="L44" s="951">
        <f>+L40*L42</f>
        <v>0</v>
      </c>
      <c r="M44" s="951"/>
      <c r="N44" s="958">
        <f>+F44+H44+J44+L44</f>
        <v>-1502793.6331861606</v>
      </c>
    </row>
  </sheetData>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sqref="A1:G1"/>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1157" t="str">
        <f>+'10 - Misc. Liabilities'!J1</f>
        <v>Dayton Power and Light</v>
      </c>
      <c r="B1" s="1157"/>
      <c r="C1" s="1157"/>
      <c r="D1" s="1157"/>
      <c r="E1" s="1157"/>
      <c r="F1" s="1157"/>
      <c r="G1" s="1157"/>
      <c r="H1" s="1025"/>
      <c r="I1" s="1025"/>
    </row>
    <row r="2" spans="1:9" ht="18">
      <c r="A2" s="1158" t="str">
        <f>+'10 - Misc. Liabilities'!J2</f>
        <v xml:space="preserve">ATTACHMENT H-15A </v>
      </c>
      <c r="B2" s="1158"/>
      <c r="C2" s="1158"/>
      <c r="D2" s="1158"/>
      <c r="E2" s="1158"/>
      <c r="F2" s="1158"/>
      <c r="G2" s="1158"/>
      <c r="H2" s="1025"/>
      <c r="I2" s="1025"/>
    </row>
    <row r="3" spans="1:9" ht="18">
      <c r="A3" s="1159" t="s">
        <v>958</v>
      </c>
      <c r="B3" s="1159"/>
      <c r="C3" s="1159"/>
      <c r="D3" s="1159"/>
      <c r="E3" s="1159"/>
      <c r="F3" s="1159"/>
      <c r="G3" s="1159"/>
      <c r="H3" s="1025"/>
      <c r="I3" s="1025"/>
    </row>
    <row r="4" spans="1:9" ht="59.45" customHeight="1">
      <c r="A4" s="245"/>
      <c r="B4" s="216"/>
      <c r="C4" s="216"/>
      <c r="D4" s="216"/>
      <c r="E4" s="216"/>
      <c r="F4" s="832"/>
      <c r="G4" s="826"/>
      <c r="H4" s="1025"/>
      <c r="I4" s="967"/>
    </row>
    <row r="5" spans="1:9" ht="15.75">
      <c r="A5" s="245"/>
      <c r="B5" s="216"/>
      <c r="C5" s="216"/>
      <c r="D5" s="216"/>
      <c r="E5" s="216"/>
      <c r="F5" s="216"/>
      <c r="G5" s="826"/>
      <c r="H5" s="1025"/>
      <c r="I5" s="1025"/>
    </row>
    <row r="6" spans="1:9" ht="15.75">
      <c r="A6" s="245"/>
      <c r="B6" s="216" t="s">
        <v>446</v>
      </c>
      <c r="C6" s="216"/>
      <c r="D6" s="216"/>
      <c r="E6" s="216"/>
      <c r="F6" s="216"/>
      <c r="G6" s="826"/>
      <c r="H6" s="1025"/>
      <c r="I6" s="1025"/>
    </row>
    <row r="7" spans="1:9" ht="15.75">
      <c r="A7" s="831"/>
      <c r="B7" s="830"/>
      <c r="C7" s="831"/>
      <c r="D7" s="829" t="s">
        <v>358</v>
      </c>
      <c r="E7" s="831"/>
      <c r="F7" s="829" t="s">
        <v>359</v>
      </c>
      <c r="G7" s="834"/>
      <c r="H7" s="1025"/>
      <c r="I7" s="1025"/>
    </row>
    <row r="8" spans="1:9" ht="15.75">
      <c r="A8" s="216"/>
      <c r="B8" s="216"/>
      <c r="C8" s="216"/>
      <c r="D8" s="216"/>
      <c r="E8" s="216"/>
      <c r="F8" s="651" t="s">
        <v>959</v>
      </c>
      <c r="G8" s="825"/>
      <c r="H8" s="1025"/>
      <c r="I8" s="1025"/>
    </row>
    <row r="9" spans="1:9" ht="15.75">
      <c r="A9" s="216"/>
      <c r="B9" s="216"/>
      <c r="C9" s="216"/>
      <c r="D9" s="651" t="s">
        <v>274</v>
      </c>
      <c r="E9" s="216"/>
      <c r="F9" s="828"/>
      <c r="G9" s="826"/>
      <c r="H9" s="1025"/>
      <c r="I9" s="1025"/>
    </row>
    <row r="10" spans="1:9" ht="15.75">
      <c r="A10" s="651" t="s">
        <v>960</v>
      </c>
      <c r="B10" s="216"/>
      <c r="C10" s="216"/>
      <c r="D10" s="651" t="s">
        <v>961</v>
      </c>
      <c r="E10" s="216"/>
      <c r="F10" s="651" t="s">
        <v>274</v>
      </c>
      <c r="G10" s="826"/>
      <c r="H10" s="1025"/>
      <c r="I10" s="1025"/>
    </row>
    <row r="11" spans="1:9" ht="15.75">
      <c r="A11" s="684" t="s">
        <v>962</v>
      </c>
      <c r="B11" s="645" t="s">
        <v>874</v>
      </c>
      <c r="C11" s="684" t="s">
        <v>963</v>
      </c>
      <c r="D11" s="684" t="s">
        <v>964</v>
      </c>
      <c r="E11" s="216"/>
      <c r="F11" s="684" t="s">
        <v>965</v>
      </c>
      <c r="G11" s="826"/>
      <c r="H11" s="1025"/>
      <c r="I11" s="1025"/>
    </row>
    <row r="12" spans="1:9" ht="15.75">
      <c r="A12" s="216"/>
      <c r="B12" s="216"/>
      <c r="C12" s="216"/>
      <c r="D12" s="216"/>
      <c r="E12" s="216"/>
      <c r="F12" s="684"/>
      <c r="G12" s="826"/>
      <c r="H12" s="1025"/>
      <c r="I12" s="1025"/>
    </row>
    <row r="13" spans="1:9" ht="15.75">
      <c r="A13" s="827">
        <v>1</v>
      </c>
      <c r="B13" s="824" t="s">
        <v>966</v>
      </c>
      <c r="C13" s="842"/>
      <c r="D13" s="9"/>
      <c r="E13" s="9"/>
      <c r="F13" s="823"/>
      <c r="G13" s="826"/>
      <c r="H13" s="1025"/>
      <c r="I13" s="1025"/>
    </row>
    <row r="14" spans="1:9" ht="15.75">
      <c r="A14" s="827">
        <f>+A13+1</f>
        <v>2</v>
      </c>
      <c r="B14" s="216" t="s">
        <v>967</v>
      </c>
      <c r="C14" s="842"/>
      <c r="D14" s="9"/>
      <c r="E14" s="9"/>
      <c r="F14" s="964">
        <v>0</v>
      </c>
      <c r="G14" s="826"/>
      <c r="H14" s="1025"/>
      <c r="I14" s="1025"/>
    </row>
    <row r="15" spans="1:9" ht="15.75">
      <c r="A15" s="827"/>
      <c r="B15" s="216"/>
      <c r="C15" s="216"/>
      <c r="D15" s="9"/>
      <c r="E15" s="9"/>
      <c r="F15" s="889"/>
      <c r="G15" s="826"/>
      <c r="H15" s="1025"/>
      <c r="I15" s="1025"/>
    </row>
    <row r="16" spans="1:9" ht="15.75">
      <c r="A16" s="827">
        <f>+A14+1</f>
        <v>3</v>
      </c>
      <c r="B16" s="835" t="s">
        <v>968</v>
      </c>
      <c r="C16" s="842"/>
      <c r="D16" s="843"/>
      <c r="E16" s="9"/>
      <c r="F16" s="890">
        <v>0</v>
      </c>
      <c r="G16" s="826"/>
      <c r="H16" s="1025"/>
      <c r="I16" s="1025"/>
    </row>
    <row r="17" spans="1:7" ht="15.75">
      <c r="A17" s="827">
        <f t="shared" ref="A17:A27" si="0">+A16+1</f>
        <v>4</v>
      </c>
      <c r="B17" s="835" t="s">
        <v>969</v>
      </c>
      <c r="C17" s="842"/>
      <c r="D17" s="843"/>
      <c r="E17" s="9"/>
      <c r="F17" s="964">
        <v>0</v>
      </c>
      <c r="G17" s="826"/>
    </row>
    <row r="18" spans="1:7" ht="15.75">
      <c r="A18" s="827"/>
      <c r="B18" s="216"/>
      <c r="C18" s="216"/>
      <c r="D18" s="594"/>
      <c r="E18" s="9"/>
      <c r="F18" s="889"/>
      <c r="G18" s="826"/>
    </row>
    <row r="19" spans="1:7" ht="15.75">
      <c r="A19" s="827">
        <f>+A17+1</f>
        <v>5</v>
      </c>
      <c r="B19" s="216" t="s">
        <v>970</v>
      </c>
      <c r="C19" s="216" t="str">
        <f>"(Line "&amp;A16&amp;" + Line "&amp;A17&amp;")"</f>
        <v>(Line 3 + Line 4)</v>
      </c>
      <c r="D19" s="594"/>
      <c r="E19" s="9"/>
      <c r="F19" s="965">
        <f>+F16+F17</f>
        <v>0</v>
      </c>
      <c r="G19" s="826"/>
    </row>
    <row r="20" spans="1:7" ht="15.75">
      <c r="A20" s="827"/>
      <c r="B20" s="216"/>
      <c r="C20" s="216"/>
      <c r="D20" s="9"/>
      <c r="E20" s="9"/>
      <c r="F20" s="889"/>
      <c r="G20" s="826"/>
    </row>
    <row r="21" spans="1:7" ht="15.75">
      <c r="A21" s="827">
        <f>+A19+1</f>
        <v>6</v>
      </c>
      <c r="B21" s="216" t="s">
        <v>971</v>
      </c>
      <c r="C21" s="216" t="str">
        <f>"(Line "&amp;A14&amp;" + Line "&amp;A19&amp;")"</f>
        <v>(Line 2 + Line 5)</v>
      </c>
      <c r="D21" s="9"/>
      <c r="E21" s="9"/>
      <c r="F21" s="889">
        <f>+F14+F19</f>
        <v>0</v>
      </c>
      <c r="G21" s="826"/>
    </row>
    <row r="22" spans="1:7" ht="15.75">
      <c r="A22" s="827"/>
      <c r="B22" s="216"/>
      <c r="C22" s="216"/>
      <c r="D22" s="9"/>
      <c r="E22" s="9"/>
      <c r="F22" s="889"/>
      <c r="G22" s="826"/>
    </row>
    <row r="23" spans="1:7" ht="15.75">
      <c r="A23" s="827">
        <f>+A21+1</f>
        <v>7</v>
      </c>
      <c r="B23" s="216" t="s">
        <v>970</v>
      </c>
      <c r="C23" s="216" t="str">
        <f>"(Line "&amp;A19&amp;")"</f>
        <v>(Line 5)</v>
      </c>
      <c r="D23" s="9"/>
      <c r="E23" s="9"/>
      <c r="F23" s="889">
        <f>+F19</f>
        <v>0</v>
      </c>
      <c r="G23" s="826"/>
    </row>
    <row r="24" spans="1:7" ht="15.75">
      <c r="A24" s="827"/>
      <c r="B24" s="216"/>
      <c r="C24" s="216"/>
      <c r="D24" s="216"/>
      <c r="E24" s="216"/>
      <c r="F24" s="216"/>
      <c r="G24" s="826"/>
    </row>
    <row r="25" spans="1:7" ht="15.75">
      <c r="A25" s="827">
        <f>+A23+1</f>
        <v>8</v>
      </c>
      <c r="B25" s="216" t="s">
        <v>972</v>
      </c>
      <c r="C25" s="216" t="s">
        <v>852</v>
      </c>
      <c r="D25" s="216"/>
      <c r="E25" s="216"/>
      <c r="F25" s="822">
        <v>0</v>
      </c>
      <c r="G25" s="826"/>
    </row>
    <row r="26" spans="1:7" ht="15.75">
      <c r="A26" s="827">
        <f t="shared" si="0"/>
        <v>9</v>
      </c>
      <c r="B26" s="216" t="s">
        <v>973</v>
      </c>
      <c r="C26" s="216" t="s">
        <v>974</v>
      </c>
      <c r="D26" s="216"/>
      <c r="E26" s="216"/>
      <c r="F26" s="890">
        <v>0</v>
      </c>
      <c r="G26" s="826"/>
    </row>
    <row r="27" spans="1:7" ht="15.75">
      <c r="A27" s="827">
        <f t="shared" si="0"/>
        <v>10</v>
      </c>
      <c r="B27" s="216" t="s">
        <v>975</v>
      </c>
      <c r="C27" s="216" t="s">
        <v>976</v>
      </c>
      <c r="D27" s="216"/>
      <c r="E27" s="216"/>
      <c r="F27" s="965">
        <f>+F23*F25*F26</f>
        <v>0</v>
      </c>
      <c r="G27" s="826"/>
    </row>
    <row r="28" spans="1:7" ht="15.75">
      <c r="A28" s="827"/>
      <c r="B28" s="216"/>
      <c r="C28" s="216"/>
      <c r="D28" s="216"/>
      <c r="E28" s="216"/>
      <c r="F28" s="575"/>
      <c r="G28" s="826"/>
    </row>
    <row r="29" spans="1:7" ht="15.75">
      <c r="A29" s="827">
        <f>+A27+1</f>
        <v>11</v>
      </c>
      <c r="B29" s="216" t="s">
        <v>977</v>
      </c>
      <c r="C29" s="216" t="s">
        <v>978</v>
      </c>
      <c r="D29" s="216"/>
      <c r="E29" s="216"/>
      <c r="F29" s="889">
        <f>+F23+F27</f>
        <v>0</v>
      </c>
      <c r="G29" s="826"/>
    </row>
    <row r="30" spans="1:7" ht="15.75">
      <c r="A30" s="827"/>
      <c r="B30" s="216"/>
      <c r="C30" s="216"/>
      <c r="D30" s="216"/>
      <c r="E30" s="216"/>
      <c r="F30" s="216"/>
      <c r="G30" s="826"/>
    </row>
    <row r="31" spans="1:7" ht="15.75">
      <c r="A31" s="216"/>
      <c r="B31" s="216"/>
      <c r="C31" s="216"/>
      <c r="D31" s="216"/>
      <c r="E31" s="216"/>
      <c r="F31" s="216"/>
      <c r="G31" s="826"/>
    </row>
    <row r="32" spans="1:7" ht="15.75">
      <c r="A32" s="801" t="s">
        <v>979</v>
      </c>
      <c r="B32" s="216"/>
      <c r="C32" s="216"/>
      <c r="D32" s="216"/>
      <c r="E32" s="216"/>
      <c r="F32" s="216"/>
      <c r="G32" s="826"/>
    </row>
    <row r="33" spans="1:7" ht="43.9" customHeight="1">
      <c r="A33" s="821" t="s">
        <v>217</v>
      </c>
      <c r="B33" s="1156" t="s">
        <v>980</v>
      </c>
      <c r="C33" s="1156"/>
      <c r="D33" s="1156"/>
      <c r="E33" s="1156"/>
      <c r="F33" s="1156"/>
      <c r="G33" s="833"/>
    </row>
    <row r="34" spans="1:7" ht="54" customHeight="1">
      <c r="A34" s="821" t="s">
        <v>219</v>
      </c>
      <c r="B34" s="1156" t="s">
        <v>981</v>
      </c>
      <c r="C34" s="1156"/>
      <c r="D34" s="1156"/>
      <c r="E34" s="1156"/>
      <c r="F34" s="1156"/>
      <c r="G34" s="833"/>
    </row>
    <row r="35" spans="1:7">
      <c r="A35" s="594"/>
      <c r="B35" s="594"/>
      <c r="C35" s="594"/>
      <c r="D35" s="594"/>
      <c r="E35" s="594"/>
      <c r="F35" s="594"/>
      <c r="G35" s="1025"/>
    </row>
    <row r="36" spans="1:7">
      <c r="A36" s="594"/>
      <c r="B36" s="594"/>
      <c r="C36" s="594"/>
      <c r="D36" s="594"/>
      <c r="E36" s="594"/>
      <c r="F36" s="594"/>
      <c r="G36" s="1025"/>
    </row>
    <row r="37" spans="1:7">
      <c r="A37" s="594"/>
      <c r="B37" s="594"/>
      <c r="C37" s="594"/>
      <c r="D37" s="594"/>
      <c r="E37" s="594"/>
      <c r="F37" s="594"/>
      <c r="G37" s="1025"/>
    </row>
    <row r="38" spans="1:7">
      <c r="A38" s="594"/>
      <c r="B38" s="594"/>
      <c r="C38" s="594"/>
      <c r="D38" s="594"/>
      <c r="E38" s="594"/>
      <c r="F38" s="594"/>
      <c r="G38" s="1025"/>
    </row>
    <row r="39" spans="1:7">
      <c r="A39" s="594"/>
      <c r="B39" s="594"/>
      <c r="C39" s="594"/>
      <c r="D39" s="594"/>
      <c r="E39" s="594"/>
      <c r="F39" s="594"/>
      <c r="G39" s="1025"/>
    </row>
    <row r="40" spans="1:7">
      <c r="A40" s="594"/>
      <c r="B40" s="594"/>
      <c r="C40" s="594"/>
      <c r="D40" s="594"/>
      <c r="E40" s="594"/>
      <c r="F40" s="594"/>
      <c r="G40" s="1025"/>
    </row>
    <row r="41" spans="1:7">
      <c r="A41" s="594"/>
      <c r="B41" s="594"/>
      <c r="C41" s="594"/>
      <c r="D41" s="594"/>
      <c r="E41" s="594"/>
      <c r="F41" s="594"/>
      <c r="G41" s="1025"/>
    </row>
    <row r="42" spans="1:7">
      <c r="A42" s="594"/>
      <c r="B42" s="594"/>
      <c r="C42" s="594"/>
      <c r="D42" s="594"/>
      <c r="E42" s="594"/>
      <c r="F42" s="594"/>
      <c r="G42" s="1025"/>
    </row>
    <row r="43" spans="1:7">
      <c r="A43" s="594"/>
      <c r="B43" s="594"/>
      <c r="C43" s="594"/>
      <c r="D43" s="594"/>
      <c r="E43" s="594"/>
      <c r="F43" s="594"/>
      <c r="G43" s="1025"/>
    </row>
    <row r="44" spans="1:7">
      <c r="A44" s="594"/>
      <c r="B44" s="594"/>
      <c r="C44" s="594"/>
      <c r="D44" s="594"/>
      <c r="E44" s="594"/>
      <c r="F44" s="594"/>
      <c r="G44" s="1025"/>
    </row>
    <row r="45" spans="1:7">
      <c r="A45" s="594"/>
      <c r="B45" s="594"/>
      <c r="C45" s="594"/>
      <c r="D45" s="594"/>
      <c r="E45" s="594"/>
      <c r="F45" s="594"/>
      <c r="G45" s="1025"/>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A1" s="1025"/>
      <c r="B1" s="1025"/>
      <c r="C1" s="1025"/>
      <c r="D1" s="1025"/>
      <c r="E1" s="1025"/>
      <c r="F1" s="1096" t="s">
        <v>0</v>
      </c>
      <c r="G1" s="1025"/>
      <c r="H1" s="1025"/>
      <c r="I1" s="1025"/>
      <c r="J1" s="1025"/>
      <c r="K1" s="1025"/>
      <c r="L1" s="594"/>
      <c r="M1" s="1025"/>
    </row>
    <row r="2" spans="1:13" ht="18">
      <c r="A2" s="1025"/>
      <c r="B2" s="1025"/>
      <c r="C2" s="1025"/>
      <c r="D2" s="1025"/>
      <c r="E2" s="1025"/>
      <c r="F2" s="1096" t="s">
        <v>982</v>
      </c>
      <c r="G2" s="1025"/>
      <c r="H2" s="1025"/>
      <c r="I2" s="1025"/>
      <c r="J2" s="1025"/>
      <c r="K2" s="1025"/>
      <c r="L2" s="1025"/>
      <c r="M2" s="1025"/>
    </row>
    <row r="3" spans="1:13" ht="18">
      <c r="A3" s="1025"/>
      <c r="B3" s="1025"/>
      <c r="C3" s="1025"/>
      <c r="D3" s="1025"/>
      <c r="E3" s="1025"/>
      <c r="F3" s="605" t="s">
        <v>983</v>
      </c>
      <c r="G3" s="1025"/>
      <c r="H3" s="1025"/>
      <c r="I3" s="1025"/>
      <c r="J3" s="1025"/>
      <c r="K3" s="1025"/>
      <c r="L3" s="1025"/>
      <c r="M3" s="1025"/>
    </row>
    <row r="5" spans="1:13">
      <c r="A5" s="594"/>
      <c r="B5" s="1025"/>
      <c r="C5" s="1025"/>
      <c r="D5" s="1025"/>
      <c r="E5" s="1025"/>
      <c r="F5" s="1025"/>
      <c r="G5" s="1025"/>
      <c r="H5" s="1025"/>
      <c r="I5" s="1025"/>
      <c r="J5" s="1025"/>
      <c r="K5" s="1025"/>
      <c r="L5" s="1025"/>
      <c r="M5" s="1025"/>
    </row>
    <row r="6" spans="1:13" ht="15">
      <c r="A6" s="216" t="s">
        <v>960</v>
      </c>
      <c r="B6" s="1097"/>
      <c r="C6" s="1097"/>
      <c r="D6" s="1097"/>
      <c r="E6" s="1097"/>
      <c r="F6" s="1097"/>
      <c r="G6" s="1097"/>
      <c r="H6" s="1097"/>
      <c r="I6" s="1097"/>
      <c r="J6" s="1097"/>
      <c r="K6" s="1097"/>
      <c r="L6" s="1098" t="s">
        <v>984</v>
      </c>
      <c r="M6" s="1098" t="s">
        <v>985</v>
      </c>
    </row>
    <row r="7" spans="1:13" ht="15">
      <c r="A7" s="1097"/>
      <c r="B7" s="1097" t="s">
        <v>857</v>
      </c>
      <c r="C7" s="1097"/>
      <c r="D7" s="1097"/>
      <c r="E7" s="1097"/>
      <c r="F7" s="1097"/>
      <c r="G7" s="1097"/>
      <c r="H7" s="1097"/>
      <c r="I7" s="1097"/>
      <c r="J7" s="1097"/>
      <c r="K7" s="1097"/>
      <c r="L7" s="684" t="s">
        <v>986</v>
      </c>
      <c r="M7" s="684" t="s">
        <v>987</v>
      </c>
    </row>
    <row r="8" spans="1:13" ht="15">
      <c r="A8" s="1098">
        <v>1</v>
      </c>
      <c r="B8" s="1097"/>
      <c r="C8" s="1097" t="s">
        <v>988</v>
      </c>
      <c r="D8" s="1097"/>
      <c r="E8" s="1097"/>
      <c r="F8" s="1097"/>
      <c r="G8" s="1097"/>
      <c r="H8" s="1097"/>
      <c r="I8" s="1097"/>
      <c r="J8" s="1099">
        <v>531580</v>
      </c>
      <c r="K8" s="1097"/>
      <c r="L8" s="651" t="s">
        <v>989</v>
      </c>
      <c r="M8" s="1097">
        <v>561.1</v>
      </c>
    </row>
    <row r="9" spans="1:13" ht="15">
      <c r="A9" s="1098"/>
      <c r="B9" s="1097"/>
      <c r="C9" s="1097"/>
      <c r="D9" s="1097"/>
      <c r="E9" s="1097"/>
      <c r="F9" s="1097"/>
      <c r="G9" s="1097"/>
      <c r="H9" s="1097"/>
      <c r="I9" s="1097"/>
      <c r="J9" s="1100"/>
      <c r="K9" s="1097"/>
      <c r="L9" s="1098"/>
      <c r="M9" s="1097"/>
    </row>
    <row r="10" spans="1:13" ht="15">
      <c r="A10" s="1098">
        <f>+A8+1</f>
        <v>2</v>
      </c>
      <c r="B10" s="1097"/>
      <c r="C10" s="1097" t="s">
        <v>990</v>
      </c>
      <c r="D10" s="1097"/>
      <c r="E10" s="1097"/>
      <c r="F10" s="1097"/>
      <c r="G10" s="1097"/>
      <c r="H10" s="1097"/>
      <c r="I10" s="1097"/>
      <c r="J10" s="1101">
        <v>646676</v>
      </c>
      <c r="K10" s="1097"/>
      <c r="L10" s="651" t="s">
        <v>991</v>
      </c>
      <c r="M10" s="1097">
        <v>561.20000000000005</v>
      </c>
    </row>
    <row r="11" spans="1:13" ht="15">
      <c r="A11" s="1098"/>
      <c r="B11" s="1097"/>
      <c r="C11" s="1097"/>
      <c r="D11" s="1097"/>
      <c r="E11" s="1097"/>
      <c r="F11" s="1097"/>
      <c r="G11" s="1097"/>
      <c r="H11" s="1097"/>
      <c r="I11" s="1097"/>
      <c r="J11" s="1100"/>
      <c r="K11" s="1097"/>
      <c r="L11" s="1098"/>
      <c r="M11" s="1097"/>
    </row>
    <row r="12" spans="1:13" ht="15">
      <c r="A12" s="1098">
        <f>+A10+1</f>
        <v>3</v>
      </c>
      <c r="B12" s="1097"/>
      <c r="C12" s="1097" t="s">
        <v>992</v>
      </c>
      <c r="D12" s="1097"/>
      <c r="E12" s="1097"/>
      <c r="F12" s="1097"/>
      <c r="G12" s="1097"/>
      <c r="H12" s="1097"/>
      <c r="I12" s="1097"/>
      <c r="J12" s="1102">
        <v>0</v>
      </c>
      <c r="K12" s="1097"/>
      <c r="L12" s="651" t="s">
        <v>993</v>
      </c>
      <c r="M12" s="1097">
        <v>561.29999999999995</v>
      </c>
    </row>
    <row r="13" spans="1:13" s="983" customFormat="1" ht="15">
      <c r="A13" s="1098"/>
      <c r="B13" s="1097"/>
      <c r="C13" s="1097"/>
      <c r="D13" s="1097"/>
      <c r="E13" s="1097"/>
      <c r="F13" s="1097"/>
      <c r="G13" s="1097"/>
      <c r="H13" s="1097"/>
      <c r="I13" s="1097"/>
      <c r="J13" s="1103"/>
      <c r="K13" s="1097"/>
      <c r="L13" s="651"/>
      <c r="M13" s="1097"/>
    </row>
    <row r="14" spans="1:13" ht="15">
      <c r="A14" s="1098">
        <f>+A12+1</f>
        <v>4</v>
      </c>
      <c r="B14" s="1097"/>
      <c r="C14" s="216" t="s">
        <v>994</v>
      </c>
      <c r="D14" s="1097"/>
      <c r="E14" s="1097"/>
      <c r="F14" s="1097"/>
      <c r="G14" s="1097"/>
      <c r="H14" s="1097"/>
      <c r="I14" s="1097"/>
      <c r="J14" s="1104">
        <v>-77783.3</v>
      </c>
      <c r="K14" s="1097"/>
      <c r="L14" s="651" t="s">
        <v>995</v>
      </c>
      <c r="M14" s="1097"/>
    </row>
    <row r="15" spans="1:13" s="983" customFormat="1" ht="15">
      <c r="A15" s="1098"/>
      <c r="B15" s="1097"/>
      <c r="C15" s="1097"/>
      <c r="D15" s="1097"/>
      <c r="E15" s="1097"/>
      <c r="F15" s="1097"/>
      <c r="G15" s="1097"/>
      <c r="H15" s="1097"/>
      <c r="I15" s="1097"/>
      <c r="J15" s="1097"/>
      <c r="K15" s="1097"/>
      <c r="L15" s="1098"/>
      <c r="M15" s="1097"/>
    </row>
    <row r="16" spans="1:13" ht="28.9" customHeight="1">
      <c r="A16" s="1098">
        <f>+A14+1</f>
        <v>5</v>
      </c>
      <c r="B16" s="1097"/>
      <c r="C16" s="1097" t="s">
        <v>75</v>
      </c>
      <c r="D16" s="1097"/>
      <c r="E16" s="1097"/>
      <c r="F16" s="1097"/>
      <c r="G16" s="1097"/>
      <c r="H16" s="1097"/>
      <c r="I16" s="1097"/>
      <c r="J16" s="1100">
        <f>+SUM(J8:J14)</f>
        <v>1100472.7</v>
      </c>
      <c r="K16" s="1097"/>
      <c r="L16" s="1105" t="str">
        <f>"(Line "&amp;A8&amp;" + Line "&amp;A10&amp;" + Line "&amp;A12&amp;" + Line "&amp;A14&amp;")"</f>
        <v>(Line 1 + Line 2 + Line 3 + Line 4)</v>
      </c>
      <c r="M16" s="1097"/>
    </row>
    <row r="17" spans="1:13" ht="15">
      <c r="A17" s="1098"/>
      <c r="B17" s="1097"/>
      <c r="C17" s="1097"/>
      <c r="D17" s="1097"/>
      <c r="E17" s="1097"/>
      <c r="F17" s="1097"/>
      <c r="G17" s="1097"/>
      <c r="H17" s="1097"/>
      <c r="I17" s="1097"/>
      <c r="J17" s="1100"/>
      <c r="K17" s="1097"/>
      <c r="L17" s="1098"/>
      <c r="M17" s="1097"/>
    </row>
    <row r="18" spans="1:13" ht="105">
      <c r="A18" s="1098">
        <f>+A16+1</f>
        <v>6</v>
      </c>
      <c r="B18" s="1097" t="s">
        <v>996</v>
      </c>
      <c r="C18" s="1097"/>
      <c r="D18" s="1097"/>
      <c r="E18" s="1097"/>
      <c r="F18" s="1097"/>
      <c r="G18" s="1097"/>
      <c r="H18" s="1097"/>
      <c r="I18" s="1097"/>
      <c r="J18" s="1101">
        <v>14377840</v>
      </c>
      <c r="K18" s="1097"/>
      <c r="L18" s="1106" t="s">
        <v>997</v>
      </c>
      <c r="M18" s="1097"/>
    </row>
    <row r="19" spans="1:13" ht="15">
      <c r="A19" s="1098"/>
      <c r="B19" s="1097"/>
      <c r="C19" s="1097"/>
      <c r="D19" s="1097"/>
      <c r="E19" s="1097"/>
      <c r="F19" s="1097"/>
      <c r="G19" s="1097"/>
      <c r="H19" s="1097"/>
      <c r="I19" s="1097"/>
      <c r="J19" s="1097"/>
      <c r="K19" s="1097"/>
      <c r="L19" s="1098"/>
      <c r="M19" s="1097"/>
    </row>
    <row r="20" spans="1:13" ht="15">
      <c r="A20" s="1098">
        <f>+A18+1</f>
        <v>7</v>
      </c>
      <c r="B20" s="1097" t="s">
        <v>998</v>
      </c>
      <c r="C20" s="1097"/>
      <c r="D20" s="1097"/>
      <c r="E20" s="1097"/>
      <c r="F20" s="1097"/>
      <c r="G20" s="1097"/>
      <c r="H20" s="1097"/>
      <c r="I20" s="1097"/>
      <c r="J20" s="1107">
        <f>+J16/J18</f>
        <v>7.653950106552862E-2</v>
      </c>
      <c r="K20" s="1097"/>
      <c r="L20" s="1098" t="str">
        <f>"(Line "&amp;A16&amp;" / Line "&amp;A18&amp;")"</f>
        <v>(Line 5 / Line 6)</v>
      </c>
      <c r="M20" s="1097"/>
    </row>
    <row r="21" spans="1:13" ht="15">
      <c r="A21" s="1098"/>
      <c r="B21" s="1097"/>
      <c r="C21" s="1097"/>
      <c r="D21" s="1097"/>
      <c r="E21" s="1097"/>
      <c r="F21" s="1097"/>
      <c r="G21" s="1097"/>
      <c r="H21" s="1097"/>
      <c r="I21" s="1097"/>
      <c r="J21" s="1097"/>
      <c r="K21" s="1097"/>
      <c r="L21" s="1097"/>
      <c r="M21" s="1097"/>
    </row>
    <row r="22" spans="1:13">
      <c r="A22" s="646"/>
      <c r="B22" s="1025"/>
      <c r="C22" s="1025"/>
      <c r="D22" s="1025"/>
      <c r="E22" s="1025"/>
      <c r="F22" s="1025"/>
      <c r="G22" s="1025"/>
      <c r="H22" s="1025"/>
      <c r="I22" s="1025"/>
      <c r="J22" s="1025"/>
      <c r="K22" s="1025"/>
      <c r="L22" s="1025"/>
      <c r="M22" s="1025"/>
    </row>
    <row r="23" spans="1:13">
      <c r="A23" s="646"/>
      <c r="B23" s="1025"/>
      <c r="C23" s="1025"/>
      <c r="D23" s="1025"/>
      <c r="E23" s="1025"/>
      <c r="F23" s="1025"/>
      <c r="G23" s="1025"/>
      <c r="H23" s="1025"/>
      <c r="I23" s="1025"/>
      <c r="J23" s="1025"/>
      <c r="K23" s="1025"/>
      <c r="L23" s="1025"/>
      <c r="M23" s="1025"/>
    </row>
    <row r="24" spans="1:13">
      <c r="A24" s="646"/>
      <c r="B24" s="1025"/>
      <c r="C24" s="1025"/>
      <c r="D24" s="1025"/>
      <c r="E24" s="1025"/>
      <c r="F24" s="1025"/>
      <c r="G24" s="1025"/>
      <c r="H24" s="1025"/>
      <c r="I24" s="1025"/>
      <c r="J24" s="1025"/>
      <c r="K24" s="1025"/>
      <c r="L24" s="1025"/>
      <c r="M24" s="1025"/>
    </row>
    <row r="25" spans="1:13">
      <c r="A25" s="646"/>
      <c r="B25" s="1025"/>
      <c r="C25" s="1025"/>
      <c r="D25" s="1025"/>
      <c r="E25" s="1025"/>
      <c r="F25" s="1025"/>
      <c r="G25" s="1025"/>
      <c r="H25" s="1025"/>
      <c r="I25" s="1025"/>
      <c r="J25" s="1025"/>
      <c r="K25" s="1025"/>
      <c r="L25" s="1025"/>
      <c r="M25" s="1025"/>
    </row>
    <row r="26" spans="1:13">
      <c r="A26" s="646"/>
      <c r="B26" s="1025"/>
      <c r="C26" s="1025"/>
      <c r="D26" s="1025"/>
      <c r="E26" s="1025"/>
      <c r="F26" s="1025"/>
      <c r="G26" s="1025"/>
      <c r="H26" s="1025"/>
      <c r="I26" s="1025"/>
      <c r="J26" s="1025"/>
      <c r="K26" s="1025"/>
      <c r="L26" s="1025"/>
      <c r="M26" s="1025"/>
    </row>
    <row r="27" spans="1:13">
      <c r="A27" s="646"/>
      <c r="B27" s="1025"/>
      <c r="C27" s="1025"/>
      <c r="D27" s="1025"/>
      <c r="E27" s="1025"/>
      <c r="F27" s="1025"/>
      <c r="G27" s="1025"/>
      <c r="H27" s="1025"/>
      <c r="I27" s="1025"/>
      <c r="J27" s="1025"/>
      <c r="K27" s="1025"/>
      <c r="L27" s="1025"/>
      <c r="M27" s="1025"/>
    </row>
  </sheetData>
  <pageMargins left="0.7" right="0.7" top="0.75" bottom="0.75" header="0.3" footer="0.3"/>
  <pageSetup scale="78" orientation="portrait" verticalDpi="0"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2.7.001.82873</Revision>
</Application>
</file>

<file path=customXml/item2.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4" ma:contentTypeDescription="Create a new document." ma:contentTypeScope="" ma:versionID="fc25082bf952d555279df0bb2bdd09a2">
  <xsd:schema xmlns:xsd="http://www.w3.org/2001/XMLSchema" xmlns:xs="http://www.w3.org/2001/XMLSchema" xmlns:p="http://schemas.microsoft.com/office/2006/metadata/properties" xmlns:ns2="105a3813-a66c-4ab3-a28a-39e52728d7ee" targetNamespace="http://schemas.microsoft.com/office/2006/metadata/properties" ma:root="true" ma:fieldsID="fbb7e04bf817b0f1f2e42ed9d0a93cc4" ns2:_="">
    <xsd:import namespace="105a3813-a66c-4ab3-a28a-39e52728d7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0B8641-DBD3-4544-8D96-45B8AD3AF0B1}">
  <ds:schemaRefs>
    <ds:schemaRef ds:uri="http://www.sap.com/cof/excel/application"/>
  </ds:schemaRefs>
</ds:datastoreItem>
</file>

<file path=customXml/itemProps2.xml><?xml version="1.0" encoding="utf-8"?>
<ds:datastoreItem xmlns:ds="http://schemas.openxmlformats.org/officeDocument/2006/customXml" ds:itemID="{D53FF17A-C2E4-4510-AA03-5A4C52486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4.xml><?xml version="1.0" encoding="utf-8"?>
<ds:datastoreItem xmlns:ds="http://schemas.openxmlformats.org/officeDocument/2006/customXml" ds:itemID="{1B764223-8ACD-4B9C-80D6-F381497FC622}">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105a3813-a66c-4ab3-a28a-39e52728d7ee"/>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Jessica</cp:lastModifiedBy>
  <cp:revision/>
  <dcterms:created xsi:type="dcterms:W3CDTF">2008-07-07T19:27:29Z</dcterms:created>
  <dcterms:modified xsi:type="dcterms:W3CDTF">2020-10-15T16:30:11Z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